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2.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codeName="ThisWorkbook" defaultThemeVersion="124226"/>
  <xr:revisionPtr revIDLastSave="0" documentId="8_{511AB986-60ED-4A09-8427-9F755BDA8B2A}" xr6:coauthVersionLast="47" xr6:coauthVersionMax="47" xr10:uidLastSave="{00000000-0000-0000-0000-000000000000}"/>
  <bookViews>
    <workbookView xWindow="-110" yWindow="-110" windowWidth="19420" windowHeight="11500" tabRatio="776" xr2:uid="{22AD8508-5858-422F-9A7A-F5594E37D8AE}"/>
  </bookViews>
  <sheets>
    <sheet name="Table of Contents" sheetId="1" r:id="rId1"/>
    <sheet name="Exhibit A" sheetId="2" r:id="rId2"/>
    <sheet name="Exh A Supp" sheetId="3" r:id="rId3"/>
    <sheet name="Footnotes" sheetId="4" r:id="rId4"/>
    <sheet name="Exh B" sheetId="5" r:id="rId5"/>
    <sheet name="Exh C" sheetId="6" r:id="rId6"/>
    <sheet name="Exh D 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G'!$A$2:$AM$123</definedName>
    <definedName name="Exh_G_var" localSheetId="20">'Exhibit G Federal'!$A$2:$AK$93</definedName>
    <definedName name="Exh_G_var" localSheetId="19">'Exhibit G State'!$A$2:$AK$120</definedName>
    <definedName name="EXHIBIT_E" localSheetId="14">'EXHIBIT E '!$A$3:$AK$68</definedName>
    <definedName name="EXHIBITA" localSheetId="2">'Exh A Supp'!$A$3:$AC$60</definedName>
    <definedName name="EXHIBITAvar" localSheetId="2">'Exh A Supp'!$A$3:$AC$60</definedName>
    <definedName name="ExhibitB" localSheetId="5">'Exh C'!$A$3:$U$46</definedName>
    <definedName name="EXHL" localSheetId="40">'Appendix E'!$A$2:$AA$22</definedName>
    <definedName name="EXHL" localSheetId="28">'Exhibit M'!$A$3:$AF$47</definedName>
    <definedName name="Medicaid" localSheetId="39">'Medicaid Disp Share'!$B$4:$G$49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TransLed">"VN"</definedName>
    <definedName name="NvsTreeASD">"V2019-12-31"</definedName>
    <definedName name="NvsValTbl.ACCOUNT">"GL_ACCOUNT_TBL"</definedName>
    <definedName name="NvsValTbl.BUSINESS_UNIT">"BUS_UNIT_GL_VW"</definedName>
    <definedName name="Page_1" localSheetId="3">Footnotes!$A$3:$S$51</definedName>
    <definedName name="page1" localSheetId="32">'Sch 4'!$A$3:$J$21</definedName>
    <definedName name="page1" localSheetId="0">'Table of Contents'!$A$1:$J$100</definedName>
    <definedName name="_xlnm.Print_Area" localSheetId="40">'Appendix E'!$A$2:$AA$30</definedName>
    <definedName name="_xlnm.Print_Area" localSheetId="41">'Appendix F'!$A$2:$R$294</definedName>
    <definedName name="_xlnm.Print_Area" localSheetId="42">'Appendix G'!$A$3:$Z$51</definedName>
    <definedName name="_xlnm.Print_Area" localSheetId="43">'Appendix H'!$A$3:$I$63</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B'!$A$3:$Z$47</definedName>
    <definedName name="_xlnm.Print_Area" localSheetId="5">'Exh C'!$A$3:$Y$44</definedName>
    <definedName name="_xlnm.Print_Area" localSheetId="12">'Exh D Capital Projects'!$A$3:$O$46</definedName>
    <definedName name="_xlnm.Print_Area" localSheetId="13">'Exh D Captl Projects State Fed'!$A$3:$X$46</definedName>
    <definedName name="_xlnm.Print_Area" localSheetId="11">'Exh D Debt Service'!$A$3:$L$44</definedName>
    <definedName name="_xlnm.Print_Area" localSheetId="8">'Exh D General Fund'!$A$3:$K$60</definedName>
    <definedName name="_xlnm.Print_Area" localSheetId="6">'Exh D Governmental  '!$A$3:$L$54</definedName>
    <definedName name="_xlnm.Print_Area" localSheetId="9">'Exh D Special Revenue'!$A$3:$O$48</definedName>
    <definedName name="_xlnm.Print_Area" localSheetId="10">'Exh D Special Revenue State Fed'!$A$3:$X$45</definedName>
    <definedName name="_xlnm.Print_Area" localSheetId="7">'Exh D State Operating'!$A$3:$L$58</definedName>
    <definedName name="_xlnm.Print_Area" localSheetId="1">'Exhibit A'!$A$3:$AI$60</definedName>
    <definedName name="_xlnm.Print_Area" localSheetId="14">'EXHIBIT E '!$A$3:$AK$65</definedName>
    <definedName name="_xlnm.Print_Area" localSheetId="17">'Exhibit F'!$B$3:$AK$146</definedName>
    <definedName name="_xlnm.Print_Area" localSheetId="18">'Exhibit G'!$B$3:$AM$127</definedName>
    <definedName name="_xlnm.Print_Area" localSheetId="20">'Exhibit G Federal'!$B$2:$AK$96</definedName>
    <definedName name="_xlnm.Print_Area" localSheetId="19">'Exhibit G State'!$B$3:$AK$123</definedName>
    <definedName name="_xlnm.Print_Area" localSheetId="21">'Exhibit H'!$A$2:$AI$79</definedName>
    <definedName name="_xlnm.Print_Area" localSheetId="22">'Exhibit I'!$B$3:$AN$102</definedName>
    <definedName name="_xlnm.Print_Area" localSheetId="24">'Exhibit I Federal'!$B$3:$AL$84</definedName>
    <definedName name="_xlnm.Print_Area" localSheetId="23">'Exhibit I State'!$B$3:$AL$101</definedName>
    <definedName name="_xlnm.Print_Area" localSheetId="25">'Exhibit J'!$A$3:$AJ$52</definedName>
    <definedName name="_xlnm.Print_Area" localSheetId="26">'Exhibit K'!$A$3:$AI$49</definedName>
    <definedName name="_xlnm.Print_Area" localSheetId="27">'Exhibit L'!$A$3:$AI$47</definedName>
    <definedName name="_xlnm.Print_Area" localSheetId="28">'Exhibit M'!$A$3:$AI$47</definedName>
    <definedName name="_xlnm.Print_Area" localSheetId="3">Footnotes!$A$2:$O$60</definedName>
    <definedName name="_xlnm.Print_Area" localSheetId="36">'HCRA '!$A$3:$Z$54</definedName>
    <definedName name="_xlnm.Print_Area" localSheetId="37">'HCRA PROG DISB'!$A$3:$D$70</definedName>
    <definedName name="_xlnm.Print_Area" localSheetId="39">'Medicaid Disp Share'!$B$2:$G$52</definedName>
    <definedName name="_xlnm.Print_Area" localSheetId="38">'Public Goods '!$A$3:$G$53</definedName>
    <definedName name="_xlnm.Print_Area" localSheetId="29">'Sch 1 '!$A$3:$L$158</definedName>
    <definedName name="_xlnm.Print_Area" localSheetId="30">'Sch 2 '!$A$3:$K$47</definedName>
    <definedName name="_xlnm.Print_Area" localSheetId="31">'Sch 3 '!$A$2:$M$49</definedName>
    <definedName name="_xlnm.Print_Area" localSheetId="32">'Sch 4'!$A$3:$K$34</definedName>
    <definedName name="_xlnm.Print_Area" localSheetId="33">'Sch 5 '!$A$3:$S$74</definedName>
    <definedName name="_xlnm.Print_Area" localSheetId="34">'Sch 5a'!$B$3:$R$33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F'!$3:$12</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H'!$3:$11</definedName>
    <definedName name="_xlnm.Print_Titles" localSheetId="22">'Exhibit I'!$3:$11</definedName>
    <definedName name="_xlnm.Print_Titles" localSheetId="24">'Exhibit I Federal'!$3:$12</definedName>
    <definedName name="_xlnm.Print_Titles" localSheetId="23">'Exhibit I State'!$3:$12</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'!$A$3:$AK$68</definedName>
    <definedName name="variance" localSheetId="42">'Appendix G'!$A$3:$X$45</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CD6F1AC_054B_4076_AF07_B77CADF2C1A5_.wvu.FilterData" localSheetId="8" hidden="1">'Exh D General Fund'!$A$3:$A$7</definedName>
    <definedName name="Z_0DC93707_9367_4260_BDCF_F5F59CF54468_.wvu.PrintArea" localSheetId="34" hidden="1">'Sch 5a'!$B$3:$S$31</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'!$A$3:$AK$68</definedName>
    <definedName name="Z_1D1F1A01_30B2_4981_9EC4_1E239EF5CA4C_.wvu.PrintArea" localSheetId="24" hidden="1">'Exhibit I Federal'!$B$3:$AL$84</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1F9BD7FF_6C5C_49E3_A6A5_BD56750B6D66_.wvu.FilterData" localSheetId="11" hidden="1">'Exh D Debt Service'!$A$3:$A$7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'!$A$3:$AK$68</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State'!$B$3:$AL$101</definedName>
    <definedName name="Z_39DB2D6C_C362_45F4_A2F1_C59B9CF1777D_.wvu.Rows" localSheetId="23" hidden="1">'Exhibit I State'!#REF!</definedName>
    <definedName name="Z_3A30DD21_678A_4259_B05F_F71CE31D5B74_.wvu.FilterData" localSheetId="8" hidden="1">'Exh D General Fund'!$A$3:$A$7</definedName>
    <definedName name="Z_3CAE764A_1590_4131_A53F_4FB87A2B6942_.wvu.FilterData" localSheetId="11" hidden="1">'Exh D Debt Service'!$A$3:$A$7</definedName>
    <definedName name="Z_3CAE764A_1590_4131_A53F_4FB87A2B6942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'!$A$3:$AK$68</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73C688_0265_40B1_AFA0_80AAC649D46E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'!$A$3:$AK$68</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Federal'!$B$3:$AL$84</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'!$A$3:$AK$68</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G'!$A$3:$Z$60</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6FD653B2_CAC4_41A7_BC50_9A9DD0A8E5A9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52EF0CB_78F5_4DFB_9C92_ADBEFCD33466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State'!$B$3:$AL$101</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9E0B0F_6E54_47B0_837B_7B1D67D2CA57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G'!$A$3:$Z$60</definedName>
    <definedName name="Z_8EE6466D_211E_4E05_9F84_CC0A1C6F79F4_.wvu.PrintArea" localSheetId="34" hidden="1">'Sch 5a'!$B$3:$S$31</definedName>
    <definedName name="Z_90980A54_5C40_4F89_B73B_BC9A8E902E3F_.wvu.FilterData" localSheetId="11" hidden="1">'Exh D Debt Service'!$A$3:$A$7</definedName>
    <definedName name="Z_91824EB7_CDA3_4A39_81D4_2F28026A475F_.wvu.FilterData" localSheetId="11" hidden="1">'Exh D Debt Service'!$A$3:$A$7</definedName>
    <definedName name="Z_91824EB7_CDA3_4A39_81D4_2F28026A475F_.wvu.FilterData" localSheetId="8" hidden="1">'Exh D General Fund'!$A$3:$A$7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Federal'!$B$3:$AL$84</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'!$A$3:$AK$68</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1894294_F4B6_4CA3_9072_86B712426D7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18F431_906C_44F0_BB7C_468203D2ACCD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7D5D81_C9FA_4603_B4E1_3DBA061ED4F3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5A02F29_BDB2_48DB_802E_7E9C44D6232F_.wvu.FilterData" localSheetId="11" hidden="1">'Exh D Debt Service'!$A$3:$A$7</definedName>
    <definedName name="Z_E5A02F29_BDB2_48DB_802E_7E9C44D6232F_.wvu.FilterData" localSheetId="8" hidden="1">'Exh D General Fund'!$A$3:$A$7</definedName>
    <definedName name="Z_E7A86177_7B19_421F_A256_D31A4A7193C1_.wvu.PrintArea" localSheetId="24" hidden="1">'Exhibit I Federal'!$B$3:$AL$84</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603B30_5D87_4F93_9361_CF740DE1327B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'!$A$3:$AK$68</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5D63D6_D597_4A24_901B_B568F9892BF5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9" i="43" l="1"/>
  <c r="G54" i="44"/>
  <c r="G28" i="45"/>
  <c r="G11" i="34"/>
  <c r="G52" i="44"/>
  <c r="AB12" i="16"/>
  <c r="AA14" i="41"/>
  <c r="AA15" i="41"/>
  <c r="AA16" i="41"/>
  <c r="AA17" i="41"/>
  <c r="AA18" i="41"/>
  <c r="AA19" i="41"/>
  <c r="B39" i="37"/>
  <c r="E62" i="25"/>
  <c r="E63" i="25"/>
  <c r="E61" i="25"/>
  <c r="E80" i="24"/>
  <c r="E81" i="24"/>
  <c r="E79" i="24"/>
  <c r="D76" i="18"/>
  <c r="D86" i="18"/>
  <c r="F36" i="5"/>
  <c r="D99" i="18" l="1"/>
  <c r="D19" i="2" s="1"/>
  <c r="E72" i="25"/>
  <c r="E72" i="24"/>
  <c r="C18" i="26"/>
  <c r="B19" i="5" s="1"/>
  <c r="D40" i="18"/>
  <c r="D41" i="15" s="1"/>
  <c r="D52" i="18"/>
  <c r="D54" i="15" s="1"/>
  <c r="E62" i="24"/>
  <c r="E24" i="24"/>
  <c r="D44" i="18"/>
  <c r="D45" i="15" s="1"/>
  <c r="E38" i="24"/>
  <c r="B24" i="27"/>
  <c r="F25" i="5" s="1"/>
  <c r="E59" i="24"/>
  <c r="D42" i="18"/>
  <c r="D43" i="15" s="1"/>
  <c r="E91" i="24"/>
  <c r="D54" i="21" l="1"/>
  <c r="E75" i="24"/>
  <c r="E19" i="24"/>
  <c r="D72" i="21"/>
  <c r="B16" i="37"/>
  <c r="D62" i="21"/>
  <c r="E70" i="24"/>
  <c r="B25" i="27"/>
  <c r="F26" i="5" s="1"/>
  <c r="E54" i="24"/>
  <c r="D102" i="20"/>
  <c r="H38" i="3" s="1"/>
  <c r="D93" i="20"/>
  <c r="H29" i="3" s="1"/>
  <c r="E82" i="24"/>
  <c r="B26" i="22"/>
  <c r="L53" i="15" s="1"/>
  <c r="D75" i="20"/>
  <c r="C27" i="26"/>
  <c r="B26" i="5" s="1"/>
  <c r="D33" i="18"/>
  <c r="D33" i="15" s="1"/>
  <c r="D33" i="20"/>
  <c r="B17" i="27"/>
  <c r="F18" i="5" s="1"/>
  <c r="D86" i="21"/>
  <c r="D41" i="18"/>
  <c r="D42" i="15" s="1"/>
  <c r="D95" i="18"/>
  <c r="E69" i="24"/>
  <c r="D32" i="20"/>
  <c r="E25" i="24"/>
  <c r="D31" i="18"/>
  <c r="D30" i="15" s="1"/>
  <c r="D79" i="20"/>
  <c r="C28" i="26"/>
  <c r="B27" i="5" s="1"/>
  <c r="D24" i="20"/>
  <c r="D101" i="20"/>
  <c r="H37" i="3" s="1"/>
  <c r="D50" i="18"/>
  <c r="D52" i="15" s="1"/>
  <c r="D69" i="21"/>
  <c r="D118" i="18"/>
  <c r="D37" i="2" s="1"/>
  <c r="B24" i="29"/>
  <c r="F23" i="6" s="1"/>
  <c r="B17" i="29"/>
  <c r="F18" i="6" s="1"/>
  <c r="B25" i="29"/>
  <c r="F24" i="6" s="1"/>
  <c r="B24" i="28"/>
  <c r="B23" i="6" s="1"/>
  <c r="B26" i="29"/>
  <c r="F25" i="6" s="1"/>
  <c r="B42" i="37" l="1"/>
  <c r="B19" i="37"/>
  <c r="D96" i="20"/>
  <c r="H32" i="3" s="1"/>
  <c r="B59" i="22"/>
  <c r="L37" i="2" s="1"/>
  <c r="D66" i="21" l="1"/>
  <c r="D64" i="21"/>
  <c r="D35" i="20"/>
  <c r="D54" i="20"/>
  <c r="D73" i="18"/>
  <c r="D73" i="21"/>
  <c r="D46" i="21"/>
  <c r="D72" i="18"/>
  <c r="D74" i="21"/>
  <c r="D103" i="20"/>
  <c r="H39" i="3" s="1"/>
  <c r="D57" i="20"/>
  <c r="E28" i="25"/>
  <c r="D117" i="18"/>
  <c r="D36" i="2" s="1"/>
  <c r="D91" i="18"/>
  <c r="B53" i="22"/>
  <c r="L19" i="2" s="1"/>
  <c r="D53" i="18"/>
  <c r="D55" i="15" s="1"/>
  <c r="E55" i="24"/>
  <c r="D111" i="18"/>
  <c r="D30" i="2" s="1"/>
  <c r="D70" i="18"/>
  <c r="D45" i="18"/>
  <c r="D46" i="15" s="1"/>
  <c r="B48" i="22"/>
  <c r="D75" i="18"/>
  <c r="B61" i="22"/>
  <c r="L40" i="2" s="1"/>
  <c r="E57" i="24"/>
  <c r="E15" i="44"/>
  <c r="E18" i="24" l="1"/>
  <c r="I15" i="44"/>
  <c r="I18" i="44"/>
  <c r="E18" i="44"/>
  <c r="E43" i="24" l="1"/>
  <c r="E64" i="25"/>
  <c r="B36" i="27"/>
  <c r="F35" i="5" s="1"/>
  <c r="E41" i="25"/>
  <c r="E57" i="25"/>
  <c r="E29" i="25"/>
  <c r="B26" i="27"/>
  <c r="F27" i="5" s="1"/>
  <c r="G21" i="39"/>
  <c r="D113" i="18" l="1"/>
  <c r="D32" i="2" s="1"/>
  <c r="D31" i="21"/>
  <c r="D32" i="18"/>
  <c r="E20" i="24"/>
  <c r="D71" i="18"/>
  <c r="D91" i="20"/>
  <c r="H27" i="3" s="1"/>
  <c r="E58" i="25"/>
  <c r="B21" i="37"/>
  <c r="D88" i="18"/>
  <c r="D80" i="20"/>
  <c r="E50" i="24"/>
  <c r="D20" i="18"/>
  <c r="D18" i="15" s="1"/>
  <c r="E74" i="24"/>
  <c r="B23" i="22"/>
  <c r="L45" i="15" s="1"/>
  <c r="E76" i="24"/>
  <c r="D32" i="21"/>
  <c r="Z22" i="43"/>
  <c r="Z31" i="43"/>
  <c r="Z28" i="43"/>
  <c r="D32" i="15" l="1"/>
  <c r="D18" i="18"/>
  <c r="D16" i="15" s="1"/>
  <c r="B70" i="22"/>
  <c r="L50" i="2" s="1"/>
  <c r="E44" i="25"/>
  <c r="E73" i="25"/>
  <c r="D107" i="18"/>
  <c r="D26" i="2" s="1"/>
  <c r="D49" i="18" l="1"/>
  <c r="D51" i="15" s="1"/>
  <c r="B20" i="22"/>
  <c r="L28" i="15" s="1"/>
  <c r="D68" i="18"/>
  <c r="D87" i="18"/>
  <c r="E42" i="24" l="1"/>
  <c r="D60" i="20"/>
  <c r="D64" i="18"/>
  <c r="D67" i="21"/>
  <c r="D94" i="20"/>
  <c r="H30" i="3" s="1"/>
  <c r="AL41" i="25" l="1"/>
  <c r="D133" i="18"/>
  <c r="D132" i="18"/>
  <c r="D22" i="18"/>
  <c r="D20" i="15" s="1"/>
  <c r="D78" i="18"/>
  <c r="D21" i="18"/>
  <c r="D19" i="15" s="1"/>
  <c r="AH115" i="19"/>
  <c r="D20" i="20"/>
  <c r="D23" i="20"/>
  <c r="B27" i="22"/>
  <c r="L55" i="15" s="1"/>
  <c r="D61" i="18"/>
  <c r="B42" i="22" l="1"/>
  <c r="D112" i="20"/>
  <c r="H49" i="3" s="1"/>
  <c r="C26" i="26"/>
  <c r="B25" i="5" s="1"/>
  <c r="D90" i="18"/>
  <c r="D113" i="20"/>
  <c r="H50" i="3" s="1"/>
  <c r="D83" i="20"/>
  <c r="H20" i="3" s="1"/>
  <c r="B17" i="28"/>
  <c r="B18" i="6" s="1"/>
  <c r="D29" i="18"/>
  <c r="F24" i="2"/>
  <c r="D105" i="18"/>
  <c r="D24" i="2" s="1"/>
  <c r="M196" i="42"/>
  <c r="M197" i="42"/>
  <c r="M198" i="42"/>
  <c r="M199" i="42"/>
  <c r="M200" i="42"/>
  <c r="M201" i="42"/>
  <c r="M202" i="42"/>
  <c r="M203" i="42"/>
  <c r="M204" i="42"/>
  <c r="AK74" i="21" l="1"/>
  <c r="D21" i="21"/>
  <c r="D83" i="18"/>
  <c r="D61" i="20"/>
  <c r="E40" i="24"/>
  <c r="D28" i="15"/>
  <c r="AK43" i="21" l="1"/>
  <c r="AI25" i="29"/>
  <c r="D112" i="18" l="1"/>
  <c r="D31" i="2" s="1"/>
  <c r="D110" i="18"/>
  <c r="D29" i="2" s="1"/>
  <c r="E48" i="24"/>
  <c r="D25" i="18"/>
  <c r="D23" i="15" s="1"/>
  <c r="M20" i="41"/>
  <c r="D98" i="20" l="1"/>
  <c r="H34" i="3" s="1"/>
  <c r="L17" i="43"/>
  <c r="E58" i="24" l="1"/>
  <c r="C17" i="26"/>
  <c r="B18" i="5" s="1"/>
  <c r="D109" i="18"/>
  <c r="D28" i="2" s="1"/>
  <c r="B26" i="28"/>
  <c r="B25" i="6" s="1"/>
  <c r="D31" i="20"/>
  <c r="J29" i="36"/>
  <c r="AD12" i="2" l="1"/>
  <c r="D128" i="18" l="1"/>
  <c r="Z26" i="43"/>
  <c r="E41" i="44" l="1"/>
  <c r="E40" i="44"/>
  <c r="E38" i="44"/>
  <c r="E37" i="44"/>
  <c r="E36" i="44"/>
  <c r="E35" i="44"/>
  <c r="E51" i="44"/>
  <c r="E50" i="44"/>
  <c r="E49" i="44"/>
  <c r="E48" i="44"/>
  <c r="E47" i="44"/>
  <c r="E46" i="44"/>
  <c r="E45" i="44"/>
  <c r="E44" i="44"/>
  <c r="E43" i="44"/>
  <c r="E42" i="44"/>
  <c r="E39" i="44"/>
  <c r="E34" i="44"/>
  <c r="E33" i="44"/>
  <c r="E32" i="44"/>
  <c r="E31" i="44"/>
  <c r="E30" i="44"/>
  <c r="E29" i="44"/>
  <c r="E28" i="44"/>
  <c r="E27" i="44"/>
  <c r="E26" i="44"/>
  <c r="E25" i="44"/>
  <c r="E24" i="44"/>
  <c r="E23" i="44"/>
  <c r="E22" i="44"/>
  <c r="E21" i="44"/>
  <c r="E20" i="44"/>
  <c r="E19" i="44"/>
  <c r="E17" i="44"/>
  <c r="E16" i="44"/>
  <c r="E14" i="44"/>
  <c r="E13" i="44"/>
  <c r="E12" i="44"/>
  <c r="E11" i="44"/>
  <c r="I25" i="45"/>
  <c r="E25" i="45"/>
  <c r="I24" i="45"/>
  <c r="E24" i="45"/>
  <c r="I23" i="45"/>
  <c r="E23" i="45"/>
  <c r="I22" i="45"/>
  <c r="E22" i="45"/>
  <c r="I21" i="45"/>
  <c r="E21" i="45"/>
  <c r="I20" i="45"/>
  <c r="E20" i="45"/>
  <c r="I19" i="45"/>
  <c r="E19" i="45"/>
  <c r="I18" i="45"/>
  <c r="E18" i="45"/>
  <c r="I17" i="45"/>
  <c r="E17" i="45"/>
  <c r="I16" i="45"/>
  <c r="E16" i="45"/>
  <c r="I15" i="45"/>
  <c r="E15" i="45"/>
  <c r="I14" i="45"/>
  <c r="E14" i="45"/>
  <c r="I13" i="45"/>
  <c r="E13" i="45"/>
  <c r="I12" i="45"/>
  <c r="E12" i="45"/>
  <c r="I11" i="45"/>
  <c r="E11" i="45"/>
  <c r="D68" i="21" l="1"/>
  <c r="D114" i="18"/>
  <c r="D33" i="2" s="1"/>
  <c r="D130" i="18"/>
  <c r="E39" i="13"/>
  <c r="E49" i="7" s="1"/>
  <c r="A45" i="10"/>
  <c r="A53" i="9"/>
  <c r="A52" i="8"/>
  <c r="AL51" i="25" l="1"/>
  <c r="D49" i="21"/>
  <c r="E73" i="24"/>
  <c r="D60" i="21"/>
  <c r="E51" i="25"/>
  <c r="D72" i="20"/>
  <c r="D43" i="18"/>
  <c r="D44" i="15" s="1"/>
  <c r="N22" i="35"/>
  <c r="R22" i="35" l="1"/>
  <c r="E59" i="23" l="1"/>
  <c r="D8" i="38" l="1"/>
  <c r="D20" i="19" l="1"/>
  <c r="H28" i="15" s="1"/>
  <c r="D23" i="19"/>
  <c r="H31" i="15" s="1"/>
  <c r="D24" i="19"/>
  <c r="H32" i="15" s="1"/>
  <c r="D31" i="19"/>
  <c r="H41" i="15" s="1"/>
  <c r="D32" i="19"/>
  <c r="H42" i="15" s="1"/>
  <c r="D33" i="19"/>
  <c r="H43" i="15" s="1"/>
  <c r="D35" i="19"/>
  <c r="H46" i="15" s="1"/>
  <c r="Y20" i="41" l="1"/>
  <c r="Y24" i="41" s="1"/>
  <c r="W20" i="41"/>
  <c r="W24" i="41" s="1"/>
  <c r="U20" i="41"/>
  <c r="U24" i="41" s="1"/>
  <c r="S20" i="41"/>
  <c r="S24" i="41" s="1"/>
  <c r="Q20" i="41"/>
  <c r="Q24" i="41" s="1"/>
  <c r="O20" i="41"/>
  <c r="O24" i="41" s="1"/>
  <c r="M24" i="41"/>
  <c r="K20" i="41"/>
  <c r="K24" i="41" s="1"/>
  <c r="I20" i="41"/>
  <c r="I24" i="41" s="1"/>
  <c r="G20" i="41"/>
  <c r="G24" i="41" s="1"/>
  <c r="E20" i="41"/>
  <c r="E24" i="41" s="1"/>
  <c r="AA20" i="41" l="1"/>
  <c r="AA24" i="41" s="1"/>
  <c r="W25" i="14" l="1"/>
  <c r="W20" i="14"/>
  <c r="W22" i="14"/>
  <c r="K32" i="11"/>
  <c r="W20" i="11"/>
  <c r="W21" i="14"/>
  <c r="W22" i="11"/>
  <c r="W21" i="11"/>
  <c r="D65" i="21" l="1"/>
  <c r="E92" i="24"/>
  <c r="D55" i="20"/>
  <c r="G102" i="42"/>
  <c r="H43" i="37" l="1"/>
  <c r="I47" i="44" l="1"/>
  <c r="I46" i="44"/>
  <c r="I44" i="44" l="1"/>
  <c r="K205" i="42" l="1"/>
  <c r="I205" i="42"/>
  <c r="G205" i="42"/>
  <c r="E27" i="12" l="1"/>
  <c r="J43" i="37" l="1"/>
  <c r="I49" i="44"/>
  <c r="G33" i="40"/>
  <c r="G32" i="40"/>
  <c r="G31" i="40"/>
  <c r="G21" i="40"/>
  <c r="I20" i="44" l="1"/>
  <c r="L43" i="37" l="1"/>
  <c r="G20" i="40"/>
  <c r="I54" i="44" l="1"/>
  <c r="E54" i="44"/>
  <c r="I21" i="44"/>
  <c r="I28" i="45"/>
  <c r="E28" i="45"/>
  <c r="A50" i="7" l="1"/>
  <c r="G12" i="34"/>
  <c r="N43" i="37" l="1"/>
  <c r="AB12" i="2"/>
  <c r="K11" i="30"/>
  <c r="C11" i="30" s="1"/>
  <c r="E33" i="12" l="1"/>
  <c r="E37" i="12" s="1"/>
  <c r="Z10" i="43"/>
  <c r="A10" i="1"/>
  <c r="O3" i="4"/>
  <c r="F10" i="36" s="1"/>
  <c r="T15" i="5"/>
  <c r="G45" i="39"/>
  <c r="G43" i="39"/>
  <c r="G42" i="39"/>
  <c r="G38" i="39"/>
  <c r="G36" i="39"/>
  <c r="G35" i="39"/>
  <c r="G28" i="39"/>
  <c r="G27" i="39"/>
  <c r="G26" i="39"/>
  <c r="G16" i="39"/>
  <c r="G17" i="39"/>
  <c r="G18" i="39"/>
  <c r="G19" i="39"/>
  <c r="G20" i="39"/>
  <c r="G22" i="39"/>
  <c r="G15" i="39"/>
  <c r="G42" i="40"/>
  <c r="G41" i="40"/>
  <c r="G39" i="40"/>
  <c r="G38" i="40"/>
  <c r="G29" i="40"/>
  <c r="G28" i="40"/>
  <c r="G19" i="40"/>
  <c r="G15" i="40"/>
  <c r="Z23" i="43"/>
  <c r="J40" i="43"/>
  <c r="J36" i="43"/>
  <c r="J17" i="43"/>
  <c r="C7" i="44" l="1"/>
  <c r="E9" i="44" s="1"/>
  <c r="A8" i="30"/>
  <c r="E12" i="34"/>
  <c r="J42" i="43"/>
  <c r="I12" i="34" l="1"/>
  <c r="C8" i="38"/>
  <c r="AA21" i="22" l="1"/>
  <c r="AB34" i="2"/>
  <c r="AB20" i="2"/>
  <c r="P43" i="37" l="1"/>
  <c r="G216" i="42"/>
  <c r="G210" i="42"/>
  <c r="G263" i="42"/>
  <c r="G193" i="42"/>
  <c r="AF59" i="23" l="1"/>
  <c r="AI24" i="20" l="1"/>
  <c r="AK24" i="20" s="1"/>
  <c r="C7" i="45" l="1"/>
  <c r="G7" i="44"/>
  <c r="G7" i="45" s="1"/>
  <c r="Q12" i="34" l="1"/>
  <c r="AE28" i="24" l="1"/>
  <c r="AB26" i="22"/>
  <c r="AB14" i="16" l="1"/>
  <c r="B6" i="35"/>
  <c r="A6" i="16"/>
  <c r="A5" i="44" s="1"/>
  <c r="A6" i="41" l="1"/>
  <c r="A6" i="43"/>
  <c r="L115" i="20"/>
  <c r="C13" i="16"/>
  <c r="A6" i="34"/>
  <c r="A7" i="30"/>
  <c r="N13" i="35"/>
  <c r="N12" i="35"/>
  <c r="AD9" i="19"/>
  <c r="Z10" i="29"/>
  <c r="Z10" i="28"/>
  <c r="Z10" i="27"/>
  <c r="AA10" i="26"/>
  <c r="AC9" i="25"/>
  <c r="AC9" i="24"/>
  <c r="AE9" i="23"/>
  <c r="Z9" i="22"/>
  <c r="AB9" i="18"/>
  <c r="AB12" i="17"/>
  <c r="A5" i="14"/>
  <c r="A5" i="13"/>
  <c r="A5" i="12"/>
  <c r="A5" i="11"/>
  <c r="A5" i="10"/>
  <c r="AI101" i="20" l="1"/>
  <c r="AK101" i="20" s="1"/>
  <c r="M26" i="23"/>
  <c r="M21" i="23"/>
  <c r="M29" i="23"/>
  <c r="C12" i="34"/>
  <c r="C10" i="41"/>
  <c r="U13" i="16"/>
  <c r="U10" i="41" s="1"/>
  <c r="A5" i="9"/>
  <c r="A5" i="8"/>
  <c r="K26" i="17" l="1"/>
  <c r="K26" i="16"/>
  <c r="K30" i="16" s="1"/>
  <c r="M31" i="23"/>
  <c r="Q27" i="14"/>
  <c r="AI32" i="20" l="1"/>
  <c r="AK32" i="20" s="1"/>
  <c r="E31" i="9"/>
  <c r="AB9" i="20"/>
  <c r="AB9" i="21"/>
  <c r="O26" i="23" l="1"/>
  <c r="O21" i="23"/>
  <c r="N23" i="18"/>
  <c r="O29" i="23"/>
  <c r="N115" i="20"/>
  <c r="AE14" i="16"/>
  <c r="P13" i="35" s="1"/>
  <c r="N37" i="2"/>
  <c r="O205" i="42" l="1"/>
  <c r="M26" i="16"/>
  <c r="M30" i="16" s="1"/>
  <c r="M26" i="17"/>
  <c r="O31" i="23"/>
  <c r="F32" i="2"/>
  <c r="M205" i="42" l="1"/>
  <c r="H17" i="43" l="1"/>
  <c r="J115" i="20" l="1"/>
  <c r="S31" i="11" l="1"/>
  <c r="W31" i="11" s="1"/>
  <c r="I14" i="44" l="1"/>
  <c r="N19" i="2" l="1"/>
  <c r="N40" i="2"/>
  <c r="S24" i="14"/>
  <c r="AI74" i="21"/>
  <c r="W24" i="14" l="1"/>
  <c r="H35" i="5"/>
  <c r="C39" i="13" l="1"/>
  <c r="I50" i="44" l="1"/>
  <c r="N15" i="2" l="1"/>
  <c r="S24" i="11"/>
  <c r="W24" i="11" s="1"/>
  <c r="AD51" i="18"/>
  <c r="F36" i="2" l="1"/>
  <c r="F18" i="15" l="1"/>
  <c r="N50" i="2" l="1"/>
  <c r="E18" i="23"/>
  <c r="J23" i="18"/>
  <c r="L23" i="18"/>
  <c r="AF18" i="23" l="1"/>
  <c r="P29" i="15"/>
  <c r="AI93" i="20"/>
  <c r="AK93" i="20" s="1"/>
  <c r="G34" i="40" l="1"/>
  <c r="G43" i="40" l="1"/>
  <c r="Z34" i="43" l="1"/>
  <c r="H26" i="45" l="1"/>
  <c r="G26" i="45"/>
  <c r="G30" i="45" l="1"/>
  <c r="H30" i="45"/>
  <c r="R43" i="37" l="1"/>
  <c r="D26" i="45"/>
  <c r="D30" i="45" l="1"/>
  <c r="AI31" i="20"/>
  <c r="AK31" i="20" s="1"/>
  <c r="E26" i="45"/>
  <c r="Q29" i="23" l="1"/>
  <c r="P23" i="18"/>
  <c r="Q21" i="23"/>
  <c r="P115" i="20"/>
  <c r="O26" i="16"/>
  <c r="O26" i="17"/>
  <c r="Q26" i="23"/>
  <c r="E30" i="45"/>
  <c r="I26" i="45"/>
  <c r="G24" i="11"/>
  <c r="K24" i="11" l="1"/>
  <c r="O30" i="16"/>
  <c r="Q31" i="23"/>
  <c r="I30" i="45"/>
  <c r="Q35" i="11" l="1"/>
  <c r="Z30" i="43" l="1"/>
  <c r="Z29" i="43"/>
  <c r="G12" i="39" l="1"/>
  <c r="Z20" i="43" l="1"/>
  <c r="A43" i="13" l="1"/>
  <c r="A43" i="12"/>
  <c r="A45" i="11"/>
  <c r="A43" i="14"/>
  <c r="I51" i="44" l="1"/>
  <c r="I45" i="44"/>
  <c r="I43" i="44"/>
  <c r="I42" i="44"/>
  <c r="I41" i="44"/>
  <c r="I40" i="44"/>
  <c r="I39" i="44"/>
  <c r="I38" i="44"/>
  <c r="I37" i="44"/>
  <c r="I36" i="44"/>
  <c r="I35" i="44"/>
  <c r="I34" i="44"/>
  <c r="I33" i="44"/>
  <c r="I32" i="44"/>
  <c r="I31" i="44"/>
  <c r="I30" i="44"/>
  <c r="I29" i="44"/>
  <c r="I28" i="44"/>
  <c r="I27" i="44"/>
  <c r="I26" i="44"/>
  <c r="I25" i="44"/>
  <c r="I24" i="44"/>
  <c r="I23" i="44"/>
  <c r="I22" i="44"/>
  <c r="I19" i="44"/>
  <c r="I17" i="44"/>
  <c r="I16" i="44"/>
  <c r="I13" i="44"/>
  <c r="I12" i="44"/>
  <c r="I11" i="44"/>
  <c r="H29" i="36"/>
  <c r="H21" i="36"/>
  <c r="J21" i="36" s="1"/>
  <c r="E52" i="44" l="1"/>
  <c r="D52" i="44"/>
  <c r="D43" i="40"/>
  <c r="D35" i="40"/>
  <c r="D22" i="40"/>
  <c r="D16" i="40"/>
  <c r="D46" i="39"/>
  <c r="D39" i="39"/>
  <c r="D29" i="39"/>
  <c r="D23" i="39"/>
  <c r="D56" i="44" l="1"/>
  <c r="E56" i="44"/>
  <c r="D31" i="39"/>
  <c r="D49" i="39" s="1"/>
  <c r="D51" i="39" s="1"/>
  <c r="D24" i="40"/>
  <c r="D46" i="40" s="1"/>
  <c r="D48" i="40" s="1"/>
  <c r="O21" i="26" l="1"/>
  <c r="M21" i="26"/>
  <c r="K21" i="26"/>
  <c r="M29" i="24"/>
  <c r="O29" i="24"/>
  <c r="Q29" i="24"/>
  <c r="N19" i="29" l="1"/>
  <c r="L19" i="29"/>
  <c r="J19" i="29"/>
  <c r="N19" i="28"/>
  <c r="L19" i="28"/>
  <c r="X24" i="22"/>
  <c r="X21" i="22"/>
  <c r="V24" i="22"/>
  <c r="V21" i="22"/>
  <c r="T24" i="22"/>
  <c r="T21" i="22"/>
  <c r="R24" i="22"/>
  <c r="R21" i="22"/>
  <c r="P21" i="22"/>
  <c r="N24" i="22"/>
  <c r="N21" i="22"/>
  <c r="L24" i="22"/>
  <c r="L21" i="22"/>
  <c r="J24" i="22"/>
  <c r="J21" i="22"/>
  <c r="X19" i="27"/>
  <c r="R19" i="27"/>
  <c r="P19" i="27"/>
  <c r="N19" i="27"/>
  <c r="L19" i="27"/>
  <c r="J19" i="27"/>
  <c r="H19" i="27"/>
  <c r="G32" i="12" l="1"/>
  <c r="G25" i="12"/>
  <c r="G32" i="14"/>
  <c r="G30" i="12"/>
  <c r="G31" i="12"/>
  <c r="I21" i="26"/>
  <c r="H21" i="22"/>
  <c r="K29" i="24"/>
  <c r="H24" i="22"/>
  <c r="M26" i="24"/>
  <c r="N28" i="29"/>
  <c r="N32" i="29" s="1"/>
  <c r="J28" i="28"/>
  <c r="N28" i="28"/>
  <c r="N32" i="28" s="1"/>
  <c r="L28" i="29"/>
  <c r="L32" i="29" s="1"/>
  <c r="V63" i="22"/>
  <c r="O21" i="24"/>
  <c r="X28" i="22"/>
  <c r="L72" i="22"/>
  <c r="P72" i="22"/>
  <c r="H28" i="28"/>
  <c r="J28" i="29"/>
  <c r="J32" i="29" s="1"/>
  <c r="L28" i="28"/>
  <c r="L32" i="28" s="1"/>
  <c r="H28" i="29"/>
  <c r="J72" i="22"/>
  <c r="N72" i="22"/>
  <c r="H28" i="22"/>
  <c r="J28" i="22"/>
  <c r="N28" i="22"/>
  <c r="K26" i="24"/>
  <c r="V28" i="22"/>
  <c r="Q26" i="24"/>
  <c r="AA21" i="24"/>
  <c r="M21" i="24"/>
  <c r="K21" i="24"/>
  <c r="O26" i="24"/>
  <c r="Q21" i="24"/>
  <c r="R72" i="22"/>
  <c r="X63" i="22"/>
  <c r="T63" i="22"/>
  <c r="J63" i="22"/>
  <c r="L28" i="22"/>
  <c r="L63" i="22"/>
  <c r="N63" i="22"/>
  <c r="P63" i="22"/>
  <c r="R63" i="22"/>
  <c r="N28" i="27"/>
  <c r="N32" i="27" s="1"/>
  <c r="L28" i="27"/>
  <c r="L32" i="27" s="1"/>
  <c r="J28" i="27"/>
  <c r="J32" i="27" s="1"/>
  <c r="H28" i="27"/>
  <c r="H32" i="27" s="1"/>
  <c r="K31" i="12" l="1"/>
  <c r="K30" i="12"/>
  <c r="K32" i="14"/>
  <c r="K25" i="12"/>
  <c r="K32" i="12"/>
  <c r="S31" i="14"/>
  <c r="N30" i="22"/>
  <c r="L30" i="22"/>
  <c r="J30" i="22"/>
  <c r="H63" i="22"/>
  <c r="H72" i="22"/>
  <c r="H30" i="22"/>
  <c r="M31" i="24"/>
  <c r="Q31" i="24"/>
  <c r="O31" i="24"/>
  <c r="K31" i="24"/>
  <c r="AD19" i="27"/>
  <c r="F19" i="27"/>
  <c r="D19" i="27"/>
  <c r="I29" i="24"/>
  <c r="G29" i="24"/>
  <c r="G21" i="12"/>
  <c r="F63" i="22"/>
  <c r="F24" i="22"/>
  <c r="F21" i="22"/>
  <c r="D24" i="22"/>
  <c r="D21" i="22"/>
  <c r="K21" i="12" l="1"/>
  <c r="W31" i="14"/>
  <c r="E48" i="8"/>
  <c r="E26" i="11"/>
  <c r="E21" i="26"/>
  <c r="G33" i="12"/>
  <c r="F28" i="28"/>
  <c r="D63" i="22"/>
  <c r="AA63" i="22"/>
  <c r="F28" i="27"/>
  <c r="F32" i="27" s="1"/>
  <c r="D28" i="28"/>
  <c r="E27" i="14"/>
  <c r="Q33" i="14"/>
  <c r="E35" i="11"/>
  <c r="Q26" i="11"/>
  <c r="E33" i="14"/>
  <c r="I21" i="24"/>
  <c r="D28" i="27"/>
  <c r="D32" i="27" s="1"/>
  <c r="G21" i="26"/>
  <c r="D28" i="22"/>
  <c r="G21" i="24"/>
  <c r="F28" i="22"/>
  <c r="F30" i="22" l="1"/>
  <c r="E37" i="14"/>
  <c r="Q37" i="14"/>
  <c r="Q40" i="14" s="1"/>
  <c r="D30" i="22"/>
  <c r="K33" i="12"/>
  <c r="Q39" i="11"/>
  <c r="E39" i="11"/>
  <c r="C48" i="8" l="1"/>
  <c r="A51" i="8" l="1"/>
  <c r="AE12" i="26" l="1"/>
  <c r="V12" i="2"/>
  <c r="X12" i="2"/>
  <c r="T9" i="37" l="1"/>
  <c r="AI20" i="20" l="1"/>
  <c r="AK20" i="20" s="1"/>
  <c r="B15" i="6"/>
  <c r="F15" i="6" l="1"/>
  <c r="L15" i="6" s="1"/>
  <c r="Q19" i="29"/>
  <c r="E9" i="45" l="1"/>
  <c r="T19" i="27" l="1"/>
  <c r="T72" i="22"/>
  <c r="T28" i="27"/>
  <c r="D72" i="22"/>
  <c r="F56" i="44"/>
  <c r="T32" i="27" l="1"/>
  <c r="U21" i="26"/>
  <c r="T43" i="37"/>
  <c r="T28" i="28"/>
  <c r="I21" i="23"/>
  <c r="X40" i="43" l="1"/>
  <c r="V40" i="43"/>
  <c r="T40" i="43"/>
  <c r="R40" i="43"/>
  <c r="P40" i="43"/>
  <c r="N40" i="43"/>
  <c r="L40" i="43"/>
  <c r="H40" i="43"/>
  <c r="F40" i="43"/>
  <c r="D40" i="43"/>
  <c r="B40" i="43"/>
  <c r="X36" i="43"/>
  <c r="V36" i="43"/>
  <c r="T36" i="43"/>
  <c r="R36" i="43"/>
  <c r="P36" i="43"/>
  <c r="N36" i="43"/>
  <c r="L36" i="43"/>
  <c r="H36" i="43"/>
  <c r="F36" i="43"/>
  <c r="X17" i="43"/>
  <c r="V17" i="43"/>
  <c r="T17" i="43"/>
  <c r="R17" i="43"/>
  <c r="P17" i="43"/>
  <c r="N17" i="43"/>
  <c r="F17" i="43"/>
  <c r="D17" i="43"/>
  <c r="X42" i="43" l="1"/>
  <c r="N42" i="43"/>
  <c r="P42" i="43"/>
  <c r="L42" i="43"/>
  <c r="R42" i="43"/>
  <c r="T42" i="43"/>
  <c r="F42" i="43"/>
  <c r="V42" i="43"/>
  <c r="H42" i="43"/>
  <c r="G12" i="40" l="1"/>
  <c r="H52" i="44"/>
  <c r="H56" i="44" l="1"/>
  <c r="C52" i="44"/>
  <c r="C56" i="44" l="1"/>
  <c r="C26" i="45"/>
  <c r="C30" i="45" s="1"/>
  <c r="I29" i="23" l="1"/>
  <c r="AA24" i="22" l="1"/>
  <c r="G22" i="12" s="1"/>
  <c r="G31" i="14"/>
  <c r="Z16" i="43"/>
  <c r="Z15" i="43"/>
  <c r="Z12" i="43"/>
  <c r="Z17" i="43" l="1"/>
  <c r="K31" i="14"/>
  <c r="K22" i="12"/>
  <c r="N16" i="2"/>
  <c r="P24" i="22"/>
  <c r="AA19" i="27" l="1"/>
  <c r="H18" i="5"/>
  <c r="C48" i="16"/>
  <c r="C48" i="17"/>
  <c r="B24" i="22"/>
  <c r="L16" i="2" s="1"/>
  <c r="V19" i="27" l="1"/>
  <c r="S34" i="11"/>
  <c r="AI33" i="20"/>
  <c r="N45" i="15"/>
  <c r="W34" i="11" l="1"/>
  <c r="AK33" i="20"/>
  <c r="L47" i="15"/>
  <c r="N17" i="3"/>
  <c r="L17" i="3" l="1"/>
  <c r="F45" i="15" l="1"/>
  <c r="X45" i="15" s="1"/>
  <c r="AB48" i="16" l="1"/>
  <c r="AB48" i="17"/>
  <c r="V45" i="15"/>
  <c r="Z21" i="43" l="1"/>
  <c r="Z27" i="43"/>
  <c r="AI82" i="23" l="1"/>
  <c r="AI19" i="23"/>
  <c r="D37" i="3"/>
  <c r="H27" i="5"/>
  <c r="D33" i="3"/>
  <c r="Z33" i="43" l="1"/>
  <c r="P28" i="22" l="1"/>
  <c r="R115" i="20"/>
  <c r="P19" i="28"/>
  <c r="P28" i="29"/>
  <c r="P19" i="29"/>
  <c r="P28" i="28"/>
  <c r="R23" i="18" l="1"/>
  <c r="P28" i="27"/>
  <c r="P32" i="27" s="1"/>
  <c r="Q21" i="26"/>
  <c r="S26" i="24"/>
  <c r="S29" i="24"/>
  <c r="P32" i="28"/>
  <c r="P32" i="29"/>
  <c r="P30" i="22"/>
  <c r="D15" i="6"/>
  <c r="D14" i="6"/>
  <c r="D15" i="5"/>
  <c r="D14" i="5"/>
  <c r="AD21" i="22" l="1"/>
  <c r="AH23" i="19"/>
  <c r="AI23" i="20"/>
  <c r="AK23" i="20" s="1"/>
  <c r="S29" i="23"/>
  <c r="F13" i="15"/>
  <c r="X13" i="15" s="1"/>
  <c r="F12" i="15"/>
  <c r="Z39" i="43" l="1"/>
  <c r="C71" i="34" l="1"/>
  <c r="Z35" i="43" l="1"/>
  <c r="Z25" i="43"/>
  <c r="Z24" i="43"/>
  <c r="W10" i="41" l="1"/>
  <c r="Y10" i="41" s="1"/>
  <c r="I10" i="41"/>
  <c r="O10" i="41" s="1"/>
  <c r="G10" i="41"/>
  <c r="M10" i="41" s="1"/>
  <c r="S10" i="41" s="1"/>
  <c r="E10" i="41"/>
  <c r="K10" i="41" s="1"/>
  <c r="Q10" i="41" s="1"/>
  <c r="B5" i="36"/>
  <c r="A7" i="31" l="1"/>
  <c r="A7" i="32" s="1"/>
  <c r="A6" i="33" s="1"/>
  <c r="AH20" i="19" l="1"/>
  <c r="AG21" i="22"/>
  <c r="AI25" i="23"/>
  <c r="R28" i="28" l="1"/>
  <c r="H26" i="5" l="1"/>
  <c r="R28" i="27" l="1"/>
  <c r="R32" i="27" s="1"/>
  <c r="S21" i="26"/>
  <c r="C49" i="7" l="1"/>
  <c r="B17" i="43"/>
  <c r="F28" i="2" l="1"/>
  <c r="D29" i="3"/>
  <c r="D31" i="3"/>
  <c r="F30" i="2"/>
  <c r="D25" i="3" l="1"/>
  <c r="AI94" i="20" l="1"/>
  <c r="AK94" i="20" s="1"/>
  <c r="S30" i="11"/>
  <c r="B6" i="24"/>
  <c r="W30" i="11" l="1"/>
  <c r="J56" i="15"/>
  <c r="H56" i="15"/>
  <c r="G22" i="40" l="1"/>
  <c r="R21" i="15" l="1"/>
  <c r="P21" i="15"/>
  <c r="N21" i="15"/>
  <c r="L21" i="15"/>
  <c r="J21" i="15"/>
  <c r="H21" i="15"/>
  <c r="W21" i="26" l="1"/>
  <c r="V28" i="27"/>
  <c r="V32" i="27" s="1"/>
  <c r="D55" i="19"/>
  <c r="C57" i="16"/>
  <c r="D75" i="19"/>
  <c r="D103" i="19"/>
  <c r="H38" i="2" s="1"/>
  <c r="D102" i="19"/>
  <c r="H37" i="2" s="1"/>
  <c r="B28" i="22"/>
  <c r="L17" i="2" s="1"/>
  <c r="D83" i="19"/>
  <c r="H19" i="2" s="1"/>
  <c r="AI72" i="20" l="1"/>
  <c r="AK72" i="20" s="1"/>
  <c r="V43" i="37"/>
  <c r="V72" i="22"/>
  <c r="V30" i="22"/>
  <c r="V28" i="28"/>
  <c r="AE33" i="19"/>
  <c r="AE20" i="19"/>
  <c r="J28" i="15" s="1"/>
  <c r="AE24" i="19"/>
  <c r="D98" i="19"/>
  <c r="H33" i="2" s="1"/>
  <c r="D93" i="19"/>
  <c r="C57" i="17"/>
  <c r="D115" i="19"/>
  <c r="H50" i="2" s="1"/>
  <c r="D101" i="19"/>
  <c r="H36" i="2" s="1"/>
  <c r="K12" i="34"/>
  <c r="K11" i="34"/>
  <c r="L12" i="32"/>
  <c r="J13" i="33" s="1"/>
  <c r="D12" i="32"/>
  <c r="K14" i="31"/>
  <c r="C14" i="31"/>
  <c r="A8" i="31"/>
  <c r="A8" i="32" s="1"/>
  <c r="A7" i="33" s="1"/>
  <c r="C117" i="16" l="1"/>
  <c r="AB117" i="16" s="1"/>
  <c r="H28" i="2"/>
  <c r="S11" i="34"/>
  <c r="Z9" i="37"/>
  <c r="M12" i="34"/>
  <c r="S12" i="34" s="1"/>
  <c r="Z10" i="37"/>
  <c r="D13" i="33"/>
  <c r="A40" i="14" l="1"/>
  <c r="A6" i="14"/>
  <c r="A6" i="13"/>
  <c r="A40" i="13"/>
  <c r="A40" i="12"/>
  <c r="A6" i="12"/>
  <c r="A6" i="11"/>
  <c r="A42" i="11"/>
  <c r="A42" i="10"/>
  <c r="A6" i="10"/>
  <c r="A50" i="9"/>
  <c r="A49" i="8"/>
  <c r="A6" i="9"/>
  <c r="A6" i="8"/>
  <c r="AD11" i="2" l="1"/>
  <c r="X11" i="2"/>
  <c r="N11" i="2"/>
  <c r="J11" i="2"/>
  <c r="R11" i="2" s="1"/>
  <c r="N15" i="6"/>
  <c r="P12" i="2"/>
  <c r="N12" i="2"/>
  <c r="L12" i="2"/>
  <c r="J12" i="2"/>
  <c r="H12" i="2"/>
  <c r="G31" i="11" l="1"/>
  <c r="R12" i="2"/>
  <c r="N15" i="5"/>
  <c r="K31" i="11" l="1"/>
  <c r="Q26" i="16"/>
  <c r="R19" i="28" l="1"/>
  <c r="R32" i="28" s="1"/>
  <c r="T115" i="20"/>
  <c r="R28" i="22"/>
  <c r="R19" i="29"/>
  <c r="U26" i="23"/>
  <c r="U26" i="24" l="1"/>
  <c r="S26" i="17"/>
  <c r="T23" i="18"/>
  <c r="S26" i="16"/>
  <c r="U21" i="24"/>
  <c r="U29" i="24"/>
  <c r="R28" i="29"/>
  <c r="R32" i="29" s="1"/>
  <c r="R30" i="22"/>
  <c r="U31" i="24" l="1"/>
  <c r="U29" i="23"/>
  <c r="AJ18" i="24" l="1"/>
  <c r="AL18" i="24" s="1"/>
  <c r="AI18" i="23"/>
  <c r="AI55" i="20"/>
  <c r="AK55" i="20" s="1"/>
  <c r="AA28" i="27" l="1"/>
  <c r="AA32" i="27" s="1"/>
  <c r="C126" i="17"/>
  <c r="G16" i="40"/>
  <c r="X28" i="27" l="1"/>
  <c r="X32" i="27" s="1"/>
  <c r="G24" i="40"/>
  <c r="A42" i="12" l="1"/>
  <c r="C20" i="41" l="1"/>
  <c r="C24" i="41" s="1"/>
  <c r="Q26" i="17" l="1"/>
  <c r="A52" i="9"/>
  <c r="F33" i="15" l="1"/>
  <c r="A42" i="14"/>
  <c r="A42" i="13"/>
  <c r="A44" i="11"/>
  <c r="A44" i="10"/>
  <c r="C24" i="16" l="1"/>
  <c r="C24" i="17"/>
  <c r="AB24" i="17" s="1"/>
  <c r="F37" i="2" l="1"/>
  <c r="D38" i="3"/>
  <c r="G35" i="9"/>
  <c r="K35" i="9" l="1"/>
  <c r="AA21" i="23"/>
  <c r="B36" i="43" l="1"/>
  <c r="C23" i="16" l="1"/>
  <c r="C54" i="17"/>
  <c r="C35" i="17"/>
  <c r="C120" i="17"/>
  <c r="C129" i="17"/>
  <c r="L38" i="15"/>
  <c r="C104" i="17"/>
  <c r="C54" i="16"/>
  <c r="C117" i="17"/>
  <c r="C23" i="17"/>
  <c r="AB23" i="17" s="1"/>
  <c r="C45" i="17" l="1"/>
  <c r="C79" i="17"/>
  <c r="C129" i="16"/>
  <c r="C32" i="17"/>
  <c r="C53" i="17"/>
  <c r="C53" i="16"/>
  <c r="C125" i="17"/>
  <c r="C118" i="17"/>
  <c r="AA28" i="22" l="1"/>
  <c r="L56" i="15"/>
  <c r="N55" i="15"/>
  <c r="AB81" i="19"/>
  <c r="AB36" i="19"/>
  <c r="AB29" i="19"/>
  <c r="N17" i="2" l="1"/>
  <c r="G23" i="12"/>
  <c r="T28" i="22"/>
  <c r="AB38" i="19"/>
  <c r="AB85" i="19" s="1"/>
  <c r="K23" i="12" l="1"/>
  <c r="T30" i="22"/>
  <c r="I26" i="17" l="1"/>
  <c r="I26" i="16"/>
  <c r="AI80" i="20" l="1"/>
  <c r="AK80" i="20" s="1"/>
  <c r="G34" i="11" l="1"/>
  <c r="K34" i="11" s="1"/>
  <c r="G21" i="23"/>
  <c r="L34" i="2"/>
  <c r="W21" i="23" l="1"/>
  <c r="W26" i="24"/>
  <c r="T19" i="29"/>
  <c r="V115" i="20"/>
  <c r="W21" i="24"/>
  <c r="G29" i="23"/>
  <c r="W29" i="24" l="1"/>
  <c r="W31" i="24" s="1"/>
  <c r="V23" i="18"/>
  <c r="V27" i="18" s="1"/>
  <c r="T28" i="29"/>
  <c r="T32" i="29" s="1"/>
  <c r="T19" i="28"/>
  <c r="T32" i="28" s="1"/>
  <c r="W26" i="23"/>
  <c r="W29" i="23"/>
  <c r="U26" i="17" l="1"/>
  <c r="U26" i="16"/>
  <c r="U30" i="16" s="1"/>
  <c r="W31" i="23"/>
  <c r="G23" i="39"/>
  <c r="G46" i="39"/>
  <c r="G39" i="39"/>
  <c r="G29" i="39"/>
  <c r="G31" i="39" l="1"/>
  <c r="G49" i="39" l="1"/>
  <c r="G51" i="39" s="1"/>
  <c r="E69" i="23" l="1"/>
  <c r="P25" i="2" s="1"/>
  <c r="AE35" i="17"/>
  <c r="T23" i="6"/>
  <c r="E20" i="23"/>
  <c r="P35" i="15" s="1"/>
  <c r="E75" i="23"/>
  <c r="P32" i="2" s="1"/>
  <c r="E24" i="23"/>
  <c r="I25" i="10"/>
  <c r="E25" i="23"/>
  <c r="P46" i="15" s="1"/>
  <c r="E19" i="23"/>
  <c r="E79" i="23"/>
  <c r="P36" i="2" s="1"/>
  <c r="AC77" i="23"/>
  <c r="AC84" i="23" s="1"/>
  <c r="AC60" i="23"/>
  <c r="AC29" i="23"/>
  <c r="AC26" i="23"/>
  <c r="AC21" i="23"/>
  <c r="AF24" i="23" l="1"/>
  <c r="P42" i="15"/>
  <c r="AF19" i="23"/>
  <c r="P32" i="15"/>
  <c r="AF25" i="23"/>
  <c r="C35" i="16"/>
  <c r="AB35" i="16" s="1"/>
  <c r="C32" i="16"/>
  <c r="AE101" i="19"/>
  <c r="C125" i="16"/>
  <c r="C45" i="16"/>
  <c r="AB23" i="16"/>
  <c r="E80" i="23"/>
  <c r="P37" i="2" s="1"/>
  <c r="E82" i="23"/>
  <c r="E81" i="23"/>
  <c r="P38" i="2" s="1"/>
  <c r="E76" i="23"/>
  <c r="P33" i="2" s="1"/>
  <c r="AC31" i="23"/>
  <c r="AC64" i="23" s="1"/>
  <c r="AC87" i="23" s="1"/>
  <c r="AF82" i="23" l="1"/>
  <c r="P41" i="2"/>
  <c r="J36" i="2"/>
  <c r="AF76" i="23"/>
  <c r="C126" i="16"/>
  <c r="R41" i="2" l="1"/>
  <c r="R33" i="2"/>
  <c r="S26" i="23" l="1"/>
  <c r="A6" i="37"/>
  <c r="B9" i="37"/>
  <c r="A5" i="45" l="1"/>
  <c r="A6" i="38"/>
  <c r="A6" i="39" s="1"/>
  <c r="AD21" i="24" l="1"/>
  <c r="B6" i="40"/>
  <c r="G10" i="39"/>
  <c r="G10" i="40" s="1"/>
  <c r="AA10" i="41" s="1"/>
  <c r="T9" i="43"/>
  <c r="B9" i="43"/>
  <c r="AD12" i="29"/>
  <c r="AD12" i="28"/>
  <c r="AD12" i="27"/>
  <c r="AG11" i="25"/>
  <c r="AG11" i="24"/>
  <c r="AI11" i="23"/>
  <c r="AD11" i="22"/>
  <c r="AF11" i="21"/>
  <c r="AF11" i="20"/>
  <c r="AH11" i="19"/>
  <c r="AF11" i="18"/>
  <c r="AE14" i="17"/>
  <c r="AA12" i="29"/>
  <c r="AA12" i="28"/>
  <c r="AA12" i="27"/>
  <c r="AB12" i="26"/>
  <c r="AD11" i="25"/>
  <c r="AD11" i="24"/>
  <c r="AF11" i="23"/>
  <c r="AA11" i="22"/>
  <c r="AC11" i="21"/>
  <c r="AC11" i="20"/>
  <c r="AE11" i="19"/>
  <c r="AC11" i="18"/>
  <c r="AB14" i="17"/>
  <c r="T11" i="29"/>
  <c r="T11" i="28"/>
  <c r="T11" i="27"/>
  <c r="U11" i="26"/>
  <c r="W10" i="25"/>
  <c r="W10" i="24"/>
  <c r="W10" i="23"/>
  <c r="T10" i="22"/>
  <c r="V10" i="21"/>
  <c r="V10" i="20"/>
  <c r="V10" i="19"/>
  <c r="V10" i="18"/>
  <c r="U13" i="17"/>
  <c r="B11" i="29"/>
  <c r="B11" i="28"/>
  <c r="B11" i="27"/>
  <c r="C11" i="26"/>
  <c r="E10" i="25"/>
  <c r="E10" i="24"/>
  <c r="E10" i="23"/>
  <c r="B10" i="22"/>
  <c r="D10" i="21"/>
  <c r="D10" i="20"/>
  <c r="D10" i="19"/>
  <c r="D10" i="18"/>
  <c r="C13" i="17"/>
  <c r="A6" i="29"/>
  <c r="A6" i="28"/>
  <c r="A6" i="27"/>
  <c r="A6" i="26"/>
  <c r="B6" i="25"/>
  <c r="B6" i="23"/>
  <c r="A6" i="22"/>
  <c r="B6" i="21"/>
  <c r="B6" i="20"/>
  <c r="B6" i="19"/>
  <c r="B6" i="18"/>
  <c r="A6" i="17"/>
  <c r="AD13" i="15"/>
  <c r="AB13" i="15"/>
  <c r="D13" i="15"/>
  <c r="T15" i="6"/>
  <c r="R15" i="6"/>
  <c r="R15" i="5"/>
  <c r="B15" i="5"/>
  <c r="X28" i="28" l="1"/>
  <c r="I11" i="42"/>
  <c r="G11" i="42"/>
  <c r="G266" i="42" s="1"/>
  <c r="G20" i="14"/>
  <c r="Y21" i="24"/>
  <c r="Y21" i="23"/>
  <c r="AF20" i="23"/>
  <c r="AI24" i="23"/>
  <c r="X43" i="37" l="1"/>
  <c r="X72" i="22"/>
  <c r="X30" i="22"/>
  <c r="Y21" i="26"/>
  <c r="K20" i="14"/>
  <c r="F29" i="5"/>
  <c r="K11" i="42" l="1"/>
  <c r="B25" i="28"/>
  <c r="B24" i="6" s="1"/>
  <c r="B26" i="6" s="1"/>
  <c r="AA28" i="28"/>
  <c r="F29" i="2"/>
  <c r="W41" i="11" l="1"/>
  <c r="D30" i="3"/>
  <c r="AE55" i="19" l="1"/>
  <c r="K39" i="14" l="1"/>
  <c r="AF79" i="23"/>
  <c r="AF69" i="23"/>
  <c r="AF81" i="23"/>
  <c r="AF80" i="23"/>
  <c r="R37" i="2" l="1"/>
  <c r="R38" i="2"/>
  <c r="R25" i="2"/>
  <c r="R36" i="2"/>
  <c r="AB99" i="19"/>
  <c r="B28" i="28" l="1"/>
  <c r="B28" i="27"/>
  <c r="B19" i="27"/>
  <c r="E21" i="24"/>
  <c r="K29" i="23"/>
  <c r="K26" i="23"/>
  <c r="B63" i="22"/>
  <c r="B21" i="22"/>
  <c r="L15" i="2" s="1"/>
  <c r="B32" i="27" l="1"/>
  <c r="K21" i="23"/>
  <c r="K31" i="23" l="1"/>
  <c r="R41" i="15" l="1"/>
  <c r="K139" i="30" l="1"/>
  <c r="U21" i="23" l="1"/>
  <c r="U31" i="23" l="1"/>
  <c r="I30" i="16"/>
  <c r="I42" i="10" l="1"/>
  <c r="I40" i="13"/>
  <c r="AI95" i="20" l="1"/>
  <c r="AK95" i="20" s="1"/>
  <c r="D95" i="20"/>
  <c r="H31" i="3" s="1"/>
  <c r="N28" i="15"/>
  <c r="N38" i="15" s="1"/>
  <c r="D68" i="20" l="1"/>
  <c r="M25" i="34"/>
  <c r="M260" i="42"/>
  <c r="O33" i="14"/>
  <c r="O37" i="14" s="1"/>
  <c r="E45" i="24"/>
  <c r="AL36" i="24"/>
  <c r="D67" i="20"/>
  <c r="M26" i="34"/>
  <c r="K39" i="12"/>
  <c r="D77" i="20"/>
  <c r="K40" i="9"/>
  <c r="G26" i="12"/>
  <c r="K26" i="12" s="1"/>
  <c r="N49" i="2"/>
  <c r="N51" i="2" s="1"/>
  <c r="AA72" i="22"/>
  <c r="B69" i="22"/>
  <c r="L49" i="2" s="1"/>
  <c r="L51" i="2" s="1"/>
  <c r="AL48" i="24"/>
  <c r="M54" i="34"/>
  <c r="F18" i="32"/>
  <c r="K102" i="42"/>
  <c r="M14" i="42"/>
  <c r="F37" i="15"/>
  <c r="X37" i="15" s="1"/>
  <c r="D37" i="18"/>
  <c r="C41" i="16" s="1"/>
  <c r="AJ18" i="25"/>
  <c r="E18" i="25"/>
  <c r="K193" i="42"/>
  <c r="M19" i="34"/>
  <c r="K41" i="9"/>
  <c r="K41" i="11"/>
  <c r="I102" i="42"/>
  <c r="M27" i="34"/>
  <c r="K210" i="42"/>
  <c r="D60" i="18"/>
  <c r="D84" i="18"/>
  <c r="I193" i="42"/>
  <c r="D85" i="18"/>
  <c r="U31" i="11"/>
  <c r="M28" i="34"/>
  <c r="K216" i="42"/>
  <c r="D25" i="20"/>
  <c r="D25" i="19" s="1"/>
  <c r="H33" i="15" s="1"/>
  <c r="D24" i="18"/>
  <c r="D22" i="15" s="1"/>
  <c r="D63" i="18"/>
  <c r="B43" i="22"/>
  <c r="B38" i="37"/>
  <c r="AL18" i="25"/>
  <c r="AI35" i="23"/>
  <c r="AC23" i="18"/>
  <c r="AC27" i="18" s="1"/>
  <c r="D19" i="18"/>
  <c r="D17" i="15" s="1"/>
  <c r="AB51" i="2"/>
  <c r="I263" i="42"/>
  <c r="I266" i="42" s="1"/>
  <c r="G71" i="34"/>
  <c r="B36" i="37"/>
  <c r="Z43" i="37"/>
  <c r="AD19" i="28"/>
  <c r="T18" i="6"/>
  <c r="AE25" i="16"/>
  <c r="K263" i="42"/>
  <c r="I32" i="11"/>
  <c r="B40" i="37"/>
  <c r="I216" i="42"/>
  <c r="AD19" i="29"/>
  <c r="O26" i="11"/>
  <c r="AI78" i="20"/>
  <c r="AK78" i="20" s="1"/>
  <c r="D78" i="20"/>
  <c r="B41" i="37"/>
  <c r="W39" i="14"/>
  <c r="D44" i="20"/>
  <c r="M29" i="34"/>
  <c r="B44" i="5"/>
  <c r="D89" i="20"/>
  <c r="H25" i="3" s="1"/>
  <c r="D90" i="20"/>
  <c r="H26" i="3" s="1"/>
  <c r="AI90" i="20"/>
  <c r="AK90" i="20" s="1"/>
  <c r="O27" i="14"/>
  <c r="M190" i="42"/>
  <c r="B17" i="22"/>
  <c r="B30" i="22" s="1"/>
  <c r="G20" i="12"/>
  <c r="K20" i="12" s="1"/>
  <c r="AA30" i="22"/>
  <c r="N23" i="15"/>
  <c r="N14" i="2"/>
  <c r="C19" i="26"/>
  <c r="C21" i="26" s="1"/>
  <c r="AB21" i="26"/>
  <c r="D22" i="20"/>
  <c r="C34" i="17" s="1"/>
  <c r="D46" i="20"/>
  <c r="D43" i="21"/>
  <c r="D72" i="19" s="1"/>
  <c r="AJ35" i="24"/>
  <c r="AL35" i="24" s="1"/>
  <c r="E35" i="24"/>
  <c r="I210" i="42"/>
  <c r="B15" i="37"/>
  <c r="B18" i="37"/>
  <c r="M20" i="34"/>
  <c r="M86" i="42"/>
  <c r="B28" i="37"/>
  <c r="D45" i="20"/>
  <c r="C68" i="17" s="1"/>
  <c r="AI45" i="20"/>
  <c r="AK45" i="20" s="1"/>
  <c r="E23" i="24"/>
  <c r="K49" i="9"/>
  <c r="D26" i="18"/>
  <c r="C29" i="17" s="1"/>
  <c r="F24" i="15"/>
  <c r="AK133" i="18"/>
  <c r="AK79" i="18"/>
  <c r="M179" i="42"/>
  <c r="AJ20" i="24"/>
  <c r="AL20" i="24" s="1"/>
  <c r="AG21" i="24"/>
  <c r="E28" i="24"/>
  <c r="E29" i="24" s="1"/>
  <c r="B37" i="37"/>
  <c r="O35" i="11"/>
  <c r="D76" i="20"/>
  <c r="U25" i="14"/>
  <c r="E35" i="23"/>
  <c r="AF35" i="23" s="1"/>
  <c r="AL35" i="23" s="1"/>
  <c r="AN35" i="23" s="1"/>
  <c r="C91" i="17"/>
  <c r="E28" i="23"/>
  <c r="P53" i="15" s="1"/>
  <c r="O39" i="11"/>
  <c r="C67" i="17"/>
  <c r="C31" i="9"/>
  <c r="L14" i="2"/>
  <c r="B72" i="22"/>
  <c r="D37" i="15"/>
  <c r="V37" i="15" s="1"/>
  <c r="C29" i="16"/>
  <c r="C113" i="17"/>
  <c r="C119" i="17"/>
  <c r="D95" i="19"/>
  <c r="H30" i="2" s="1"/>
  <c r="AI77" i="20"/>
  <c r="AK77" i="20" s="1"/>
  <c r="AB57" i="17"/>
  <c r="F55" i="15"/>
  <c r="X55" i="15" s="1"/>
  <c r="K266" i="42" l="1"/>
  <c r="B43" i="37"/>
  <c r="L23" i="15"/>
  <c r="D22" i="19"/>
  <c r="C34" i="16" s="1"/>
  <c r="D89" i="19"/>
  <c r="H24" i="2" s="1"/>
  <c r="C41" i="17"/>
  <c r="AB41" i="17" s="1"/>
  <c r="D24" i="15"/>
  <c r="B20" i="5"/>
  <c r="B21" i="5" s="1"/>
  <c r="E29" i="23"/>
  <c r="P17" i="2" s="1"/>
  <c r="V55" i="15"/>
  <c r="AB57" i="16"/>
  <c r="AE35" i="19"/>
  <c r="AH31" i="19"/>
  <c r="H30" i="15" l="1"/>
  <c r="AE22" i="19"/>
  <c r="AH24" i="19"/>
  <c r="AH95" i="19"/>
  <c r="AI80" i="23"/>
  <c r="AH97" i="19"/>
  <c r="AH72" i="19"/>
  <c r="AH32" i="19"/>
  <c r="AI81" i="23"/>
  <c r="AE35" i="16"/>
  <c r="AH33" i="19"/>
  <c r="AI20" i="23"/>
  <c r="T20" i="5"/>
  <c r="AI79" i="23"/>
  <c r="AI75" i="23"/>
  <c r="AH78" i="19"/>
  <c r="AL20" i="23" l="1"/>
  <c r="AN20" i="23" s="1"/>
  <c r="AD31" i="15"/>
  <c r="AI21" i="23"/>
  <c r="G30" i="11" l="1"/>
  <c r="AI102" i="20"/>
  <c r="AK102" i="20" s="1"/>
  <c r="N53" i="15"/>
  <c r="N56" i="15" s="1"/>
  <c r="K30" i="11" l="1"/>
  <c r="AE102" i="19"/>
  <c r="AB35" i="17"/>
  <c r="AH35" i="17" s="1"/>
  <c r="AJ35" i="17" s="1"/>
  <c r="V31" i="15"/>
  <c r="Y26" i="24" l="1"/>
  <c r="X115" i="20"/>
  <c r="J37" i="2"/>
  <c r="Y29" i="24"/>
  <c r="V28" i="29"/>
  <c r="V19" i="29"/>
  <c r="V19" i="28"/>
  <c r="V32" i="28" s="1"/>
  <c r="AE23" i="19"/>
  <c r="Y29" i="23" l="1"/>
  <c r="Y31" i="24"/>
  <c r="X23" i="18"/>
  <c r="X27" i="18" s="1"/>
  <c r="W26" i="16"/>
  <c r="V32" i="29"/>
  <c r="W26" i="17"/>
  <c r="AK23" i="19"/>
  <c r="AM23" i="19" s="1"/>
  <c r="J31" i="15"/>
  <c r="AH35" i="16"/>
  <c r="AJ35" i="16" s="1"/>
  <c r="AE81" i="17" l="1"/>
  <c r="AH57" i="19"/>
  <c r="AE81" i="16" s="1"/>
  <c r="AI96" i="20"/>
  <c r="AK96" i="20" s="1"/>
  <c r="AH103" i="19"/>
  <c r="AD38" i="2" s="1"/>
  <c r="AI103" i="20"/>
  <c r="AK103" i="20" s="1"/>
  <c r="Y26" i="23"/>
  <c r="W30" i="16"/>
  <c r="AD28" i="22" l="1"/>
  <c r="AG27" i="22"/>
  <c r="AI27" i="22" s="1"/>
  <c r="AH55" i="19"/>
  <c r="I71" i="34"/>
  <c r="T27" i="5"/>
  <c r="AE127" i="16"/>
  <c r="Y31" i="23"/>
  <c r="V13" i="15" l="1"/>
  <c r="R13" i="15"/>
  <c r="P13" i="15"/>
  <c r="N13" i="15"/>
  <c r="L13" i="15"/>
  <c r="J13" i="15"/>
  <c r="H13" i="15"/>
  <c r="AD12" i="15"/>
  <c r="X12" i="15"/>
  <c r="R12" i="15"/>
  <c r="N12" i="15"/>
  <c r="J12" i="15"/>
  <c r="E22" i="8" l="1"/>
  <c r="E32" i="7" l="1"/>
  <c r="V52" i="15"/>
  <c r="V51" i="15"/>
  <c r="N47" i="15"/>
  <c r="V42" i="15"/>
  <c r="V30" i="15"/>
  <c r="V28" i="15"/>
  <c r="V24" i="15"/>
  <c r="R25" i="15"/>
  <c r="P25" i="15"/>
  <c r="N25" i="15"/>
  <c r="N58" i="15" l="1"/>
  <c r="F19" i="15" l="1"/>
  <c r="X24" i="15"/>
  <c r="F28" i="15"/>
  <c r="F30" i="15"/>
  <c r="F42" i="15"/>
  <c r="F44" i="15"/>
  <c r="F51" i="15"/>
  <c r="X51" i="15" s="1"/>
  <c r="F52" i="15"/>
  <c r="X52" i="15" s="1"/>
  <c r="X18" i="15" l="1"/>
  <c r="X19" i="15"/>
  <c r="Z40" i="43" l="1"/>
  <c r="B42" i="43" l="1"/>
  <c r="B44" i="43" s="1"/>
  <c r="F72" i="22" l="1"/>
  <c r="A39" i="13" l="1"/>
  <c r="A41" i="11"/>
  <c r="A41" i="10"/>
  <c r="A49" i="9"/>
  <c r="AE54" i="16" l="1"/>
  <c r="AE53" i="16"/>
  <c r="AD52" i="15" l="1"/>
  <c r="AH52" i="15" s="1"/>
  <c r="AJ52" i="15" s="1"/>
  <c r="AD51" i="15"/>
  <c r="AH51" i="15" s="1"/>
  <c r="AJ51" i="15" s="1"/>
  <c r="AK54" i="21"/>
  <c r="AJ92" i="24"/>
  <c r="AL92" i="24" s="1"/>
  <c r="AI31" i="21"/>
  <c r="AK31" i="21" s="1"/>
  <c r="G31" i="13" l="1"/>
  <c r="L19" i="5" l="1"/>
  <c r="H14" i="5"/>
  <c r="T14" i="5" s="1"/>
  <c r="N14" i="5"/>
  <c r="F15" i="5"/>
  <c r="H15" i="5"/>
  <c r="L15" i="5"/>
  <c r="L20" i="5"/>
  <c r="L27" i="5" l="1"/>
  <c r="L26" i="5"/>
  <c r="L25" i="5"/>
  <c r="AE104" i="17" l="1"/>
  <c r="AE79" i="17"/>
  <c r="AE65" i="17"/>
  <c r="AE45" i="17"/>
  <c r="AE126" i="17"/>
  <c r="AE127" i="17"/>
  <c r="AE125" i="17"/>
  <c r="AE118" i="17"/>
  <c r="AE117" i="17"/>
  <c r="AE29" i="16" l="1"/>
  <c r="AE24" i="16"/>
  <c r="AE23" i="16"/>
  <c r="AD18" i="15" s="1"/>
  <c r="AE54" i="17"/>
  <c r="AE53" i="17"/>
  <c r="AE46" i="17"/>
  <c r="AE44" i="17"/>
  <c r="AE32" i="17"/>
  <c r="AE29" i="17"/>
  <c r="AE25" i="17"/>
  <c r="AE24" i="17"/>
  <c r="AH24" i="17" s="1"/>
  <c r="AE23" i="17"/>
  <c r="AJ24" i="24"/>
  <c r="AL24" i="24" s="1"/>
  <c r="AD24" i="15" l="1"/>
  <c r="AH24" i="15" s="1"/>
  <c r="AJ24" i="15" s="1"/>
  <c r="AH18" i="15"/>
  <c r="AJ18" i="15" s="1"/>
  <c r="AD19" i="15"/>
  <c r="AH19" i="15" s="1"/>
  <c r="AJ19" i="15" s="1"/>
  <c r="AD20" i="15"/>
  <c r="R42" i="15" l="1"/>
  <c r="AG26" i="22"/>
  <c r="AI26" i="22" s="1"/>
  <c r="AG20" i="22"/>
  <c r="AI20" i="22" s="1"/>
  <c r="AJ58" i="24"/>
  <c r="AL58" i="24" s="1"/>
  <c r="AJ42" i="24"/>
  <c r="AL42" i="24" s="1"/>
  <c r="AF75" i="23" l="1"/>
  <c r="R32" i="2" s="1"/>
  <c r="AL25" i="23"/>
  <c r="AN25" i="23" s="1"/>
  <c r="R46" i="15"/>
  <c r="R47" i="15" s="1"/>
  <c r="AL19" i="23"/>
  <c r="AN19" i="23" s="1"/>
  <c r="R32" i="15"/>
  <c r="R35" i="15"/>
  <c r="AB27" i="16"/>
  <c r="AE46" i="16"/>
  <c r="AD43" i="15" s="1"/>
  <c r="AE32" i="16"/>
  <c r="AD28" i="15" s="1"/>
  <c r="AE45" i="16"/>
  <c r="AE31" i="19"/>
  <c r="AE32" i="19"/>
  <c r="AF26" i="23"/>
  <c r="AL24" i="23"/>
  <c r="AN24" i="23" s="1"/>
  <c r="AI50" i="18"/>
  <c r="AK50" i="18" s="1"/>
  <c r="AI49" i="18"/>
  <c r="AK49" i="18" s="1"/>
  <c r="AI43" i="18"/>
  <c r="AK43" i="18" s="1"/>
  <c r="AI41" i="18"/>
  <c r="AK41" i="18" s="1"/>
  <c r="AI31" i="18"/>
  <c r="AK31" i="18" s="1"/>
  <c r="AI29" i="18"/>
  <c r="AK29" i="18" s="1"/>
  <c r="AI21" i="18"/>
  <c r="AK21" i="18" s="1"/>
  <c r="AI20" i="18"/>
  <c r="AK20" i="18" s="1"/>
  <c r="AA13" i="3"/>
  <c r="Y13" i="3"/>
  <c r="F13" i="3"/>
  <c r="F12" i="3"/>
  <c r="D13" i="3"/>
  <c r="AD42" i="15" l="1"/>
  <c r="J46" i="15"/>
  <c r="AK31" i="19"/>
  <c r="AM31" i="19" s="1"/>
  <c r="J41" i="15"/>
  <c r="AK32" i="19"/>
  <c r="AM32" i="19" s="1"/>
  <c r="J42" i="15"/>
  <c r="X42" i="15" s="1"/>
  <c r="AK33" i="19"/>
  <c r="AM33" i="19" s="1"/>
  <c r="J43" i="15"/>
  <c r="AK24" i="19"/>
  <c r="AM24" i="19" s="1"/>
  <c r="J32" i="15"/>
  <c r="J30" i="15"/>
  <c r="X30" i="15" s="1"/>
  <c r="AK20" i="19"/>
  <c r="AM20" i="19" s="1"/>
  <c r="X31" i="15"/>
  <c r="AH31" i="15" s="1"/>
  <c r="AJ31" i="15" s="1"/>
  <c r="AI26" i="18"/>
  <c r="AK26" i="18" s="1"/>
  <c r="AG28" i="22"/>
  <c r="AI21" i="22"/>
  <c r="R16" i="2"/>
  <c r="AA39" i="3"/>
  <c r="AA38" i="3"/>
  <c r="AA37" i="3"/>
  <c r="AA30" i="3"/>
  <c r="AI28" i="22" l="1"/>
  <c r="AB41" i="16"/>
  <c r="AH42" i="15"/>
  <c r="AJ42" i="15" s="1"/>
  <c r="X28" i="15"/>
  <c r="AH28" i="15" s="1"/>
  <c r="AJ28" i="15" s="1"/>
  <c r="J50" i="3" l="1"/>
  <c r="AA29" i="3" l="1"/>
  <c r="AI43" i="21" l="1"/>
  <c r="AI32" i="21"/>
  <c r="AK32" i="21" s="1"/>
  <c r="AI86" i="21" l="1"/>
  <c r="AK86" i="21" s="1"/>
  <c r="J18" i="33" l="1"/>
  <c r="AG25" i="28" l="1"/>
  <c r="AI25" i="28" s="1"/>
  <c r="AG24" i="28"/>
  <c r="AI24" i="28" s="1"/>
  <c r="D26" i="5"/>
  <c r="A39" i="12"/>
  <c r="A48" i="8"/>
  <c r="AH28" i="26" l="1"/>
  <c r="AJ28" i="26" s="1"/>
  <c r="D27" i="5"/>
  <c r="AH27" i="26"/>
  <c r="AJ27" i="26" s="1"/>
  <c r="AH26" i="26"/>
  <c r="AJ26" i="26" s="1"/>
  <c r="D25" i="5"/>
  <c r="AH19" i="26"/>
  <c r="AJ19" i="26" s="1"/>
  <c r="D20" i="5"/>
  <c r="N20" i="5" s="1"/>
  <c r="W20" i="5" s="1"/>
  <c r="Y20" i="5" s="1"/>
  <c r="D19" i="5"/>
  <c r="N19" i="5" s="1"/>
  <c r="D18" i="5"/>
  <c r="AG36" i="27"/>
  <c r="AI36" i="27" s="1"/>
  <c r="AG26" i="27"/>
  <c r="AI26" i="27" s="1"/>
  <c r="N26" i="5"/>
  <c r="H25" i="5"/>
  <c r="AG17" i="27"/>
  <c r="AI17" i="27" s="1"/>
  <c r="N18" i="5" l="1"/>
  <c r="N27" i="5"/>
  <c r="W27" i="5" s="1"/>
  <c r="Y27" i="5" s="1"/>
  <c r="D21" i="5"/>
  <c r="H29" i="5"/>
  <c r="N25" i="5"/>
  <c r="H21" i="5"/>
  <c r="AG19" i="27"/>
  <c r="AI19" i="27" s="1"/>
  <c r="H32" i="5" l="1"/>
  <c r="N21" i="5"/>
  <c r="AG48" i="22" l="1"/>
  <c r="AI48" i="22" s="1"/>
  <c r="AG42" i="22"/>
  <c r="AI42" i="22" s="1"/>
  <c r="AA29" i="24" l="1"/>
  <c r="AD29" i="24"/>
  <c r="G22" i="14" s="1"/>
  <c r="K22" i="14" s="1"/>
  <c r="F31" i="2"/>
  <c r="D32" i="3" l="1"/>
  <c r="G22" i="13"/>
  <c r="K22" i="13" s="1"/>
  <c r="O22" i="13" s="1"/>
  <c r="M22" i="13" l="1"/>
  <c r="P56" i="15"/>
  <c r="AF28" i="23"/>
  <c r="AA29" i="2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R53" i="15" l="1"/>
  <c r="AF29" i="23"/>
  <c r="N35" i="3"/>
  <c r="L35" i="3"/>
  <c r="R17" i="2" l="1"/>
  <c r="R56" i="15"/>
  <c r="AI95" i="18" l="1"/>
  <c r="AK95" i="18" s="1"/>
  <c r="AI64" i="18"/>
  <c r="AK64" i="18" s="1"/>
  <c r="AI37" i="18" l="1"/>
  <c r="AK37" i="18" s="1"/>
  <c r="AE41" i="17"/>
  <c r="AH41" i="17" s="1"/>
  <c r="AJ41" i="17" s="1"/>
  <c r="AE41" i="16"/>
  <c r="AB117" i="19"/>
  <c r="I34" i="10"/>
  <c r="I35" i="10" s="1"/>
  <c r="T19" i="5"/>
  <c r="W19" i="5" s="1"/>
  <c r="Y19" i="5" s="1"/>
  <c r="AH18" i="26"/>
  <c r="AJ18" i="26" s="1"/>
  <c r="AA26" i="24"/>
  <c r="AA31" i="24" s="1"/>
  <c r="AD13" i="24"/>
  <c r="Z46" i="18"/>
  <c r="AH93" i="19"/>
  <c r="AE117" i="16" s="1"/>
  <c r="X28" i="29"/>
  <c r="AD72" i="22"/>
  <c r="AG72" i="22" s="1"/>
  <c r="AI87" i="18"/>
  <c r="AK87" i="18" s="1"/>
  <c r="AE72" i="19"/>
  <c r="AK72" i="19" s="1"/>
  <c r="AM72" i="19" s="1"/>
  <c r="AK55" i="19"/>
  <c r="AM55" i="19" s="1"/>
  <c r="AI90" i="18"/>
  <c r="AK90" i="18" s="1"/>
  <c r="AI75" i="18"/>
  <c r="AK75" i="18" s="1"/>
  <c r="AI68" i="18"/>
  <c r="AK68" i="18" s="1"/>
  <c r="AI60" i="18"/>
  <c r="AK60" i="18" s="1"/>
  <c r="AD28" i="2" l="1"/>
  <c r="Z115" i="20"/>
  <c r="X19" i="29"/>
  <c r="X32" i="29" s="1"/>
  <c r="X19" i="28"/>
  <c r="X32" i="28" s="1"/>
  <c r="AD37" i="15"/>
  <c r="AH37" i="15" s="1"/>
  <c r="AJ37" i="15" s="1"/>
  <c r="AH41" i="16"/>
  <c r="AJ41" i="16" s="1"/>
  <c r="Z23" i="18"/>
  <c r="Z27" i="18" s="1"/>
  <c r="Y26" i="16"/>
  <c r="AA26" i="23"/>
  <c r="Y26" i="17"/>
  <c r="AH117" i="16" l="1"/>
  <c r="AJ117" i="16" s="1"/>
  <c r="AA31" i="23"/>
  <c r="Y30" i="16"/>
  <c r="L50" i="3" l="1"/>
  <c r="L49" i="3"/>
  <c r="L18" i="3"/>
  <c r="L16" i="3"/>
  <c r="L51" i="3" l="1"/>
  <c r="L20" i="3" l="1"/>
  <c r="Q71" i="34" l="1"/>
  <c r="J38" i="3"/>
  <c r="J34" i="3"/>
  <c r="J32" i="3"/>
  <c r="J31" i="3"/>
  <c r="J30" i="3"/>
  <c r="J29" i="3"/>
  <c r="J26" i="3"/>
  <c r="J25" i="3"/>
  <c r="J20" i="3" l="1"/>
  <c r="J39" i="3"/>
  <c r="J37" i="3"/>
  <c r="AJ81" i="24"/>
  <c r="AL81" i="24" s="1"/>
  <c r="AJ80" i="24"/>
  <c r="AL80" i="24" s="1"/>
  <c r="AJ79" i="24"/>
  <c r="AL79" i="24" s="1"/>
  <c r="AJ76" i="24"/>
  <c r="AL76" i="24" s="1"/>
  <c r="AJ63" i="25"/>
  <c r="AL63" i="25" s="1"/>
  <c r="AJ62" i="25"/>
  <c r="AL62" i="25" s="1"/>
  <c r="AJ61" i="25"/>
  <c r="AL61" i="25" s="1"/>
  <c r="AJ57" i="25"/>
  <c r="AL57" i="25" s="1"/>
  <c r="X39" i="27"/>
  <c r="V39" i="27"/>
  <c r="T39" i="27"/>
  <c r="AG24" i="29"/>
  <c r="AI24" i="29" s="1"/>
  <c r="AE115" i="19" l="1"/>
  <c r="E29" i="8"/>
  <c r="E21" i="8"/>
  <c r="E32" i="8"/>
  <c r="E30" i="8"/>
  <c r="E40" i="7"/>
  <c r="E25" i="8"/>
  <c r="E24" i="8"/>
  <c r="E33" i="8"/>
  <c r="E23" i="8"/>
  <c r="E31" i="8"/>
  <c r="E20" i="8"/>
  <c r="V44" i="27"/>
  <c r="T44" i="27"/>
  <c r="G31" i="10"/>
  <c r="G24" i="10"/>
  <c r="X44" i="27"/>
  <c r="G30" i="10"/>
  <c r="AG53" i="22"/>
  <c r="AI53" i="22" s="1"/>
  <c r="AJ82" i="24"/>
  <c r="AL82" i="24" s="1"/>
  <c r="AG70" i="22"/>
  <c r="AI70" i="22" s="1"/>
  <c r="AG69" i="22"/>
  <c r="AI69" i="22" s="1"/>
  <c r="AJ64" i="25"/>
  <c r="AL64" i="25" s="1"/>
  <c r="AJ25" i="24"/>
  <c r="AL25" i="24" s="1"/>
  <c r="AJ19" i="24"/>
  <c r="AL19" i="24" s="1"/>
  <c r="AJ75" i="24"/>
  <c r="AL75" i="24" s="1"/>
  <c r="AG59" i="22"/>
  <c r="AI59" i="22" s="1"/>
  <c r="N34" i="2"/>
  <c r="K24" i="10" l="1"/>
  <c r="O24" i="10" s="1"/>
  <c r="J50" i="2"/>
  <c r="K31" i="10"/>
  <c r="O31" i="10" s="1"/>
  <c r="K30" i="10"/>
  <c r="O30" i="10" s="1"/>
  <c r="E22" i="7"/>
  <c r="E40" i="14"/>
  <c r="E30" i="7"/>
  <c r="E20" i="7"/>
  <c r="E31" i="7"/>
  <c r="E40" i="12"/>
  <c r="E35" i="10"/>
  <c r="E34" i="8"/>
  <c r="E42" i="11"/>
  <c r="E24" i="7"/>
  <c r="E25" i="7"/>
  <c r="E29" i="7"/>
  <c r="E21" i="7"/>
  <c r="E26" i="10"/>
  <c r="E33" i="13"/>
  <c r="E26" i="8"/>
  <c r="E33" i="7"/>
  <c r="E27" i="13"/>
  <c r="E23" i="7"/>
  <c r="AI72" i="22"/>
  <c r="K31" i="13"/>
  <c r="AJ21" i="24"/>
  <c r="AL21" i="24" s="1"/>
  <c r="H24" i="6"/>
  <c r="AI109" i="18"/>
  <c r="AK109" i="18" s="1"/>
  <c r="AI110" i="18"/>
  <c r="AK110" i="18" s="1"/>
  <c r="AI117" i="18"/>
  <c r="AK117" i="18" s="1"/>
  <c r="O31" i="13" l="1"/>
  <c r="Q42" i="11"/>
  <c r="E39" i="10"/>
  <c r="E42" i="10" s="1"/>
  <c r="E37" i="8"/>
  <c r="E37" i="13"/>
  <c r="E26" i="7"/>
  <c r="G20" i="13"/>
  <c r="AI118" i="18"/>
  <c r="AK118" i="18" s="1"/>
  <c r="G30" i="7" l="1"/>
  <c r="K30" i="7" s="1"/>
  <c r="M163" i="42" l="1"/>
  <c r="M18" i="42"/>
  <c r="M250" i="42"/>
  <c r="M112" i="42"/>
  <c r="M108" i="42"/>
  <c r="M174" i="42"/>
  <c r="M181" i="42"/>
  <c r="M26" i="42"/>
  <c r="M243" i="42"/>
  <c r="M36" i="42"/>
  <c r="M258" i="42"/>
  <c r="M244" i="42"/>
  <c r="M246" i="42"/>
  <c r="M227" i="42"/>
  <c r="M161" i="42"/>
  <c r="M150" i="42"/>
  <c r="M231" i="42"/>
  <c r="M173" i="42"/>
  <c r="M101" i="42"/>
  <c r="M15" i="42"/>
  <c r="M133" i="42"/>
  <c r="M135" i="42"/>
  <c r="M149" i="42"/>
  <c r="M45" i="42"/>
  <c r="M147" i="42"/>
  <c r="M28" i="42"/>
  <c r="M177" i="42"/>
  <c r="M32" i="42"/>
  <c r="M130" i="42"/>
  <c r="M38" i="42"/>
  <c r="M58" i="42"/>
  <c r="M52" i="42"/>
  <c r="M87" i="42"/>
  <c r="M53" i="42"/>
  <c r="M67" i="42"/>
  <c r="M155" i="42"/>
  <c r="M249" i="42"/>
  <c r="M255" i="42"/>
  <c r="M105" i="42"/>
  <c r="O193" i="42"/>
  <c r="M51" i="42"/>
  <c r="M157" i="42"/>
  <c r="M142" i="42"/>
  <c r="M252" i="42"/>
  <c r="M100" i="42"/>
  <c r="M191" i="42"/>
  <c r="M21" i="42"/>
  <c r="M16" i="42"/>
  <c r="M175" i="42"/>
  <c r="M94" i="42"/>
  <c r="M61" i="42"/>
  <c r="M225" i="42"/>
  <c r="M145" i="42"/>
  <c r="M98" i="42"/>
  <c r="M257" i="42"/>
  <c r="M233" i="42"/>
  <c r="M79" i="42"/>
  <c r="M123" i="42"/>
  <c r="M95" i="42"/>
  <c r="M91" i="42"/>
  <c r="M129" i="42"/>
  <c r="M55" i="42"/>
  <c r="M253" i="42"/>
  <c r="M23" i="42"/>
  <c r="M248" i="42"/>
  <c r="M107" i="42"/>
  <c r="M124" i="42"/>
  <c r="M156" i="42"/>
  <c r="M126" i="42"/>
  <c r="M66" i="42"/>
  <c r="M192" i="42"/>
  <c r="M116" i="42"/>
  <c r="M166" i="42"/>
  <c r="M224" i="42"/>
  <c r="M82" i="42"/>
  <c r="M159" i="42"/>
  <c r="M259" i="42"/>
  <c r="M40" i="42"/>
  <c r="M132" i="42"/>
  <c r="M242" i="42"/>
  <c r="M34" i="42"/>
  <c r="M176" i="42"/>
  <c r="M153" i="42"/>
  <c r="M165" i="42"/>
  <c r="M229" i="42"/>
  <c r="M120" i="42"/>
  <c r="M111" i="42"/>
  <c r="M22" i="42"/>
  <c r="M110" i="42"/>
  <c r="M85" i="42"/>
  <c r="M117" i="42"/>
  <c r="M228" i="42"/>
  <c r="M69" i="42"/>
  <c r="M57" i="42"/>
  <c r="M44" i="42"/>
  <c r="M17" i="42"/>
  <c r="M262" i="42"/>
  <c r="M143" i="42"/>
  <c r="M72" i="42"/>
  <c r="M88" i="42"/>
  <c r="M169" i="42"/>
  <c r="M168" i="42"/>
  <c r="M37" i="42"/>
  <c r="M154" i="42"/>
  <c r="M81" i="42"/>
  <c r="M184" i="42"/>
  <c r="M234" i="42"/>
  <c r="M221" i="42"/>
  <c r="M48" i="42"/>
  <c r="M245" i="42"/>
  <c r="M239" i="42"/>
  <c r="M96" i="42"/>
  <c r="M46" i="42"/>
  <c r="M141" i="42"/>
  <c r="M182" i="42"/>
  <c r="M215" i="42"/>
  <c r="M256" i="42"/>
  <c r="M92" i="42"/>
  <c r="M121" i="42"/>
  <c r="M93" i="42"/>
  <c r="M20" i="42"/>
  <c r="M29" i="42"/>
  <c r="M138" i="42"/>
  <c r="M73" i="42"/>
  <c r="M139" i="42"/>
  <c r="M185" i="42"/>
  <c r="M186" i="42"/>
  <c r="M170" i="42"/>
  <c r="M160" i="42"/>
  <c r="M220" i="42"/>
  <c r="M167" i="42"/>
  <c r="M223" i="42"/>
  <c r="M70" i="42"/>
  <c r="M158" i="42"/>
  <c r="M144" i="42"/>
  <c r="M232" i="42"/>
  <c r="M109" i="42"/>
  <c r="M39" i="42"/>
  <c r="M74" i="42"/>
  <c r="M178" i="42"/>
  <c r="M19" i="42"/>
  <c r="M171" i="42"/>
  <c r="M99" i="42"/>
  <c r="M189" i="42"/>
  <c r="M62" i="42"/>
  <c r="M49" i="42"/>
  <c r="M30" i="42"/>
  <c r="M164" i="42"/>
  <c r="M188" i="42"/>
  <c r="M134" i="42"/>
  <c r="M43" i="42"/>
  <c r="M128" i="42"/>
  <c r="M41" i="42"/>
  <c r="M226" i="42"/>
  <c r="M222" i="42"/>
  <c r="M71" i="42"/>
  <c r="M31" i="42"/>
  <c r="M162" i="42"/>
  <c r="M115" i="42"/>
  <c r="M75" i="42"/>
  <c r="M78" i="42"/>
  <c r="M76" i="42"/>
  <c r="M89" i="42"/>
  <c r="M25" i="42"/>
  <c r="M209" i="42"/>
  <c r="M122" i="42"/>
  <c r="M131" i="42"/>
  <c r="M68" i="42"/>
  <c r="M42" i="42"/>
  <c r="O102" i="42"/>
  <c r="M84" i="42"/>
  <c r="M125" i="42"/>
  <c r="M80" i="42"/>
  <c r="M24" i="42"/>
  <c r="M83" i="42"/>
  <c r="M146" i="42"/>
  <c r="M114" i="42"/>
  <c r="M148" i="42"/>
  <c r="M241" i="42"/>
  <c r="M127" i="42"/>
  <c r="M247" i="42"/>
  <c r="M47" i="42"/>
  <c r="M136" i="42"/>
  <c r="M237" i="42"/>
  <c r="M56" i="42"/>
  <c r="M240" i="42"/>
  <c r="O210" i="42"/>
  <c r="M208" i="42"/>
  <c r="M230" i="42"/>
  <c r="M113" i="42"/>
  <c r="M97" i="42"/>
  <c r="M50" i="42"/>
  <c r="M137" i="42"/>
  <c r="M90" i="42"/>
  <c r="M63" i="42"/>
  <c r="M27" i="42"/>
  <c r="M59" i="42"/>
  <c r="M183" i="42"/>
  <c r="M151" i="42"/>
  <c r="M251" i="42"/>
  <c r="M65" i="42"/>
  <c r="M77" i="42"/>
  <c r="M118" i="42"/>
  <c r="M119" i="42"/>
  <c r="M254" i="42"/>
  <c r="M235" i="42"/>
  <c r="M35" i="42"/>
  <c r="M106" i="42"/>
  <c r="M60" i="42"/>
  <c r="M238" i="42"/>
  <c r="M140" i="42"/>
  <c r="M33" i="42"/>
  <c r="O216" i="42"/>
  <c r="M213" i="42"/>
  <c r="M64" i="42"/>
  <c r="M214" i="42"/>
  <c r="M152" i="42"/>
  <c r="M219" i="42"/>
  <c r="O263" i="42"/>
  <c r="M172" i="42"/>
  <c r="M236" i="42"/>
  <c r="M180" i="42"/>
  <c r="M187" i="42"/>
  <c r="M54" i="42"/>
  <c r="M261" i="42"/>
  <c r="K20" i="13"/>
  <c r="G34" i="10"/>
  <c r="O20" i="13" l="1"/>
  <c r="G25" i="11"/>
  <c r="K25" i="11" s="1"/>
  <c r="J49" i="3"/>
  <c r="AI112" i="20"/>
  <c r="AK112" i="20" s="1"/>
  <c r="AC115" i="20"/>
  <c r="AD26" i="24"/>
  <c r="AD31" i="24" s="1"/>
  <c r="J27" i="3"/>
  <c r="M210" i="42"/>
  <c r="M102" i="42"/>
  <c r="M263" i="42"/>
  <c r="M193" i="42"/>
  <c r="M216" i="42"/>
  <c r="K34" i="10"/>
  <c r="O34" i="10" l="1"/>
  <c r="H51" i="3"/>
  <c r="E45" i="23"/>
  <c r="E23" i="23"/>
  <c r="F115" i="20"/>
  <c r="E26" i="24"/>
  <c r="E31" i="24" s="1"/>
  <c r="G21" i="14"/>
  <c r="D91" i="19"/>
  <c r="H26" i="2" s="1"/>
  <c r="D115" i="20"/>
  <c r="AI66" i="21"/>
  <c r="AK66" i="21" s="1"/>
  <c r="AI64" i="21"/>
  <c r="AK64" i="21" s="1"/>
  <c r="AI54" i="21"/>
  <c r="E26" i="23" l="1"/>
  <c r="P16" i="2" s="1"/>
  <c r="P41" i="15"/>
  <c r="K21" i="14"/>
  <c r="I26" i="24"/>
  <c r="I31" i="24" s="1"/>
  <c r="H115" i="20"/>
  <c r="AF45" i="23"/>
  <c r="G26" i="24"/>
  <c r="G31" i="24" s="1"/>
  <c r="T25" i="5"/>
  <c r="W25" i="5" s="1"/>
  <c r="Y25" i="5" s="1"/>
  <c r="AG24" i="27"/>
  <c r="AI24" i="27" s="1"/>
  <c r="AE57" i="17"/>
  <c r="AH57" i="17" s="1"/>
  <c r="AJ57" i="17" s="1"/>
  <c r="AI53" i="18"/>
  <c r="AK53" i="18" s="1"/>
  <c r="AE57" i="16"/>
  <c r="AD55" i="15" s="1"/>
  <c r="AH55" i="15" s="1"/>
  <c r="AJ55" i="15" s="1"/>
  <c r="AI35" i="20"/>
  <c r="AK35" i="20" s="1"/>
  <c r="AH35" i="19"/>
  <c r="AK35" i="19" s="1"/>
  <c r="AM35" i="19" s="1"/>
  <c r="AI73" i="18"/>
  <c r="AK73" i="18" s="1"/>
  <c r="AI44" i="18"/>
  <c r="AK44" i="18" s="1"/>
  <c r="AJ48" i="24"/>
  <c r="AH90" i="19"/>
  <c r="AH17" i="26"/>
  <c r="AH21" i="26" s="1"/>
  <c r="AE21" i="26"/>
  <c r="T18" i="5"/>
  <c r="T21" i="5" s="1"/>
  <c r="G21" i="13"/>
  <c r="K21" i="13" s="1"/>
  <c r="J51" i="3"/>
  <c r="O21" i="13" l="1"/>
  <c r="I26" i="23"/>
  <c r="P47" i="15"/>
  <c r="G26" i="23"/>
  <c r="AA28" i="29"/>
  <c r="AG26" i="29"/>
  <c r="AI26" i="29" s="1"/>
  <c r="E101" i="30"/>
  <c r="C122" i="16"/>
  <c r="E62" i="23"/>
  <c r="P19" i="2" s="1"/>
  <c r="C81" i="17"/>
  <c r="C65" i="17"/>
  <c r="D44" i="19"/>
  <c r="D61" i="19"/>
  <c r="C46" i="16"/>
  <c r="E92" i="23"/>
  <c r="P50" i="2" s="1"/>
  <c r="D78" i="19"/>
  <c r="F22" i="15"/>
  <c r="C28" i="17"/>
  <c r="F23" i="15"/>
  <c r="X23" i="15" s="1"/>
  <c r="D96" i="19"/>
  <c r="H31" i="2" s="1"/>
  <c r="C49" i="16"/>
  <c r="C22" i="17"/>
  <c r="F17" i="15"/>
  <c r="X17" i="15" s="1"/>
  <c r="B19" i="28"/>
  <c r="B32" i="28" s="1"/>
  <c r="F14" i="2"/>
  <c r="F16" i="15"/>
  <c r="X16" i="15" s="1"/>
  <c r="D94" i="19"/>
  <c r="H29" i="2" s="1"/>
  <c r="I26" i="13"/>
  <c r="I27" i="13" s="1"/>
  <c r="F20" i="15"/>
  <c r="X20" i="15" s="1"/>
  <c r="AH20" i="15" s="1"/>
  <c r="AJ20" i="15" s="1"/>
  <c r="AI22" i="18"/>
  <c r="AK22" i="18" s="1"/>
  <c r="D60" i="19"/>
  <c r="C84" i="16" s="1"/>
  <c r="C22" i="16"/>
  <c r="AH57" i="16"/>
  <c r="AJ57" i="16" s="1"/>
  <c r="AJ21" i="26"/>
  <c r="W18" i="5"/>
  <c r="Y18" i="5" s="1"/>
  <c r="C56" i="16"/>
  <c r="AJ17" i="26"/>
  <c r="C36" i="16"/>
  <c r="C37" i="17"/>
  <c r="C25" i="16"/>
  <c r="E91" i="23"/>
  <c r="P49" i="2" s="1"/>
  <c r="D57" i="19"/>
  <c r="C115" i="17"/>
  <c r="I26" i="10"/>
  <c r="F28" i="29" l="1"/>
  <c r="F26" i="6"/>
  <c r="I31" i="23"/>
  <c r="H23" i="18"/>
  <c r="G25" i="9"/>
  <c r="F19" i="2"/>
  <c r="AJ41" i="25"/>
  <c r="AE122" i="17"/>
  <c r="AA34" i="3"/>
  <c r="AI98" i="20"/>
  <c r="AK98" i="20" s="1"/>
  <c r="AH61" i="19"/>
  <c r="AE85" i="17"/>
  <c r="E31" i="26"/>
  <c r="E35" i="26" s="1"/>
  <c r="F88" i="21"/>
  <c r="AB37" i="17"/>
  <c r="D28" i="29"/>
  <c r="V16" i="15"/>
  <c r="G31" i="23"/>
  <c r="B39" i="27"/>
  <c r="B44" i="27" s="1"/>
  <c r="B19" i="29"/>
  <c r="D46" i="18"/>
  <c r="D16" i="2" s="1"/>
  <c r="C122" i="17"/>
  <c r="C36" i="17"/>
  <c r="X21" i="15"/>
  <c r="C25" i="17"/>
  <c r="C56" i="17"/>
  <c r="C107" i="16"/>
  <c r="C46" i="17"/>
  <c r="C28" i="16"/>
  <c r="C44" i="17"/>
  <c r="B28" i="29"/>
  <c r="C49" i="17"/>
  <c r="C85" i="17"/>
  <c r="C44" i="16"/>
  <c r="C107" i="17"/>
  <c r="D23" i="18"/>
  <c r="C85" i="16"/>
  <c r="C21" i="16"/>
  <c r="C21" i="17"/>
  <c r="F21" i="15"/>
  <c r="F25" i="15" s="1"/>
  <c r="G20" i="9"/>
  <c r="K20" i="9" s="1"/>
  <c r="C84" i="17"/>
  <c r="E75" i="25"/>
  <c r="C81" i="16"/>
  <c r="W21" i="5"/>
  <c r="Y21" i="5" s="1"/>
  <c r="AE25" i="19"/>
  <c r="C37" i="16"/>
  <c r="AB21" i="16" l="1"/>
  <c r="T27" i="18"/>
  <c r="R27" i="18"/>
  <c r="P27" i="18"/>
  <c r="N27" i="18"/>
  <c r="L27" i="18"/>
  <c r="K25" i="9"/>
  <c r="AB22" i="17"/>
  <c r="G26" i="16"/>
  <c r="G26" i="17"/>
  <c r="F43" i="37"/>
  <c r="V23" i="15"/>
  <c r="D43" i="37"/>
  <c r="F99" i="19"/>
  <c r="D25" i="37"/>
  <c r="G77" i="24"/>
  <c r="G84" i="24" s="1"/>
  <c r="F115" i="18"/>
  <c r="F121" i="18" s="1"/>
  <c r="D33" i="37"/>
  <c r="F54" i="18"/>
  <c r="G60" i="24"/>
  <c r="G64" i="24" s="1"/>
  <c r="AB21" i="17"/>
  <c r="AB37" i="16"/>
  <c r="E26" i="17"/>
  <c r="E58" i="16"/>
  <c r="D19" i="28"/>
  <c r="D32" i="28" s="1"/>
  <c r="E26" i="16"/>
  <c r="F36" i="20"/>
  <c r="F99" i="20"/>
  <c r="F106" i="20" s="1"/>
  <c r="D39" i="29"/>
  <c r="D51" i="22"/>
  <c r="D39" i="27"/>
  <c r="D44" i="27" s="1"/>
  <c r="D19" i="29"/>
  <c r="D32" i="29" s="1"/>
  <c r="E42" i="26"/>
  <c r="E47" i="26" s="1"/>
  <c r="G42" i="25"/>
  <c r="G46" i="25" s="1"/>
  <c r="G59" i="25"/>
  <c r="G66" i="25" s="1"/>
  <c r="D39" i="28"/>
  <c r="F81" i="20"/>
  <c r="F38" i="18"/>
  <c r="B32" i="29"/>
  <c r="D21" i="15"/>
  <c r="F29" i="20"/>
  <c r="C26" i="17"/>
  <c r="C26" i="16"/>
  <c r="C30" i="16" s="1"/>
  <c r="F46" i="18"/>
  <c r="G94" i="24"/>
  <c r="F97" i="18"/>
  <c r="F23" i="18"/>
  <c r="F27" i="18" s="1"/>
  <c r="F70" i="21"/>
  <c r="F79" i="21" s="1"/>
  <c r="F52" i="21"/>
  <c r="F56" i="21" s="1"/>
  <c r="AB22" i="16"/>
  <c r="F36" i="19"/>
  <c r="V33" i="15"/>
  <c r="J33" i="15"/>
  <c r="J27" i="18" l="1"/>
  <c r="D25" i="15"/>
  <c r="D20" i="3"/>
  <c r="AI57" i="20"/>
  <c r="AK57" i="20" s="1"/>
  <c r="AI114" i="18"/>
  <c r="AK114" i="18" s="1"/>
  <c r="F33" i="2"/>
  <c r="F26" i="2"/>
  <c r="AI70" i="18"/>
  <c r="AK70" i="18" s="1"/>
  <c r="AB104" i="17"/>
  <c r="AH104" i="17" s="1"/>
  <c r="AJ104" i="17" s="1"/>
  <c r="AB68" i="17"/>
  <c r="H27" i="18"/>
  <c r="G30" i="16"/>
  <c r="D45" i="37"/>
  <c r="E123" i="17"/>
  <c r="E132" i="17" s="1"/>
  <c r="G94" i="23"/>
  <c r="F108" i="19"/>
  <c r="G60" i="23"/>
  <c r="F117" i="19"/>
  <c r="G87" i="24"/>
  <c r="G98" i="24" s="1"/>
  <c r="E58" i="17"/>
  <c r="G77" i="23"/>
  <c r="G84" i="23" s="1"/>
  <c r="E50" i="16"/>
  <c r="E50" i="17"/>
  <c r="D44" i="29"/>
  <c r="D44" i="28"/>
  <c r="E42" i="17"/>
  <c r="E30" i="17"/>
  <c r="F81" i="19"/>
  <c r="E30" i="16"/>
  <c r="E105" i="17"/>
  <c r="F38" i="20"/>
  <c r="F85" i="20" s="1"/>
  <c r="F109" i="20" s="1"/>
  <c r="F119" i="20" s="1"/>
  <c r="D55" i="22"/>
  <c r="D66" i="22" s="1"/>
  <c r="D76" i="22" s="1"/>
  <c r="E42" i="16"/>
  <c r="G69" i="25"/>
  <c r="G79" i="25" s="1"/>
  <c r="F56" i="18"/>
  <c r="F101" i="18" s="1"/>
  <c r="F124" i="18" s="1"/>
  <c r="AB26" i="16"/>
  <c r="F29" i="19"/>
  <c r="F82" i="21"/>
  <c r="F92" i="21" s="1"/>
  <c r="X33" i="15"/>
  <c r="AB81" i="16" l="1"/>
  <c r="AH81" i="16" s="1"/>
  <c r="AJ81" i="16" s="1"/>
  <c r="AB122" i="16"/>
  <c r="AI49" i="21"/>
  <c r="AK49" i="21" s="1"/>
  <c r="D27" i="3"/>
  <c r="D34" i="3"/>
  <c r="AB81" i="17"/>
  <c r="AH81" i="17" s="1"/>
  <c r="AJ81" i="17" s="1"/>
  <c r="AE57" i="19"/>
  <c r="AK57" i="19" s="1"/>
  <c r="AM57" i="19" s="1"/>
  <c r="E123" i="16"/>
  <c r="E132" i="16" s="1"/>
  <c r="G64" i="23"/>
  <c r="G87" i="23" s="1"/>
  <c r="G98" i="23" s="1"/>
  <c r="E105" i="16"/>
  <c r="E60" i="17"/>
  <c r="E109" i="17" s="1"/>
  <c r="E135" i="17" s="1"/>
  <c r="E60" i="16"/>
  <c r="AL75" i="23"/>
  <c r="AN75" i="23" s="1"/>
  <c r="AL80" i="23"/>
  <c r="AN80" i="23" s="1"/>
  <c r="AL81" i="23"/>
  <c r="AN81" i="23" s="1"/>
  <c r="AL79" i="23"/>
  <c r="AN79" i="23" s="1"/>
  <c r="AE94" i="19"/>
  <c r="AE91" i="19"/>
  <c r="AE89" i="19"/>
  <c r="AE98" i="19"/>
  <c r="AE103" i="19"/>
  <c r="AE95" i="19"/>
  <c r="AE83" i="19"/>
  <c r="AE93" i="19"/>
  <c r="F19" i="28" l="1"/>
  <c r="F32" i="28" s="1"/>
  <c r="I75" i="25"/>
  <c r="AE121" i="16"/>
  <c r="AD32" i="2"/>
  <c r="AE121" i="17"/>
  <c r="AI113" i="18"/>
  <c r="AK113" i="18" s="1"/>
  <c r="AA33" i="3"/>
  <c r="AI61" i="20"/>
  <c r="AK61" i="20" s="1"/>
  <c r="I42" i="25"/>
  <c r="I46" i="25" s="1"/>
  <c r="AB38" i="15"/>
  <c r="H88" i="21"/>
  <c r="AJ51" i="25"/>
  <c r="G31" i="26"/>
  <c r="G35" i="26" s="1"/>
  <c r="AH101" i="19"/>
  <c r="AD36" i="2" s="1"/>
  <c r="AI72" i="21"/>
  <c r="AK72" i="21" s="1"/>
  <c r="F39" i="27"/>
  <c r="F44" i="27" s="1"/>
  <c r="AH62" i="19"/>
  <c r="AI61" i="18"/>
  <c r="AK61" i="18" s="1"/>
  <c r="AJ44" i="25"/>
  <c r="AL44" i="25" s="1"/>
  <c r="F19" i="29"/>
  <c r="F32" i="29" s="1"/>
  <c r="AA19" i="29"/>
  <c r="AA32" i="29" s="1"/>
  <c r="G30" i="17"/>
  <c r="I94" i="24"/>
  <c r="H54" i="18"/>
  <c r="AE78" i="19"/>
  <c r="AK78" i="19" s="1"/>
  <c r="AM78" i="19" s="1"/>
  <c r="E109" i="16"/>
  <c r="E135" i="16" s="1"/>
  <c r="J19" i="2"/>
  <c r="J38" i="2"/>
  <c r="J24" i="2"/>
  <c r="J28" i="2"/>
  <c r="AK95" i="19"/>
  <c r="AM95" i="19" s="1"/>
  <c r="J30" i="2"/>
  <c r="J33" i="2"/>
  <c r="J26" i="2"/>
  <c r="J29" i="2"/>
  <c r="AK103" i="19"/>
  <c r="AM103" i="19" s="1"/>
  <c r="AK93" i="19"/>
  <c r="AM93" i="19" s="1"/>
  <c r="AL82" i="23"/>
  <c r="AN82" i="23" s="1"/>
  <c r="AI68" i="21" l="1"/>
  <c r="AK68" i="21" s="1"/>
  <c r="M10" i="42"/>
  <c r="M11" i="42" s="1"/>
  <c r="M266" i="42" s="1"/>
  <c r="O11" i="42"/>
  <c r="O266" i="42" s="1"/>
  <c r="J36" i="20"/>
  <c r="AA19" i="28"/>
  <c r="AA32" i="28" s="1"/>
  <c r="K14" i="30"/>
  <c r="I31" i="26"/>
  <c r="I35" i="26" s="1"/>
  <c r="J115" i="18"/>
  <c r="AI46" i="21"/>
  <c r="AK46" i="21" s="1"/>
  <c r="AD28" i="29"/>
  <c r="AD32" i="29" s="1"/>
  <c r="T24" i="6"/>
  <c r="AG25" i="29"/>
  <c r="J88" i="21"/>
  <c r="G27" i="9"/>
  <c r="H19" i="29"/>
  <c r="H32" i="29" s="1"/>
  <c r="F19" i="6"/>
  <c r="F29" i="6" s="1"/>
  <c r="F33" i="37"/>
  <c r="F45" i="37" s="1"/>
  <c r="AE125" i="16"/>
  <c r="F39" i="28"/>
  <c r="F44" i="28" s="1"/>
  <c r="H81" i="20"/>
  <c r="F39" i="29"/>
  <c r="F44" i="29" s="1"/>
  <c r="I59" i="25"/>
  <c r="I66" i="25" s="1"/>
  <c r="I69" i="25" s="1"/>
  <c r="I79" i="25" s="1"/>
  <c r="F51" i="22"/>
  <c r="F55" i="22" s="1"/>
  <c r="F66" i="22" s="1"/>
  <c r="F76" i="22" s="1"/>
  <c r="H70" i="21"/>
  <c r="H79" i="21" s="1"/>
  <c r="H52" i="21"/>
  <c r="H56" i="21" s="1"/>
  <c r="H99" i="20"/>
  <c r="H106" i="20" s="1"/>
  <c r="H46" i="18"/>
  <c r="G58" i="16"/>
  <c r="H97" i="18"/>
  <c r="H115" i="18"/>
  <c r="H121" i="18" s="1"/>
  <c r="I60" i="24"/>
  <c r="I64" i="24" s="1"/>
  <c r="H36" i="20"/>
  <c r="I94" i="23"/>
  <c r="H36" i="19"/>
  <c r="F25" i="37"/>
  <c r="AK101" i="19"/>
  <c r="AM101" i="19" s="1"/>
  <c r="G123" i="17"/>
  <c r="H38" i="18"/>
  <c r="H29" i="20"/>
  <c r="G42" i="26"/>
  <c r="G47" i="26" s="1"/>
  <c r="I77" i="24"/>
  <c r="I84" i="24" s="1"/>
  <c r="H29" i="19"/>
  <c r="H99" i="19"/>
  <c r="H108" i="19" s="1"/>
  <c r="G58" i="17"/>
  <c r="AG28" i="29" l="1"/>
  <c r="AI28" i="29" s="1"/>
  <c r="H19" i="28"/>
  <c r="H32" i="28" s="1"/>
  <c r="J19" i="28"/>
  <c r="J32" i="28" s="1"/>
  <c r="I42" i="26"/>
  <c r="I47" i="26" s="1"/>
  <c r="J38" i="18"/>
  <c r="I58" i="16"/>
  <c r="I30" i="17"/>
  <c r="J99" i="20"/>
  <c r="J106" i="20" s="1"/>
  <c r="J52" i="21"/>
  <c r="J56" i="21" s="1"/>
  <c r="K75" i="25"/>
  <c r="H39" i="29"/>
  <c r="H44" i="29" s="1"/>
  <c r="H51" i="22"/>
  <c r="J97" i="18"/>
  <c r="K59" i="25"/>
  <c r="K66" i="25" s="1"/>
  <c r="K42" i="25"/>
  <c r="K46" i="25" s="1"/>
  <c r="J54" i="18"/>
  <c r="H25" i="37"/>
  <c r="H33" i="37"/>
  <c r="H45" i="37" s="1"/>
  <c r="H39" i="28"/>
  <c r="J81" i="20"/>
  <c r="K77" i="24"/>
  <c r="K84" i="24" s="1"/>
  <c r="K94" i="24"/>
  <c r="K94" i="23"/>
  <c r="K60" i="24"/>
  <c r="K64" i="24" s="1"/>
  <c r="J46" i="18"/>
  <c r="J29" i="20"/>
  <c r="B19" i="6"/>
  <c r="B29" i="6" s="1"/>
  <c r="J70" i="21"/>
  <c r="J79" i="21" s="1"/>
  <c r="K27" i="9"/>
  <c r="J121" i="18"/>
  <c r="J29" i="19"/>
  <c r="H39" i="27"/>
  <c r="H44" i="27" s="1"/>
  <c r="I87" i="24"/>
  <c r="I98" i="24" s="1"/>
  <c r="I60" i="23"/>
  <c r="G123" i="16"/>
  <c r="G132" i="16" s="1"/>
  <c r="G105" i="17"/>
  <c r="H82" i="21"/>
  <c r="H92" i="21" s="1"/>
  <c r="G42" i="17"/>
  <c r="G50" i="16"/>
  <c r="I77" i="23"/>
  <c r="I84" i="23" s="1"/>
  <c r="H38" i="20"/>
  <c r="H85" i="20" s="1"/>
  <c r="H109" i="20" s="1"/>
  <c r="H119" i="20" s="1"/>
  <c r="G132" i="17"/>
  <c r="G50" i="17"/>
  <c r="G42" i="16"/>
  <c r="H56" i="18"/>
  <c r="H101" i="18" s="1"/>
  <c r="H124" i="18" s="1"/>
  <c r="H81" i="19"/>
  <c r="H38" i="19"/>
  <c r="H117" i="19"/>
  <c r="Y35" i="3" l="1"/>
  <c r="L115" i="18"/>
  <c r="AJ91" i="24"/>
  <c r="AL91" i="24" s="1"/>
  <c r="G26" i="14"/>
  <c r="K31" i="26"/>
  <c r="K35" i="26" s="1"/>
  <c r="L36" i="20"/>
  <c r="H44" i="28"/>
  <c r="I123" i="17"/>
  <c r="I132" i="17" s="1"/>
  <c r="H55" i="22"/>
  <c r="H66" i="22" s="1"/>
  <c r="H76" i="22" s="1"/>
  <c r="I58" i="17"/>
  <c r="K77" i="23"/>
  <c r="K84" i="23" s="1"/>
  <c r="K69" i="25"/>
  <c r="K79" i="25" s="1"/>
  <c r="J82" i="21"/>
  <c r="J92" i="21" s="1"/>
  <c r="I42" i="17"/>
  <c r="I105" i="17"/>
  <c r="I42" i="16"/>
  <c r="J56" i="18"/>
  <c r="J101" i="18" s="1"/>
  <c r="J124" i="18" s="1"/>
  <c r="I50" i="16"/>
  <c r="I50" i="17"/>
  <c r="J117" i="19"/>
  <c r="J81" i="19"/>
  <c r="J99" i="19"/>
  <c r="J108" i="19" s="1"/>
  <c r="J38" i="20"/>
  <c r="J85" i="20" s="1"/>
  <c r="J109" i="20" s="1"/>
  <c r="J119" i="20" s="1"/>
  <c r="L18" i="6"/>
  <c r="K87" i="24"/>
  <c r="K98" i="24" s="1"/>
  <c r="K60" i="23"/>
  <c r="J36" i="19"/>
  <c r="I123" i="16"/>
  <c r="I132" i="16" s="1"/>
  <c r="I64" i="23"/>
  <c r="I87" i="23" s="1"/>
  <c r="I98" i="23" s="1"/>
  <c r="G60" i="16"/>
  <c r="G60" i="17"/>
  <c r="G109" i="17" s="1"/>
  <c r="G135" i="17" s="1"/>
  <c r="G105" i="16"/>
  <c r="H85" i="19"/>
  <c r="H111" i="19" s="1"/>
  <c r="H121" i="19" s="1"/>
  <c r="AI83" i="20" l="1"/>
  <c r="AK83" i="20" s="1"/>
  <c r="AH83" i="19"/>
  <c r="AK83" i="19" s="1"/>
  <c r="AM83" i="19" s="1"/>
  <c r="AI75" i="20"/>
  <c r="AK75" i="20" s="1"/>
  <c r="AH75" i="19"/>
  <c r="S32" i="14"/>
  <c r="U32" i="14" s="1"/>
  <c r="AJ58" i="25"/>
  <c r="AL58" i="25"/>
  <c r="AI76" i="23"/>
  <c r="AL76" i="23" s="1"/>
  <c r="AN76" i="23" s="1"/>
  <c r="AI25" i="18"/>
  <c r="AK25" i="18" s="1"/>
  <c r="AI62" i="21"/>
  <c r="AK62" i="21" s="1"/>
  <c r="L121" i="18"/>
  <c r="L52" i="21"/>
  <c r="L56" i="21" s="1"/>
  <c r="L99" i="20"/>
  <c r="L106" i="20" s="1"/>
  <c r="M94" i="24"/>
  <c r="L46" i="18"/>
  <c r="L97" i="18"/>
  <c r="K26" i="14"/>
  <c r="M94" i="23"/>
  <c r="J51" i="22"/>
  <c r="J39" i="29"/>
  <c r="J44" i="29" s="1"/>
  <c r="L38" i="18"/>
  <c r="L54" i="18"/>
  <c r="L29" i="19"/>
  <c r="K42" i="26"/>
  <c r="K47" i="26" s="1"/>
  <c r="M60" i="24"/>
  <c r="M64" i="24" s="1"/>
  <c r="M75" i="25"/>
  <c r="M59" i="25"/>
  <c r="M66" i="25" s="1"/>
  <c r="M42" i="25"/>
  <c r="M46" i="25" s="1"/>
  <c r="L81" i="20"/>
  <c r="J39" i="27"/>
  <c r="J44" i="27" s="1"/>
  <c r="L88" i="21"/>
  <c r="K30" i="17"/>
  <c r="M77" i="24"/>
  <c r="M84" i="24" s="1"/>
  <c r="L29" i="20"/>
  <c r="L70" i="21"/>
  <c r="L79" i="21" s="1"/>
  <c r="K50" i="17"/>
  <c r="I60" i="17"/>
  <c r="I109" i="17" s="1"/>
  <c r="I135" i="17" s="1"/>
  <c r="I105" i="16"/>
  <c r="I60" i="16"/>
  <c r="J38" i="19"/>
  <c r="J85" i="19" s="1"/>
  <c r="J111" i="19" s="1"/>
  <c r="J121" i="19" s="1"/>
  <c r="K64" i="23"/>
  <c r="K87" i="23" s="1"/>
  <c r="K98" i="23" s="1"/>
  <c r="G109" i="16"/>
  <c r="G135" i="16" s="1"/>
  <c r="AI21" i="21" l="1"/>
  <c r="AK21" i="21" s="1"/>
  <c r="AE44" i="19"/>
  <c r="AI79" i="20"/>
  <c r="AK79" i="20" s="1"/>
  <c r="AI40" i="18"/>
  <c r="AK40" i="18" s="1"/>
  <c r="F41" i="15"/>
  <c r="X41" i="15" s="1"/>
  <c r="G32" i="13"/>
  <c r="W32" i="14"/>
  <c r="J33" i="37"/>
  <c r="J45" i="37" s="1"/>
  <c r="J25" i="37"/>
  <c r="K42" i="17"/>
  <c r="K123" i="17"/>
  <c r="K132" i="17" s="1"/>
  <c r="K141" i="17"/>
  <c r="L82" i="21"/>
  <c r="L92" i="21" s="1"/>
  <c r="K105" i="17"/>
  <c r="K58" i="16"/>
  <c r="L99" i="19"/>
  <c r="L108" i="19" s="1"/>
  <c r="L81" i="19"/>
  <c r="L56" i="18"/>
  <c r="L101" i="18" s="1"/>
  <c r="L124" i="18" s="1"/>
  <c r="J55" i="22"/>
  <c r="J66" i="22" s="1"/>
  <c r="J76" i="22" s="1"/>
  <c r="M77" i="23"/>
  <c r="M84" i="23" s="1"/>
  <c r="K42" i="16"/>
  <c r="K58" i="17"/>
  <c r="L38" i="20"/>
  <c r="L85" i="20" s="1"/>
  <c r="L109" i="20" s="1"/>
  <c r="L119" i="20" s="1"/>
  <c r="M87" i="24"/>
  <c r="M98" i="24" s="1"/>
  <c r="M69" i="25"/>
  <c r="M79" i="25" s="1"/>
  <c r="M60" i="23"/>
  <c r="M64" i="23" s="1"/>
  <c r="L117" i="19"/>
  <c r="K50" i="16"/>
  <c r="L36" i="19"/>
  <c r="I109" i="16"/>
  <c r="I135" i="16" s="1"/>
  <c r="Q94" i="24" l="1"/>
  <c r="Q75" i="25"/>
  <c r="G101" i="30"/>
  <c r="O75" i="25"/>
  <c r="N117" i="19"/>
  <c r="AI46" i="20"/>
  <c r="AK46" i="20" s="1"/>
  <c r="AH44" i="19"/>
  <c r="AK44" i="19" s="1"/>
  <c r="AM44" i="19" s="1"/>
  <c r="AI44" i="20"/>
  <c r="AK44" i="20" s="1"/>
  <c r="AI33" i="18"/>
  <c r="AK33" i="18" s="1"/>
  <c r="AJ70" i="24"/>
  <c r="AL70" i="24" s="1"/>
  <c r="F46" i="15"/>
  <c r="X46" i="15" s="1"/>
  <c r="E28" i="31"/>
  <c r="C101" i="30"/>
  <c r="O94" i="24"/>
  <c r="AI67" i="20"/>
  <c r="AK67" i="20" s="1"/>
  <c r="N36" i="19"/>
  <c r="AJ38" i="24"/>
  <c r="AL38" i="24" s="1"/>
  <c r="K60" i="17"/>
  <c r="K109" i="17" s="1"/>
  <c r="K135" i="17" s="1"/>
  <c r="K145" i="17" s="1"/>
  <c r="K123" i="16"/>
  <c r="K132" i="16" s="1"/>
  <c r="K105" i="16"/>
  <c r="K60" i="16"/>
  <c r="M87" i="23"/>
  <c r="M98" i="23" s="1"/>
  <c r="L38" i="19"/>
  <c r="L85" i="19" s="1"/>
  <c r="L111" i="19" s="1"/>
  <c r="L121" i="19" s="1"/>
  <c r="E34" i="7"/>
  <c r="F54" i="15" l="1"/>
  <c r="X54" i="15" s="1"/>
  <c r="V41" i="15"/>
  <c r="N39" i="27"/>
  <c r="N44" i="27" s="1"/>
  <c r="Q94" i="23"/>
  <c r="N51" i="22"/>
  <c r="N55" i="22" s="1"/>
  <c r="N66" i="22" s="1"/>
  <c r="N76" i="22" s="1"/>
  <c r="N39" i="29"/>
  <c r="N44" i="29" s="1"/>
  <c r="O30" i="17"/>
  <c r="P117" i="19"/>
  <c r="O31" i="26"/>
  <c r="O35" i="26" s="1"/>
  <c r="P115" i="18"/>
  <c r="P121" i="18" s="1"/>
  <c r="Q59" i="25"/>
  <c r="Q66" i="25" s="1"/>
  <c r="P97" i="18"/>
  <c r="P81" i="20"/>
  <c r="Q77" i="24"/>
  <c r="Q84" i="24" s="1"/>
  <c r="Q60" i="24"/>
  <c r="Q64" i="24" s="1"/>
  <c r="P52" i="21"/>
  <c r="P56" i="21" s="1"/>
  <c r="Q42" i="25"/>
  <c r="Q46" i="25" s="1"/>
  <c r="N33" i="37"/>
  <c r="N45" i="37" s="1"/>
  <c r="N25" i="37"/>
  <c r="O42" i="26"/>
  <c r="P29" i="20"/>
  <c r="P70" i="21"/>
  <c r="P79" i="21" s="1"/>
  <c r="P99" i="20"/>
  <c r="P106" i="20" s="1"/>
  <c r="P88" i="21"/>
  <c r="P36" i="20"/>
  <c r="L25" i="37"/>
  <c r="N88" i="21"/>
  <c r="M30" i="17"/>
  <c r="N70" i="21"/>
  <c r="N79" i="21" s="1"/>
  <c r="M31" i="26"/>
  <c r="M35" i="26" s="1"/>
  <c r="O42" i="25"/>
  <c r="O46" i="25" s="1"/>
  <c r="O77" i="24"/>
  <c r="O84" i="24" s="1"/>
  <c r="N52" i="21"/>
  <c r="N56" i="21" s="1"/>
  <c r="N29" i="19"/>
  <c r="N97" i="18"/>
  <c r="N115" i="18"/>
  <c r="N121" i="18" s="1"/>
  <c r="N46" i="18"/>
  <c r="L33" i="37"/>
  <c r="L45" i="37" s="1"/>
  <c r="L51" i="22"/>
  <c r="L55" i="22" s="1"/>
  <c r="L66" i="22" s="1"/>
  <c r="L76" i="22" s="1"/>
  <c r="N54" i="18"/>
  <c r="L39" i="29"/>
  <c r="L44" i="29" s="1"/>
  <c r="N36" i="20"/>
  <c r="M42" i="26"/>
  <c r="N29" i="20"/>
  <c r="L39" i="27"/>
  <c r="L44" i="27" s="1"/>
  <c r="N38" i="18"/>
  <c r="N99" i="20"/>
  <c r="N106" i="20" s="1"/>
  <c r="N81" i="20"/>
  <c r="O59" i="25"/>
  <c r="O66" i="25" s="1"/>
  <c r="M123" i="17"/>
  <c r="M132" i="17" s="1"/>
  <c r="M58" i="16"/>
  <c r="K109" i="16"/>
  <c r="K135" i="16" s="1"/>
  <c r="E37" i="7"/>
  <c r="T88" i="21" l="1"/>
  <c r="AK115" i="19"/>
  <c r="AM115" i="19" s="1"/>
  <c r="U94" i="24"/>
  <c r="U75" i="25"/>
  <c r="S75" i="25"/>
  <c r="AI89" i="20"/>
  <c r="AK89" i="20" s="1"/>
  <c r="AI78" i="18"/>
  <c r="AK78" i="18" s="1"/>
  <c r="D18" i="32"/>
  <c r="AI113" i="20"/>
  <c r="AK113" i="20" s="1"/>
  <c r="AF115" i="20"/>
  <c r="AK115" i="20" s="1"/>
  <c r="AD28" i="27"/>
  <c r="AD32" i="27" s="1"/>
  <c r="T26" i="5"/>
  <c r="W26" i="5" s="1"/>
  <c r="Y26" i="5" s="1"/>
  <c r="AG25" i="27"/>
  <c r="AI25" i="27" s="1"/>
  <c r="AI76" i="20"/>
  <c r="AK76" i="20" s="1"/>
  <c r="AI69" i="23"/>
  <c r="AJ69" i="24"/>
  <c r="AL69" i="24" s="1"/>
  <c r="AD28" i="28"/>
  <c r="AD32" i="28" s="1"/>
  <c r="T25" i="6"/>
  <c r="T26" i="6" s="1"/>
  <c r="AG26" i="28"/>
  <c r="AG28" i="28" s="1"/>
  <c r="H36" i="5"/>
  <c r="H37" i="5" s="1"/>
  <c r="H42" i="5" s="1"/>
  <c r="AA39" i="27"/>
  <c r="AA44" i="27" s="1"/>
  <c r="Q31" i="26"/>
  <c r="Q35" i="26" s="1"/>
  <c r="AJ74" i="24"/>
  <c r="AL74" i="24" s="1"/>
  <c r="R115" i="18"/>
  <c r="V54" i="15"/>
  <c r="AE96" i="19"/>
  <c r="J31" i="2" s="1"/>
  <c r="V46" i="15"/>
  <c r="Q77" i="23"/>
  <c r="Q84" i="23" s="1"/>
  <c r="O105" i="17"/>
  <c r="O47" i="26"/>
  <c r="O123" i="17"/>
  <c r="O132" i="17" s="1"/>
  <c r="Q60" i="23"/>
  <c r="Q64" i="23" s="1"/>
  <c r="P36" i="19"/>
  <c r="Q69" i="25"/>
  <c r="Q79" i="25" s="1"/>
  <c r="AB84" i="17"/>
  <c r="Q87" i="24"/>
  <c r="Q98" i="24" s="1"/>
  <c r="P29" i="19"/>
  <c r="N39" i="28"/>
  <c r="N44" i="28" s="1"/>
  <c r="P99" i="19"/>
  <c r="P108" i="19" s="1"/>
  <c r="P81" i="19"/>
  <c r="P38" i="20"/>
  <c r="P85" i="20" s="1"/>
  <c r="P109" i="20" s="1"/>
  <c r="P119" i="20" s="1"/>
  <c r="P82" i="21"/>
  <c r="P92" i="21" s="1"/>
  <c r="P38" i="18"/>
  <c r="P46" i="18"/>
  <c r="P54" i="18"/>
  <c r="N99" i="19"/>
  <c r="N108" i="19" s="1"/>
  <c r="O94" i="23"/>
  <c r="M50" i="16"/>
  <c r="M50" i="17"/>
  <c r="M58" i="17"/>
  <c r="M141" i="17"/>
  <c r="M47" i="26"/>
  <c r="L39" i="28"/>
  <c r="L44" i="28" s="1"/>
  <c r="O69" i="25"/>
  <c r="O79" i="25" s="1"/>
  <c r="N82" i="21"/>
  <c r="N92" i="21" s="1"/>
  <c r="N38" i="19"/>
  <c r="M42" i="16"/>
  <c r="M105" i="17"/>
  <c r="O60" i="23"/>
  <c r="N38" i="20"/>
  <c r="N85" i="20" s="1"/>
  <c r="N109" i="20" s="1"/>
  <c r="N119" i="20" s="1"/>
  <c r="M42" i="17"/>
  <c r="N56" i="18"/>
  <c r="N101" i="18" s="1"/>
  <c r="N124" i="18" s="1"/>
  <c r="O77" i="23"/>
  <c r="O84" i="23" s="1"/>
  <c r="N81" i="19"/>
  <c r="F25" i="32" l="1"/>
  <c r="AA31" i="3"/>
  <c r="AE119" i="17"/>
  <c r="AI111" i="18"/>
  <c r="AK111" i="18" s="1"/>
  <c r="F32" i="15"/>
  <c r="X32" i="15" s="1"/>
  <c r="V32" i="15"/>
  <c r="AI68" i="20"/>
  <c r="AK68" i="20" s="1"/>
  <c r="AJ72" i="24"/>
  <c r="AL72" i="24" s="1"/>
  <c r="V115" i="18"/>
  <c r="V36" i="20"/>
  <c r="AG29" i="24"/>
  <c r="AJ28" i="24"/>
  <c r="AJ29" i="24" s="1"/>
  <c r="AI28" i="23"/>
  <c r="AN28" i="23" s="1"/>
  <c r="AA32" i="3"/>
  <c r="AE120" i="17"/>
  <c r="AI112" i="18"/>
  <c r="AK112" i="18" s="1"/>
  <c r="AI22" i="20"/>
  <c r="AK22" i="20" s="1"/>
  <c r="AH22" i="19"/>
  <c r="AE34" i="16" s="1"/>
  <c r="AD30" i="15" s="1"/>
  <c r="AH30" i="15" s="1"/>
  <c r="AJ30" i="15" s="1"/>
  <c r="AE34" i="17"/>
  <c r="AH98" i="19"/>
  <c r="AI69" i="21"/>
  <c r="AK69" i="21" s="1"/>
  <c r="V99" i="20"/>
  <c r="W75" i="25"/>
  <c r="AE48" i="16"/>
  <c r="AD45" i="15" s="1"/>
  <c r="AH45" i="15" s="1"/>
  <c r="AJ45" i="15" s="1"/>
  <c r="AD24" i="22"/>
  <c r="AG24" i="22" s="1"/>
  <c r="AI24" i="22" s="1"/>
  <c r="AE48" i="17"/>
  <c r="AH48" i="17" s="1"/>
  <c r="AJ48" i="17" s="1"/>
  <c r="AG23" i="22"/>
  <c r="AI23" i="22" s="1"/>
  <c r="V46" i="18"/>
  <c r="AI42" i="18"/>
  <c r="AK42" i="18" s="1"/>
  <c r="F43" i="15"/>
  <c r="X43" i="15" s="1"/>
  <c r="AH43" i="15" s="1"/>
  <c r="AJ43" i="15" s="1"/>
  <c r="AC46" i="18"/>
  <c r="G22" i="9" s="1"/>
  <c r="S30" i="17"/>
  <c r="T46" i="18"/>
  <c r="T115" i="18"/>
  <c r="T121" i="18" s="1"/>
  <c r="S31" i="26"/>
  <c r="S35" i="26" s="1"/>
  <c r="R39" i="27"/>
  <c r="R44" i="27" s="1"/>
  <c r="F37" i="5"/>
  <c r="S42" i="26"/>
  <c r="U77" i="24"/>
  <c r="U84" i="24" s="1"/>
  <c r="U42" i="25"/>
  <c r="U46" i="25" s="1"/>
  <c r="U59" i="25"/>
  <c r="U66" i="25" s="1"/>
  <c r="T54" i="18"/>
  <c r="T38" i="18"/>
  <c r="R39" i="29"/>
  <c r="R44" i="29" s="1"/>
  <c r="T81" i="20"/>
  <c r="T97" i="18"/>
  <c r="R25" i="37"/>
  <c r="R33" i="37"/>
  <c r="R45" i="37" s="1"/>
  <c r="T99" i="20"/>
  <c r="T106" i="20" s="1"/>
  <c r="T52" i="21"/>
  <c r="T56" i="21" s="1"/>
  <c r="T36" i="20"/>
  <c r="T29" i="20"/>
  <c r="T70" i="21"/>
  <c r="T79" i="21" s="1"/>
  <c r="R36" i="19"/>
  <c r="P33" i="37"/>
  <c r="P45" i="37" s="1"/>
  <c r="P25" i="37"/>
  <c r="R99" i="20"/>
  <c r="R106" i="20" s="1"/>
  <c r="Q123" i="17"/>
  <c r="P39" i="27"/>
  <c r="R88" i="21"/>
  <c r="S94" i="24"/>
  <c r="R54" i="18"/>
  <c r="R121" i="18"/>
  <c r="S77" i="24"/>
  <c r="S84" i="24" s="1"/>
  <c r="R38" i="18"/>
  <c r="P39" i="29"/>
  <c r="P44" i="29" s="1"/>
  <c r="P39" i="28"/>
  <c r="P44" i="28" s="1"/>
  <c r="S42" i="25"/>
  <c r="S46" i="25" s="1"/>
  <c r="S59" i="25"/>
  <c r="S66" i="25" s="1"/>
  <c r="P51" i="22"/>
  <c r="R52" i="21"/>
  <c r="R56" i="21" s="1"/>
  <c r="R29" i="20"/>
  <c r="S94" i="23"/>
  <c r="R81" i="20"/>
  <c r="AI26" i="28"/>
  <c r="Q42" i="26"/>
  <c r="Q47" i="26" s="1"/>
  <c r="AL69" i="23"/>
  <c r="AN69" i="23" s="1"/>
  <c r="AI115" i="20"/>
  <c r="R70" i="21"/>
  <c r="R79" i="21" s="1"/>
  <c r="Q50" i="16"/>
  <c r="AI28" i="28"/>
  <c r="R46" i="18"/>
  <c r="R97" i="18"/>
  <c r="R29" i="19"/>
  <c r="AG28" i="27"/>
  <c r="AG32" i="27" s="1"/>
  <c r="AI32" i="27" s="1"/>
  <c r="R36" i="20"/>
  <c r="Q50" i="17"/>
  <c r="O42" i="17"/>
  <c r="O50" i="17"/>
  <c r="Q87" i="23"/>
  <c r="Q98" i="23" s="1"/>
  <c r="O123" i="16"/>
  <c r="O132" i="16" s="1"/>
  <c r="O50" i="16"/>
  <c r="O58" i="17"/>
  <c r="O105" i="16"/>
  <c r="O141" i="17"/>
  <c r="O42" i="16"/>
  <c r="P38" i="19"/>
  <c r="P85" i="19" s="1"/>
  <c r="P111" i="19" s="1"/>
  <c r="P121" i="19" s="1"/>
  <c r="O58" i="16"/>
  <c r="P56" i="18"/>
  <c r="P101" i="18" s="1"/>
  <c r="P124" i="18" s="1"/>
  <c r="M60" i="16"/>
  <c r="M60" i="17"/>
  <c r="M109" i="17" s="1"/>
  <c r="M135" i="17" s="1"/>
  <c r="M145" i="17" s="1"/>
  <c r="M123" i="16"/>
  <c r="M132" i="16" s="1"/>
  <c r="O64" i="23"/>
  <c r="O87" i="23" s="1"/>
  <c r="M105" i="16"/>
  <c r="N85" i="19"/>
  <c r="N111" i="19" s="1"/>
  <c r="N121" i="19" s="1"/>
  <c r="H25" i="6"/>
  <c r="AL28" i="23" l="1"/>
  <c r="X88" i="21"/>
  <c r="X46" i="18"/>
  <c r="D17" i="3" s="1"/>
  <c r="V43" i="15"/>
  <c r="X54" i="18"/>
  <c r="W31" i="26"/>
  <c r="W35" i="26" s="1"/>
  <c r="AE60" i="19"/>
  <c r="AB84" i="16"/>
  <c r="X117" i="19"/>
  <c r="AE61" i="19"/>
  <c r="AK61" i="19" s="1"/>
  <c r="AM61" i="19" s="1"/>
  <c r="W30" i="17"/>
  <c r="X115" i="18"/>
  <c r="X121" i="18" s="1"/>
  <c r="V39" i="29"/>
  <c r="V44" i="29" s="1"/>
  <c r="X52" i="21"/>
  <c r="X38" i="18"/>
  <c r="V25" i="37"/>
  <c r="V33" i="37"/>
  <c r="V45" i="37" s="1"/>
  <c r="X97" i="18"/>
  <c r="V39" i="28"/>
  <c r="V44" i="28" s="1"/>
  <c r="U42" i="26"/>
  <c r="X81" i="20"/>
  <c r="V51" i="22"/>
  <c r="Y75" i="25"/>
  <c r="X70" i="21"/>
  <c r="X79" i="21" s="1"/>
  <c r="X99" i="20"/>
  <c r="X106" i="20" s="1"/>
  <c r="X36" i="20"/>
  <c r="X29" i="20"/>
  <c r="Y77" i="24"/>
  <c r="Y84" i="24" s="1"/>
  <c r="V106" i="20"/>
  <c r="U31" i="26"/>
  <c r="U35" i="26" s="1"/>
  <c r="U30" i="17"/>
  <c r="AK98" i="19"/>
  <c r="AM98" i="19" s="1"/>
  <c r="AD33" i="2"/>
  <c r="V70" i="21"/>
  <c r="V79" i="21" s="1"/>
  <c r="AL29" i="24"/>
  <c r="AH48" i="16"/>
  <c r="AJ48" i="16" s="1"/>
  <c r="T25" i="37"/>
  <c r="U58" i="17"/>
  <c r="F16" i="2"/>
  <c r="AE122" i="16"/>
  <c r="V36" i="19"/>
  <c r="AL28" i="24"/>
  <c r="W94" i="24"/>
  <c r="V52" i="21"/>
  <c r="V56" i="21" s="1"/>
  <c r="T39" i="29"/>
  <c r="T44" i="29" s="1"/>
  <c r="W77" i="24"/>
  <c r="W84" i="24" s="1"/>
  <c r="AI29" i="23"/>
  <c r="AL29" i="23" s="1"/>
  <c r="AN29" i="23" s="1"/>
  <c r="W60" i="24"/>
  <c r="W64" i="24" s="1"/>
  <c r="V54" i="18"/>
  <c r="W59" i="25"/>
  <c r="W66" i="25" s="1"/>
  <c r="AK22" i="19"/>
  <c r="AM22" i="19" s="1"/>
  <c r="V97" i="18"/>
  <c r="V38" i="18"/>
  <c r="V121" i="18"/>
  <c r="F47" i="15"/>
  <c r="T33" i="37"/>
  <c r="T45" i="37" s="1"/>
  <c r="V81" i="20"/>
  <c r="T51" i="22"/>
  <c r="T55" i="22" s="1"/>
  <c r="T66" i="22" s="1"/>
  <c r="T76" i="22" s="1"/>
  <c r="V88" i="21"/>
  <c r="W42" i="25"/>
  <c r="W46" i="25" s="1"/>
  <c r="V29" i="20"/>
  <c r="V38" i="20" s="1"/>
  <c r="W94" i="23"/>
  <c r="V29" i="19"/>
  <c r="V117" i="19"/>
  <c r="T117" i="19"/>
  <c r="S58" i="16"/>
  <c r="S123" i="17"/>
  <c r="S132" i="17" s="1"/>
  <c r="S58" i="17"/>
  <c r="S141" i="17"/>
  <c r="S47" i="26"/>
  <c r="T29" i="19"/>
  <c r="S42" i="16"/>
  <c r="T36" i="19"/>
  <c r="S50" i="17"/>
  <c r="S50" i="16"/>
  <c r="S42" i="17"/>
  <c r="U94" i="23"/>
  <c r="T81" i="19"/>
  <c r="U69" i="25"/>
  <c r="U79" i="25" s="1"/>
  <c r="R51" i="22"/>
  <c r="U77" i="23"/>
  <c r="U84" i="23" s="1"/>
  <c r="T56" i="18"/>
  <c r="T101" i="18" s="1"/>
  <c r="T124" i="18" s="1"/>
  <c r="R39" i="28"/>
  <c r="R44" i="28" s="1"/>
  <c r="T99" i="19"/>
  <c r="T108" i="19" s="1"/>
  <c r="T82" i="21"/>
  <c r="T92" i="21" s="1"/>
  <c r="T38" i="20"/>
  <c r="T85" i="20" s="1"/>
  <c r="T109" i="20" s="1"/>
  <c r="T119" i="20" s="1"/>
  <c r="Q58" i="16"/>
  <c r="Q58" i="17"/>
  <c r="K22" i="9"/>
  <c r="R38" i="19"/>
  <c r="R99" i="19"/>
  <c r="R108" i="19" s="1"/>
  <c r="P55" i="22"/>
  <c r="P66" i="22" s="1"/>
  <c r="P76" i="22" s="1"/>
  <c r="R117" i="19"/>
  <c r="S77" i="23"/>
  <c r="S84" i="23" s="1"/>
  <c r="Q42" i="17"/>
  <c r="S69" i="25"/>
  <c r="S79" i="25" s="1"/>
  <c r="Q105" i="17"/>
  <c r="R82" i="21"/>
  <c r="R92" i="21" s="1"/>
  <c r="R81" i="19"/>
  <c r="R56" i="18"/>
  <c r="R101" i="18" s="1"/>
  <c r="R124" i="18" s="1"/>
  <c r="R38" i="20"/>
  <c r="R85" i="20" s="1"/>
  <c r="R109" i="20" s="1"/>
  <c r="R119" i="20" s="1"/>
  <c r="Q132" i="17"/>
  <c r="AI28" i="27"/>
  <c r="Q141" i="17"/>
  <c r="O60" i="17"/>
  <c r="O109" i="17" s="1"/>
  <c r="O135" i="17" s="1"/>
  <c r="O60" i="16"/>
  <c r="O109" i="16" s="1"/>
  <c r="O135" i="16" s="1"/>
  <c r="M109" i="16"/>
  <c r="M135" i="16" s="1"/>
  <c r="H23" i="6"/>
  <c r="H26" i="6" s="1"/>
  <c r="D57" i="2"/>
  <c r="AK73" i="20" l="1"/>
  <c r="AK52" i="20"/>
  <c r="M57" i="34"/>
  <c r="M37" i="34"/>
  <c r="M49" i="34"/>
  <c r="M59" i="34"/>
  <c r="AK45" i="18"/>
  <c r="M56" i="34"/>
  <c r="AL62" i="24"/>
  <c r="AK47" i="20"/>
  <c r="AK66" i="18"/>
  <c r="AK84" i="18"/>
  <c r="AK92" i="18"/>
  <c r="AK83" i="18"/>
  <c r="AK82" i="18"/>
  <c r="AK93" i="18"/>
  <c r="AK96" i="18"/>
  <c r="AL41" i="24"/>
  <c r="AJ39" i="26"/>
  <c r="D30" i="21"/>
  <c r="D54" i="19" s="1"/>
  <c r="AE54" i="19" s="1"/>
  <c r="D65" i="20"/>
  <c r="B20" i="37"/>
  <c r="D47" i="20"/>
  <c r="C29" i="26"/>
  <c r="C31" i="26" s="1"/>
  <c r="C35" i="26" s="1"/>
  <c r="D58" i="20"/>
  <c r="D58" i="19" s="1"/>
  <c r="C82" i="16" s="1"/>
  <c r="D48" i="21"/>
  <c r="D77" i="19" s="1"/>
  <c r="AE77" i="19" s="1"/>
  <c r="B23" i="37"/>
  <c r="D50" i="20"/>
  <c r="C39" i="26"/>
  <c r="B35" i="5" s="1"/>
  <c r="L35" i="5" s="1"/>
  <c r="E68" i="24"/>
  <c r="E77" i="24" s="1"/>
  <c r="E84" i="24" s="1"/>
  <c r="B17" i="37"/>
  <c r="D23" i="21"/>
  <c r="D46" i="19" s="1"/>
  <c r="D89" i="18"/>
  <c r="C96" i="17" s="1"/>
  <c r="E33" i="25"/>
  <c r="E50" i="23" s="1"/>
  <c r="AF50" i="23" s="1"/>
  <c r="E36" i="25"/>
  <c r="E24" i="25"/>
  <c r="D48" i="18"/>
  <c r="D65" i="18"/>
  <c r="D36" i="21"/>
  <c r="D73" i="20"/>
  <c r="D19" i="21"/>
  <c r="D22" i="21"/>
  <c r="D45" i="19" s="1"/>
  <c r="C68" i="16" s="1"/>
  <c r="D85" i="21"/>
  <c r="E56" i="24"/>
  <c r="E56" i="23" s="1"/>
  <c r="E44" i="24"/>
  <c r="B41" i="22"/>
  <c r="E32" i="25"/>
  <c r="E19" i="25"/>
  <c r="E39" i="25"/>
  <c r="E57" i="23" s="1"/>
  <c r="D34" i="18"/>
  <c r="D34" i="15" s="1"/>
  <c r="E53" i="24"/>
  <c r="D74" i="20"/>
  <c r="D30" i="18"/>
  <c r="E52" i="25"/>
  <c r="E70" i="23" s="1"/>
  <c r="D27" i="21"/>
  <c r="D39" i="21"/>
  <c r="D68" i="19" s="1"/>
  <c r="AE68" i="19" s="1"/>
  <c r="B40" i="22"/>
  <c r="E55" i="25"/>
  <c r="E73" i="23" s="1"/>
  <c r="P30" i="2" s="1"/>
  <c r="D47" i="21"/>
  <c r="D76" i="19" s="1"/>
  <c r="AE76" i="19" s="1"/>
  <c r="D77" i="21"/>
  <c r="D42" i="20"/>
  <c r="D71" i="20"/>
  <c r="C95" i="17" s="1"/>
  <c r="B32" i="37"/>
  <c r="E38" i="25"/>
  <c r="E55" i="23" s="1"/>
  <c r="D51" i="18"/>
  <c r="E21" i="25"/>
  <c r="E38" i="23" s="1"/>
  <c r="C67" i="16" s="1"/>
  <c r="B29" i="37"/>
  <c r="D96" i="18"/>
  <c r="D106" i="18"/>
  <c r="E41" i="24"/>
  <c r="E26" i="25"/>
  <c r="E43" i="23" s="1"/>
  <c r="AF43" i="23" s="1"/>
  <c r="D37" i="21"/>
  <c r="D94" i="18"/>
  <c r="C101" i="17" s="1"/>
  <c r="D41" i="21"/>
  <c r="D66" i="20"/>
  <c r="E49" i="24"/>
  <c r="D26" i="20"/>
  <c r="D26" i="19" s="1"/>
  <c r="H34" i="15" s="1"/>
  <c r="E46" i="24"/>
  <c r="E46" i="23" s="1"/>
  <c r="AF46" i="23" s="1"/>
  <c r="D49" i="20"/>
  <c r="F44" i="5"/>
  <c r="D62" i="20"/>
  <c r="D69" i="18"/>
  <c r="B22" i="37"/>
  <c r="B45" i="22"/>
  <c r="L57" i="2"/>
  <c r="D93" i="18"/>
  <c r="C100" i="17" s="1"/>
  <c r="D119" i="18"/>
  <c r="C127" i="16" s="1"/>
  <c r="D35" i="18"/>
  <c r="D35" i="15" s="1"/>
  <c r="F41" i="6"/>
  <c r="D134" i="18"/>
  <c r="E23" i="25"/>
  <c r="E40" i="23" s="1"/>
  <c r="AF40" i="23" s="1"/>
  <c r="E56" i="25"/>
  <c r="E74" i="23" s="1"/>
  <c r="B36" i="28"/>
  <c r="B32" i="6" s="1"/>
  <c r="E50" i="25"/>
  <c r="B36" i="22"/>
  <c r="D92" i="18"/>
  <c r="C99" i="17" s="1"/>
  <c r="E90" i="24"/>
  <c r="E90" i="23" s="1"/>
  <c r="AH114" i="19"/>
  <c r="AH117" i="19" s="1"/>
  <c r="E37" i="25"/>
  <c r="E54" i="23" s="1"/>
  <c r="AF54" i="23" s="1"/>
  <c r="D50" i="21"/>
  <c r="D79" i="19" s="1"/>
  <c r="B38" i="22"/>
  <c r="E27" i="25"/>
  <c r="D45" i="21"/>
  <c r="D53" i="20"/>
  <c r="D51" i="21"/>
  <c r="D80" i="19" s="1"/>
  <c r="C104" i="16" s="1"/>
  <c r="AB104" i="16" s="1"/>
  <c r="D82" i="18"/>
  <c r="D70" i="20"/>
  <c r="C94" i="17" s="1"/>
  <c r="B37" i="29"/>
  <c r="F33" i="6" s="1"/>
  <c r="D28" i="21"/>
  <c r="D36" i="18"/>
  <c r="D36" i="15" s="1"/>
  <c r="D17" i="20"/>
  <c r="H15" i="3" s="1"/>
  <c r="D26" i="21"/>
  <c r="B36" i="29"/>
  <c r="F32" i="6" s="1"/>
  <c r="B30" i="37"/>
  <c r="B39" i="22"/>
  <c r="D52" i="20"/>
  <c r="D97" i="20"/>
  <c r="C121" i="17" s="1"/>
  <c r="H57" i="3"/>
  <c r="B41" i="6"/>
  <c r="D129" i="18"/>
  <c r="D27" i="20"/>
  <c r="D27" i="19" s="1"/>
  <c r="H35" i="15" s="1"/>
  <c r="D79" i="18"/>
  <c r="E36" i="24"/>
  <c r="B49" i="22"/>
  <c r="C102" i="17" s="1"/>
  <c r="D42" i="21"/>
  <c r="D44" i="21"/>
  <c r="D21" i="20"/>
  <c r="D21" i="19" s="1"/>
  <c r="AE21" i="19" s="1"/>
  <c r="J29" i="15" s="1"/>
  <c r="B34" i="22"/>
  <c r="B37" i="28"/>
  <c r="B33" i="6" s="1"/>
  <c r="B46" i="22"/>
  <c r="C92" i="17" s="1"/>
  <c r="C40" i="26"/>
  <c r="B36" i="5" s="1"/>
  <c r="E51" i="24"/>
  <c r="D64" i="20"/>
  <c r="E34" i="25"/>
  <c r="D104" i="20"/>
  <c r="D59" i="20"/>
  <c r="D34" i="20"/>
  <c r="C47" i="17" s="1"/>
  <c r="C50" i="17" s="1"/>
  <c r="D74" i="18"/>
  <c r="E54" i="25"/>
  <c r="E72" i="23" s="1"/>
  <c r="C118" i="16" s="1"/>
  <c r="D61" i="21"/>
  <c r="D90" i="19" s="1"/>
  <c r="E25" i="25"/>
  <c r="E42" i="23" s="1"/>
  <c r="AF42" i="23" s="1"/>
  <c r="D81" i="18"/>
  <c r="D28" i="20"/>
  <c r="D28" i="19" s="1"/>
  <c r="H36" i="15" s="1"/>
  <c r="D51" i="20"/>
  <c r="E31" i="25"/>
  <c r="E48" i="23" s="1"/>
  <c r="AF48" i="23" s="1"/>
  <c r="E40" i="25"/>
  <c r="E58" i="23" s="1"/>
  <c r="D77" i="18"/>
  <c r="B37" i="22"/>
  <c r="D24" i="21"/>
  <c r="D38" i="21"/>
  <c r="D67" i="19" s="1"/>
  <c r="AE67" i="19" s="1"/>
  <c r="D66" i="18"/>
  <c r="B50" i="22"/>
  <c r="D29" i="21"/>
  <c r="D76" i="21"/>
  <c r="D105" i="19" s="1"/>
  <c r="H40" i="2" s="1"/>
  <c r="D35" i="21"/>
  <c r="D33" i="21"/>
  <c r="AK24" i="21"/>
  <c r="AI41" i="21"/>
  <c r="AK41" i="21" s="1"/>
  <c r="AE94" i="17"/>
  <c r="AH70" i="19"/>
  <c r="F38" i="2"/>
  <c r="AI119" i="18"/>
  <c r="AK119" i="18" s="1"/>
  <c r="G36" i="9"/>
  <c r="G31" i="7" s="1"/>
  <c r="K31" i="7" s="1"/>
  <c r="AH105" i="19"/>
  <c r="AE129" i="16" s="1"/>
  <c r="AL32" i="25"/>
  <c r="AE83" i="17"/>
  <c r="AH59" i="19"/>
  <c r="AE83" i="16" s="1"/>
  <c r="H33" i="6"/>
  <c r="AG37" i="29"/>
  <c r="AI37" i="29" s="1"/>
  <c r="AF70" i="21"/>
  <c r="AF79" i="21" s="1"/>
  <c r="AI60" i="21"/>
  <c r="AK60" i="21" s="1"/>
  <c r="AH89" i="19"/>
  <c r="AK89" i="19" s="1"/>
  <c r="AM89" i="19" s="1"/>
  <c r="AE101" i="17"/>
  <c r="AI42" i="21"/>
  <c r="AK42" i="21" s="1"/>
  <c r="AH76" i="19"/>
  <c r="AH17" i="19"/>
  <c r="AE27" i="16" s="1"/>
  <c r="AD22" i="15" s="1"/>
  <c r="AI53" i="23"/>
  <c r="J18" i="32"/>
  <c r="L16" i="32"/>
  <c r="AI36" i="21"/>
  <c r="AK36" i="21" s="1"/>
  <c r="AD59" i="25"/>
  <c r="AD66" i="25" s="1"/>
  <c r="AJ50" i="25"/>
  <c r="AG40" i="22"/>
  <c r="AB31" i="26"/>
  <c r="AB35" i="26" s="1"/>
  <c r="D28" i="5"/>
  <c r="N28" i="5" s="1"/>
  <c r="N29" i="5" s="1"/>
  <c r="N32" i="5" s="1"/>
  <c r="AH29" i="26"/>
  <c r="AJ29" i="26" s="1"/>
  <c r="AA94" i="24"/>
  <c r="AD94" i="24"/>
  <c r="G25" i="14"/>
  <c r="AJ90" i="24"/>
  <c r="AL90" i="24" s="1"/>
  <c r="AK28" i="21"/>
  <c r="C155" i="30"/>
  <c r="AI69" i="18"/>
  <c r="AI49" i="20"/>
  <c r="AK49" i="20" s="1"/>
  <c r="AI21" i="20"/>
  <c r="AK21" i="20" s="1"/>
  <c r="AC29" i="20"/>
  <c r="J16" i="3" s="1"/>
  <c r="AJ27" i="25"/>
  <c r="AH79" i="19"/>
  <c r="AG60" i="24"/>
  <c r="AI40" i="23"/>
  <c r="AJ40" i="24"/>
  <c r="AL40" i="24" s="1"/>
  <c r="AH47" i="19"/>
  <c r="AL27" i="25"/>
  <c r="AI44" i="23"/>
  <c r="AE79" i="16" s="1"/>
  <c r="AC94" i="23"/>
  <c r="AC98" i="23" s="1"/>
  <c r="AC100" i="23" s="1"/>
  <c r="I32" i="13"/>
  <c r="I33" i="13" s="1"/>
  <c r="AF92" i="23"/>
  <c r="R50" i="2" s="1"/>
  <c r="AI53" i="20"/>
  <c r="AK53" i="20" s="1"/>
  <c r="AE37" i="17"/>
  <c r="AH37" i="17" s="1"/>
  <c r="AJ37" i="17" s="1"/>
  <c r="AI25" i="20"/>
  <c r="AK25" i="20" s="1"/>
  <c r="AH25" i="19"/>
  <c r="AE37" i="16" s="1"/>
  <c r="AH37" i="16" s="1"/>
  <c r="AJ37" i="16" s="1"/>
  <c r="AE103" i="17"/>
  <c r="K58" i="30"/>
  <c r="AD39" i="28"/>
  <c r="T32" i="6"/>
  <c r="AI71" i="18"/>
  <c r="AK71" i="18" s="1"/>
  <c r="AE75" i="17"/>
  <c r="AI48" i="18"/>
  <c r="AC54" i="18"/>
  <c r="G23" i="9" s="1"/>
  <c r="K23" i="9" s="1"/>
  <c r="F50" i="15"/>
  <c r="X50" i="15" s="1"/>
  <c r="AF46" i="18"/>
  <c r="AE49" i="17"/>
  <c r="AE49" i="16"/>
  <c r="AD46" i="15" s="1"/>
  <c r="AH46" i="15" s="1"/>
  <c r="AJ46" i="15" s="1"/>
  <c r="AI45" i="18"/>
  <c r="AI46" i="18" s="1"/>
  <c r="AJ53" i="24"/>
  <c r="AL53" i="24" s="1"/>
  <c r="AJ73" i="24"/>
  <c r="AL73" i="24" s="1"/>
  <c r="AI73" i="23"/>
  <c r="AD30" i="2" s="1"/>
  <c r="AG77" i="24"/>
  <c r="AG84" i="24" s="1"/>
  <c r="AE74" i="17"/>
  <c r="AH50" i="19"/>
  <c r="AJ38" i="25"/>
  <c r="AL38" i="25" s="1"/>
  <c r="AJ44" i="24"/>
  <c r="AL44" i="24" s="1"/>
  <c r="Z115" i="18"/>
  <c r="F25" i="2"/>
  <c r="AC115" i="18"/>
  <c r="AI106" i="18"/>
  <c r="AK106" i="18" s="1"/>
  <c r="AI46" i="23"/>
  <c r="AE86" i="16" s="1"/>
  <c r="T33" i="6"/>
  <c r="M62" i="34"/>
  <c r="AJ55" i="24"/>
  <c r="AL55" i="24" s="1"/>
  <c r="AI55" i="23"/>
  <c r="AE21" i="16"/>
  <c r="AD16" i="15" s="1"/>
  <c r="AF23" i="18"/>
  <c r="AF27" i="18" s="1"/>
  <c r="AE21" i="17"/>
  <c r="AL33" i="25"/>
  <c r="AJ23" i="25"/>
  <c r="AI132" i="18"/>
  <c r="AK132" i="18" s="1"/>
  <c r="AJ49" i="24"/>
  <c r="AL49" i="24" s="1"/>
  <c r="AH49" i="19"/>
  <c r="AE73" i="16" s="1"/>
  <c r="AE73" i="17"/>
  <c r="AD51" i="22"/>
  <c r="AE68" i="17"/>
  <c r="AI34" i="22"/>
  <c r="AI45" i="23"/>
  <c r="AL45" i="23" s="1"/>
  <c r="AN45" i="23" s="1"/>
  <c r="AJ45" i="24"/>
  <c r="AL45" i="24" s="1"/>
  <c r="J25" i="32"/>
  <c r="AI91" i="20"/>
  <c r="AK91" i="20" s="1"/>
  <c r="AH91" i="19"/>
  <c r="AK91" i="19" s="1"/>
  <c r="AM91" i="19" s="1"/>
  <c r="AF99" i="20"/>
  <c r="AF106" i="20" s="1"/>
  <c r="AE115" i="17"/>
  <c r="AA27" i="3"/>
  <c r="AI42" i="20"/>
  <c r="AK42" i="20" s="1"/>
  <c r="AC81" i="20"/>
  <c r="AI77" i="18"/>
  <c r="AK77" i="18" s="1"/>
  <c r="AL25" i="25"/>
  <c r="AI42" i="23"/>
  <c r="AH52" i="19"/>
  <c r="AH96" i="19"/>
  <c r="AK96" i="19" s="1"/>
  <c r="AM96" i="19" s="1"/>
  <c r="AI67" i="21"/>
  <c r="AK67" i="21" s="1"/>
  <c r="AI23" i="21"/>
  <c r="AK69" i="18"/>
  <c r="AA14" i="28"/>
  <c r="AH42" i="19"/>
  <c r="AE64" i="16" s="1"/>
  <c r="AF81" i="20"/>
  <c r="AE64" i="17"/>
  <c r="H32" i="6"/>
  <c r="AA39" i="29"/>
  <c r="AG36" i="29"/>
  <c r="AI36" i="29" s="1"/>
  <c r="AH74" i="19"/>
  <c r="AE98" i="16" s="1"/>
  <c r="AI24" i="18"/>
  <c r="AK24" i="18" s="1"/>
  <c r="AE27" i="17"/>
  <c r="AE95" i="17"/>
  <c r="AI88" i="18"/>
  <c r="AK88" i="18" s="1"/>
  <c r="AI64" i="20"/>
  <c r="F35" i="15"/>
  <c r="AI35" i="18"/>
  <c r="AK35" i="18" s="1"/>
  <c r="AE70" i="17"/>
  <c r="AJ70" i="17" s="1"/>
  <c r="M68" i="34"/>
  <c r="AE90" i="17"/>
  <c r="AI83" i="18"/>
  <c r="AI33" i="21"/>
  <c r="AK33" i="21" s="1"/>
  <c r="AL36" i="25"/>
  <c r="AI65" i="18"/>
  <c r="AC97" i="18"/>
  <c r="F18" i="2" s="1"/>
  <c r="F19" i="3" s="1"/>
  <c r="AI50" i="21"/>
  <c r="AK50" i="21" s="1"/>
  <c r="I23" i="30"/>
  <c r="AI65" i="20"/>
  <c r="AK65" i="20" s="1"/>
  <c r="AI45" i="21"/>
  <c r="AK45" i="21" s="1"/>
  <c r="D25" i="32"/>
  <c r="T36" i="5"/>
  <c r="AI82" i="18"/>
  <c r="AL55" i="25"/>
  <c r="J33" i="3"/>
  <c r="J35" i="3" s="1"/>
  <c r="AI97" i="20"/>
  <c r="AK97" i="20" s="1"/>
  <c r="AC99" i="20"/>
  <c r="G29" i="11" s="1"/>
  <c r="AH54" i="19"/>
  <c r="AI54" i="20"/>
  <c r="AK54" i="20" s="1"/>
  <c r="AI37" i="21"/>
  <c r="AK37" i="21" s="1"/>
  <c r="AL26" i="25"/>
  <c r="AH21" i="19"/>
  <c r="AE33" i="16" s="1"/>
  <c r="AD29" i="15" s="1"/>
  <c r="AF29" i="20"/>
  <c r="AI73" i="20"/>
  <c r="AG49" i="22"/>
  <c r="AI49" i="22" s="1"/>
  <c r="AH60" i="19"/>
  <c r="AE84" i="16" s="1"/>
  <c r="AH84" i="16" s="1"/>
  <c r="AJ84" i="16" s="1"/>
  <c r="AE84" i="17"/>
  <c r="AH84" i="17" s="1"/>
  <c r="AJ84" i="17" s="1"/>
  <c r="AI60" i="20"/>
  <c r="AK60" i="20" s="1"/>
  <c r="AI56" i="23"/>
  <c r="AE99" i="16" s="1"/>
  <c r="AG46" i="22"/>
  <c r="AI46" i="22" s="1"/>
  <c r="AK27" i="21"/>
  <c r="D33" i="6"/>
  <c r="AG37" i="28"/>
  <c r="AI37" i="28" s="1"/>
  <c r="AI59" i="20"/>
  <c r="AK59" i="20" s="1"/>
  <c r="AE40" i="17"/>
  <c r="AK36" i="18"/>
  <c r="I112" i="30"/>
  <c r="AI58" i="23"/>
  <c r="AE102" i="16" s="1"/>
  <c r="AE69" i="17"/>
  <c r="AK65" i="18"/>
  <c r="AH28" i="19"/>
  <c r="AE40" i="16" s="1"/>
  <c r="AD36" i="15" s="1"/>
  <c r="C91" i="30"/>
  <c r="C103" i="30" s="1"/>
  <c r="AI63" i="18"/>
  <c r="AK63" i="18" s="1"/>
  <c r="AF97" i="18"/>
  <c r="AE67" i="17"/>
  <c r="AE91" i="17"/>
  <c r="AI84" i="18"/>
  <c r="AH51" i="19"/>
  <c r="AL34" i="25"/>
  <c r="AI38" i="21"/>
  <c r="AK38" i="21" s="1"/>
  <c r="AJ54" i="25"/>
  <c r="AL54" i="25" s="1"/>
  <c r="C28" i="31"/>
  <c r="AD40" i="2"/>
  <c r="AG61" i="22"/>
  <c r="AG63" i="22" s="1"/>
  <c r="AE129" i="17"/>
  <c r="AA41" i="3"/>
  <c r="AD63" i="22"/>
  <c r="AI72" i="18"/>
  <c r="AK72" i="18" s="1"/>
  <c r="AE76" i="17"/>
  <c r="AJ32" i="25"/>
  <c r="AI52" i="18"/>
  <c r="AK52" i="18" s="1"/>
  <c r="AE56" i="16"/>
  <c r="AD54" i="15" s="1"/>
  <c r="AH54" i="15" s="1"/>
  <c r="AJ54" i="15" s="1"/>
  <c r="AE56" i="17"/>
  <c r="AH66" i="19"/>
  <c r="AE90" i="16" s="1"/>
  <c r="AL19" i="25"/>
  <c r="AG42" i="25"/>
  <c r="AG46" i="25" s="1"/>
  <c r="AI36" i="23"/>
  <c r="AN36" i="23" s="1"/>
  <c r="H25" i="32"/>
  <c r="AC70" i="21"/>
  <c r="AC79" i="21" s="1"/>
  <c r="AI61" i="21"/>
  <c r="AK61" i="21" s="1"/>
  <c r="I101" i="30"/>
  <c r="AJ28" i="25"/>
  <c r="AL28" i="25" s="1"/>
  <c r="AL50" i="25"/>
  <c r="AG59" i="25"/>
  <c r="AG66" i="25" s="1"/>
  <c r="AI68" i="23"/>
  <c r="AG41" i="22"/>
  <c r="AI41" i="22" s="1"/>
  <c r="K136" i="30"/>
  <c r="AI70" i="20"/>
  <c r="AK70" i="20" s="1"/>
  <c r="AI27" i="20"/>
  <c r="AK27" i="20" s="1"/>
  <c r="E91" i="30"/>
  <c r="E103" i="30" s="1"/>
  <c r="AA26" i="3"/>
  <c r="AE114" i="17"/>
  <c r="AD25" i="2"/>
  <c r="AE114" i="16"/>
  <c r="AE38" i="17"/>
  <c r="AH26" i="19"/>
  <c r="AE38" i="16" s="1"/>
  <c r="AD34" i="15" s="1"/>
  <c r="AK26" i="20"/>
  <c r="AI49" i="23"/>
  <c r="AN49" i="23" s="1"/>
  <c r="I28" i="31"/>
  <c r="K18" i="31"/>
  <c r="K38" i="30"/>
  <c r="AI35" i="21"/>
  <c r="AK35" i="21" s="1"/>
  <c r="AJ62" i="24"/>
  <c r="G24" i="14"/>
  <c r="G24" i="13" s="1"/>
  <c r="K24" i="13" s="1"/>
  <c r="O24" i="13" s="1"/>
  <c r="AE82" i="17"/>
  <c r="AH58" i="19"/>
  <c r="AE82" i="16" s="1"/>
  <c r="AA14" i="27"/>
  <c r="I91" i="30"/>
  <c r="AJ56" i="25"/>
  <c r="AL56" i="25" s="1"/>
  <c r="AG94" i="24"/>
  <c r="AI90" i="23"/>
  <c r="AD48" i="2" s="1"/>
  <c r="AE138" i="16" s="1"/>
  <c r="AJ50" i="24"/>
  <c r="AL50" i="24" s="1"/>
  <c r="AI50" i="23"/>
  <c r="K89" i="30"/>
  <c r="AL31" i="25"/>
  <c r="AI48" i="23"/>
  <c r="AE99" i="17"/>
  <c r="AI104" i="20"/>
  <c r="G33" i="11"/>
  <c r="K33" i="11" s="1"/>
  <c r="J42" i="3"/>
  <c r="T42" i="3" s="1"/>
  <c r="AG45" i="22"/>
  <c r="AI45" i="22" s="1"/>
  <c r="AI26" i="21"/>
  <c r="AI89" i="18"/>
  <c r="AK89" i="18" s="1"/>
  <c r="AE22" i="16"/>
  <c r="AD17" i="15" s="1"/>
  <c r="AH17" i="15" s="1"/>
  <c r="AJ17" i="15" s="1"/>
  <c r="AE22" i="17"/>
  <c r="AI19" i="18"/>
  <c r="AK19" i="18" s="1"/>
  <c r="AI51" i="18"/>
  <c r="AK51" i="18" s="1"/>
  <c r="F53" i="15"/>
  <c r="X53" i="15" s="1"/>
  <c r="G28" i="31"/>
  <c r="AF52" i="21"/>
  <c r="AF56" i="21" s="1"/>
  <c r="AK19" i="21"/>
  <c r="AI79" i="18"/>
  <c r="AK22" i="21"/>
  <c r="AH45" i="19"/>
  <c r="AE68" i="16" s="1"/>
  <c r="AI71" i="20"/>
  <c r="AK71" i="20" s="1"/>
  <c r="F29" i="15"/>
  <c r="AC38" i="18"/>
  <c r="F15" i="2" s="1"/>
  <c r="AI30" i="18"/>
  <c r="AI62" i="20"/>
  <c r="AK62" i="20" s="1"/>
  <c r="AH80" i="19"/>
  <c r="AE104" i="16" s="1"/>
  <c r="AF54" i="18"/>
  <c r="AA18" i="3" s="1"/>
  <c r="AK48" i="18"/>
  <c r="AE52" i="17"/>
  <c r="AE52" i="16"/>
  <c r="AD50" i="15" s="1"/>
  <c r="AI40" i="22"/>
  <c r="AI29" i="21"/>
  <c r="AI76" i="21"/>
  <c r="AK76" i="21" s="1"/>
  <c r="S32" i="11"/>
  <c r="G32" i="10" s="1"/>
  <c r="K32" i="10" s="1"/>
  <c r="O32" i="10" s="1"/>
  <c r="AH71" i="19"/>
  <c r="AE95" i="16" s="1"/>
  <c r="G23" i="30"/>
  <c r="AC13" i="18"/>
  <c r="F57" i="2"/>
  <c r="M16" i="34"/>
  <c r="AI26" i="20"/>
  <c r="AK29" i="21"/>
  <c r="AJ52" i="25"/>
  <c r="T28" i="5"/>
  <c r="T29" i="5" s="1"/>
  <c r="T32" i="5" s="1"/>
  <c r="AE31" i="26"/>
  <c r="AE35" i="26" s="1"/>
  <c r="AD30" i="22"/>
  <c r="AG17" i="22"/>
  <c r="AI17" i="22" s="1"/>
  <c r="AE28" i="16"/>
  <c r="AD23" i="15" s="1"/>
  <c r="AE28" i="17"/>
  <c r="AJ54" i="24"/>
  <c r="AL54" i="24" s="1"/>
  <c r="AI54" i="23"/>
  <c r="AE96" i="16" s="1"/>
  <c r="AI44" i="21"/>
  <c r="AK44" i="21" s="1"/>
  <c r="AB21" i="15"/>
  <c r="AJ39" i="25"/>
  <c r="AF88" i="21"/>
  <c r="AI128" i="18"/>
  <c r="AK128" i="18" s="1"/>
  <c r="AI96" i="18"/>
  <c r="AH65" i="19"/>
  <c r="AE89" i="16" s="1"/>
  <c r="AL23" i="25"/>
  <c r="AI52" i="20"/>
  <c r="AJ24" i="25"/>
  <c r="AE39" i="17"/>
  <c r="AI47" i="21"/>
  <c r="AK47" i="21" s="1"/>
  <c r="AE89" i="17"/>
  <c r="G112" i="30"/>
  <c r="AI43" i="23"/>
  <c r="AJ43" i="24"/>
  <c r="AL43" i="24" s="1"/>
  <c r="AE72" i="16"/>
  <c r="AE72" i="17"/>
  <c r="AI28" i="20"/>
  <c r="AK28" i="20" s="1"/>
  <c r="D35" i="5"/>
  <c r="N35" i="5" s="1"/>
  <c r="AH39" i="26"/>
  <c r="AB42" i="26"/>
  <c r="AI99" i="18"/>
  <c r="AK99" i="18" s="1"/>
  <c r="AE107" i="17"/>
  <c r="AA20" i="3"/>
  <c r="AE92" i="17"/>
  <c r="AI85" i="18"/>
  <c r="AK85" i="18" s="1"/>
  <c r="AK23" i="21"/>
  <c r="AH46" i="19"/>
  <c r="AE69" i="16" s="1"/>
  <c r="AK32" i="18"/>
  <c r="AI32" i="18"/>
  <c r="AE36" i="17"/>
  <c r="AE36" i="16"/>
  <c r="AD32" i="15" s="1"/>
  <c r="AE55" i="17"/>
  <c r="AE55" i="16"/>
  <c r="AD53" i="15" s="1"/>
  <c r="AJ37" i="25"/>
  <c r="AI92" i="18"/>
  <c r="AI47" i="20"/>
  <c r="AJ51" i="24"/>
  <c r="AL51" i="24" s="1"/>
  <c r="AI24" i="21"/>
  <c r="AH67" i="19"/>
  <c r="AG34" i="22"/>
  <c r="AA51" i="22"/>
  <c r="AA55" i="22" s="1"/>
  <c r="AA66" i="22" s="1"/>
  <c r="AA76" i="22" s="1"/>
  <c r="AI39" i="21"/>
  <c r="AK39" i="21" s="1"/>
  <c r="AD39" i="29"/>
  <c r="AD44" i="29" s="1"/>
  <c r="AH64" i="19"/>
  <c r="AE88" i="17"/>
  <c r="AK64" i="20"/>
  <c r="AH34" i="19"/>
  <c r="AE47" i="16" s="1"/>
  <c r="AD44" i="15" s="1"/>
  <c r="AE47" i="17"/>
  <c r="AF36" i="20"/>
  <c r="AI85" i="21"/>
  <c r="AK85" i="21" s="1"/>
  <c r="AC88" i="21"/>
  <c r="Z88" i="21"/>
  <c r="S25" i="11"/>
  <c r="G25" i="10" s="1"/>
  <c r="K25" i="10" s="1"/>
  <c r="O25" i="10" s="1"/>
  <c r="AJ33" i="25"/>
  <c r="AJ25" i="25"/>
  <c r="AH68" i="19"/>
  <c r="AI74" i="20"/>
  <c r="AK74" i="20" s="1"/>
  <c r="AD60" i="24"/>
  <c r="AD64" i="24" s="1"/>
  <c r="AJ36" i="24"/>
  <c r="AE78" i="17"/>
  <c r="AJ72" i="25"/>
  <c r="AL72" i="25" s="1"/>
  <c r="AD75" i="25"/>
  <c r="S26" i="14"/>
  <c r="G26" i="13" s="1"/>
  <c r="AI51" i="21"/>
  <c r="AK51" i="21" s="1"/>
  <c r="AL24" i="25"/>
  <c r="AJ55" i="25"/>
  <c r="AK30" i="21"/>
  <c r="AG75" i="25"/>
  <c r="AI91" i="23"/>
  <c r="S71" i="34"/>
  <c r="AG43" i="22"/>
  <c r="AI43" i="22" s="1"/>
  <c r="AE86" i="17"/>
  <c r="AG37" i="27"/>
  <c r="AI37" i="27" s="1"/>
  <c r="AD39" i="27"/>
  <c r="AD44" i="27" s="1"/>
  <c r="AE96" i="17"/>
  <c r="AH27" i="19"/>
  <c r="AE39" i="16" s="1"/>
  <c r="AD35" i="15" s="1"/>
  <c r="F34" i="15"/>
  <c r="AI34" i="18"/>
  <c r="AK34" i="18" s="1"/>
  <c r="AI74" i="18"/>
  <c r="AK74" i="18" s="1"/>
  <c r="AJ21" i="25"/>
  <c r="AD42" i="25"/>
  <c r="AD46" i="25" s="1"/>
  <c r="AJ19" i="25"/>
  <c r="H18" i="32"/>
  <c r="L17" i="32"/>
  <c r="AG39" i="22"/>
  <c r="AI39" i="22" s="1"/>
  <c r="K137" i="30"/>
  <c r="AA25" i="3"/>
  <c r="AI105" i="18"/>
  <c r="AK105" i="18" s="1"/>
  <c r="AF115" i="18"/>
  <c r="AF121" i="18" s="1"/>
  <c r="AE113" i="17"/>
  <c r="AI93" i="18"/>
  <c r="AI41" i="23"/>
  <c r="AN41" i="23" s="1"/>
  <c r="AI28" i="21"/>
  <c r="G42" i="31"/>
  <c r="AI17" i="20"/>
  <c r="AK17" i="20" s="1"/>
  <c r="J15" i="3"/>
  <c r="G20" i="11"/>
  <c r="G20" i="10" s="1"/>
  <c r="K20" i="10" s="1"/>
  <c r="O20" i="10" s="1"/>
  <c r="AI94" i="18"/>
  <c r="AK94" i="18" s="1"/>
  <c r="D32" i="6"/>
  <c r="AG36" i="28"/>
  <c r="AI36" i="28" s="1"/>
  <c r="AA39" i="28"/>
  <c r="AA44" i="28" s="1"/>
  <c r="M63" i="34"/>
  <c r="AJ40" i="25"/>
  <c r="AL40" i="25" s="1"/>
  <c r="AK26" i="21"/>
  <c r="N57" i="2"/>
  <c r="AA13" i="22"/>
  <c r="AH77" i="19"/>
  <c r="AE101" i="16" s="1"/>
  <c r="AE100" i="17"/>
  <c r="AI30" i="21"/>
  <c r="AG38" i="22"/>
  <c r="AI38" i="22" s="1"/>
  <c r="AC36" i="20"/>
  <c r="J17" i="3" s="1"/>
  <c r="AI34" i="20"/>
  <c r="AK34" i="20" s="1"/>
  <c r="Z36" i="20"/>
  <c r="AI62" i="23"/>
  <c r="AD19" i="2" s="1"/>
  <c r="J57" i="3"/>
  <c r="AC13" i="20"/>
  <c r="AI13" i="20" s="1"/>
  <c r="AK13" i="20" s="1"/>
  <c r="AI51" i="23"/>
  <c r="AI58" i="20"/>
  <c r="AK58" i="20" s="1"/>
  <c r="AI36" i="18"/>
  <c r="F36" i="15"/>
  <c r="AI81" i="18"/>
  <c r="AK81" i="18" s="1"/>
  <c r="AG37" i="22"/>
  <c r="AI37" i="22" s="1"/>
  <c r="AJ57" i="24"/>
  <c r="AL57" i="24" s="1"/>
  <c r="AI57" i="23"/>
  <c r="AI70" i="23"/>
  <c r="AL52" i="25"/>
  <c r="AI13" i="23"/>
  <c r="AJ41" i="24"/>
  <c r="AH40" i="26"/>
  <c r="AJ40" i="26" s="1"/>
  <c r="D36" i="5"/>
  <c r="N36" i="5" s="1"/>
  <c r="AG36" i="22"/>
  <c r="AI36" i="22" s="1"/>
  <c r="AH53" i="19"/>
  <c r="AE77" i="17"/>
  <c r="E112" i="30"/>
  <c r="AI66" i="18"/>
  <c r="AI50" i="20"/>
  <c r="AK50" i="20" s="1"/>
  <c r="AI22" i="21"/>
  <c r="AG50" i="22"/>
  <c r="AI50" i="22" s="1"/>
  <c r="AI92" i="23"/>
  <c r="AJ73" i="25"/>
  <c r="AL73" i="25" s="1"/>
  <c r="AK30" i="18"/>
  <c r="AF38" i="18"/>
  <c r="AE33" i="17"/>
  <c r="AI38" i="23"/>
  <c r="AE67" i="16" s="1"/>
  <c r="AL21" i="25"/>
  <c r="AI51" i="20"/>
  <c r="AK51" i="20" s="1"/>
  <c r="AI27" i="21"/>
  <c r="AJ46" i="24"/>
  <c r="AL46" i="24" s="1"/>
  <c r="E23" i="30"/>
  <c r="AI74" i="23"/>
  <c r="AJ56" i="24"/>
  <c r="AL56" i="24" s="1"/>
  <c r="AL37" i="25"/>
  <c r="AI72" i="23"/>
  <c r="AI19" i="21"/>
  <c r="AC52" i="21"/>
  <c r="AC56" i="21" s="1"/>
  <c r="AK104" i="20"/>
  <c r="AA42" i="3"/>
  <c r="AH106" i="19"/>
  <c r="AE130" i="16" s="1"/>
  <c r="AD77" i="24"/>
  <c r="G30" i="14" s="1"/>
  <c r="G33" i="14" s="1"/>
  <c r="AA77" i="24"/>
  <c r="AA84" i="24" s="1"/>
  <c r="AJ68" i="24"/>
  <c r="AL68" i="24" s="1"/>
  <c r="E71" i="34"/>
  <c r="C23" i="30"/>
  <c r="AI48" i="21"/>
  <c r="AK48" i="21" s="1"/>
  <c r="C42" i="31"/>
  <c r="D45" i="32"/>
  <c r="AJ34" i="25"/>
  <c r="I22" i="14"/>
  <c r="AJ29" i="25"/>
  <c r="AL29" i="25"/>
  <c r="G91" i="30"/>
  <c r="G103" i="30" s="1"/>
  <c r="AH13" i="19"/>
  <c r="AH94" i="19"/>
  <c r="AK94" i="19" s="1"/>
  <c r="AM94" i="19" s="1"/>
  <c r="AI65" i="21"/>
  <c r="AK65" i="21" s="1"/>
  <c r="AJ36" i="25"/>
  <c r="D20" i="33"/>
  <c r="J17" i="33"/>
  <c r="AI66" i="20"/>
  <c r="AK66" i="20" s="1"/>
  <c r="AL39" i="25"/>
  <c r="AH102" i="19"/>
  <c r="AK102" i="19" s="1"/>
  <c r="AM102" i="19" s="1"/>
  <c r="AI73" i="21"/>
  <c r="AK73" i="21" s="1"/>
  <c r="AA14" i="29"/>
  <c r="AJ31" i="25"/>
  <c r="AE98" i="17"/>
  <c r="AI91" i="18"/>
  <c r="AK91" i="18" s="1"/>
  <c r="AJ26" i="25"/>
  <c r="T35" i="5"/>
  <c r="AE42" i="26"/>
  <c r="AJ42" i="26" s="1"/>
  <c r="AE97" i="17"/>
  <c r="AJ97" i="17" s="1"/>
  <c r="AH73" i="19"/>
  <c r="AM73" i="19" s="1"/>
  <c r="C112" i="30"/>
  <c r="AI77" i="21"/>
  <c r="AK77" i="21" s="1"/>
  <c r="S33" i="11"/>
  <c r="W33" i="11" s="1"/>
  <c r="AE102" i="17"/>
  <c r="AG26" i="24"/>
  <c r="AG31" i="24" s="1"/>
  <c r="AI23" i="23"/>
  <c r="AE44" i="16" s="1"/>
  <c r="AJ23" i="24"/>
  <c r="AJ26" i="24" s="1"/>
  <c r="AJ31" i="24" s="1"/>
  <c r="AL23" i="24"/>
  <c r="R29" i="5"/>
  <c r="W141" i="17"/>
  <c r="W58" i="17"/>
  <c r="W58" i="16"/>
  <c r="X56" i="18"/>
  <c r="X101" i="18" s="1"/>
  <c r="X124" i="18" s="1"/>
  <c r="W42" i="26"/>
  <c r="W47" i="26" s="1"/>
  <c r="W105" i="17"/>
  <c r="V55" i="22"/>
  <c r="V66" i="22" s="1"/>
  <c r="V76" i="22" s="1"/>
  <c r="W123" i="17"/>
  <c r="W132" i="17" s="1"/>
  <c r="X36" i="19"/>
  <c r="W50" i="17"/>
  <c r="W50" i="16"/>
  <c r="X29" i="19"/>
  <c r="W42" i="17"/>
  <c r="W42" i="16"/>
  <c r="X38" i="20"/>
  <c r="X85" i="20" s="1"/>
  <c r="X109" i="20" s="1"/>
  <c r="X119" i="20" s="1"/>
  <c r="AE75" i="19"/>
  <c r="AK75" i="19" s="1"/>
  <c r="AM75" i="19" s="1"/>
  <c r="X56" i="21"/>
  <c r="Y59" i="25"/>
  <c r="Y66" i="25" s="1"/>
  <c r="Y42" i="25"/>
  <c r="Y77" i="23"/>
  <c r="Y84" i="23" s="1"/>
  <c r="X99" i="19"/>
  <c r="X108" i="19" s="1"/>
  <c r="Y94" i="24"/>
  <c r="U47" i="26"/>
  <c r="U123" i="17"/>
  <c r="U132" i="17" s="1"/>
  <c r="V99" i="19"/>
  <c r="V108" i="19" s="1"/>
  <c r="U58" i="16"/>
  <c r="W87" i="24"/>
  <c r="W98" i="24" s="1"/>
  <c r="W77" i="23"/>
  <c r="W84" i="23" s="1"/>
  <c r="V82" i="21"/>
  <c r="V92" i="21" s="1"/>
  <c r="U141" i="17"/>
  <c r="W60" i="23"/>
  <c r="V85" i="20"/>
  <c r="V109" i="20" s="1"/>
  <c r="V119" i="20" s="1"/>
  <c r="U42" i="16"/>
  <c r="D47" i="15"/>
  <c r="U42" i="17"/>
  <c r="U50" i="17"/>
  <c r="U50" i="16"/>
  <c r="W69" i="25"/>
  <c r="W79" i="25" s="1"/>
  <c r="V81" i="19"/>
  <c r="V56" i="18"/>
  <c r="V101" i="18" s="1"/>
  <c r="V124" i="18" s="1"/>
  <c r="U105" i="17"/>
  <c r="T39" i="28"/>
  <c r="T44" i="28" s="1"/>
  <c r="V38" i="19"/>
  <c r="S60" i="17"/>
  <c r="S105" i="17"/>
  <c r="S123" i="16"/>
  <c r="S132" i="16" s="1"/>
  <c r="T38" i="19"/>
  <c r="T85" i="19" s="1"/>
  <c r="T111" i="19" s="1"/>
  <c r="T121" i="19" s="1"/>
  <c r="R55" i="22"/>
  <c r="R66" i="22" s="1"/>
  <c r="R76" i="22" s="1"/>
  <c r="Q123" i="16"/>
  <c r="Q132" i="16" s="1"/>
  <c r="R85" i="19"/>
  <c r="R111" i="19" s="1"/>
  <c r="R121" i="19" s="1"/>
  <c r="K49" i="30"/>
  <c r="K15" i="30"/>
  <c r="K142" i="30"/>
  <c r="D25" i="6"/>
  <c r="N25" i="6" s="1"/>
  <c r="W25" i="6" s="1"/>
  <c r="Y25" i="6" s="1"/>
  <c r="D24" i="6"/>
  <c r="N24" i="6" s="1"/>
  <c r="D23" i="6"/>
  <c r="D18" i="6"/>
  <c r="AH32" i="15" l="1"/>
  <c r="AJ32" i="15" s="1"/>
  <c r="AE70" i="16"/>
  <c r="AJ70" i="16" s="1"/>
  <c r="AM47" i="19"/>
  <c r="AE76" i="16"/>
  <c r="AM52" i="19"/>
  <c r="C86" i="17"/>
  <c r="P29" i="2"/>
  <c r="E41" i="23"/>
  <c r="AF41" i="23" s="1"/>
  <c r="AL41" i="23" s="1"/>
  <c r="E36" i="23"/>
  <c r="C65" i="16" s="1"/>
  <c r="E68" i="23"/>
  <c r="P24" i="2" s="1"/>
  <c r="E49" i="23"/>
  <c r="AF49" i="23" s="1"/>
  <c r="AL49" i="23" s="1"/>
  <c r="E53" i="23"/>
  <c r="AF53" i="23" s="1"/>
  <c r="AL53" i="23" s="1"/>
  <c r="AN53" i="23" s="1"/>
  <c r="C70" i="17"/>
  <c r="D106" i="19"/>
  <c r="H41" i="2" s="1"/>
  <c r="C52" i="16"/>
  <c r="C52" i="17"/>
  <c r="D88" i="21"/>
  <c r="D114" i="19"/>
  <c r="H49" i="2" s="1"/>
  <c r="C115" i="16"/>
  <c r="P26" i="2"/>
  <c r="C55" i="17"/>
  <c r="C55" i="16"/>
  <c r="C73" i="17"/>
  <c r="AB73" i="17" s="1"/>
  <c r="AH73" i="17" s="1"/>
  <c r="AJ73" i="17" s="1"/>
  <c r="D49" i="19"/>
  <c r="C73" i="16" s="1"/>
  <c r="AB73" i="16" s="1"/>
  <c r="AH73" i="16" s="1"/>
  <c r="AJ73" i="16" s="1"/>
  <c r="C120" i="16"/>
  <c r="P31" i="2"/>
  <c r="C72" i="16"/>
  <c r="C72" i="17"/>
  <c r="C69" i="16"/>
  <c r="AE46" i="19"/>
  <c r="AK46" i="19" s="1"/>
  <c r="AM46" i="19" s="1"/>
  <c r="D51" i="19"/>
  <c r="AE51" i="19" s="1"/>
  <c r="AK51" i="19" s="1"/>
  <c r="AM51" i="19" s="1"/>
  <c r="C114" i="17"/>
  <c r="C123" i="17" s="1"/>
  <c r="D25" i="2"/>
  <c r="D26" i="3" s="1"/>
  <c r="C90" i="17"/>
  <c r="D66" i="19"/>
  <c r="D74" i="19"/>
  <c r="C98" i="16" s="1"/>
  <c r="AB98" i="16" s="1"/>
  <c r="AH98" i="16" s="1"/>
  <c r="AJ98" i="16" s="1"/>
  <c r="C103" i="16"/>
  <c r="D64" i="19"/>
  <c r="C88" i="16" s="1"/>
  <c r="AB88" i="16" s="1"/>
  <c r="AH23" i="15"/>
  <c r="AJ23" i="15"/>
  <c r="D81" i="20"/>
  <c r="H19" i="3" s="1"/>
  <c r="D54" i="18"/>
  <c r="D17" i="2" s="1"/>
  <c r="C33" i="17"/>
  <c r="C114" i="16"/>
  <c r="C77" i="17"/>
  <c r="D73" i="19"/>
  <c r="C97" i="16" s="1"/>
  <c r="D50" i="19"/>
  <c r="C74" i="16" s="1"/>
  <c r="D29" i="15"/>
  <c r="D38" i="15" s="1"/>
  <c r="C102" i="16"/>
  <c r="E51" i="23"/>
  <c r="C92" i="16" s="1"/>
  <c r="D70" i="19"/>
  <c r="D42" i="19"/>
  <c r="C64" i="16" s="1"/>
  <c r="D34" i="19"/>
  <c r="D36" i="19" s="1"/>
  <c r="H16" i="2" s="1"/>
  <c r="D53" i="15"/>
  <c r="V53" i="15" s="1"/>
  <c r="C91" i="16"/>
  <c r="D62" i="19"/>
  <c r="C86" i="16" s="1"/>
  <c r="E44" i="23"/>
  <c r="C79" i="16" s="1"/>
  <c r="D52" i="19"/>
  <c r="C76" i="16" s="1"/>
  <c r="H33" i="3"/>
  <c r="H35" i="3" s="1"/>
  <c r="D17" i="19"/>
  <c r="AE17" i="19" s="1"/>
  <c r="D97" i="19"/>
  <c r="C121" i="16" s="1"/>
  <c r="C27" i="17"/>
  <c r="C30" i="17" s="1"/>
  <c r="C127" i="17"/>
  <c r="C83" i="17"/>
  <c r="AB83" i="17" s="1"/>
  <c r="AH83" i="17" s="1"/>
  <c r="AJ83" i="17" s="1"/>
  <c r="E59" i="25"/>
  <c r="E66" i="25" s="1"/>
  <c r="C130" i="17"/>
  <c r="AB130" i="17" s="1"/>
  <c r="D59" i="19"/>
  <c r="C83" i="16" s="1"/>
  <c r="AB83" i="16" s="1"/>
  <c r="AH83" i="16" s="1"/>
  <c r="AJ83" i="16" s="1"/>
  <c r="C74" i="17"/>
  <c r="C99" i="16"/>
  <c r="H42" i="3"/>
  <c r="R42" i="3" s="1"/>
  <c r="D65" i="19"/>
  <c r="C89" i="16" s="1"/>
  <c r="C100" i="16"/>
  <c r="C78" i="16"/>
  <c r="E60" i="24"/>
  <c r="E64" i="24" s="1"/>
  <c r="E87" i="24" s="1"/>
  <c r="B51" i="22"/>
  <c r="B55" i="22" s="1"/>
  <c r="B66" i="22" s="1"/>
  <c r="B76" i="22" s="1"/>
  <c r="D70" i="21"/>
  <c r="D79" i="21" s="1"/>
  <c r="D52" i="21"/>
  <c r="D56" i="21" s="1"/>
  <c r="D99" i="20"/>
  <c r="D106" i="20" s="1"/>
  <c r="D36" i="20"/>
  <c r="H17" i="3" s="1"/>
  <c r="D115" i="18"/>
  <c r="D121" i="18" s="1"/>
  <c r="D97" i="18"/>
  <c r="D18" i="2" s="1"/>
  <c r="B24" i="37"/>
  <c r="B25" i="37" s="1"/>
  <c r="B31" i="37"/>
  <c r="B33" i="37" s="1"/>
  <c r="B45" i="37" s="1"/>
  <c r="D131" i="18"/>
  <c r="D49" i="2" s="1"/>
  <c r="D135" i="18"/>
  <c r="D50" i="2" s="1"/>
  <c r="C98" i="17"/>
  <c r="AB98" i="17" s="1"/>
  <c r="AH98" i="17" s="1"/>
  <c r="AJ98" i="17" s="1"/>
  <c r="C38" i="17"/>
  <c r="D38" i="18"/>
  <c r="D15" i="2" s="1"/>
  <c r="B39" i="28"/>
  <c r="B44" i="28" s="1"/>
  <c r="C97" i="17"/>
  <c r="C78" i="17"/>
  <c r="E94" i="24"/>
  <c r="C75" i="17"/>
  <c r="C101" i="16"/>
  <c r="C96" i="16"/>
  <c r="C38" i="16"/>
  <c r="B28" i="5"/>
  <c r="L28" i="5" s="1"/>
  <c r="L29" i="5" s="1"/>
  <c r="C119" i="16"/>
  <c r="D38" i="2"/>
  <c r="D39" i="3" s="1"/>
  <c r="D71" i="19"/>
  <c r="C95" i="16" s="1"/>
  <c r="C89" i="17"/>
  <c r="D29" i="20"/>
  <c r="H16" i="3" s="1"/>
  <c r="D50" i="15"/>
  <c r="V50" i="15" s="1"/>
  <c r="C42" i="26"/>
  <c r="C47" i="26" s="1"/>
  <c r="D53" i="19"/>
  <c r="C77" i="16" s="1"/>
  <c r="C40" i="17"/>
  <c r="AB40" i="17" s="1"/>
  <c r="AH40" i="17" s="1"/>
  <c r="AJ40" i="17" s="1"/>
  <c r="C76" i="17"/>
  <c r="C40" i="16"/>
  <c r="AB40" i="16" s="1"/>
  <c r="AH40" i="16" s="1"/>
  <c r="AJ40" i="16" s="1"/>
  <c r="B39" i="29"/>
  <c r="B44" i="29" s="1"/>
  <c r="C64" i="17"/>
  <c r="AE65" i="16"/>
  <c r="C69" i="17"/>
  <c r="C82" i="17"/>
  <c r="AB82" i="17" s="1"/>
  <c r="AH82" i="17" s="1"/>
  <c r="AJ82" i="17" s="1"/>
  <c r="D47" i="19"/>
  <c r="C70" i="16" s="1"/>
  <c r="E42" i="25"/>
  <c r="E46" i="25" s="1"/>
  <c r="C88" i="17"/>
  <c r="AB88" i="17" s="1"/>
  <c r="AH88" i="17" s="1"/>
  <c r="AJ88" i="17" s="1"/>
  <c r="C39" i="17"/>
  <c r="C39" i="16"/>
  <c r="C103" i="17"/>
  <c r="E94" i="23"/>
  <c r="P48" i="2"/>
  <c r="V48" i="2" s="1"/>
  <c r="H25" i="2"/>
  <c r="D29" i="19"/>
  <c r="H29" i="15"/>
  <c r="H38" i="15" s="1"/>
  <c r="K25" i="14"/>
  <c r="G25" i="13"/>
  <c r="K25" i="13" s="1"/>
  <c r="G40" i="7"/>
  <c r="K40" i="7" s="1"/>
  <c r="I25" i="14"/>
  <c r="AC121" i="18"/>
  <c r="G34" i="9"/>
  <c r="H34" i="6"/>
  <c r="Z99" i="20"/>
  <c r="Z106" i="20" s="1"/>
  <c r="G23" i="11"/>
  <c r="J19" i="3"/>
  <c r="J21" i="3" s="1"/>
  <c r="AE119" i="16"/>
  <c r="Y58" i="16"/>
  <c r="G21" i="11"/>
  <c r="AD17" i="2"/>
  <c r="AA16" i="3"/>
  <c r="D29" i="5"/>
  <c r="D32" i="5" s="1"/>
  <c r="Y123" i="17"/>
  <c r="L18" i="32"/>
  <c r="AL66" i="25"/>
  <c r="AL92" i="23"/>
  <c r="AN92" i="23" s="1"/>
  <c r="N32" i="6"/>
  <c r="W32" i="6" s="1"/>
  <c r="Y32" i="6" s="1"/>
  <c r="S30" i="14"/>
  <c r="W30" i="14" s="1"/>
  <c r="W33" i="14" s="1"/>
  <c r="G24" i="12"/>
  <c r="G27" i="12" s="1"/>
  <c r="G37" i="12" s="1"/>
  <c r="F17" i="2"/>
  <c r="AH31" i="26"/>
  <c r="AH35" i="26" s="1"/>
  <c r="AE58" i="17"/>
  <c r="K32" i="13"/>
  <c r="C45" i="31"/>
  <c r="V19" i="2"/>
  <c r="AF62" i="23"/>
  <c r="R19" i="2" s="1"/>
  <c r="AK25" i="19"/>
  <c r="AM25" i="19" s="1"/>
  <c r="AD31" i="2"/>
  <c r="G23" i="7"/>
  <c r="K23" i="7" s="1"/>
  <c r="T37" i="5"/>
  <c r="T42" i="5" s="1"/>
  <c r="AI79" i="21"/>
  <c r="F34" i="6"/>
  <c r="F39" i="6" s="1"/>
  <c r="N18" i="2"/>
  <c r="N20" i="2" s="1"/>
  <c r="AF38" i="20"/>
  <c r="AF85" i="20" s="1"/>
  <c r="AF109" i="20" s="1"/>
  <c r="AF119" i="20" s="1"/>
  <c r="AF121" i="20" s="1"/>
  <c r="AG69" i="25"/>
  <c r="AG79" i="25" s="1"/>
  <c r="G21" i="9"/>
  <c r="AD24" i="2"/>
  <c r="L33" i="6"/>
  <c r="G24" i="9"/>
  <c r="K24" i="9" s="1"/>
  <c r="AG39" i="29"/>
  <c r="AI39" i="29" s="1"/>
  <c r="Z25" i="37"/>
  <c r="X25" i="37"/>
  <c r="Y50" i="16"/>
  <c r="AK79" i="21"/>
  <c r="AG39" i="27"/>
  <c r="AI39" i="27" s="1"/>
  <c r="AF55" i="23"/>
  <c r="AL55" i="23" s="1"/>
  <c r="AN55" i="23" s="1"/>
  <c r="AE115" i="16"/>
  <c r="AL46" i="25"/>
  <c r="AG64" i="24"/>
  <c r="AE91" i="16"/>
  <c r="AH50" i="15"/>
  <c r="AJ50" i="15" s="1"/>
  <c r="AE94" i="16"/>
  <c r="X39" i="29"/>
  <c r="X44" i="29" s="1"/>
  <c r="AE42" i="17"/>
  <c r="AF82" i="21"/>
  <c r="AF92" i="21" s="1"/>
  <c r="AI61" i="22"/>
  <c r="AJ94" i="24"/>
  <c r="AL94" i="24" s="1"/>
  <c r="AE107" i="16"/>
  <c r="AE77" i="16"/>
  <c r="AK88" i="21"/>
  <c r="G33" i="10"/>
  <c r="K33" i="10" s="1"/>
  <c r="M33" i="10" s="1"/>
  <c r="K24" i="14"/>
  <c r="AA19" i="3"/>
  <c r="V35" i="15"/>
  <c r="AE74" i="16"/>
  <c r="AE78" i="16"/>
  <c r="N33" i="6"/>
  <c r="W33" i="6" s="1"/>
  <c r="Y33" i="6" s="1"/>
  <c r="AE113" i="16"/>
  <c r="G25" i="7"/>
  <c r="K25" i="7" s="1"/>
  <c r="Z121" i="18"/>
  <c r="AL42" i="23"/>
  <c r="AN42" i="23" s="1"/>
  <c r="AL50" i="23"/>
  <c r="AN50" i="23" s="1"/>
  <c r="AL46" i="23"/>
  <c r="AN46" i="23" s="1"/>
  <c r="Z54" i="18"/>
  <c r="AH104" i="16"/>
  <c r="AJ104" i="16" s="1"/>
  <c r="AE88" i="16"/>
  <c r="AE118" i="16"/>
  <c r="AK68" i="19"/>
  <c r="AM68" i="19" s="1"/>
  <c r="D48" i="32"/>
  <c r="AJ75" i="25"/>
  <c r="AL75" i="25" s="1"/>
  <c r="AL31" i="24"/>
  <c r="AA94" i="23"/>
  <c r="AI70" i="21"/>
  <c r="AK70" i="21"/>
  <c r="AK46" i="18"/>
  <c r="AE50" i="16"/>
  <c r="AA35" i="3"/>
  <c r="AA43" i="3" s="1"/>
  <c r="AJ66" i="25"/>
  <c r="AJ77" i="24"/>
  <c r="AL77" i="24" s="1"/>
  <c r="AL43" i="23"/>
  <c r="AN43" i="23" s="1"/>
  <c r="AK56" i="21"/>
  <c r="AI88" i="21"/>
  <c r="AK76" i="19"/>
  <c r="AM76" i="19" s="1"/>
  <c r="M20" i="10"/>
  <c r="T34" i="6"/>
  <c r="Y34" i="6" s="1"/>
  <c r="N37" i="5"/>
  <c r="N42" i="5" s="1"/>
  <c r="AA78" i="22"/>
  <c r="X56" i="15"/>
  <c r="AG30" i="22"/>
  <c r="AI30" i="22" s="1"/>
  <c r="AK54" i="19"/>
  <c r="AM54" i="19" s="1"/>
  <c r="AK60" i="19"/>
  <c r="AM60" i="19" s="1"/>
  <c r="S29" i="11"/>
  <c r="AA77" i="23"/>
  <c r="AA84" i="23" s="1"/>
  <c r="S23" i="11"/>
  <c r="W23" i="11" s="1"/>
  <c r="AE45" i="19"/>
  <c r="AK45" i="19" s="1"/>
  <c r="AM45" i="19" s="1"/>
  <c r="S23" i="14"/>
  <c r="W23" i="14" s="1"/>
  <c r="C157" i="30"/>
  <c r="AD29" i="2"/>
  <c r="AC106" i="20"/>
  <c r="AK106" i="20" s="1"/>
  <c r="AF57" i="23"/>
  <c r="AL57" i="23" s="1"/>
  <c r="AN57" i="23" s="1"/>
  <c r="AD41" i="15"/>
  <c r="AH41" i="15" s="1"/>
  <c r="AJ41" i="15" s="1"/>
  <c r="AE126" i="16"/>
  <c r="AD55" i="22"/>
  <c r="AD66" i="22" s="1"/>
  <c r="AD76" i="22" s="1"/>
  <c r="G32" i="7"/>
  <c r="K32" i="7" s="1"/>
  <c r="AE85" i="16"/>
  <c r="AE120" i="16"/>
  <c r="W36" i="5"/>
  <c r="Y36" i="5" s="1"/>
  <c r="AF74" i="23"/>
  <c r="R31" i="2" s="1"/>
  <c r="AL48" i="23"/>
  <c r="AN48" i="23" s="1"/>
  <c r="AE50" i="17"/>
  <c r="AE100" i="16"/>
  <c r="AF91" i="23"/>
  <c r="AL91" i="23" s="1"/>
  <c r="AN91" i="23" s="1"/>
  <c r="G33" i="8"/>
  <c r="K33" i="8" s="1"/>
  <c r="AE97" i="16"/>
  <c r="AD33" i="15"/>
  <c r="AD41" i="2"/>
  <c r="AD14" i="2"/>
  <c r="AE92" i="16"/>
  <c r="W35" i="5"/>
  <c r="Y35" i="5" s="1"/>
  <c r="AL40" i="23"/>
  <c r="AN40" i="23" s="1"/>
  <c r="AF72" i="23"/>
  <c r="AL72" i="23" s="1"/>
  <c r="AN72" i="23" s="1"/>
  <c r="G20" i="7"/>
  <c r="K20" i="7" s="1"/>
  <c r="AF70" i="23"/>
  <c r="R26" i="2" s="1"/>
  <c r="AD26" i="2"/>
  <c r="I103" i="30"/>
  <c r="AG39" i="28"/>
  <c r="AI39" i="28" s="1"/>
  <c r="AA75" i="25"/>
  <c r="AD84" i="24"/>
  <c r="AD87" i="24" s="1"/>
  <c r="AD98" i="24" s="1"/>
  <c r="AL26" i="24"/>
  <c r="AL23" i="23"/>
  <c r="AL26" i="23" s="1"/>
  <c r="AF38" i="23"/>
  <c r="AL38" i="23" s="1"/>
  <c r="AN38" i="23" s="1"/>
  <c r="AI63" i="22"/>
  <c r="AK52" i="21"/>
  <c r="AC82" i="21"/>
  <c r="AC92" i="21" s="1"/>
  <c r="AE27" i="19"/>
  <c r="J35" i="15" s="1"/>
  <c r="X35" i="15" s="1"/>
  <c r="AH35" i="15" s="1"/>
  <c r="AJ35" i="15" s="1"/>
  <c r="AH99" i="19"/>
  <c r="AH108" i="19" s="1"/>
  <c r="AI38" i="18"/>
  <c r="AK38" i="18" s="1"/>
  <c r="AC56" i="18"/>
  <c r="AC101" i="18" s="1"/>
  <c r="AI23" i="18"/>
  <c r="AK23" i="18" s="1"/>
  <c r="AE123" i="17"/>
  <c r="AH53" i="15"/>
  <c r="AJ53" i="15" s="1"/>
  <c r="K29" i="11"/>
  <c r="K35" i="11" s="1"/>
  <c r="I33" i="11"/>
  <c r="G35" i="11"/>
  <c r="U33" i="11"/>
  <c r="M32" i="10"/>
  <c r="D34" i="6"/>
  <c r="W28" i="5"/>
  <c r="Y28" i="5" s="1"/>
  <c r="AD42" i="3"/>
  <c r="AF42" i="3" s="1"/>
  <c r="Y42" i="26"/>
  <c r="AB47" i="26"/>
  <c r="Y31" i="26"/>
  <c r="Y35" i="26" s="1"/>
  <c r="AE47" i="26"/>
  <c r="AL59" i="25"/>
  <c r="AJ42" i="25"/>
  <c r="AL42" i="25" s="1"/>
  <c r="AA59" i="25"/>
  <c r="AA66" i="25" s="1"/>
  <c r="AJ59" i="25"/>
  <c r="AD69" i="25"/>
  <c r="AA60" i="24"/>
  <c r="AA64" i="24" s="1"/>
  <c r="AA87" i="24" s="1"/>
  <c r="AA98" i="24" s="1"/>
  <c r="AI77" i="23"/>
  <c r="AI84" i="23" s="1"/>
  <c r="AF73" i="23"/>
  <c r="R30" i="2" s="1"/>
  <c r="AI94" i="23"/>
  <c r="AF56" i="23"/>
  <c r="AL56" i="23" s="1"/>
  <c r="AN56" i="23" s="1"/>
  <c r="X51" i="22"/>
  <c r="X55" i="22" s="1"/>
  <c r="X66" i="22" s="1"/>
  <c r="X76" i="22" s="1"/>
  <c r="AI52" i="21"/>
  <c r="AI56" i="21" s="1"/>
  <c r="AI99" i="20"/>
  <c r="AI29" i="20"/>
  <c r="AK29" i="20" s="1"/>
  <c r="AK99" i="20"/>
  <c r="AC38" i="20"/>
  <c r="AC85" i="20" s="1"/>
  <c r="AE105" i="19"/>
  <c r="J40" i="2" s="1"/>
  <c r="AE28" i="19"/>
  <c r="J36" i="15" s="1"/>
  <c r="X36" i="15" s="1"/>
  <c r="AH36" i="15" s="1"/>
  <c r="AJ36" i="15" s="1"/>
  <c r="AK77" i="19"/>
  <c r="AM77" i="19" s="1"/>
  <c r="Z29" i="19"/>
  <c r="AI54" i="18"/>
  <c r="AK54" i="18" s="1"/>
  <c r="Z97" i="18"/>
  <c r="AF56" i="18"/>
  <c r="AF101" i="18" s="1"/>
  <c r="AF124" i="18" s="1"/>
  <c r="AE105" i="17"/>
  <c r="AH27" i="16"/>
  <c r="AJ27" i="16" s="1"/>
  <c r="AE58" i="16"/>
  <c r="V34" i="15"/>
  <c r="F38" i="15"/>
  <c r="F56" i="15"/>
  <c r="V36" i="15"/>
  <c r="W26" i="14"/>
  <c r="I20" i="11"/>
  <c r="W25" i="11"/>
  <c r="U32" i="11"/>
  <c r="W32" i="11"/>
  <c r="K20" i="11"/>
  <c r="K36" i="9"/>
  <c r="D37" i="5"/>
  <c r="J43" i="3"/>
  <c r="F49" i="2"/>
  <c r="F50" i="2"/>
  <c r="Z33" i="37"/>
  <c r="Z45" i="37" s="1"/>
  <c r="X33" i="37"/>
  <c r="X45" i="37" s="1"/>
  <c r="AI36" i="20"/>
  <c r="AK36" i="20" s="1"/>
  <c r="X39" i="28"/>
  <c r="X44" i="28" s="1"/>
  <c r="AA17" i="3"/>
  <c r="AD37" i="2"/>
  <c r="AE130" i="17"/>
  <c r="AH29" i="19"/>
  <c r="AD15" i="2" s="1"/>
  <c r="AH36" i="19"/>
  <c r="Z52" i="21"/>
  <c r="Z56" i="21" s="1"/>
  <c r="Z81" i="20"/>
  <c r="AE42" i="16"/>
  <c r="G22" i="11"/>
  <c r="Z29" i="20"/>
  <c r="AI97" i="18"/>
  <c r="AK97" i="18" s="1"/>
  <c r="AI81" i="20"/>
  <c r="AK81" i="20" s="1"/>
  <c r="AE26" i="19"/>
  <c r="J34" i="15" s="1"/>
  <c r="X34" i="15" s="1"/>
  <c r="AH34" i="15" s="1"/>
  <c r="AJ34" i="15" s="1"/>
  <c r="AI26" i="23"/>
  <c r="AI31" i="23" s="1"/>
  <c r="Z70" i="21"/>
  <c r="Z79" i="21" s="1"/>
  <c r="J39" i="28"/>
  <c r="J44" i="28" s="1"/>
  <c r="AH42" i="26"/>
  <c r="G23" i="14"/>
  <c r="AK67" i="19"/>
  <c r="AM67" i="19" s="1"/>
  <c r="AG51" i="22"/>
  <c r="AI51" i="22" s="1"/>
  <c r="AD56" i="15"/>
  <c r="AN23" i="23"/>
  <c r="Z38" i="18"/>
  <c r="AE75" i="16"/>
  <c r="AE80" i="19"/>
  <c r="AK80" i="19" s="1"/>
  <c r="AM80" i="19" s="1"/>
  <c r="AA42" i="25"/>
  <c r="AA46" i="25" s="1"/>
  <c r="AH81" i="19"/>
  <c r="K30" i="14"/>
  <c r="K33" i="14" s="1"/>
  <c r="AL54" i="23"/>
  <c r="AN54" i="23" s="1"/>
  <c r="AF58" i="23"/>
  <c r="AL58" i="23" s="1"/>
  <c r="AN58" i="23" s="1"/>
  <c r="W60" i="17"/>
  <c r="W109" i="17" s="1"/>
  <c r="W135" i="17" s="1"/>
  <c r="W145" i="17" s="1"/>
  <c r="X82" i="21"/>
  <c r="X92" i="21" s="1"/>
  <c r="L36" i="5"/>
  <c r="L37" i="5" s="1"/>
  <c r="B37" i="5"/>
  <c r="W123" i="16"/>
  <c r="W132" i="16" s="1"/>
  <c r="X38" i="19"/>
  <c r="W60" i="16"/>
  <c r="AK21" i="19"/>
  <c r="AM21" i="19" s="1"/>
  <c r="Y94" i="23"/>
  <c r="Y46" i="25"/>
  <c r="Y69" i="25" s="1"/>
  <c r="Y79" i="25" s="1"/>
  <c r="X81" i="19"/>
  <c r="AE79" i="19"/>
  <c r="AK79" i="19" s="1"/>
  <c r="AM79" i="19" s="1"/>
  <c r="U60" i="16"/>
  <c r="W64" i="23"/>
  <c r="W87" i="23" s="1"/>
  <c r="W98" i="23" s="1"/>
  <c r="U123" i="16"/>
  <c r="U132" i="16" s="1"/>
  <c r="U60" i="17"/>
  <c r="U109" i="17" s="1"/>
  <c r="U135" i="17" s="1"/>
  <c r="U145" i="17" s="1"/>
  <c r="U105" i="16"/>
  <c r="V85" i="19"/>
  <c r="V111" i="19" s="1"/>
  <c r="V121" i="19" s="1"/>
  <c r="L32" i="6"/>
  <c r="B34" i="6"/>
  <c r="B39" i="6" s="1"/>
  <c r="S109" i="17"/>
  <c r="S135" i="17" s="1"/>
  <c r="S145" i="17" s="1"/>
  <c r="D19" i="6"/>
  <c r="D26" i="6"/>
  <c r="AH33" i="15" l="1"/>
  <c r="AJ33" i="15" s="1"/>
  <c r="D117" i="19"/>
  <c r="V49" i="2"/>
  <c r="C139" i="16" s="1"/>
  <c r="D19" i="3"/>
  <c r="E77" i="23"/>
  <c r="E84" i="23" s="1"/>
  <c r="C113" i="16"/>
  <c r="C94" i="16"/>
  <c r="AE49" i="19"/>
  <c r="AK49" i="19" s="1"/>
  <c r="AM49" i="19" s="1"/>
  <c r="C58" i="16"/>
  <c r="C58" i="17"/>
  <c r="C130" i="16"/>
  <c r="D18" i="3"/>
  <c r="C75" i="16"/>
  <c r="D34" i="2"/>
  <c r="D42" i="2" s="1"/>
  <c r="C90" i="16"/>
  <c r="AE66" i="19"/>
  <c r="AK66" i="19" s="1"/>
  <c r="AM66" i="19" s="1"/>
  <c r="C47" i="16"/>
  <c r="C50" i="16" s="1"/>
  <c r="H44" i="15"/>
  <c r="H47" i="15" s="1"/>
  <c r="AH130" i="17"/>
  <c r="AJ130" i="17" s="1"/>
  <c r="AE70" i="19"/>
  <c r="AK70" i="19" s="1"/>
  <c r="AM70" i="19" s="1"/>
  <c r="C132" i="17"/>
  <c r="E60" i="23"/>
  <c r="P18" i="2" s="1"/>
  <c r="D99" i="19"/>
  <c r="D108" i="19" s="1"/>
  <c r="AE65" i="19"/>
  <c r="AK65" i="19" s="1"/>
  <c r="AM65" i="19" s="1"/>
  <c r="AE52" i="19"/>
  <c r="AK52" i="19" s="1"/>
  <c r="D38" i="20"/>
  <c r="D85" i="20" s="1"/>
  <c r="D109" i="20" s="1"/>
  <c r="D119" i="20" s="1"/>
  <c r="D121" i="20" s="1"/>
  <c r="H22" i="15"/>
  <c r="AE59" i="19"/>
  <c r="AK59" i="19" s="1"/>
  <c r="AM59" i="19" s="1"/>
  <c r="E98" i="24"/>
  <c r="AF51" i="23"/>
  <c r="AL51" i="23" s="1"/>
  <c r="AN51" i="23" s="1"/>
  <c r="V56" i="15"/>
  <c r="H32" i="2"/>
  <c r="AE97" i="19"/>
  <c r="H14" i="2"/>
  <c r="AE53" i="19"/>
  <c r="AK53" i="19" s="1"/>
  <c r="AM53" i="19" s="1"/>
  <c r="E69" i="25"/>
  <c r="E79" i="25" s="1"/>
  <c r="L18" i="2"/>
  <c r="L19" i="3" s="1"/>
  <c r="D82" i="21"/>
  <c r="D92" i="21" s="1"/>
  <c r="D81" i="19"/>
  <c r="C105" i="17"/>
  <c r="C42" i="17"/>
  <c r="B29" i="5"/>
  <c r="H15" i="2"/>
  <c r="D38" i="19"/>
  <c r="M25" i="13"/>
  <c r="O25" i="13"/>
  <c r="K34" i="9"/>
  <c r="K23" i="11"/>
  <c r="AC124" i="18"/>
  <c r="AF44" i="23"/>
  <c r="AL44" i="23" s="1"/>
  <c r="AN44" i="23" s="1"/>
  <c r="K21" i="11"/>
  <c r="D42" i="5"/>
  <c r="AF90" i="23"/>
  <c r="G21" i="10"/>
  <c r="K21" i="10" s="1"/>
  <c r="O21" i="10" s="1"/>
  <c r="Y132" i="17"/>
  <c r="AE64" i="19"/>
  <c r="AK64" i="19" s="1"/>
  <c r="AM64" i="19" s="1"/>
  <c r="O32" i="13"/>
  <c r="AE73" i="19"/>
  <c r="AK73" i="19" s="1"/>
  <c r="Y58" i="17"/>
  <c r="K24" i="12"/>
  <c r="K27" i="12" s="1"/>
  <c r="K37" i="12" s="1"/>
  <c r="G30" i="13"/>
  <c r="K30" i="13" s="1"/>
  <c r="O30" i="13" s="1"/>
  <c r="AJ31" i="26"/>
  <c r="AL62" i="23"/>
  <c r="AN62" i="23" s="1"/>
  <c r="S33" i="14"/>
  <c r="N34" i="6"/>
  <c r="Z36" i="19"/>
  <c r="L34" i="6"/>
  <c r="H43" i="3"/>
  <c r="AE34" i="19"/>
  <c r="AJ69" i="25"/>
  <c r="AH88" i="16"/>
  <c r="AJ88" i="16" s="1"/>
  <c r="R29" i="2"/>
  <c r="AG44" i="27"/>
  <c r="AI44" i="27" s="1"/>
  <c r="K21" i="9"/>
  <c r="G33" i="7"/>
  <c r="K33" i="7" s="1"/>
  <c r="W34" i="6"/>
  <c r="O33" i="10"/>
  <c r="Y50" i="17"/>
  <c r="AB102" i="16"/>
  <c r="AE106" i="19"/>
  <c r="AK106" i="19" s="1"/>
  <c r="AM106" i="19" s="1"/>
  <c r="AE74" i="19"/>
  <c r="AK74" i="19" s="1"/>
  <c r="AM74" i="19" s="1"/>
  <c r="R49" i="2"/>
  <c r="AE123" i="16"/>
  <c r="AK92" i="21"/>
  <c r="AH56" i="15"/>
  <c r="AJ56" i="15" s="1"/>
  <c r="AE50" i="19"/>
  <c r="AK50" i="19" s="1"/>
  <c r="AM50" i="19" s="1"/>
  <c r="AE62" i="19"/>
  <c r="AK62" i="19" s="1"/>
  <c r="AM62" i="19" s="1"/>
  <c r="G23" i="13"/>
  <c r="AE42" i="19"/>
  <c r="AK42" i="19" s="1"/>
  <c r="AM42" i="19" s="1"/>
  <c r="G29" i="10"/>
  <c r="K29" i="10" s="1"/>
  <c r="O29" i="10" s="1"/>
  <c r="S35" i="11"/>
  <c r="G23" i="10"/>
  <c r="K23" i="10" s="1"/>
  <c r="O23" i="10" s="1"/>
  <c r="W26" i="11"/>
  <c r="AF68" i="23"/>
  <c r="R24" i="2" s="1"/>
  <c r="AD38" i="15"/>
  <c r="AL74" i="23"/>
  <c r="AN74" i="23" s="1"/>
  <c r="P34" i="2"/>
  <c r="P42" i="2" s="1"/>
  <c r="AK82" i="21"/>
  <c r="AI82" i="21"/>
  <c r="AI92" i="21" s="1"/>
  <c r="AJ84" i="24"/>
  <c r="AL84" i="24" s="1"/>
  <c r="S26" i="11"/>
  <c r="W37" i="5"/>
  <c r="Y37" i="5" s="1"/>
  <c r="G22" i="10"/>
  <c r="K22" i="10" s="1"/>
  <c r="AD47" i="15"/>
  <c r="S27" i="14"/>
  <c r="W29" i="11"/>
  <c r="W35" i="11" s="1"/>
  <c r="Y47" i="26"/>
  <c r="AK85" i="20"/>
  <c r="Z117" i="19"/>
  <c r="AE132" i="17"/>
  <c r="Y42" i="16"/>
  <c r="Y60" i="16" s="1"/>
  <c r="F58" i="15"/>
  <c r="W27" i="14"/>
  <c r="W37" i="14" s="1"/>
  <c r="AC109" i="20"/>
  <c r="AC119" i="20" s="1"/>
  <c r="AC121" i="20" s="1"/>
  <c r="W29" i="5"/>
  <c r="W32" i="5" s="1"/>
  <c r="Y32" i="5" s="1"/>
  <c r="AI106" i="20"/>
  <c r="AE47" i="19"/>
  <c r="AK47" i="19" s="1"/>
  <c r="J46" i="3"/>
  <c r="J55" i="3" s="1"/>
  <c r="AD79" i="25"/>
  <c r="AJ79" i="25" s="1"/>
  <c r="AH47" i="26"/>
  <c r="AJ47" i="26" s="1"/>
  <c r="AA69" i="25"/>
  <c r="AA79" i="25" s="1"/>
  <c r="AL69" i="25"/>
  <c r="AJ46" i="25"/>
  <c r="AL73" i="23"/>
  <c r="AN73" i="23" s="1"/>
  <c r="AE114" i="19"/>
  <c r="J49" i="2" s="1"/>
  <c r="AD34" i="2"/>
  <c r="AD42" i="2" s="1"/>
  <c r="AI38" i="20"/>
  <c r="AK38" i="20" s="1"/>
  <c r="AK28" i="19"/>
  <c r="AM28" i="19" s="1"/>
  <c r="AL70" i="23"/>
  <c r="AN70" i="23" s="1"/>
  <c r="AA60" i="23"/>
  <c r="AK27" i="19"/>
  <c r="AM27" i="19" s="1"/>
  <c r="Z82" i="21"/>
  <c r="Z92" i="21" s="1"/>
  <c r="AH38" i="19"/>
  <c r="AH85" i="19" s="1"/>
  <c r="AH111" i="19" s="1"/>
  <c r="AH121" i="19" s="1"/>
  <c r="AK105" i="19"/>
  <c r="AM105" i="19" s="1"/>
  <c r="Y42" i="17"/>
  <c r="K22" i="11"/>
  <c r="AG55" i="22"/>
  <c r="AG66" i="22" s="1"/>
  <c r="AG76" i="22" s="1"/>
  <c r="AI76" i="22" s="1"/>
  <c r="Z56" i="18"/>
  <c r="Z101" i="18" s="1"/>
  <c r="Z124" i="18" s="1"/>
  <c r="Y105" i="17"/>
  <c r="D56" i="15"/>
  <c r="D58" i="15" s="1"/>
  <c r="G26" i="11"/>
  <c r="G39" i="11" s="1"/>
  <c r="Y141" i="17"/>
  <c r="J38" i="15"/>
  <c r="AK26" i="19"/>
  <c r="AM26" i="19" s="1"/>
  <c r="AE90" i="19"/>
  <c r="K23" i="14"/>
  <c r="AE71" i="19"/>
  <c r="AK71" i="19" s="1"/>
  <c r="AM71" i="19" s="1"/>
  <c r="AD16" i="2"/>
  <c r="AN26" i="23"/>
  <c r="AB82" i="16"/>
  <c r="AH82" i="16" s="1"/>
  <c r="AJ82" i="16" s="1"/>
  <c r="AE58" i="19"/>
  <c r="AK58" i="19" s="1"/>
  <c r="AM58" i="19" s="1"/>
  <c r="Z81" i="19"/>
  <c r="Z99" i="19"/>
  <c r="Z108" i="19" s="1"/>
  <c r="AE29" i="19"/>
  <c r="J15" i="2" s="1"/>
  <c r="Z38" i="20"/>
  <c r="Z85" i="20" s="1"/>
  <c r="Z109" i="20" s="1"/>
  <c r="Z119" i="20" s="1"/>
  <c r="P51" i="2"/>
  <c r="AJ35" i="26"/>
  <c r="X85" i="19"/>
  <c r="X111" i="19" s="1"/>
  <c r="X121" i="19" s="1"/>
  <c r="U109" i="16"/>
  <c r="U135" i="16" s="1"/>
  <c r="D29" i="6"/>
  <c r="D39" i="6" s="1"/>
  <c r="W28" i="27"/>
  <c r="H51" i="2" l="1"/>
  <c r="C60" i="17"/>
  <c r="C109" i="17" s="1"/>
  <c r="C135" i="17" s="1"/>
  <c r="C105" i="16"/>
  <c r="AK97" i="19"/>
  <c r="AM97" i="19" s="1"/>
  <c r="J32" i="2"/>
  <c r="D85" i="19"/>
  <c r="D111" i="19" s="1"/>
  <c r="D121" i="19" s="1"/>
  <c r="H18" i="2"/>
  <c r="AE36" i="19"/>
  <c r="J16" i="2" s="1"/>
  <c r="AL90" i="23"/>
  <c r="AN90" i="23" s="1"/>
  <c r="AF94" i="23"/>
  <c r="AL94" i="23" s="1"/>
  <c r="AN94" i="23" s="1"/>
  <c r="K26" i="11"/>
  <c r="K39" i="11" s="1"/>
  <c r="G21" i="7"/>
  <c r="K21" i="7" s="1"/>
  <c r="O33" i="13"/>
  <c r="H34" i="2"/>
  <c r="H42" i="2" s="1"/>
  <c r="K33" i="13"/>
  <c r="G33" i="13"/>
  <c r="J44" i="15"/>
  <c r="J47" i="15" s="1"/>
  <c r="S37" i="14"/>
  <c r="Z38" i="19"/>
  <c r="Z85" i="19" s="1"/>
  <c r="Z111" i="19" s="1"/>
  <c r="Z121" i="19" s="1"/>
  <c r="AK34" i="19"/>
  <c r="AK36" i="19" s="1"/>
  <c r="AM36" i="19" s="1"/>
  <c r="V44" i="15"/>
  <c r="V47" i="15" s="1"/>
  <c r="O35" i="10"/>
  <c r="AF77" i="23"/>
  <c r="AF84" i="23" s="1"/>
  <c r="G22" i="7"/>
  <c r="K22" i="7" s="1"/>
  <c r="J41" i="2"/>
  <c r="AL68" i="23"/>
  <c r="AN68" i="23" s="1"/>
  <c r="K35" i="10"/>
  <c r="W39" i="11"/>
  <c r="W42" i="11" s="1"/>
  <c r="S39" i="11"/>
  <c r="G35" i="10"/>
  <c r="Y123" i="16"/>
  <c r="Y132" i="16" s="1"/>
  <c r="O22" i="10"/>
  <c r="O26" i="10" s="1"/>
  <c r="G26" i="10"/>
  <c r="K26" i="10"/>
  <c r="AI66" i="22"/>
  <c r="AE117" i="19"/>
  <c r="AK117" i="19" s="1"/>
  <c r="AM117" i="19" s="1"/>
  <c r="Y29" i="5"/>
  <c r="W42" i="5"/>
  <c r="Y42" i="5" s="1"/>
  <c r="AI109" i="20"/>
  <c r="AK109" i="20" s="1"/>
  <c r="AL79" i="25"/>
  <c r="AI55" i="22"/>
  <c r="AA64" i="23"/>
  <c r="AA87" i="23" s="1"/>
  <c r="AA98" i="23" s="1"/>
  <c r="AK114" i="19"/>
  <c r="AM114" i="19" s="1"/>
  <c r="AI85" i="20"/>
  <c r="AK29" i="19"/>
  <c r="AM29" i="19" s="1"/>
  <c r="Y105" i="16"/>
  <c r="Y109" i="16" s="1"/>
  <c r="J25" i="2"/>
  <c r="AK90" i="19"/>
  <c r="AE99" i="19"/>
  <c r="AE108" i="19" s="1"/>
  <c r="AE81" i="19"/>
  <c r="J18" i="2" s="1"/>
  <c r="AK81" i="19"/>
  <c r="AM81" i="19" s="1"/>
  <c r="F20" i="33"/>
  <c r="K88" i="30"/>
  <c r="K116" i="30"/>
  <c r="M45" i="34"/>
  <c r="K95" i="30"/>
  <c r="C22" i="8"/>
  <c r="L22" i="32"/>
  <c r="M40" i="34"/>
  <c r="K27" i="31"/>
  <c r="M58" i="34"/>
  <c r="M21" i="34"/>
  <c r="M55" i="34"/>
  <c r="J19" i="33"/>
  <c r="M35" i="34"/>
  <c r="M65" i="34"/>
  <c r="J16" i="33"/>
  <c r="H20" i="33"/>
  <c r="K117" i="30"/>
  <c r="K85" i="30"/>
  <c r="K107" i="30"/>
  <c r="K64" i="30"/>
  <c r="Z12" i="37"/>
  <c r="M32" i="34"/>
  <c r="M22" i="34"/>
  <c r="M36" i="34"/>
  <c r="K149" i="30"/>
  <c r="M44" i="34"/>
  <c r="M41" i="34"/>
  <c r="R48" i="2"/>
  <c r="X44" i="15" l="1"/>
  <c r="AH44" i="15" s="1"/>
  <c r="AJ44" i="15" s="1"/>
  <c r="AM34" i="19"/>
  <c r="O39" i="10"/>
  <c r="AL77" i="23"/>
  <c r="AN77" i="23" s="1"/>
  <c r="G39" i="10"/>
  <c r="K39" i="10" s="1"/>
  <c r="Y135" i="16"/>
  <c r="AI119" i="20"/>
  <c r="AI121" i="20" s="1"/>
  <c r="AK121" i="20" s="1"/>
  <c r="AM90" i="19"/>
  <c r="AK99" i="19"/>
  <c r="J20" i="33"/>
  <c r="X48" i="2"/>
  <c r="R51" i="2"/>
  <c r="R34" i="2"/>
  <c r="R42" i="2" s="1"/>
  <c r="X47" i="15" l="1"/>
  <c r="AH47" i="15" s="1"/>
  <c r="AJ47" i="15" s="1"/>
  <c r="AL84" i="23"/>
  <c r="AK119" i="20"/>
  <c r="AM99" i="19"/>
  <c r="AK108" i="19"/>
  <c r="AM108" i="19" s="1"/>
  <c r="AB138" i="16"/>
  <c r="AN84" i="23" l="1"/>
  <c r="AH138" i="16"/>
  <c r="AJ138" i="16" s="1"/>
  <c r="N50" i="3" l="1"/>
  <c r="N49" i="3"/>
  <c r="N38" i="3"/>
  <c r="N20" i="3"/>
  <c r="N18" i="3"/>
  <c r="N16" i="3"/>
  <c r="N15" i="3"/>
  <c r="N19" i="3" l="1"/>
  <c r="T19" i="3" s="1"/>
  <c r="G24" i="8" s="1"/>
  <c r="K24" i="8" s="1"/>
  <c r="X40" i="2"/>
  <c r="AI40" i="2" s="1"/>
  <c r="N41" i="3"/>
  <c r="T41" i="3" s="1"/>
  <c r="N51" i="3"/>
  <c r="N42" i="2"/>
  <c r="N21" i="3" l="1"/>
  <c r="AD19" i="3"/>
  <c r="AF19" i="3" s="1"/>
  <c r="N43" i="3"/>
  <c r="AG40" i="2"/>
  <c r="G32" i="8"/>
  <c r="K32" i="8" s="1"/>
  <c r="AD41" i="3"/>
  <c r="AF41" i="3" s="1"/>
  <c r="N45" i="2"/>
  <c r="N55" i="2" s="1"/>
  <c r="N46" i="3" l="1"/>
  <c r="N55" i="3" s="1"/>
  <c r="J51" i="2" l="1"/>
  <c r="V41" i="2" l="1"/>
  <c r="X41" i="2" l="1"/>
  <c r="AI41" i="2" s="1"/>
  <c r="J34" i="2" l="1"/>
  <c r="AG41" i="2"/>
  <c r="J42" i="2" l="1"/>
  <c r="F39" i="3" l="1"/>
  <c r="T39" i="3" s="1"/>
  <c r="X33"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25" i="3"/>
  <c r="F26" i="3"/>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K22" i="8" l="1"/>
  <c r="AE132" i="16"/>
  <c r="L25" i="6" l="1"/>
  <c r="W24" i="6"/>
  <c r="Y24" i="6" s="1"/>
  <c r="L24" i="6"/>
  <c r="N23" i="6"/>
  <c r="W23" i="6" s="1"/>
  <c r="Y23" i="6" s="1"/>
  <c r="L23" i="6"/>
  <c r="L19" i="6"/>
  <c r="H15" i="6"/>
  <c r="N14" i="6"/>
  <c r="H14" i="6"/>
  <c r="T14" i="6" s="1"/>
  <c r="W26" i="6" l="1"/>
  <c r="Y26" i="6" s="1"/>
  <c r="L26" i="6"/>
  <c r="L29" i="6" s="1"/>
  <c r="L39" i="6" s="1"/>
  <c r="N26" i="6"/>
  <c r="AG48" i="2" l="1"/>
  <c r="AI48" i="2" s="1"/>
  <c r="AB130" i="16"/>
  <c r="AA12" i="3"/>
  <c r="C123" i="16" l="1"/>
  <c r="C132" i="16" s="1"/>
  <c r="AH130" i="16"/>
  <c r="AJ130" i="16" s="1"/>
  <c r="F15" i="3" l="1"/>
  <c r="F20" i="2"/>
  <c r="F21" i="3" l="1"/>
  <c r="T15" i="3"/>
  <c r="G20" i="8" l="1"/>
  <c r="K20" i="8" s="1"/>
  <c r="T21" i="3"/>
  <c r="G26" i="8" l="1"/>
  <c r="K26" i="8"/>
  <c r="AA44" i="29" l="1"/>
  <c r="AA46" i="29" s="1"/>
  <c r="AB42" i="2" l="1"/>
  <c r="AB45" i="2" s="1"/>
  <c r="AG17" i="29"/>
  <c r="AI17" i="29" s="1"/>
  <c r="H18" i="6"/>
  <c r="N18" i="6" s="1"/>
  <c r="H19" i="6" l="1"/>
  <c r="H29" i="6" s="1"/>
  <c r="H39" i="6" s="1"/>
  <c r="AG19" i="29"/>
  <c r="AI19" i="29" s="1"/>
  <c r="AB55" i="2" l="1"/>
  <c r="N19" i="6"/>
  <c r="N29" i="6" s="1"/>
  <c r="AG32" i="29"/>
  <c r="AI32" i="29" s="1"/>
  <c r="N39" i="6" l="1"/>
  <c r="AG44" i="29"/>
  <c r="AI44" i="29" s="1"/>
  <c r="AG17" i="28" l="1"/>
  <c r="AG19" i="28" s="1"/>
  <c r="T19" i="6"/>
  <c r="T29" i="6" s="1"/>
  <c r="AG32" i="28" l="1"/>
  <c r="AI32" i="28" s="1"/>
  <c r="AD44" i="28"/>
  <c r="AI19" i="28"/>
  <c r="AI17" i="28"/>
  <c r="T39" i="6"/>
  <c r="W29" i="6"/>
  <c r="Y29" i="6" s="1"/>
  <c r="W18" i="6"/>
  <c r="W39" i="6" l="1"/>
  <c r="W19" i="6"/>
  <c r="Y19" i="6" s="1"/>
  <c r="Y18" i="6"/>
  <c r="AG44" i="28"/>
  <c r="AI44" i="28" s="1"/>
  <c r="Y39" i="6" l="1"/>
  <c r="AE26" i="16"/>
  <c r="AH26" i="16" s="1"/>
  <c r="AI18" i="18"/>
  <c r="AK18" i="18" s="1"/>
  <c r="AE26" i="17"/>
  <c r="AA15" i="3" l="1"/>
  <c r="AD21" i="15"/>
  <c r="AE30" i="17"/>
  <c r="AE60" i="17" s="1"/>
  <c r="AE109" i="17" s="1"/>
  <c r="AH21" i="15" l="1"/>
  <c r="AJ21" i="15" s="1"/>
  <c r="K110" i="30"/>
  <c r="AH16" i="15"/>
  <c r="AJ16" i="15" s="1"/>
  <c r="AD25" i="15"/>
  <c r="AE30" i="16"/>
  <c r="AE60" i="16" s="1"/>
  <c r="AI27" i="18"/>
  <c r="AD15" i="3"/>
  <c r="AA21" i="3"/>
  <c r="AA46" i="3" s="1"/>
  <c r="AE135" i="17"/>
  <c r="AD58" i="15" l="1"/>
  <c r="AF15" i="3"/>
  <c r="AD21" i="3"/>
  <c r="AI56" i="18"/>
  <c r="AK27" i="18"/>
  <c r="AD46" i="28" l="1"/>
  <c r="AI101" i="18"/>
  <c r="AK101" i="18" s="1"/>
  <c r="AK56" i="18"/>
  <c r="AF21" i="3"/>
  <c r="Z32" i="43" l="1"/>
  <c r="Z36" i="43" s="1"/>
  <c r="X26" i="2" l="1"/>
  <c r="X34" i="2" s="1"/>
  <c r="AI107" i="18"/>
  <c r="AK107" i="18" s="1"/>
  <c r="AI34" i="2" l="1"/>
  <c r="X42" i="2"/>
  <c r="F34" i="2"/>
  <c r="F42" i="2" s="1"/>
  <c r="F45" i="2" s="1"/>
  <c r="F27" i="3"/>
  <c r="AI124" i="18"/>
  <c r="AK124" i="18" s="1"/>
  <c r="AI26" i="2"/>
  <c r="AG26" i="2"/>
  <c r="AG34" i="2" s="1"/>
  <c r="AG42" i="2" s="1"/>
  <c r="G29" i="7"/>
  <c r="K29" i="7" s="1"/>
  <c r="AI115" i="18"/>
  <c r="K34" i="7" l="1"/>
  <c r="AI42" i="2"/>
  <c r="F35" i="3"/>
  <c r="T27" i="3"/>
  <c r="AK115" i="18"/>
  <c r="AI121" i="18"/>
  <c r="AK121" i="18" s="1"/>
  <c r="G34" i="7"/>
  <c r="F43" i="3" l="1"/>
  <c r="F46" i="3" s="1"/>
  <c r="AD27" i="3"/>
  <c r="T35" i="3"/>
  <c r="T43" i="3" s="1"/>
  <c r="G29" i="8" l="1"/>
  <c r="K29" i="8" s="1"/>
  <c r="T46" i="3"/>
  <c r="AF27" i="3"/>
  <c r="AD35" i="3"/>
  <c r="AD43" i="3" s="1"/>
  <c r="AF43" i="3" s="1"/>
  <c r="AD46" i="3" l="1"/>
  <c r="AF46" i="3" s="1"/>
  <c r="G34" i="8"/>
  <c r="K34" i="8"/>
  <c r="AF35" i="3"/>
  <c r="G37" i="8" l="1"/>
  <c r="K37" i="8"/>
  <c r="D27" i="18" l="1"/>
  <c r="D14" i="2" s="1"/>
  <c r="V14" i="2" s="1"/>
  <c r="K94" i="30" l="1"/>
  <c r="D56" i="18"/>
  <c r="D101" i="18" s="1"/>
  <c r="D124" i="18" s="1"/>
  <c r="AB121" i="19" l="1"/>
  <c r="AB123" i="19" s="1"/>
  <c r="D16" i="3" l="1"/>
  <c r="V20" i="15" l="1"/>
  <c r="V18" i="15"/>
  <c r="V17" i="15"/>
  <c r="V19" i="15"/>
  <c r="V21" i="15" l="1"/>
  <c r="S30" i="16" l="1"/>
  <c r="S60" i="16" l="1"/>
  <c r="R34" i="3" l="1"/>
  <c r="AB44" i="17"/>
  <c r="AH44" i="17" s="1"/>
  <c r="V30" i="2"/>
  <c r="V16" i="2"/>
  <c r="V31" i="2"/>
  <c r="AB55" i="17"/>
  <c r="AH55" i="17" s="1"/>
  <c r="AJ55" i="17" s="1"/>
  <c r="AB103" i="17"/>
  <c r="AH103" i="17" s="1"/>
  <c r="AJ103" i="17" s="1"/>
  <c r="AB64" i="16"/>
  <c r="R33" i="3"/>
  <c r="AB97" i="16"/>
  <c r="AH97" i="16" s="1"/>
  <c r="AJ97" i="16" s="1"/>
  <c r="AB114" i="16"/>
  <c r="AH114" i="16" s="1"/>
  <c r="AJ114" i="16" s="1"/>
  <c r="AB68" i="16"/>
  <c r="AH68" i="16" s="1"/>
  <c r="AJ68" i="16" s="1"/>
  <c r="AB38" i="16"/>
  <c r="AH38" i="16" s="1"/>
  <c r="AJ38" i="16" s="1"/>
  <c r="AB64" i="17"/>
  <c r="AH64" i="17" s="1"/>
  <c r="AJ64" i="17" s="1"/>
  <c r="AB96" i="17"/>
  <c r="AH96" i="17" s="1"/>
  <c r="AJ96" i="17" s="1"/>
  <c r="AB86" i="17"/>
  <c r="AH86" i="17" s="1"/>
  <c r="AJ86" i="17" s="1"/>
  <c r="AB45" i="16"/>
  <c r="AH45" i="16" s="1"/>
  <c r="AJ45" i="16" s="1"/>
  <c r="AB115" i="16"/>
  <c r="AH115" i="16" s="1"/>
  <c r="AJ115" i="16" s="1"/>
  <c r="AB54" i="17"/>
  <c r="AH54" i="17" s="1"/>
  <c r="AJ54" i="17" s="1"/>
  <c r="AB100" i="17"/>
  <c r="AH100" i="17" s="1"/>
  <c r="AJ100" i="17" s="1"/>
  <c r="AB69" i="16"/>
  <c r="AH69" i="16" s="1"/>
  <c r="AJ69" i="16" s="1"/>
  <c r="AB125" i="16"/>
  <c r="AH125" i="16" s="1"/>
  <c r="AJ125" i="16" s="1"/>
  <c r="AB34" i="16"/>
  <c r="AH34" i="16" s="1"/>
  <c r="AJ34" i="16" s="1"/>
  <c r="AB46" i="16"/>
  <c r="AH46" i="16" s="1"/>
  <c r="AJ46" i="16" s="1"/>
  <c r="AB69" i="17"/>
  <c r="AH69" i="17" s="1"/>
  <c r="AJ69" i="17" s="1"/>
  <c r="AB34" i="17"/>
  <c r="AH34" i="17" s="1"/>
  <c r="AJ34" i="17" s="1"/>
  <c r="AB101" i="16"/>
  <c r="AH101" i="16" s="1"/>
  <c r="AJ101" i="16" s="1"/>
  <c r="AB79" i="17"/>
  <c r="AH79" i="17" s="1"/>
  <c r="AJ79" i="17" s="1"/>
  <c r="V29" i="2"/>
  <c r="AB85" i="17"/>
  <c r="AH85" i="17" s="1"/>
  <c r="AJ85" i="17" s="1"/>
  <c r="AB47" i="16"/>
  <c r="AH47" i="16" s="1"/>
  <c r="AJ47" i="16" s="1"/>
  <c r="V25" i="2"/>
  <c r="AB91" i="16"/>
  <c r="AH91" i="16" s="1"/>
  <c r="AJ91" i="16" s="1"/>
  <c r="AH122" i="16"/>
  <c r="AJ122" i="16" s="1"/>
  <c r="AB86" i="16"/>
  <c r="AH86" i="16" s="1"/>
  <c r="AJ86" i="16" s="1"/>
  <c r="AB67" i="17"/>
  <c r="AH67" i="17" s="1"/>
  <c r="AJ67" i="17" s="1"/>
  <c r="AB56" i="17"/>
  <c r="AH56" i="17" s="1"/>
  <c r="AJ56" i="17" s="1"/>
  <c r="AB24" i="16"/>
  <c r="AB95" i="16"/>
  <c r="AH95" i="16" s="1"/>
  <c r="AJ95" i="16" s="1"/>
  <c r="AB113" i="16"/>
  <c r="AB75" i="17"/>
  <c r="AH75" i="17" s="1"/>
  <c r="AJ75" i="17" s="1"/>
  <c r="AB72" i="17"/>
  <c r="AH72" i="17" s="1"/>
  <c r="AJ72" i="17" s="1"/>
  <c r="AB74" i="17"/>
  <c r="AH74" i="17" s="1"/>
  <c r="AJ74" i="17" s="1"/>
  <c r="AB121" i="16"/>
  <c r="AH121" i="16" s="1"/>
  <c r="AJ121" i="16" s="1"/>
  <c r="AB100" i="16"/>
  <c r="AH100" i="16" s="1"/>
  <c r="AJ100" i="16" s="1"/>
  <c r="AJ24" i="17"/>
  <c r="AB99" i="17"/>
  <c r="AH99" i="17" s="1"/>
  <c r="AJ99" i="17" s="1"/>
  <c r="AB77" i="16"/>
  <c r="AH77" i="16" s="1"/>
  <c r="AJ77" i="16" s="1"/>
  <c r="AB101" i="17"/>
  <c r="AH101" i="17" s="1"/>
  <c r="AJ101" i="17" s="1"/>
  <c r="AB125" i="17"/>
  <c r="AH125" i="17" s="1"/>
  <c r="AJ125" i="17" s="1"/>
  <c r="AB85" i="16"/>
  <c r="AH85" i="16" s="1"/>
  <c r="AJ85" i="16" s="1"/>
  <c r="AB91" i="17"/>
  <c r="AH91" i="17" s="1"/>
  <c r="AJ91" i="17" s="1"/>
  <c r="AB29" i="16"/>
  <c r="AH29" i="16" s="1"/>
  <c r="AJ29" i="16" s="1"/>
  <c r="AB70" i="16"/>
  <c r="AH70" i="16" s="1"/>
  <c r="AB44" i="16"/>
  <c r="AB127" i="17"/>
  <c r="AH127" i="17" s="1"/>
  <c r="AJ127" i="17" s="1"/>
  <c r="AB92" i="17"/>
  <c r="AH92" i="17" s="1"/>
  <c r="AJ92" i="17" s="1"/>
  <c r="AH68" i="17"/>
  <c r="AJ68" i="17" s="1"/>
  <c r="AB118" i="16"/>
  <c r="AH118" i="16" s="1"/>
  <c r="AJ118" i="16" s="1"/>
  <c r="AB75" i="16"/>
  <c r="AH75" i="16" s="1"/>
  <c r="AJ75" i="16" s="1"/>
  <c r="AB76" i="17"/>
  <c r="AH76" i="17" s="1"/>
  <c r="AJ76" i="17" s="1"/>
  <c r="AB94" i="16"/>
  <c r="AH94" i="16" s="1"/>
  <c r="AJ94" i="16" s="1"/>
  <c r="AB53" i="16"/>
  <c r="AH53" i="16" s="1"/>
  <c r="AJ53" i="16" s="1"/>
  <c r="AH22" i="16"/>
  <c r="AJ22" i="16" s="1"/>
  <c r="AB102" i="17"/>
  <c r="AH102" i="17" s="1"/>
  <c r="AJ102"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4" i="17"/>
  <c r="AH114" i="17" s="1"/>
  <c r="AJ114" i="17" s="1"/>
  <c r="AB78" i="17"/>
  <c r="AH78" i="17" s="1"/>
  <c r="AJ78" i="17" s="1"/>
  <c r="AB120" i="17"/>
  <c r="AH120" i="17" s="1"/>
  <c r="AJ120" i="17" s="1"/>
  <c r="AB46" i="17"/>
  <c r="AH46" i="17" s="1"/>
  <c r="AJ46" i="17" s="1"/>
  <c r="AB53" i="17"/>
  <c r="AH53" i="17" s="1"/>
  <c r="AJ53" i="17" s="1"/>
  <c r="AB90" i="16"/>
  <c r="AH90" i="16" s="1"/>
  <c r="AJ90" i="16" s="1"/>
  <c r="AB54" i="16"/>
  <c r="AH54" i="16" s="1"/>
  <c r="AJ54" i="16" s="1"/>
  <c r="AB39" i="17"/>
  <c r="AH39" i="17" s="1"/>
  <c r="AJ39" i="17" s="1"/>
  <c r="AB39" i="16"/>
  <c r="AH39" i="16" s="1"/>
  <c r="AJ39" i="16" s="1"/>
  <c r="AB96" i="16"/>
  <c r="AH96" i="16" s="1"/>
  <c r="AJ96" i="16" s="1"/>
  <c r="AB55" i="16"/>
  <c r="AH55" i="16" s="1"/>
  <c r="AJ55" i="16" s="1"/>
  <c r="AB25" i="16"/>
  <c r="AH25" i="16" s="1"/>
  <c r="AJ25" i="16" s="1"/>
  <c r="AB107" i="17"/>
  <c r="AB56" i="16"/>
  <c r="AH56" i="16" s="1"/>
  <c r="AJ56" i="16" s="1"/>
  <c r="AB72" i="16"/>
  <c r="AH72" i="16" s="1"/>
  <c r="AJ72" i="16" s="1"/>
  <c r="AB113" i="17"/>
  <c r="AH113" i="17" s="1"/>
  <c r="AJ113" i="17" s="1"/>
  <c r="AH23" i="16"/>
  <c r="AJ23" i="16" s="1"/>
  <c r="AB25" i="17"/>
  <c r="AH25" i="17" s="1"/>
  <c r="AJ25" i="17" s="1"/>
  <c r="AB99" i="16"/>
  <c r="AH99" i="16" s="1"/>
  <c r="AJ99" i="16" s="1"/>
  <c r="AB29" i="17"/>
  <c r="AH29" i="17" s="1"/>
  <c r="AJ29" i="17" s="1"/>
  <c r="AB117" i="17"/>
  <c r="AH117" i="17" s="1"/>
  <c r="AJ117" i="17" s="1"/>
  <c r="AB65" i="17"/>
  <c r="AB121" i="17"/>
  <c r="AH121" i="17" s="1"/>
  <c r="AJ121" i="17" s="1"/>
  <c r="AB36" i="17"/>
  <c r="AH36" i="17" s="1"/>
  <c r="AJ36" i="17" s="1"/>
  <c r="AB119" i="16"/>
  <c r="AH119" i="16" s="1"/>
  <c r="AJ119" i="16" s="1"/>
  <c r="AB118" i="17"/>
  <c r="AH118" i="17" s="1"/>
  <c r="AJ118" i="17" s="1"/>
  <c r="AB95" i="17"/>
  <c r="AB78" i="16"/>
  <c r="AH78" i="16" s="1"/>
  <c r="AJ78" i="16" s="1"/>
  <c r="AB107" i="16"/>
  <c r="AB94" i="17"/>
  <c r="AH94" i="17" s="1"/>
  <c r="AJ94" i="17" s="1"/>
  <c r="AB92" i="16"/>
  <c r="AH92" i="16" s="1"/>
  <c r="AJ92" i="16" s="1"/>
  <c r="AB127" i="16"/>
  <c r="AH127" i="16" s="1"/>
  <c r="AJ127" i="16" s="1"/>
  <c r="AB47" i="17"/>
  <c r="AH47" i="17" s="1"/>
  <c r="AJ47" i="17" s="1"/>
  <c r="AB33" i="17"/>
  <c r="AH33" i="17" s="1"/>
  <c r="AJ33" i="17" s="1"/>
  <c r="AB120" i="16"/>
  <c r="AH120" i="16" s="1"/>
  <c r="AJ120" i="16" s="1"/>
  <c r="AH102" i="16"/>
  <c r="AJ102" i="16" s="1"/>
  <c r="AB119" i="17"/>
  <c r="AH119" i="17" s="1"/>
  <c r="AJ119" i="17" s="1"/>
  <c r="D15" i="3"/>
  <c r="AB79" i="16"/>
  <c r="AH79" i="16" s="1"/>
  <c r="AJ79" i="16" s="1"/>
  <c r="AB49" i="16"/>
  <c r="AH49" i="16" s="1"/>
  <c r="AJ49" i="16" s="1"/>
  <c r="AB70" i="17"/>
  <c r="AH70" i="17" s="1"/>
  <c r="AB122" i="17"/>
  <c r="AH122" i="17" s="1"/>
  <c r="AJ122" i="17" s="1"/>
  <c r="AB115" i="17"/>
  <c r="AH115" i="17" s="1"/>
  <c r="AJ115" i="17" s="1"/>
  <c r="AB76" i="16"/>
  <c r="AH76" i="16" s="1"/>
  <c r="AJ76" i="16" s="1"/>
  <c r="AB89" i="17"/>
  <c r="AH89" i="17" s="1"/>
  <c r="AJ89" i="17" s="1"/>
  <c r="AB97" i="17"/>
  <c r="AH97" i="17" s="1"/>
  <c r="AB52" i="17"/>
  <c r="AH95" i="17" l="1"/>
  <c r="AJ95" i="17" s="1"/>
  <c r="AH24" i="16"/>
  <c r="AJ24" i="16" s="1"/>
  <c r="AB58" i="17"/>
  <c r="AH23" i="17"/>
  <c r="AJ23" i="17" s="1"/>
  <c r="AB26" i="17"/>
  <c r="R30" i="3"/>
  <c r="V33" i="2"/>
  <c r="R26" i="3"/>
  <c r="R17" i="3"/>
  <c r="R32" i="3"/>
  <c r="R31" i="3"/>
  <c r="V36" i="2"/>
  <c r="AH52" i="17"/>
  <c r="AH58" i="17" s="1"/>
  <c r="R18" i="3"/>
  <c r="V17" i="2"/>
  <c r="AB105" i="17"/>
  <c r="AH65" i="17"/>
  <c r="AH44" i="16"/>
  <c r="AB50" i="16"/>
  <c r="AH123" i="17"/>
  <c r="AH64" i="16"/>
  <c r="V28" i="2"/>
  <c r="R29" i="3"/>
  <c r="AH107" i="16"/>
  <c r="AB123" i="17"/>
  <c r="AH107" i="17"/>
  <c r="AJ107" i="17" s="1"/>
  <c r="V24" i="2"/>
  <c r="AB123" i="16"/>
  <c r="AH113" i="16"/>
  <c r="V38" i="2"/>
  <c r="R39" i="3"/>
  <c r="AH32" i="16"/>
  <c r="R19" i="3"/>
  <c r="AB52" i="16"/>
  <c r="AB58" i="16" s="1"/>
  <c r="AJ44" i="17"/>
  <c r="AH50" i="17"/>
  <c r="AJ50" i="17" s="1"/>
  <c r="AB50" i="17"/>
  <c r="AB32" i="17"/>
  <c r="R20" i="3"/>
  <c r="R37" i="3"/>
  <c r="V26" i="2"/>
  <c r="R27" i="3"/>
  <c r="R16" i="3"/>
  <c r="V32" i="2"/>
  <c r="AH32" i="17" l="1"/>
  <c r="AB42" i="17"/>
  <c r="V34" i="2"/>
  <c r="AJ64" i="16"/>
  <c r="AJ32" i="16"/>
  <c r="AJ107" i="16"/>
  <c r="AJ44" i="16"/>
  <c r="AH50" i="16"/>
  <c r="AJ50" i="16" s="1"/>
  <c r="AJ65" i="17"/>
  <c r="AH105" i="17"/>
  <c r="AJ105" i="17" s="1"/>
  <c r="AJ52" i="17"/>
  <c r="AJ58" i="17"/>
  <c r="AH26" i="17"/>
  <c r="AJ26" i="17" s="1"/>
  <c r="AJ113" i="16"/>
  <c r="AH123" i="16"/>
  <c r="AJ123" i="16" s="1"/>
  <c r="D20" i="2"/>
  <c r="AH52" i="16"/>
  <c r="AH58" i="16" s="1"/>
  <c r="D35" i="3"/>
  <c r="D43" i="3" s="1"/>
  <c r="R25" i="3"/>
  <c r="R35" i="3" s="1"/>
  <c r="AJ123" i="17"/>
  <c r="D45" i="2" l="1"/>
  <c r="AJ26" i="16"/>
  <c r="AJ52" i="16"/>
  <c r="AH42" i="17"/>
  <c r="AJ42" i="17" s="1"/>
  <c r="AJ32" i="17"/>
  <c r="D21" i="3"/>
  <c r="D46" i="3" s="1"/>
  <c r="K108" i="30" l="1"/>
  <c r="AJ58" i="16"/>
  <c r="B32" i="5" l="1"/>
  <c r="B42" i="5" s="1"/>
  <c r="O145" i="17" l="1"/>
  <c r="E40" i="13" l="1"/>
  <c r="K45" i="30" l="1"/>
  <c r="K96" i="30"/>
  <c r="K38" i="31" l="1"/>
  <c r="AB25" i="15" l="1"/>
  <c r="N18" i="35"/>
  <c r="R18" i="35" s="1"/>
  <c r="H30" i="35"/>
  <c r="K39" i="31" l="1"/>
  <c r="AF36" i="23"/>
  <c r="AF60" i="23" s="1"/>
  <c r="AL36" i="23" l="1"/>
  <c r="AB65" i="16"/>
  <c r="AH65" i="16" l="1"/>
  <c r="AJ65" i="16" l="1"/>
  <c r="N21" i="35" l="1"/>
  <c r="R21" i="35" s="1"/>
  <c r="P44" i="27" l="1"/>
  <c r="F21" i="5"/>
  <c r="F32" i="5" s="1"/>
  <c r="F42" i="5" s="1"/>
  <c r="L18" i="5" l="1"/>
  <c r="L21" i="5" s="1"/>
  <c r="L32" i="5" s="1"/>
  <c r="L42" i="5" s="1"/>
  <c r="AB27" i="17" l="1"/>
  <c r="H21" i="3" l="1"/>
  <c r="H46" i="3" s="1"/>
  <c r="H55" i="3" s="1"/>
  <c r="H20" i="2"/>
  <c r="H45" i="2" s="1"/>
  <c r="H55" i="2" s="1"/>
  <c r="AH27" i="17"/>
  <c r="Y30" i="17"/>
  <c r="Y60" i="17" s="1"/>
  <c r="AJ27" i="17" l="1"/>
  <c r="Y109" i="17"/>
  <c r="Y135" i="17" s="1"/>
  <c r="Y145" i="17" s="1"/>
  <c r="AD46" i="27" l="1"/>
  <c r="AH123" i="19" l="1"/>
  <c r="Z47" i="37"/>
  <c r="B47" i="37"/>
  <c r="AB47" i="15"/>
  <c r="AF94" i="21"/>
  <c r="D47" i="37" l="1"/>
  <c r="F47" i="37" l="1"/>
  <c r="AI13" i="18"/>
  <c r="AK13" i="18" s="1"/>
  <c r="F121" i="20"/>
  <c r="D13" i="19"/>
  <c r="D94" i="21"/>
  <c r="AC13" i="21"/>
  <c r="AI13" i="21" s="1"/>
  <c r="AK13" i="21" s="1"/>
  <c r="D123" i="19" l="1"/>
  <c r="H57" i="2"/>
  <c r="J57" i="2"/>
  <c r="H47" i="37"/>
  <c r="J59" i="3"/>
  <c r="F94" i="21"/>
  <c r="K42" i="11"/>
  <c r="AC94" i="21"/>
  <c r="G42" i="11"/>
  <c r="G41" i="10"/>
  <c r="S42" i="11"/>
  <c r="AE13" i="19"/>
  <c r="J47" i="37" l="1"/>
  <c r="L47" i="37" s="1"/>
  <c r="K41" i="10"/>
  <c r="O41" i="10" s="1"/>
  <c r="AI94" i="21"/>
  <c r="AK94" i="21" s="1"/>
  <c r="H94" i="21"/>
  <c r="H121" i="20"/>
  <c r="G42" i="10"/>
  <c r="AM13" i="19"/>
  <c r="AK13" i="19"/>
  <c r="K42" i="10" l="1"/>
  <c r="O42" i="10"/>
  <c r="N47" i="37"/>
  <c r="J94" i="21"/>
  <c r="K34" i="31"/>
  <c r="J121" i="20" l="1"/>
  <c r="P47" i="37"/>
  <c r="L94" i="21"/>
  <c r="K39" i="30"/>
  <c r="L121" i="20" l="1"/>
  <c r="N94" i="21"/>
  <c r="G45" i="31"/>
  <c r="N121" i="20" l="1"/>
  <c r="R47" i="37"/>
  <c r="P94" i="21"/>
  <c r="K97" i="30"/>
  <c r="T47" i="37" l="1"/>
  <c r="P121" i="20"/>
  <c r="R94" i="21"/>
  <c r="K153" i="30"/>
  <c r="V47" i="37" l="1"/>
  <c r="X47" i="37" s="1"/>
  <c r="R121" i="20"/>
  <c r="T94" i="21"/>
  <c r="K59" i="30"/>
  <c r="T121" i="20" l="1"/>
  <c r="V94" i="21"/>
  <c r="K40" i="31"/>
  <c r="V121" i="20" l="1"/>
  <c r="X94" i="21"/>
  <c r="X121" i="20" l="1"/>
  <c r="Z94" i="21"/>
  <c r="N24" i="35"/>
  <c r="R24" i="35" s="1"/>
  <c r="Z121" i="20" l="1"/>
  <c r="B78" i="22"/>
  <c r="D78" i="22" s="1"/>
  <c r="C16" i="17"/>
  <c r="AB16" i="17" s="1"/>
  <c r="N59" i="2" l="1"/>
  <c r="N57" i="3"/>
  <c r="K40" i="12" l="1"/>
  <c r="N59" i="3"/>
  <c r="G40" i="12"/>
  <c r="F78" i="22" l="1"/>
  <c r="H59" i="3" l="1"/>
  <c r="K98" i="30"/>
  <c r="H78" i="22" l="1"/>
  <c r="K118" i="30" l="1"/>
  <c r="J78" i="22" l="1"/>
  <c r="K44" i="30" l="1"/>
  <c r="L78" i="22" l="1"/>
  <c r="N15" i="35"/>
  <c r="R15" i="35" s="1"/>
  <c r="L29" i="32" l="1"/>
  <c r="N78" i="22" l="1"/>
  <c r="N20" i="35"/>
  <c r="N19" i="35"/>
  <c r="K151" i="30"/>
  <c r="P78" i="22" l="1"/>
  <c r="K109" i="30"/>
  <c r="K111" i="30"/>
  <c r="E155" i="30" l="1"/>
  <c r="P30" i="35"/>
  <c r="I155" i="30"/>
  <c r="J45" i="32"/>
  <c r="N17" i="35"/>
  <c r="R17" i="35" s="1"/>
  <c r="H45" i="32"/>
  <c r="H48" i="32" s="1"/>
  <c r="K71" i="34"/>
  <c r="I42" i="31"/>
  <c r="F30" i="35"/>
  <c r="F45" i="32"/>
  <c r="F48" i="32" s="1"/>
  <c r="G155" i="30"/>
  <c r="E42" i="31"/>
  <c r="E45" i="31" s="1"/>
  <c r="J30" i="35"/>
  <c r="AB14" i="26"/>
  <c r="C49" i="26"/>
  <c r="K28" i="30"/>
  <c r="C25" i="8"/>
  <c r="K121" i="30"/>
  <c r="E81" i="25"/>
  <c r="AD13" i="25"/>
  <c r="AD81" i="25" s="1"/>
  <c r="K20" i="31"/>
  <c r="K52" i="30"/>
  <c r="L44" i="32"/>
  <c r="K22" i="30"/>
  <c r="K69" i="30"/>
  <c r="K21" i="31"/>
  <c r="K150" i="30"/>
  <c r="N28" i="35"/>
  <c r="R28" i="35" s="1"/>
  <c r="K84" i="30"/>
  <c r="K65" i="30"/>
  <c r="K17" i="30"/>
  <c r="K133" i="30"/>
  <c r="N27" i="35"/>
  <c r="R27" i="35" s="1"/>
  <c r="D30" i="35"/>
  <c r="K128" i="30"/>
  <c r="K82" i="30"/>
  <c r="K18" i="30"/>
  <c r="K19" i="31"/>
  <c r="K129" i="30"/>
  <c r="L30" i="32"/>
  <c r="M47" i="34"/>
  <c r="L30" i="35"/>
  <c r="K130" i="30"/>
  <c r="L42" i="32"/>
  <c r="K86" i="30"/>
  <c r="K42" i="30"/>
  <c r="K147" i="30"/>
  <c r="L34" i="32"/>
  <c r="K35" i="30"/>
  <c r="K53" i="30"/>
  <c r="K31" i="30"/>
  <c r="K46" i="30"/>
  <c r="L43" i="32"/>
  <c r="K140" i="30"/>
  <c r="L37" i="32"/>
  <c r="L36" i="32"/>
  <c r="K51" i="30"/>
  <c r="L39" i="32"/>
  <c r="K120" i="30"/>
  <c r="L38" i="32"/>
  <c r="K154" i="30"/>
  <c r="K123" i="30"/>
  <c r="L32" i="32"/>
  <c r="K54" i="30"/>
  <c r="N25" i="35"/>
  <c r="R25" i="35" s="1"/>
  <c r="K106" i="30"/>
  <c r="K40" i="30"/>
  <c r="K90" i="30"/>
  <c r="K32" i="30"/>
  <c r="K30" i="30"/>
  <c r="K21" i="30"/>
  <c r="R20" i="35"/>
  <c r="C24" i="8"/>
  <c r="C23" i="8"/>
  <c r="K71" i="30"/>
  <c r="B46" i="28"/>
  <c r="D41" i="6"/>
  <c r="K80" i="30"/>
  <c r="K135" i="30"/>
  <c r="M69" i="34"/>
  <c r="K63" i="30"/>
  <c r="L31" i="32"/>
  <c r="K26" i="13"/>
  <c r="C35" i="11"/>
  <c r="K36" i="31"/>
  <c r="AB56" i="15"/>
  <c r="K29" i="30"/>
  <c r="C32" i="7"/>
  <c r="C32" i="8"/>
  <c r="K37" i="31"/>
  <c r="L35" i="32"/>
  <c r="C29" i="8"/>
  <c r="B46" i="27"/>
  <c r="K20" i="30"/>
  <c r="K145" i="30"/>
  <c r="K138" i="30"/>
  <c r="K79" i="30"/>
  <c r="C33" i="14"/>
  <c r="K23" i="31"/>
  <c r="C27" i="14"/>
  <c r="C40" i="7"/>
  <c r="I40" i="7" s="1"/>
  <c r="K57" i="30"/>
  <c r="R19" i="35"/>
  <c r="K134" i="30"/>
  <c r="K77" i="30"/>
  <c r="K36" i="30"/>
  <c r="K148" i="30"/>
  <c r="K66" i="30"/>
  <c r="K34" i="30"/>
  <c r="C33" i="8"/>
  <c r="I33" i="8" s="1"/>
  <c r="K68" i="30"/>
  <c r="K146" i="30"/>
  <c r="K73" i="30"/>
  <c r="K81" i="30"/>
  <c r="L40" i="32"/>
  <c r="AD78" i="22"/>
  <c r="AG13" i="22"/>
  <c r="AI13" i="22" s="1"/>
  <c r="AA57" i="3"/>
  <c r="AE16" i="17"/>
  <c r="K99" i="30"/>
  <c r="AG81" i="25"/>
  <c r="T41" i="6"/>
  <c r="T42" i="6" s="1"/>
  <c r="AD46" i="29"/>
  <c r="K72" i="30"/>
  <c r="AE49" i="26"/>
  <c r="T44" i="5"/>
  <c r="T45" i="5" s="1"/>
  <c r="K131" i="30"/>
  <c r="K16" i="30"/>
  <c r="K50" i="30"/>
  <c r="K152" i="30"/>
  <c r="C21" i="8"/>
  <c r="C27" i="12"/>
  <c r="K55" i="30"/>
  <c r="K48" i="30"/>
  <c r="K41" i="30"/>
  <c r="K87" i="30"/>
  <c r="E100" i="24"/>
  <c r="E13" i="23"/>
  <c r="P57" i="2" s="1"/>
  <c r="B46" i="29"/>
  <c r="AG14" i="29"/>
  <c r="AI14" i="29" s="1"/>
  <c r="C26" i="11"/>
  <c r="K43" i="30"/>
  <c r="K56" i="30"/>
  <c r="C33" i="12"/>
  <c r="K19" i="30"/>
  <c r="K22" i="31"/>
  <c r="K78" i="30"/>
  <c r="K122" i="30"/>
  <c r="M51" i="34"/>
  <c r="K25" i="31"/>
  <c r="K37" i="30"/>
  <c r="C20" i="8"/>
  <c r="K125" i="30"/>
  <c r="K24" i="31"/>
  <c r="K126" i="30"/>
  <c r="L41" i="32"/>
  <c r="L33" i="32"/>
  <c r="C31" i="8"/>
  <c r="K70" i="30"/>
  <c r="K41" i="31"/>
  <c r="L24" i="32"/>
  <c r="K141" i="30"/>
  <c r="K27" i="30"/>
  <c r="K144" i="30"/>
  <c r="K119" i="30"/>
  <c r="K83" i="30"/>
  <c r="C30" i="8"/>
  <c r="K127" i="30"/>
  <c r="L23" i="32"/>
  <c r="K75" i="30"/>
  <c r="K76" i="30"/>
  <c r="K35" i="31"/>
  <c r="K100" i="30"/>
  <c r="K47" i="30"/>
  <c r="K143" i="30"/>
  <c r="K124" i="30"/>
  <c r="K26" i="31"/>
  <c r="O26" i="13" l="1"/>
  <c r="K155" i="30"/>
  <c r="M71" i="34"/>
  <c r="R57" i="2"/>
  <c r="AB58" i="15"/>
  <c r="K42" i="31"/>
  <c r="D44" i="5"/>
  <c r="D45" i="5" s="1"/>
  <c r="AB49" i="26"/>
  <c r="AH49" i="26" s="1"/>
  <c r="AJ49" i="26" s="1"/>
  <c r="R78" i="22"/>
  <c r="G81" i="25"/>
  <c r="G100" i="24"/>
  <c r="S40" i="14"/>
  <c r="AF13" i="23"/>
  <c r="M26" i="10"/>
  <c r="C22" i="7"/>
  <c r="H44" i="5"/>
  <c r="H45" i="5" s="1"/>
  <c r="AA46" i="27"/>
  <c r="AG46" i="27" s="1"/>
  <c r="AI46" i="27" s="1"/>
  <c r="W40" i="14"/>
  <c r="L25" i="32"/>
  <c r="K101" i="30"/>
  <c r="AA46" i="28"/>
  <c r="AG46" i="28" s="1"/>
  <c r="AI46" i="28" s="1"/>
  <c r="K112" i="30"/>
  <c r="G157" i="30"/>
  <c r="U33" i="14"/>
  <c r="AG78" i="22"/>
  <c r="AI78" i="22" s="1"/>
  <c r="K28" i="31"/>
  <c r="AJ13" i="24"/>
  <c r="I35" i="11"/>
  <c r="C23" i="7"/>
  <c r="C33" i="13"/>
  <c r="I33" i="12"/>
  <c r="AG14" i="28"/>
  <c r="AI14" i="28" s="1"/>
  <c r="K23" i="30"/>
  <c r="I157" i="30"/>
  <c r="AG14" i="27"/>
  <c r="AI14" i="27" s="1"/>
  <c r="I27" i="12"/>
  <c r="C37" i="14"/>
  <c r="C40" i="14" s="1"/>
  <c r="I45" i="31"/>
  <c r="O42" i="11"/>
  <c r="C39" i="11"/>
  <c r="C42" i="11" s="1"/>
  <c r="J48" i="32"/>
  <c r="AJ13" i="25"/>
  <c r="AL13" i="25" s="1"/>
  <c r="G39" i="13"/>
  <c r="M33" i="13"/>
  <c r="I33" i="14"/>
  <c r="R30" i="35"/>
  <c r="U35" i="11"/>
  <c r="E157" i="30"/>
  <c r="U26" i="11"/>
  <c r="I26" i="11"/>
  <c r="C37" i="12"/>
  <c r="C40" i="12" s="1"/>
  <c r="AL81" i="25"/>
  <c r="N30" i="35"/>
  <c r="L45" i="32"/>
  <c r="H41" i="6"/>
  <c r="H42" i="6" s="1"/>
  <c r="AG46" i="29"/>
  <c r="AI46" i="29" s="1"/>
  <c r="AH14" i="26"/>
  <c r="AJ14" i="26" s="1"/>
  <c r="U27" i="14"/>
  <c r="AD57" i="2"/>
  <c r="AE16" i="16"/>
  <c r="C16" i="16"/>
  <c r="AB16" i="16" s="1"/>
  <c r="I26" i="8"/>
  <c r="K91" i="30"/>
  <c r="M35" i="10"/>
  <c r="I34" i="8"/>
  <c r="C27" i="13"/>
  <c r="C21" i="7"/>
  <c r="C30" i="7"/>
  <c r="C34" i="8"/>
  <c r="C29" i="7"/>
  <c r="C33" i="7"/>
  <c r="C26" i="10"/>
  <c r="C25" i="7"/>
  <c r="C35" i="10"/>
  <c r="C24" i="7"/>
  <c r="C31" i="7"/>
  <c r="C26" i="8"/>
  <c r="C20" i="7"/>
  <c r="AH16" i="17"/>
  <c r="AJ16" i="17" s="1"/>
  <c r="D42" i="6"/>
  <c r="U37" i="14" l="1"/>
  <c r="U40" i="14" s="1"/>
  <c r="G49" i="7"/>
  <c r="O40" i="14"/>
  <c r="I37" i="12"/>
  <c r="I40" i="12" s="1"/>
  <c r="N44" i="5"/>
  <c r="N45" i="5" s="1"/>
  <c r="I39" i="11"/>
  <c r="I42" i="11" s="1"/>
  <c r="I81" i="25"/>
  <c r="I100" i="24"/>
  <c r="E49" i="26"/>
  <c r="D46" i="27"/>
  <c r="D46" i="29"/>
  <c r="D46" i="28"/>
  <c r="K103" i="30"/>
  <c r="AL13" i="24"/>
  <c r="C37" i="13"/>
  <c r="C40" i="13" s="1"/>
  <c r="K45" i="31"/>
  <c r="AJ81" i="25"/>
  <c r="AL13" i="23"/>
  <c r="AN13" i="23" s="1"/>
  <c r="K39" i="13"/>
  <c r="L48" i="32"/>
  <c r="U39" i="11"/>
  <c r="U42" i="11" s="1"/>
  <c r="N41" i="6"/>
  <c r="W41" i="6" s="1"/>
  <c r="I37" i="8"/>
  <c r="C37" i="8"/>
  <c r="AH16" i="16"/>
  <c r="AJ16" i="16" s="1"/>
  <c r="I34" i="7"/>
  <c r="M39" i="10"/>
  <c r="M42" i="10" s="1"/>
  <c r="C34" i="7"/>
  <c r="C39" i="10"/>
  <c r="C42" i="10" s="1"/>
  <c r="C26" i="7"/>
  <c r="O39" i="13" l="1"/>
  <c r="K49" i="7"/>
  <c r="K157" i="30"/>
  <c r="T78" i="22"/>
  <c r="K100" i="24"/>
  <c r="K81" i="25"/>
  <c r="W44" i="5"/>
  <c r="Y44" i="5" s="1"/>
  <c r="N42" i="6"/>
  <c r="C37" i="7"/>
  <c r="Y41" i="6"/>
  <c r="W42" i="6"/>
  <c r="Y42" i="6" s="1"/>
  <c r="V22" i="15"/>
  <c r="M81" i="25" l="1"/>
  <c r="M100" i="24"/>
  <c r="W45" i="5"/>
  <c r="Y45" i="5" s="1"/>
  <c r="F46" i="29"/>
  <c r="F46" i="28"/>
  <c r="F46" i="27"/>
  <c r="G49" i="26"/>
  <c r="H25" i="15"/>
  <c r="H58" i="15" s="1"/>
  <c r="V78" i="22" l="1"/>
  <c r="O81" i="25"/>
  <c r="I49" i="26"/>
  <c r="Q81" i="25" l="1"/>
  <c r="K49" i="26"/>
  <c r="H46" i="29"/>
  <c r="H46" i="28"/>
  <c r="H46" i="27"/>
  <c r="X78" i="22" l="1"/>
  <c r="S81" i="25"/>
  <c r="M49" i="26"/>
  <c r="U81" i="25" l="1"/>
  <c r="O49" i="26"/>
  <c r="J46" i="28"/>
  <c r="J46" i="29"/>
  <c r="J46" i="27"/>
  <c r="W81" i="25" l="1"/>
  <c r="Q49" i="26"/>
  <c r="L46" i="27"/>
  <c r="V37" i="2"/>
  <c r="L41" i="3"/>
  <c r="R41" i="3" s="1"/>
  <c r="Y81" i="25" l="1"/>
  <c r="S49" i="26"/>
  <c r="L46" i="28"/>
  <c r="L46" i="29"/>
  <c r="AB129" i="17"/>
  <c r="AH129" i="17" s="1"/>
  <c r="AJ129" i="17" s="1"/>
  <c r="V40" i="2"/>
  <c r="V42" i="2" s="1"/>
  <c r="AB126" i="16"/>
  <c r="AH126" i="16" s="1"/>
  <c r="AJ126" i="16" s="1"/>
  <c r="L38" i="3"/>
  <c r="L43" i="3" s="1"/>
  <c r="AB126" i="17"/>
  <c r="AB129" i="16"/>
  <c r="AH129" i="16" s="1"/>
  <c r="AJ129" i="16" s="1"/>
  <c r="L42" i="2"/>
  <c r="AA81" i="25" l="1"/>
  <c r="U49" i="26"/>
  <c r="N46" i="27"/>
  <c r="R38" i="3"/>
  <c r="R43" i="3" s="1"/>
  <c r="AB132" i="17"/>
  <c r="AH126" i="17"/>
  <c r="AB132" i="16"/>
  <c r="W49" i="26" l="1"/>
  <c r="N46" i="28"/>
  <c r="N46" i="29"/>
  <c r="AH132" i="16"/>
  <c r="AJ132" i="16" s="1"/>
  <c r="AH132" i="17"/>
  <c r="AJ132" i="17" s="1"/>
  <c r="AJ126" i="17"/>
  <c r="Y49" i="26" l="1"/>
  <c r="P46" i="27"/>
  <c r="P46" i="29" l="1"/>
  <c r="P46" i="28"/>
  <c r="R46" i="27"/>
  <c r="R46" i="28" l="1"/>
  <c r="R46" i="29"/>
  <c r="T46" i="27"/>
  <c r="T46" i="29" l="1"/>
  <c r="T46" i="28"/>
  <c r="V46" i="27"/>
  <c r="F45" i="5" l="1"/>
  <c r="X46" i="27"/>
  <c r="B45" i="5"/>
  <c r="V46" i="29" l="1"/>
  <c r="V46" i="28"/>
  <c r="L44" i="5"/>
  <c r="L45" i="5" s="1"/>
  <c r="L25" i="15"/>
  <c r="L58" i="15" s="1"/>
  <c r="Q30" i="17"/>
  <c r="Q60" i="17" s="1"/>
  <c r="Q30" i="16"/>
  <c r="AB30" i="16" s="1"/>
  <c r="F42" i="6" l="1"/>
  <c r="L15" i="3"/>
  <c r="R15" i="3" s="1"/>
  <c r="R21" i="3" s="1"/>
  <c r="R46" i="3" s="1"/>
  <c r="L20" i="2"/>
  <c r="L45" i="2" s="1"/>
  <c r="L55" i="2" s="1"/>
  <c r="Q109" i="17"/>
  <c r="Q135" i="17" s="1"/>
  <c r="Q145" i="17" s="1"/>
  <c r="AB60" i="17"/>
  <c r="AB28" i="16"/>
  <c r="AH28" i="16" s="1"/>
  <c r="V25" i="15"/>
  <c r="AB28" i="17"/>
  <c r="X46" i="29" l="1"/>
  <c r="X46" i="28"/>
  <c r="B42" i="6"/>
  <c r="L41" i="6"/>
  <c r="L42" i="6" s="1"/>
  <c r="AH30" i="16"/>
  <c r="AJ28" i="16"/>
  <c r="L21" i="3"/>
  <c r="L46" i="3" s="1"/>
  <c r="L55" i="3" s="1"/>
  <c r="AB30" i="17"/>
  <c r="AH28" i="17"/>
  <c r="AH60" i="17"/>
  <c r="AB109" i="17"/>
  <c r="AB135" i="17" s="1"/>
  <c r="AJ30" i="16" l="1"/>
  <c r="AH30" i="17"/>
  <c r="AJ30" i="17" s="1"/>
  <c r="AJ28" i="17"/>
  <c r="AJ60" i="17"/>
  <c r="AH109" i="17"/>
  <c r="AJ109" i="17" s="1"/>
  <c r="AH135" i="17"/>
  <c r="AJ135" i="17" s="1"/>
  <c r="L59" i="2" l="1"/>
  <c r="L57" i="3" l="1"/>
  <c r="L59" i="3" l="1"/>
  <c r="Z42" i="43" l="1"/>
  <c r="Z44" i="43" s="1"/>
  <c r="D36" i="43"/>
  <c r="D42" i="43" s="1"/>
  <c r="D44" i="43" s="1"/>
  <c r="F44" i="43" l="1"/>
  <c r="G38" i="9"/>
  <c r="G39" i="9"/>
  <c r="G29" i="9"/>
  <c r="G28" i="9"/>
  <c r="AE139" i="17"/>
  <c r="C138" i="17"/>
  <c r="V138" i="18"/>
  <c r="V142" i="18" s="1"/>
  <c r="N138" i="18"/>
  <c r="N142" i="18" s="1"/>
  <c r="AI130" i="18"/>
  <c r="AK130" i="18" s="1"/>
  <c r="AI133" i="18"/>
  <c r="L138" i="18"/>
  <c r="L142" i="18" s="1"/>
  <c r="C139" i="17"/>
  <c r="AI134" i="18"/>
  <c r="AK134" i="18" s="1"/>
  <c r="AA49" i="3"/>
  <c r="AI129" i="18"/>
  <c r="AK129" i="18" s="1"/>
  <c r="K39" i="9" l="1"/>
  <c r="K28" i="9"/>
  <c r="K29" i="9"/>
  <c r="K38" i="9"/>
  <c r="H44" i="43"/>
  <c r="G30" i="9"/>
  <c r="J138" i="18"/>
  <c r="J142" i="18" s="1"/>
  <c r="I141" i="17"/>
  <c r="I145" i="17" s="1"/>
  <c r="V50" i="2"/>
  <c r="C140" i="16" s="1"/>
  <c r="T138" i="18"/>
  <c r="T142" i="18" s="1"/>
  <c r="AA50" i="3"/>
  <c r="AA51" i="3" s="1"/>
  <c r="AA55" i="3" s="1"/>
  <c r="AA59" i="3" s="1"/>
  <c r="AB139" i="17"/>
  <c r="AH139" i="17" s="1"/>
  <c r="AJ139" i="17" s="1"/>
  <c r="E141" i="17"/>
  <c r="E145" i="17" s="1"/>
  <c r="F138" i="18"/>
  <c r="F142" i="18" s="1"/>
  <c r="AI135" i="18"/>
  <c r="AK135" i="18" s="1"/>
  <c r="X138" i="18"/>
  <c r="X142" i="18" s="1"/>
  <c r="AI131" i="18"/>
  <c r="AK131" i="18" s="1"/>
  <c r="R138" i="18"/>
  <c r="R142" i="18" s="1"/>
  <c r="Z138" i="18"/>
  <c r="Z142" i="18" s="1"/>
  <c r="P138" i="18"/>
  <c r="P142" i="18" s="1"/>
  <c r="AD49" i="2"/>
  <c r="D138" i="18"/>
  <c r="AE138" i="17"/>
  <c r="AE141" i="17" s="1"/>
  <c r="AE145" i="17" s="1"/>
  <c r="AE147" i="17" s="1"/>
  <c r="X50" i="2"/>
  <c r="AF138" i="18"/>
  <c r="C141" i="17"/>
  <c r="C145" i="17" s="1"/>
  <c r="C147" i="17" s="1"/>
  <c r="D49" i="3"/>
  <c r="AC138" i="18"/>
  <c r="H138" i="18"/>
  <c r="H142" i="18" s="1"/>
  <c r="AD50" i="2"/>
  <c r="AE140" i="16" s="1"/>
  <c r="K42" i="9" l="1"/>
  <c r="K30" i="9"/>
  <c r="I43" i="9"/>
  <c r="D142" i="18"/>
  <c r="D144" i="18" s="1"/>
  <c r="AF142" i="18"/>
  <c r="J44" i="43"/>
  <c r="I142" i="16"/>
  <c r="I146" i="16" s="1"/>
  <c r="C142" i="16"/>
  <c r="W142" i="16"/>
  <c r="U142" i="16"/>
  <c r="U146" i="16" s="1"/>
  <c r="S142" i="16"/>
  <c r="Q142" i="16"/>
  <c r="G141" i="17"/>
  <c r="G145" i="17" s="1"/>
  <c r="D50" i="3"/>
  <c r="R50" i="3" s="1"/>
  <c r="D51" i="2"/>
  <c r="D55" i="2" s="1"/>
  <c r="E147" i="17"/>
  <c r="AB138" i="17"/>
  <c r="AH138" i="17" s="1"/>
  <c r="AD51" i="2"/>
  <c r="AE139" i="16"/>
  <c r="AE142" i="16" s="1"/>
  <c r="F50" i="3"/>
  <c r="T50" i="3" s="1"/>
  <c r="AD50" i="3" s="1"/>
  <c r="AF50" i="3" s="1"/>
  <c r="AC142" i="18"/>
  <c r="AI138" i="18"/>
  <c r="AK138" i="18" s="1"/>
  <c r="R49" i="3"/>
  <c r="V51" i="2"/>
  <c r="AG50" i="2"/>
  <c r="AI50" i="2"/>
  <c r="F51" i="2"/>
  <c r="F55" i="2" s="1"/>
  <c r="F59" i="2" s="1"/>
  <c r="X49" i="2"/>
  <c r="M142" i="16" s="1"/>
  <c r="F49" i="3"/>
  <c r="L44" i="43" l="1"/>
  <c r="N44" i="43" s="1"/>
  <c r="F144" i="18"/>
  <c r="Y142" i="16"/>
  <c r="Y146" i="16" s="1"/>
  <c r="AF144" i="18"/>
  <c r="O142" i="16"/>
  <c r="O146" i="16" s="1"/>
  <c r="K142" i="16"/>
  <c r="K146" i="16" s="1"/>
  <c r="F57" i="3"/>
  <c r="T57" i="3" s="1"/>
  <c r="G147" i="17"/>
  <c r="D51" i="3"/>
  <c r="D55" i="3" s="1"/>
  <c r="R51" i="3"/>
  <c r="R55" i="3" s="1"/>
  <c r="AB140" i="16"/>
  <c r="G41" i="8"/>
  <c r="AB141" i="17"/>
  <c r="AB145" i="17" s="1"/>
  <c r="AH145" i="17" s="1"/>
  <c r="AJ145" i="17" s="1"/>
  <c r="T49" i="3"/>
  <c r="F51" i="3"/>
  <c r="F55" i="3" s="1"/>
  <c r="AC144" i="18"/>
  <c r="AI142" i="18"/>
  <c r="AK142" i="18" s="1"/>
  <c r="G142" i="16"/>
  <c r="G146" i="16" s="1"/>
  <c r="AG49" i="2"/>
  <c r="AI49" i="2"/>
  <c r="X51" i="2"/>
  <c r="AJ138" i="17"/>
  <c r="AH141" i="17"/>
  <c r="AJ141" i="17" s="1"/>
  <c r="AG51" i="2" l="1"/>
  <c r="AI51" i="2" s="1"/>
  <c r="E142" i="16"/>
  <c r="E146" i="16" s="1"/>
  <c r="AB139" i="16"/>
  <c r="AB142" i="16" s="1"/>
  <c r="P44" i="43"/>
  <c r="AH140" i="16"/>
  <c r="AJ140" i="16" s="1"/>
  <c r="AI144" i="18"/>
  <c r="AK144" i="18" s="1"/>
  <c r="I147" i="17"/>
  <c r="H144" i="18"/>
  <c r="F59" i="3"/>
  <c r="G48" i="8"/>
  <c r="AD57" i="3"/>
  <c r="AF57" i="3" s="1"/>
  <c r="AB147" i="17"/>
  <c r="AH147" i="17" s="1"/>
  <c r="AJ147" i="17" s="1"/>
  <c r="AD49" i="3"/>
  <c r="AD51" i="3" s="1"/>
  <c r="G40" i="8"/>
  <c r="T51" i="3"/>
  <c r="T55" i="3" s="1"/>
  <c r="T59" i="3" s="1"/>
  <c r="K48" i="8" l="1"/>
  <c r="AH139" i="16"/>
  <c r="AH142" i="16" s="1"/>
  <c r="AJ142" i="16" s="1"/>
  <c r="R44" i="43"/>
  <c r="K147" i="17"/>
  <c r="J144" i="18"/>
  <c r="G42" i="8"/>
  <c r="G46" i="8" s="1"/>
  <c r="G49" i="8" s="1"/>
  <c r="AF49" i="3"/>
  <c r="AJ139" i="16" l="1"/>
  <c r="T44" i="43"/>
  <c r="M147" i="17"/>
  <c r="L144" i="18"/>
  <c r="AF51" i="3"/>
  <c r="AD55" i="3"/>
  <c r="AF55" i="3" s="1"/>
  <c r="V44" i="43" l="1"/>
  <c r="O147" i="17"/>
  <c r="AD59" i="3"/>
  <c r="AF59" i="3" s="1"/>
  <c r="X44" i="43" l="1"/>
  <c r="Q147" i="17"/>
  <c r="N144" i="18"/>
  <c r="S147" i="17" l="1"/>
  <c r="G31" i="9"/>
  <c r="U147" i="17" l="1"/>
  <c r="P144" i="18"/>
  <c r="G41" i="7"/>
  <c r="G43" i="9"/>
  <c r="G47" i="9" s="1"/>
  <c r="G50" i="9" s="1"/>
  <c r="G42" i="7"/>
  <c r="W147" i="17" l="1"/>
  <c r="G43" i="7"/>
  <c r="R19" i="6"/>
  <c r="Y147" i="17" l="1"/>
  <c r="R144" i="18"/>
  <c r="R21" i="5"/>
  <c r="R37" i="5"/>
  <c r="R26" i="6"/>
  <c r="R29" i="6" s="1"/>
  <c r="R34" i="6"/>
  <c r="Y51" i="3"/>
  <c r="Y21" i="3"/>
  <c r="Y43" i="3"/>
  <c r="R32" i="5" l="1"/>
  <c r="R42" i="5" s="1"/>
  <c r="R45" i="5" s="1"/>
  <c r="R39" i="6"/>
  <c r="R42" i="6" s="1"/>
  <c r="Y46" i="3"/>
  <c r="Y55" i="3" l="1"/>
  <c r="T144" i="18"/>
  <c r="O60" i="24"/>
  <c r="O64" i="24" s="1"/>
  <c r="O87" i="24" s="1"/>
  <c r="O98" i="24" s="1"/>
  <c r="O100" i="24" s="1"/>
  <c r="Y59" i="3" l="1"/>
  <c r="Q100" i="24"/>
  <c r="V144" i="18" l="1"/>
  <c r="O98" i="23"/>
  <c r="M146" i="16"/>
  <c r="X144" i="18" l="1"/>
  <c r="S21" i="24"/>
  <c r="S31" i="24" s="1"/>
  <c r="Q42" i="16" l="1"/>
  <c r="Q60" i="16" s="1"/>
  <c r="S21" i="23"/>
  <c r="D57" i="3" l="1"/>
  <c r="D59" i="2"/>
  <c r="Z144" i="18"/>
  <c r="S31" i="23"/>
  <c r="V29" i="15"/>
  <c r="V38" i="15" s="1"/>
  <c r="V58" i="15" s="1"/>
  <c r="P38" i="15"/>
  <c r="P58" i="15" s="1"/>
  <c r="D59" i="3" l="1"/>
  <c r="R57" i="3"/>
  <c r="R59" i="3" s="1"/>
  <c r="I31" i="9" l="1"/>
  <c r="E41" i="7"/>
  <c r="K41" i="7" s="1"/>
  <c r="C40" i="8"/>
  <c r="E40" i="8"/>
  <c r="K40" i="8" s="1"/>
  <c r="K43" i="9"/>
  <c r="S60" i="24"/>
  <c r="S64" i="24" s="1"/>
  <c r="S87" i="24" s="1"/>
  <c r="S98" i="24" s="1"/>
  <c r="S100" i="24" s="1"/>
  <c r="C41" i="8"/>
  <c r="C43" i="9"/>
  <c r="C41" i="7"/>
  <c r="C42" i="7"/>
  <c r="K31" i="9"/>
  <c r="E43" i="9"/>
  <c r="E42" i="7"/>
  <c r="K42" i="7" s="1"/>
  <c r="E41" i="8"/>
  <c r="K41" i="8" s="1"/>
  <c r="I43" i="7" l="1"/>
  <c r="I42" i="8"/>
  <c r="I46" i="8" s="1"/>
  <c r="I49" i="8" s="1"/>
  <c r="K42" i="8"/>
  <c r="K46" i="8" s="1"/>
  <c r="K49" i="8" s="1"/>
  <c r="K43" i="7"/>
  <c r="I47" i="9"/>
  <c r="I50" i="9" s="1"/>
  <c r="K47" i="9"/>
  <c r="K50" i="9" s="1"/>
  <c r="C47" i="9"/>
  <c r="C50" i="9" s="1"/>
  <c r="E47" i="9"/>
  <c r="E50" i="9" s="1"/>
  <c r="S60" i="23"/>
  <c r="E42" i="8"/>
  <c r="E46" i="8" s="1"/>
  <c r="E49" i="8" s="1"/>
  <c r="E43" i="7"/>
  <c r="E47" i="7" s="1"/>
  <c r="E50" i="7" s="1"/>
  <c r="C42" i="8"/>
  <c r="C46" i="8" s="1"/>
  <c r="C49" i="8" s="1"/>
  <c r="C43" i="7"/>
  <c r="C47" i="7" s="1"/>
  <c r="C50" i="7" s="1"/>
  <c r="S64" i="23" l="1"/>
  <c r="S87" i="23" s="1"/>
  <c r="S98" i="23" s="1"/>
  <c r="Q105" i="16"/>
  <c r="Q109" i="16" s="1"/>
  <c r="Q135" i="16" s="1"/>
  <c r="Q146" i="16" s="1"/>
  <c r="AB59" i="2" l="1"/>
  <c r="U60" i="24" l="1"/>
  <c r="U64" i="24" s="1"/>
  <c r="U87" i="24" s="1"/>
  <c r="U98" i="24" s="1"/>
  <c r="U100" i="24" s="1"/>
  <c r="W100" i="24" l="1"/>
  <c r="U60" i="23"/>
  <c r="S105" i="16" l="1"/>
  <c r="S109" i="16" s="1"/>
  <c r="S135" i="16" s="1"/>
  <c r="S146" i="16" s="1"/>
  <c r="U64" i="23"/>
  <c r="U87" i="23" s="1"/>
  <c r="U98" i="23" s="1"/>
  <c r="AJ59" i="24" l="1"/>
  <c r="AI59" i="23"/>
  <c r="AI60" i="23" s="1"/>
  <c r="AJ60" i="24" l="1"/>
  <c r="AJ64" i="24" s="1"/>
  <c r="AL59" i="24"/>
  <c r="AE103" i="16"/>
  <c r="Y60" i="24"/>
  <c r="Y64" i="24" s="1"/>
  <c r="Y87" i="24" s="1"/>
  <c r="Y98" i="24" s="1"/>
  <c r="Y100" i="24" s="1"/>
  <c r="AA100" i="24" l="1"/>
  <c r="AL60" i="24"/>
  <c r="G27" i="14"/>
  <c r="G37" i="14" s="1"/>
  <c r="I27" i="14"/>
  <c r="I37" i="14" s="1"/>
  <c r="K27" i="14"/>
  <c r="K37" i="14" s="1"/>
  <c r="K40" i="14" s="1"/>
  <c r="AG87" i="24"/>
  <c r="AL64" i="24"/>
  <c r="Y60" i="23"/>
  <c r="AD18" i="2"/>
  <c r="AD20" i="2" s="1"/>
  <c r="AD45" i="2" s="1"/>
  <c r="AD55" i="2" s="1"/>
  <c r="AD59" i="2" s="1"/>
  <c r="AI64" i="23"/>
  <c r="AI87" i="23" s="1"/>
  <c r="AI98" i="23" s="1"/>
  <c r="AE105" i="16"/>
  <c r="R18" i="2" l="1"/>
  <c r="X18" i="2" s="1"/>
  <c r="AE109" i="16"/>
  <c r="AE135" i="16" s="1"/>
  <c r="AE146" i="16" s="1"/>
  <c r="AE148" i="16" s="1"/>
  <c r="AL59" i="23"/>
  <c r="AN59" i="23" s="1"/>
  <c r="W105" i="16"/>
  <c r="W109" i="16" s="1"/>
  <c r="W135" i="16" s="1"/>
  <c r="W146" i="16" s="1"/>
  <c r="AB103" i="16"/>
  <c r="AJ87" i="24"/>
  <c r="AJ98" i="24" s="1"/>
  <c r="AJ100" i="24" s="1"/>
  <c r="AG98" i="24"/>
  <c r="Y64" i="23"/>
  <c r="Y87" i="23" s="1"/>
  <c r="Y98" i="23" s="1"/>
  <c r="G27" i="13"/>
  <c r="G37" i="13" s="1"/>
  <c r="G40" i="13" s="1"/>
  <c r="K23" i="13"/>
  <c r="G24" i="7"/>
  <c r="AI100" i="23"/>
  <c r="I40" i="14"/>
  <c r="G40" i="14"/>
  <c r="M27" i="13" l="1"/>
  <c r="M37" i="13" s="1"/>
  <c r="O23" i="13"/>
  <c r="O27" i="13" s="1"/>
  <c r="O37" i="13" s="1"/>
  <c r="O40" i="13" s="1"/>
  <c r="I26" i="7"/>
  <c r="K24" i="7"/>
  <c r="K26" i="7" s="1"/>
  <c r="AD100" i="24"/>
  <c r="V18" i="2"/>
  <c r="AH103" i="16"/>
  <c r="AB105" i="16"/>
  <c r="AL87" i="24"/>
  <c r="AL60" i="23"/>
  <c r="AG100" i="24"/>
  <c r="AL100" i="24" s="1"/>
  <c r="AL98" i="24"/>
  <c r="G26" i="7"/>
  <c r="K27" i="13"/>
  <c r="K37" i="13" s="1"/>
  <c r="G37" i="7" l="1"/>
  <c r="G47" i="7"/>
  <c r="G50" i="7" s="1"/>
  <c r="AN60" i="23"/>
  <c r="M40" i="13"/>
  <c r="K40" i="13"/>
  <c r="AH105" i="16"/>
  <c r="AJ103" i="16"/>
  <c r="K37" i="7"/>
  <c r="K47" i="7"/>
  <c r="K50" i="7" s="1"/>
  <c r="I37" i="7"/>
  <c r="I47" i="7"/>
  <c r="I50" i="7" s="1"/>
  <c r="AG18" i="2" l="1"/>
  <c r="AI18" i="2"/>
  <c r="AJ105" i="16"/>
  <c r="E21" i="23"/>
  <c r="P15" i="2" s="1"/>
  <c r="C33" i="16"/>
  <c r="C42" i="16" s="1"/>
  <c r="C60" i="16" s="1"/>
  <c r="C109" i="16" s="1"/>
  <c r="C135" i="16" s="1"/>
  <c r="C146" i="16" s="1"/>
  <c r="C148" i="16" s="1"/>
  <c r="AF21" i="23"/>
  <c r="R15" i="2" l="1"/>
  <c r="E148" i="16"/>
  <c r="AB33" i="16"/>
  <c r="AH33" i="16" s="1"/>
  <c r="AJ33" i="16" s="1"/>
  <c r="E31" i="23"/>
  <c r="E64" i="23" s="1"/>
  <c r="E87" i="23" s="1"/>
  <c r="E98" i="23" s="1"/>
  <c r="E100" i="23" s="1"/>
  <c r="AL18" i="23"/>
  <c r="AN18" i="23" s="1"/>
  <c r="R29" i="15"/>
  <c r="X29" i="15" s="1"/>
  <c r="X38" i="15" s="1"/>
  <c r="AF31" i="23"/>
  <c r="AF64" i="23" s="1"/>
  <c r="AL21" i="23"/>
  <c r="AN21" i="23" s="1"/>
  <c r="G148" i="16" l="1"/>
  <c r="AB42" i="16"/>
  <c r="AB60" i="16" s="1"/>
  <c r="AB109" i="16" s="1"/>
  <c r="AB135" i="16" s="1"/>
  <c r="AH135" i="16" s="1"/>
  <c r="AJ135" i="16" s="1"/>
  <c r="R38" i="15"/>
  <c r="R58" i="15" s="1"/>
  <c r="AH29" i="15"/>
  <c r="AJ29" i="15" s="1"/>
  <c r="AH42" i="16"/>
  <c r="AH60" i="16" s="1"/>
  <c r="V15" i="2"/>
  <c r="V20" i="2" s="1"/>
  <c r="V45" i="2" s="1"/>
  <c r="V55" i="2" s="1"/>
  <c r="P20" i="2"/>
  <c r="P45" i="2" s="1"/>
  <c r="P55" i="2" s="1"/>
  <c r="AL31" i="23"/>
  <c r="AF87" i="23"/>
  <c r="AH38" i="15"/>
  <c r="AJ38" i="15" s="1"/>
  <c r="R20" i="2"/>
  <c r="R45" i="2" s="1"/>
  <c r="R55" i="2" s="1"/>
  <c r="X15" i="2"/>
  <c r="AF98" i="23" l="1"/>
  <c r="I148" i="16"/>
  <c r="G100" i="23"/>
  <c r="X57" i="2"/>
  <c r="AB146" i="16"/>
  <c r="AJ42" i="16"/>
  <c r="AH109" i="16"/>
  <c r="AJ109" i="16" s="1"/>
  <c r="AJ60" i="16"/>
  <c r="AL64" i="23"/>
  <c r="AN31" i="23"/>
  <c r="AG15" i="2"/>
  <c r="AI15" i="2"/>
  <c r="AF100" i="23" l="1"/>
  <c r="AN100" i="23" s="1"/>
  <c r="AL98" i="23"/>
  <c r="AL100" i="23" s="1"/>
  <c r="AB148" i="16"/>
  <c r="K148" i="16"/>
  <c r="AI57" i="2"/>
  <c r="AG57" i="2"/>
  <c r="R59" i="2"/>
  <c r="AH146" i="16"/>
  <c r="AJ146" i="16" s="1"/>
  <c r="AN64" i="23"/>
  <c r="AL87" i="23"/>
  <c r="AN87" i="23" s="1"/>
  <c r="AN98" i="23" l="1"/>
  <c r="AH148" i="16"/>
  <c r="AJ148" i="16" s="1"/>
  <c r="M148" i="16"/>
  <c r="I100" i="23"/>
  <c r="O148" i="16" l="1"/>
  <c r="Q148" i="16" l="1"/>
  <c r="K100" i="23"/>
  <c r="G35" i="40"/>
  <c r="S148" i="16" l="1"/>
  <c r="G46" i="40"/>
  <c r="G48" i="40" s="1"/>
  <c r="U148" i="16" l="1"/>
  <c r="M100" i="23"/>
  <c r="W148" i="16" l="1"/>
  <c r="Y148" i="16" l="1"/>
  <c r="O100" i="23"/>
  <c r="Q100" i="23" l="1"/>
  <c r="S100" i="23" l="1"/>
  <c r="U100" i="23" l="1"/>
  <c r="W100" i="23" l="1"/>
  <c r="Y100" i="23" l="1"/>
  <c r="AA100" i="23" l="1"/>
  <c r="P59" i="2" l="1"/>
  <c r="AJ22" i="15"/>
  <c r="J14" i="2"/>
  <c r="X14" i="2" s="1"/>
  <c r="AE38" i="19"/>
  <c r="AE85" i="19" s="1"/>
  <c r="AE111" i="19" s="1"/>
  <c r="AE121" i="19" s="1"/>
  <c r="J22" i="15"/>
  <c r="F38" i="19"/>
  <c r="F85" i="19" s="1"/>
  <c r="F111" i="19" s="1"/>
  <c r="F121" i="19" s="1"/>
  <c r="F123" i="19" s="1"/>
  <c r="H123" i="19" l="1"/>
  <c r="X22" i="15"/>
  <c r="J25" i="15"/>
  <c r="J58" i="15" s="1"/>
  <c r="AE123" i="19"/>
  <c r="AK123" i="19" s="1"/>
  <c r="AM123" i="19" s="1"/>
  <c r="AK121" i="19"/>
  <c r="AM121" i="19" s="1"/>
  <c r="X20" i="2"/>
  <c r="AG14" i="2"/>
  <c r="AG20" i="2" s="1"/>
  <c r="AI14" i="2"/>
  <c r="AK17" i="19"/>
  <c r="J20" i="2"/>
  <c r="J45" i="2" s="1"/>
  <c r="J55" i="2" s="1"/>
  <c r="J59" i="2" s="1"/>
  <c r="AK38" i="19" l="1"/>
  <c r="AM17" i="19"/>
  <c r="J123" i="19"/>
  <c r="AI20" i="2"/>
  <c r="X45" i="2"/>
  <c r="X25" i="15"/>
  <c r="AH22" i="15"/>
  <c r="AM38" i="19" l="1"/>
  <c r="AK85" i="19"/>
  <c r="L123" i="19"/>
  <c r="AH25" i="15"/>
  <c r="AJ25" i="15" s="1"/>
  <c r="X58" i="15"/>
  <c r="AH58" i="15" s="1"/>
  <c r="AJ58" i="15" s="1"/>
  <c r="X55" i="2"/>
  <c r="AI45" i="2"/>
  <c r="AG45" i="2"/>
  <c r="AG55" i="2" s="1"/>
  <c r="AG59" i="2" s="1"/>
  <c r="AK111" i="19" l="1"/>
  <c r="AM111" i="19" s="1"/>
  <c r="AM85" i="19"/>
  <c r="N123" i="19"/>
  <c r="X59" i="2"/>
  <c r="AI59" i="2" s="1"/>
  <c r="AI55" i="2"/>
  <c r="P123" i="19" l="1"/>
  <c r="R123" i="19" l="1"/>
  <c r="T123" i="19" l="1"/>
  <c r="V123" i="19" l="1"/>
  <c r="X123" i="19" l="1"/>
  <c r="Z123" i="19" l="1"/>
  <c r="H59" i="2"/>
  <c r="I48" i="44"/>
  <c r="V57" i="2" l="1"/>
  <c r="V59" i="2" s="1"/>
  <c r="I52" i="44"/>
  <c r="I56" i="44" l="1"/>
  <c r="G56" i="44"/>
</calcChain>
</file>

<file path=xl/sharedStrings.xml><?xml version="1.0" encoding="utf-8"?>
<sst xmlns="http://schemas.openxmlformats.org/spreadsheetml/2006/main" count="4210" uniqueCount="1531">
  <si>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</si>
  <si>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</si>
  <si>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</si>
  <si>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</si>
  <si>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</si>
  <si>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</si>
  <si>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</si>
  <si>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</si>
  <si>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</si>
  <si>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</si>
  <si>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</si>
  <si>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</si>
  <si>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</si>
  <si>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</si>
  <si>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</si>
  <si>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</si>
  <si>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</si>
  <si>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</si>
  <si>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</si>
  <si>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</si>
  <si>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</si>
  <si>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</si>
  <si>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</si>
  <si>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</si>
  <si>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</si>
  <si>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</si>
  <si>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</si>
  <si>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</si>
  <si>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</si>
  <si>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</si>
  <si>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</si>
  <si>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</si>
  <si>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</si>
  <si>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</si>
  <si>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</si>
  <si>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</si>
  <si>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</si>
  <si>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</si>
  <si>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</si>
  <si>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</si>
  <si>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</si>
  <si>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</si>
  <si>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</si>
  <si>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</si>
  <si>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</si>
  <si>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</si>
  <si>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</si>
  <si>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</si>
  <si>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</si>
  <si>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</si>
  <si>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</si>
  <si>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</si>
  <si>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</si>
  <si>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</si>
  <si>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</si>
  <si>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</si>
  <si>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</si>
  <si>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</si>
  <si>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</si>
  <si>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</si>
  <si>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</si>
  <si>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</si>
  <si>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</si>
  <si>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</si>
  <si>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</si>
  <si>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</si>
  <si>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</si>
  <si>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</si>
  <si>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</si>
  <si>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</si>
  <si>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</si>
  <si>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</si>
  <si>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</si>
  <si>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</si>
  <si>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</si>
  <si>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</si>
  <si>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</si>
  <si>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</si>
  <si>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</si>
  <si>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</si>
  <si>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</si>
  <si>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</si>
  <si>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</si>
  <si>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</si>
  <si>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</si>
  <si>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</si>
  <si>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</si>
  <si>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</si>
  <si>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</si>
  <si>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</si>
  <si>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</si>
  <si>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</si>
  <si>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</si>
  <si>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</si>
  <si>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</si>
  <si>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</si>
  <si>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</si>
  <si>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</si>
  <si>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</si>
  <si>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</si>
  <si>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</si>
  <si>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</si>
  <si>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</si>
  <si>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</si>
  <si>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</si>
  <si>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</si>
  <si>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</si>
  <si>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</si>
  <si>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</si>
  <si>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</si>
  <si>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</si>
  <si>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</si>
  <si>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</si>
  <si>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</si>
  <si>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</si>
  <si>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</si>
  <si>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</si>
  <si>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</si>
  <si>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</si>
  <si>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</si>
  <si>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</si>
  <si>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</si>
  <si>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</si>
  <si>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</si>
  <si>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</si>
  <si>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</si>
  <si>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</si>
  <si>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</si>
  <si>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</si>
  <si>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</si>
  <si>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</si>
  <si>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</si>
  <si>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</si>
  <si>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</si>
  <si>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</si>
  <si>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</si>
  <si>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</si>
  <si>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</si>
  <si>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</si>
  <si>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</si>
  <si>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</si>
  <si>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</si>
  <si>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</si>
  <si>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</si>
  <si>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</si>
  <si>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</si>
  <si>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</si>
  <si>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</si>
  <si>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</si>
  <si>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</si>
  <si>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</si>
  <si>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</si>
  <si>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</si>
  <si>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</si>
  <si>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</si>
  <si>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</si>
  <si>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</si>
  <si>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</si>
  <si>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</si>
  <si>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</si>
  <si>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</si>
  <si>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</si>
  <si>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</si>
  <si>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</si>
  <si>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</si>
  <si>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</si>
  <si>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</si>
  <si>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</si>
  <si>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</si>
  <si>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</si>
  <si>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</si>
  <si>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</si>
  <si>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</si>
  <si>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</si>
  <si>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</si>
  <si>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</si>
  <si>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</si>
  <si>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</si>
  <si>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</si>
  <si>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</si>
  <si>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</si>
  <si>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</si>
  <si>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</si>
  <si>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</si>
  <si>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</si>
  <si>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</si>
  <si>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</si>
  <si>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</si>
  <si>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</si>
  <si>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</si>
  <si>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</si>
  <si>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</si>
  <si>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</si>
  <si>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</si>
  <si>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</si>
  <si>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</si>
  <si>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</si>
  <si>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</si>
  <si>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</si>
  <si>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</si>
  <si>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</si>
  <si>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</si>
  <si>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</si>
  <si>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</si>
  <si>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</si>
  <si>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</si>
  <si>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</si>
  <si>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</si>
  <si>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</si>
  <si>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</si>
  <si>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</si>
  <si>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</si>
  <si>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</si>
  <si>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</si>
  <si>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</si>
  <si>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</si>
  <si>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</si>
  <si>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</si>
  <si>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</si>
  <si>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</si>
  <si>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</si>
  <si>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</si>
  <si>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</si>
  <si>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</si>
  <si>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</si>
  <si>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</si>
  <si>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</si>
  <si>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</si>
  <si>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</si>
  <si>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</si>
  <si>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</si>
  <si>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</si>
  <si>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</si>
  <si>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</si>
  <si>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</si>
  <si>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</si>
  <si>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</si>
  <si>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</si>
  <si>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</si>
  <si>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</si>
  <si>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</si>
  <si>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</si>
  <si>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</si>
  <si>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</si>
  <si>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</si>
  <si>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</si>
  <si>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</si>
  <si>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</si>
  <si>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</si>
  <si>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</si>
  <si>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</si>
  <si>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</si>
  <si>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</si>
  <si>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</si>
  <si>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</si>
  <si>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</si>
  <si>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</si>
  <si>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</si>
  <si>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</si>
  <si>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</si>
  <si>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</si>
  <si>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</si>
  <si>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</si>
  <si>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</si>
  <si>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</si>
  <si>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</si>
  <si>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</si>
  <si>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</si>
  <si>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</si>
  <si>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</si>
  <si>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</si>
  <si>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</si>
  <si>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</si>
  <si>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</si>
  <si>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</si>
  <si>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</si>
  <si>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</si>
  <si>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</si>
  <si>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</si>
  <si>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</si>
  <si>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</si>
  <si>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</si>
  <si>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</si>
  <si>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</si>
  <si>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</si>
  <si>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</si>
  <si>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</si>
  <si>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</si>
  <si>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</si>
  <si>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</si>
  <si>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</si>
  <si>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</si>
  <si>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</si>
  <si>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</si>
  <si>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</si>
  <si>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</si>
  <si>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</si>
  <si>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</si>
  <si>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</si>
  <si>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</si>
  <si>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</si>
  <si>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</si>
  <si>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</si>
  <si>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</si>
  <si>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</si>
  <si>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</si>
  <si>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</si>
  <si>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</si>
  <si>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</si>
  <si>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</si>
  <si>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</si>
  <si>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</si>
  <si>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</si>
  <si>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</si>
  <si>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</si>
  <si>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</si>
  <si>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</si>
  <si>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</si>
  <si>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</si>
  <si>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</si>
  <si>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</si>
  <si>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</si>
  <si>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</si>
  <si>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</si>
  <si>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</si>
  <si>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</si>
  <si>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</si>
  <si>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</si>
  <si>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</si>
  <si>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</si>
  <si>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</si>
  <si>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</si>
  <si>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</si>
  <si>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</si>
  <si>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</si>
  <si>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</si>
  <si>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</si>
  <si>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</si>
  <si>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</si>
  <si>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</si>
  <si>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</si>
  <si>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</si>
  <si>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</si>
  <si>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</si>
  <si>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</si>
  <si>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</si>
  <si>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</si>
  <si>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</si>
  <si>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</si>
  <si>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</si>
  <si>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</si>
  <si>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</si>
  <si>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</si>
  <si>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</si>
  <si>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</si>
  <si>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</si>
  <si>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</si>
  <si>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</si>
  <si>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</si>
  <si>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</si>
  <si>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</si>
  <si>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</si>
  <si>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</si>
  <si>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</si>
  <si>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</si>
  <si>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</si>
  <si>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</si>
  <si>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</si>
  <si>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</si>
  <si>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</si>
  <si>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</si>
  <si>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</si>
  <si>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</si>
  <si>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</si>
  <si>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</si>
  <si>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</si>
  <si>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</si>
  <si>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</si>
  <si>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</si>
  <si>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</si>
  <si>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</si>
  <si>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</si>
  <si>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</si>
  <si>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</si>
  <si>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</si>
  <si>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</si>
  <si>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</si>
  <si>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</si>
  <si>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</si>
  <si>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</si>
  <si>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</si>
  <si>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</si>
  <si>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</si>
  <si>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</si>
  <si>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</si>
  <si>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</si>
  <si>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</si>
  <si>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</si>
  <si>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</si>
  <si>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</si>
  <si>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</si>
  <si>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</si>
  <si>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</si>
  <si>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</si>
  <si>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</si>
  <si>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</si>
  <si>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</si>
  <si>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</si>
  <si>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</si>
  <si>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</si>
  <si>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</si>
  <si>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</si>
  <si>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</si>
  <si>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</si>
  <si>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</si>
  <si>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</si>
  <si>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</si>
  <si>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</si>
  <si>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</si>
  <si>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</si>
  <si>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</si>
  <si>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</si>
  <si>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</si>
  <si>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</si>
  <si>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</si>
  <si>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</si>
  <si>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</si>
  <si>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</si>
  <si>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</si>
  <si>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</si>
  <si>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</si>
  <si>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</si>
  <si>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</si>
  <si>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</si>
  <si>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</si>
  <si>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</si>
  <si>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</si>
  <si>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</si>
  <si>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</si>
  <si>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</si>
  <si>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</si>
  <si>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</si>
  <si>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</si>
  <si>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</si>
  <si>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</si>
  <si>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</si>
  <si>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</si>
  <si>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</si>
  <si>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</si>
  <si>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</si>
  <si>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</si>
  <si>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</si>
  <si>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</si>
  <si>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</si>
  <si>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</si>
  <si>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</si>
  <si>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</si>
  <si>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</si>
  <si>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</si>
  <si>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</si>
  <si>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</si>
  <si>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</si>
  <si>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</si>
  <si>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</si>
  <si>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</si>
  <si>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</si>
  <si>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</si>
  <si>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</si>
  <si>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</si>
  <si>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</si>
  <si>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</si>
  <si>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</si>
  <si>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</si>
  <si>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</si>
  <si>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</si>
  <si>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</si>
  <si>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</si>
  <si>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</si>
  <si>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</si>
  <si>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</si>
  <si>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</si>
  <si>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</si>
  <si>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</si>
  <si>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</si>
  <si>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</si>
  <si>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</si>
  <si>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</si>
  <si>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</si>
  <si>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</si>
  <si>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</si>
  <si>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</si>
  <si>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</si>
  <si>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</si>
  <si>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</si>
  <si>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</si>
  <si>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</si>
  <si>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</si>
  <si>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</si>
  <si>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</si>
  <si>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</si>
  <si>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</si>
  <si>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</si>
  <si>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</si>
  <si>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</si>
  <si>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</si>
  <si>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</si>
  <si>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</si>
  <si>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</si>
  <si>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</si>
  <si>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</si>
  <si>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</si>
  <si>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</si>
  <si>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</si>
  <si>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</si>
  <si>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</si>
  <si>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</si>
  <si>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</si>
  <si>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</si>
  <si>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</si>
  <si>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</si>
  <si>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</si>
  <si>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</si>
  <si>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</si>
  <si>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</si>
  <si>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</si>
  <si>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</si>
  <si>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</si>
  <si>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</si>
  <si>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</si>
  <si>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</si>
  <si>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</si>
  <si>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</si>
  <si>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</si>
  <si>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</si>
  <si>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</si>
  <si>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</si>
  <si>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</si>
  <si>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</si>
  <si>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</si>
  <si>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</si>
  <si>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</si>
  <si>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</si>
  <si>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</si>
  <si>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</si>
  <si>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</si>
  <si>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</si>
  <si>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</si>
  <si>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</si>
  <si>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</si>
  <si>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</si>
  <si>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</si>
  <si>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</si>
  <si>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</si>
  <si>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</si>
  <si>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</si>
  <si>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</si>
  <si>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</si>
  <si>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</si>
  <si>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</si>
  <si>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</si>
  <si>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</si>
  <si>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</si>
  <si>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</si>
  <si>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</si>
  <si>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</si>
  <si>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</si>
  <si>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</si>
  <si>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</si>
  <si>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</si>
  <si>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</si>
  <si>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</si>
  <si>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</si>
  <si>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</si>
  <si>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</si>
  <si>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</si>
  <si>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</si>
  <si>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</si>
  <si>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</si>
  <si>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</si>
  <si>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</si>
  <si>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</si>
  <si>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</si>
  <si>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</si>
  <si>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</si>
  <si>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</si>
  <si>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</si>
  <si>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</si>
  <si>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</si>
  <si>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</si>
  <si>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</si>
  <si>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</si>
  <si>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</si>
  <si>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</si>
  <si>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</si>
  <si>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</si>
  <si>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</si>
  <si>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</si>
  <si>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</si>
  <si>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</si>
  <si>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</si>
  <si>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</si>
  <si>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</si>
  <si>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</si>
  <si>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</si>
  <si>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</si>
  <si>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</si>
  <si>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</si>
  <si>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</si>
  <si>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</si>
  <si>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</si>
  <si>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</si>
  <si>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</si>
  <si>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</si>
  <si>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</si>
  <si>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</si>
  <si>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</si>
  <si>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</si>
  <si>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</si>
  <si>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</si>
  <si>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</si>
  <si>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</si>
  <si>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</si>
  <si>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</si>
  <si>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</si>
  <si>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</si>
  <si>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</si>
  <si>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</si>
  <si>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</si>
  <si>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</si>
  <si>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</si>
  <si>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</si>
  <si>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</si>
  <si>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</si>
  <si>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</si>
  <si>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</si>
  <si>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</si>
  <si>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</si>
  <si>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</si>
  <si>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</si>
  <si>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</si>
  <si>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</si>
  <si>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</si>
  <si>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</si>
  <si>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</si>
  <si>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</si>
  <si>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</si>
  <si>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</si>
  <si>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</si>
  <si>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</si>
  <si>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</si>
  <si>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</si>
  <si>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</si>
  <si>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</si>
  <si>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</si>
  <si>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</si>
  <si>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</si>
  <si>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</si>
  <si>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</si>
  <si>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</si>
  <si>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</si>
  <si>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</si>
  <si>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</si>
  <si>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</si>
  <si>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</si>
  <si>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</si>
  <si>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</si>
  <si>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</si>
  <si>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</si>
  <si>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</si>
  <si>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</si>
  <si>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</si>
  <si>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</si>
  <si>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</si>
  <si>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</si>
  <si>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</si>
  <si>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</si>
  <si>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</si>
  <si>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</si>
  <si>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</si>
  <si>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</si>
  <si>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</si>
  <si>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</si>
  <si>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</si>
  <si>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</si>
  <si>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</si>
  <si>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</si>
  <si>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</si>
  <si>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</si>
  <si>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</si>
  <si>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</si>
  <si>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</si>
  <si>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</si>
  <si>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</si>
  <si>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</si>
  <si>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</si>
  <si>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</si>
  <si>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</si>
  <si>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</si>
  <si>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</si>
  <si>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</si>
  <si>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</si>
  <si>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</si>
  <si>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</si>
  <si>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</si>
  <si>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</si>
  <si>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</si>
  <si>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</si>
  <si>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</si>
  <si>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</si>
  <si>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</si>
  <si>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</si>
  <si>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</si>
  <si>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</si>
  <si>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</si>
  <si>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</si>
  <si>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</si>
  <si>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</si>
  <si>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</si>
  <si>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</si>
  <si>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</si>
  <si>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</si>
  <si>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</si>
  <si>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</si>
  <si>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</si>
  <si>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</si>
  <si>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</si>
  <si>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</si>
  <si>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</si>
  <si>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</si>
  <si>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</si>
  <si>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</si>
  <si>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</si>
  <si>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</si>
  <si>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</si>
  <si>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</si>
  <si>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</si>
  <si>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</si>
  <si>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</si>
  <si>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</si>
  <si>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</si>
  <si>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</si>
  <si>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</si>
  <si>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</si>
  <si>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</si>
  <si>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</si>
  <si>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</si>
  <si>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</si>
  <si>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</si>
  <si>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</si>
  <si>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</si>
  <si>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</si>
  <si>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</si>
  <si>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</si>
  <si>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</si>
  <si>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</si>
  <si>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</si>
  <si>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</si>
  <si>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</si>
  <si>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</si>
  <si>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</si>
  <si>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</si>
  <si>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</si>
  <si>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</si>
  <si>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</si>
  <si>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</si>
  <si>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</si>
  <si>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</si>
  <si>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</si>
  <si>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</si>
  <si>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</si>
  <si>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</si>
  <si>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</si>
  <si>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</si>
  <si>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</si>
  <si>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</si>
  <si>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</si>
  <si>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</si>
  <si>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</si>
  <si>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</si>
  <si>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</si>
  <si>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</si>
  <si>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</si>
  <si>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</si>
  <si>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</si>
  <si>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</si>
  <si>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</si>
  <si>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</si>
  <si>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</si>
  <si>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</si>
  <si>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</si>
  <si>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</si>
  <si>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</si>
  <si>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</si>
  <si>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</si>
  <si>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</si>
  <si>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</si>
  <si>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</si>
  <si>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</si>
  <si>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</si>
  <si>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</si>
  <si>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</si>
  <si>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</si>
  <si>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</si>
  <si>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</si>
  <si>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</si>
  <si>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</si>
  <si>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</si>
  <si>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</si>
  <si>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</si>
  <si>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</si>
  <si>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</si>
  <si>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</si>
  <si>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</si>
  <si>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</si>
  <si>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</si>
  <si>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</si>
  <si>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</si>
  <si>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</si>
  <si>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</si>
  <si>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</si>
  <si>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</si>
  <si>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</si>
  <si>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</si>
  <si>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</si>
  <si>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</si>
  <si>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</si>
  <si>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</si>
  <si>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</si>
  <si>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</si>
  <si>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</si>
  <si>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</si>
  <si>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</si>
  <si>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</si>
  <si>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</si>
  <si>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</si>
  <si>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</si>
  <si>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</si>
  <si>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</si>
  <si>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</si>
  <si>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</si>
  <si>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</si>
  <si>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</si>
  <si>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</si>
  <si>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</si>
  <si>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</si>
  <si>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</si>
  <si>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</si>
  <si>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</si>
  <si>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</si>
  <si>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</si>
  <si>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</si>
  <si>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</si>
  <si>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</si>
  <si>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</si>
  <si>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</si>
  <si>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</si>
  <si>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</si>
  <si>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</si>
  <si>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</si>
  <si>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</si>
  <si>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</si>
  <si>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</si>
  <si>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</si>
  <si>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</si>
  <si>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</si>
  <si>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</si>
  <si>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</si>
  <si>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</si>
  <si>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</si>
  <si>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</si>
  <si>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</si>
  <si>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</si>
  <si>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</si>
  <si>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</si>
  <si>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</si>
  <si>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</si>
  <si>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</si>
  <si>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</si>
  <si>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</si>
  <si>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</si>
  <si>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</si>
  <si>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</si>
  <si>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</si>
  <si>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</si>
  <si>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</si>
  <si>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</si>
  <si>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</si>
  <si>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</si>
  <si>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</si>
  <si>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</si>
  <si>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</si>
  <si>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</si>
  <si>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</si>
  <si>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</si>
  <si>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</si>
  <si>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</si>
  <si>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</si>
  <si>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</si>
  <si>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</si>
  <si>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</si>
  <si>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</si>
  <si>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</si>
  <si>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</si>
  <si>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</si>
  <si>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</si>
  <si>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</si>
  <si>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</si>
  <si>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</si>
  <si>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</si>
  <si>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</si>
  <si>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</si>
  <si>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</si>
  <si>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</si>
  <si>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</si>
  <si>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</si>
  <si>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</si>
  <si>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</si>
  <si>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</si>
  <si>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</si>
  <si>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</si>
  <si>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</si>
  <si>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</si>
  <si>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</si>
  <si>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</si>
  <si>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</si>
  <si>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</si>
  <si>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</si>
  <si>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</si>
  <si>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</si>
  <si>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</si>
  <si>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</si>
  <si>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</si>
  <si>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</si>
  <si>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</si>
  <si>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</si>
  <si>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</si>
  <si>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</si>
  <si>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</si>
  <si>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</si>
  <si>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</si>
  <si>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</si>
  <si>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</si>
  <si>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</si>
  <si>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</si>
  <si>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</si>
  <si>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</si>
  <si>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</si>
  <si>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</si>
  <si>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</si>
  <si>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</si>
  <si>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</si>
  <si>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</si>
  <si>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</si>
  <si>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</si>
  <si>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</si>
  <si>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</si>
  <si>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</si>
  <si>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</si>
  <si>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</si>
  <si>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</si>
  <si>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</si>
  <si>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</si>
  <si>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</si>
  <si>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</si>
  <si>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</si>
  <si>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</si>
  <si>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</si>
  <si>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</si>
  <si>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</si>
  <si>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</si>
  <si>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</si>
  <si>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</si>
  <si>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</si>
  <si>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</si>
  <si>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</si>
  <si>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</si>
  <si>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</si>
  <si>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</si>
  <si>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</si>
  <si>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</si>
  <si>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</si>
  <si>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</si>
  <si>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</si>
  <si>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</si>
  <si>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</si>
  <si>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</si>
  <si>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</si>
  <si>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</si>
  <si>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</si>
  <si>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</si>
  <si>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</si>
  <si>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</si>
  <si>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</si>
  <si>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</si>
  <si>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</si>
  <si>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</si>
  <si>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</si>
  <si>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</si>
  <si>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</si>
  <si>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</si>
  <si>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</si>
  <si>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</si>
  <si>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</si>
  <si>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</si>
  <si>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</si>
  <si>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</si>
  <si>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</si>
  <si>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</si>
  <si>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</si>
  <si>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</si>
  <si>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</si>
  <si>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</si>
  <si>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</si>
  <si>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</si>
  <si>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</si>
  <si>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</si>
  <si>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</si>
  <si>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</si>
  <si>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</si>
  <si>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</si>
  <si>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</si>
  <si>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</si>
  <si>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</si>
  <si>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</si>
  <si>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</si>
  <si>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</si>
  <si>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</si>
  <si>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</si>
  <si>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</si>
  <si>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</si>
  <si>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</si>
  <si>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</si>
  <si>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</si>
  <si>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</si>
  <si>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</si>
  <si>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</si>
  <si>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</si>
  <si>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</si>
  <si>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</si>
  <si>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</si>
  <si>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</si>
  <si>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</si>
  <si>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</si>
  <si>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</si>
  <si>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</si>
  <si>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</si>
  <si>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</si>
  <si>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</si>
  <si>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</si>
  <si>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</si>
  <si>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</si>
  <si>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</si>
  <si>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</si>
  <si>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</si>
  <si>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</si>
  <si>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</si>
  <si>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</si>
  <si>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</si>
  <si>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</si>
  <si>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</si>
  <si>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</si>
  <si>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</si>
  <si>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</si>
  <si>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</si>
  <si>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</si>
  <si>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</si>
  <si>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</si>
  <si>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</si>
  <si>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</si>
  <si>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</si>
  <si>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</si>
  <si>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</si>
  <si>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</si>
  <si>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</si>
  <si>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</si>
  <si>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</si>
  <si>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</si>
  <si>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</si>
  <si>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</si>
  <si>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</si>
  <si>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</si>
  <si>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</si>
  <si>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</si>
  <si>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</si>
  <si>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</si>
  <si>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</si>
  <si>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</si>
  <si>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</si>
  <si>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</si>
  <si>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</si>
  <si>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</si>
  <si>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</si>
  <si>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</si>
  <si>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</si>
  <si>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</si>
  <si>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</si>
  <si>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</si>
  <si>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</si>
  <si>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</si>
  <si>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</si>
  <si>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</si>
  <si>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</si>
  <si>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</si>
  <si>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</si>
  <si>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</si>
  <si>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</si>
  <si>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</si>
  <si>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</si>
  <si>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</si>
  <si>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</si>
  <si>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</si>
  <si>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</si>
  <si>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</si>
  <si>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</si>
  <si>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</si>
  <si>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</si>
  <si>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</si>
  <si>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</si>
  <si>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</si>
  <si>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</si>
  <si>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</si>
  <si>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</si>
  <si>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</si>
  <si>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</si>
  <si>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</si>
  <si>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</si>
  <si>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</si>
  <si>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</si>
  <si>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</si>
  <si>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</si>
  <si>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</si>
  <si>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</si>
  <si>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</si>
  <si>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</si>
  <si>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</si>
  <si>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</si>
  <si>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</si>
  <si>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</si>
  <si>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</si>
  <si>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</si>
  <si>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</si>
  <si>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</si>
  <si>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</si>
  <si>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</si>
  <si>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</si>
  <si>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</si>
  <si>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</si>
  <si>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</si>
  <si>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</si>
  <si>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</si>
  <si>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</si>
  <si>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</si>
  <si>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</si>
  <si>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</si>
  <si>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</si>
  <si>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</si>
  <si>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</si>
  <si>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</si>
  <si>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</si>
  <si>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</si>
  <si>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</si>
  <si>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</si>
  <si>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</si>
  <si>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</si>
  <si>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</si>
  <si>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</si>
  <si>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</si>
  <si>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</si>
  <si>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</si>
  <si>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</si>
  <si>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</si>
  <si>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</si>
  <si>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</si>
  <si>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</si>
  <si>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</si>
  <si>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</si>
  <si>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</si>
  <si>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</si>
  <si>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</si>
  <si>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</si>
  <si>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</si>
  <si>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</si>
  <si>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</si>
  <si>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</si>
  <si>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</si>
  <si>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</si>
  <si>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</si>
  <si>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</si>
  <si>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</si>
  <si>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</si>
  <si>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</si>
  <si>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</si>
  <si>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</si>
  <si>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</si>
  <si>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</si>
  <si>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</si>
  <si>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</si>
  <si>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</si>
  <si>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</si>
  <si>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</si>
  <si>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</si>
  <si>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</si>
  <si>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</si>
  <si>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</si>
  <si>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</si>
  <si>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</si>
  <si>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</si>
  <si>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</si>
  <si>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</si>
  <si>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</si>
  <si>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</si>
  <si>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</si>
  <si>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</si>
  <si>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</si>
  <si>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</si>
  <si>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</si>
  <si>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</si>
  <si>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</si>
  <si>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</si>
  <si>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</si>
  <si>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</si>
  <si>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</si>
  <si>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</si>
  <si>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</si>
  <si>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</si>
  <si>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</si>
  <si>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</si>
  <si>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</si>
  <si>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</si>
  <si>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</si>
  <si>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</si>
  <si>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</si>
  <si>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</si>
  <si>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</si>
  <si>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</si>
  <si>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</si>
  <si>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</si>
  <si>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</si>
  <si>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</si>
  <si>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</si>
  <si>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</si>
  <si>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</si>
  <si>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</si>
  <si>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</si>
  <si>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</si>
  <si>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</si>
  <si>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</si>
  <si>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</si>
  <si>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</si>
  <si>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</si>
  <si>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</si>
  <si>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</si>
  <si>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</si>
  <si>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</si>
  <si>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</si>
  <si>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</si>
  <si>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</si>
  <si>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</si>
  <si>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</si>
  <si>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</si>
  <si>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</si>
  <si>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</si>
  <si>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</si>
  <si>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</si>
  <si>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</si>
  <si>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</si>
  <si>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</si>
  <si>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</si>
  <si>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</si>
  <si>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</si>
  <si>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</si>
  <si>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</si>
  <si>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</si>
  <si>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</si>
  <si>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</si>
  <si>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</si>
  <si>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</si>
  <si>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</si>
  <si>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</si>
  <si>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</si>
  <si>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SERVICES-PRINTING</t>
  </si>
  <si>
    <t>CENTRALIZED SERVICES-REAL PROPERTY-LABOR</t>
  </si>
  <si>
    <t>CENTRALIZED SERVICES-DONATED FOODS</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</si>
  <si>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</si>
  <si>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</si>
  <si>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</si>
  <si>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</si>
  <si>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</si>
  <si>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</si>
  <si>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</si>
  <si>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</si>
  <si>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</si>
  <si>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</si>
  <si>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</si>
  <si>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</si>
  <si>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</si>
  <si>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</si>
  <si>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</si>
  <si>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</si>
  <si>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</si>
  <si>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</si>
  <si>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</si>
  <si>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</si>
  <si>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</si>
  <si>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</si>
  <si>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</si>
  <si>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</si>
  <si>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</si>
  <si>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</si>
  <si>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</si>
  <si>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</si>
  <si>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</si>
  <si>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</si>
  <si>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</si>
  <si>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</si>
  <si>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</si>
  <si>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</si>
  <si>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</si>
  <si>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</si>
  <si>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</si>
  <si>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</si>
  <si>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</si>
  <si>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</si>
  <si>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</si>
  <si>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</si>
  <si>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</si>
  <si>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</si>
  <si>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</si>
  <si>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</si>
  <si>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</si>
  <si>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</si>
  <si>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</si>
  <si>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</si>
  <si>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</si>
  <si>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</si>
  <si>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</si>
  <si>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</si>
  <si>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</si>
  <si>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</si>
  <si>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</si>
  <si>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</si>
  <si>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</si>
  <si>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</si>
  <si>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</si>
  <si>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</si>
  <si>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</si>
  <si>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</si>
  <si>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</si>
  <si>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</si>
  <si>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</si>
  <si>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</si>
  <si>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</si>
  <si>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</si>
  <si>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</si>
  <si>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</si>
  <si>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</si>
  <si>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</si>
  <si>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</si>
  <si>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</si>
  <si>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</si>
  <si>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</si>
  <si>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</si>
  <si>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</si>
  <si>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</si>
  <si>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</si>
  <si>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</si>
  <si>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</si>
  <si>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</si>
  <si>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</si>
  <si>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</si>
  <si>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</si>
  <si>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</si>
  <si>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</si>
  <si>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</si>
  <si>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</si>
  <si>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</si>
  <si>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</si>
  <si>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</si>
  <si>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</si>
  <si>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</si>
  <si>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</si>
  <si>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</si>
  <si>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</si>
  <si>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</si>
  <si>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</si>
  <si>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</si>
  <si>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</si>
  <si>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</si>
  <si>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</si>
  <si>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</si>
  <si>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</si>
  <si>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</si>
  <si>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</si>
  <si>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</si>
  <si>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</si>
  <si>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</si>
  <si>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</si>
  <si>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</si>
  <si>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</si>
  <si>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</si>
  <si>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</si>
  <si>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</si>
  <si>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</si>
  <si>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</si>
  <si>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</si>
  <si>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</si>
  <si>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</si>
  <si>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</si>
  <si>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</si>
  <si>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</si>
  <si>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</si>
  <si>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</si>
  <si>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</si>
  <si>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</si>
  <si>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</si>
  <si>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</si>
  <si>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</si>
  <si>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</si>
  <si>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</si>
  <si>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</si>
  <si>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</si>
  <si>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</si>
  <si>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</si>
  <si>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</si>
  <si>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</si>
  <si>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</si>
  <si>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</si>
  <si>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</si>
  <si>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</si>
  <si>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</si>
  <si>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</si>
  <si>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</si>
  <si>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</si>
  <si>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</si>
  <si>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</si>
  <si>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</si>
  <si>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</si>
  <si>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</si>
  <si>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</si>
  <si>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</si>
  <si>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</si>
  <si>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</si>
  <si>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</si>
  <si>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</si>
  <si>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</si>
  <si>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</si>
  <si>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</si>
  <si>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</si>
  <si>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</si>
  <si>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</si>
  <si>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</si>
  <si>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</si>
  <si>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</si>
  <si>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</si>
  <si>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</si>
  <si>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</si>
  <si>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Also included in Debt Service funds are transfers to Special Revenue funds representing receipts in</t>
  </si>
  <si>
    <t xml:space="preserve">        by activities from dedicated revenue sources (including operating transfers from Federal Funds) and Debt Service Funds. </t>
  </si>
  <si>
    <t>Ryan White Clinics</t>
  </si>
  <si>
    <t>DEBT ISSUED</t>
  </si>
  <si>
    <t xml:space="preserve">Medical Assistance (OPWDD) </t>
  </si>
  <si>
    <t>DFS IT MODERNIZATION CAP ACCOUNT</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</si>
  <si>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</si>
  <si>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</si>
  <si>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</si>
  <si>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</si>
  <si>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</si>
  <si>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</si>
  <si>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</si>
  <si>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 xml:space="preserve">excess of other financing arrangement obligations that are used to finance a portion of the operating </t>
  </si>
  <si>
    <r>
      <t xml:space="preserve">   </t>
    </r>
    <r>
      <rPr>
        <sz val="12"/>
        <color indexed="8"/>
        <rFont val="Arial"/>
        <family val="2"/>
      </rPr>
      <t>Federal Receipts</t>
    </r>
  </si>
  <si>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</si>
  <si>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 xml:space="preserve">      Economic Development</t>
  </si>
  <si>
    <t>reimbursed in future months from the sources indicated:</t>
  </si>
  <si>
    <t>NY RACING CAPITAL IMPROVEMENT</t>
  </si>
  <si>
    <t xml:space="preserve">Medical Assistance (OASAS) </t>
  </si>
  <si>
    <t xml:space="preserve">Healthcare Stability </t>
  </si>
  <si>
    <t>Office of Health Insurance</t>
  </si>
  <si>
    <t>Healthcare Safety Net</t>
  </si>
  <si>
    <t>Long Term Care Providers</t>
  </si>
  <si>
    <t>MAP DC37 &amp; Teamster Local 858</t>
  </si>
  <si>
    <t>CENTRALIZED SERVICES-INFORMATION RESOURCE MGMT</t>
  </si>
  <si>
    <t>CENTRALIZED SERVICES- FEDERAL PERSONAL PROPERTY</t>
  </si>
  <si>
    <t xml:space="preserve">            Abandoned Property</t>
  </si>
  <si>
    <t>NY WATERFRONT COMMISSION EMPLOYER ASSESSMENT ACCOUNT</t>
  </si>
  <si>
    <t>CANNABIS EDUCATION ACCOUNT</t>
  </si>
  <si>
    <t>Temporary Loans are authorized pursuant to Subdivision 5 of Section 4 of the State Finance Law and Chapter 56, Part MM, Section 1 of the Laws of 2025-26.</t>
  </si>
  <si>
    <t>payments for patients residing in State-operated Health and Mental Hygiene facilities, SUNY Capital</t>
  </si>
  <si>
    <t xml:space="preserve">   Transfers from Health Care Stability Fund</t>
  </si>
  <si>
    <t>Dedicated Mass Transportation - Transit Authority Account</t>
  </si>
  <si>
    <t>Partnership Plan</t>
  </si>
  <si>
    <t xml:space="preserve">     Housing Finance Agency</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</si>
  <si>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</si>
  <si>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</si>
  <si>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t xml:space="preserve">(**) Disbursements from the HCRA Resources Fund includes direct grant payments to program beneficiaries, services and expenses </t>
  </si>
  <si>
    <t>January 31, 2026</t>
  </si>
  <si>
    <t xml:space="preserve">     Bank Charge</t>
  </si>
  <si>
    <t>February 28, 2026</t>
  </si>
  <si>
    <t>Independent Living Center</t>
  </si>
  <si>
    <t>March 31, 2026</t>
  </si>
  <si>
    <t>APR. 2026</t>
  </si>
  <si>
    <t>1 MO. ENDED</t>
  </si>
  <si>
    <t>APR. 30, 2026</t>
  </si>
  <si>
    <t>FISCAL YEAR 2026-2027</t>
  </si>
  <si>
    <t>FOR ONE MONTH ENDED APRIL 30, 2026</t>
  </si>
  <si>
    <t>April 30, 2026</t>
  </si>
  <si>
    <t xml:space="preserve">the current fiscal quarter.  As of April 30, 2026 - pursuant to a certification of the Budget Director - </t>
  </si>
  <si>
    <t>the reserve amount is ($7.3m), which was funded by a transfer from the General Fund.</t>
  </si>
  <si>
    <t>CUSTODIAL FUNDS</t>
  </si>
  <si>
    <t xml:space="preserve">As of April 30, 2026, $11,325,566.37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</si>
  <si>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  Plan</t>
  </si>
  <si>
    <t>Due to the absence of the 2026-27 Enacted Budget Financial Plan, the "Financial Plan Cashflow" is not available.</t>
  </si>
  <si>
    <t>(*)  Source: 2026-27 Executive Budget with 30-day amendments dated February 20, 2026, which made no changes to the Executive Budget Financial Plan.</t>
  </si>
  <si>
    <t xml:space="preserve">     TOTAL CUSTODIAL FUNDS   </t>
  </si>
  <si>
    <t>New York Central Business District Trust Fund</t>
  </si>
  <si>
    <t>State Univiersity Income Fund</t>
  </si>
  <si>
    <t xml:space="preserve">State University Income Fund ($18.3m). </t>
  </si>
  <si>
    <t xml:space="preserve">operated health, mental hygiene and State University facilities to Debt Service funds ($0.5m), and the </t>
  </si>
  <si>
    <t xml:space="preserve">Fund and Department of Health Income Fund ($235.9m) representing the federal share of Medicaid </t>
  </si>
  <si>
    <t>Projects Fund ($20.6m), and All Other Capital Projects ($1.8m).</t>
  </si>
  <si>
    <t xml:space="preserve">expenses for the Department of Health ($11.5m). </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</si>
  <si>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</si>
  <si>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</si>
  <si>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</si>
  <si>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</si>
  <si>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</si>
  <si>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amounts appropriated in SFY 2026-27, as well as prior year appropriations that were reappropriated. </t>
  </si>
  <si>
    <t>New York City County Clerks' Operations Offset</t>
  </si>
  <si>
    <t>SUNY Hospital IFR</t>
  </si>
  <si>
    <r>
      <t>Debt Service Funds</t>
    </r>
    <r>
      <rPr>
        <b/>
        <sz val="9"/>
        <rFont val="Arial"/>
        <family val="2"/>
      </rPr>
      <t xml:space="preserve">  </t>
    </r>
    <r>
      <rPr>
        <sz val="9"/>
        <rFont val="Arial"/>
        <family val="2"/>
      </rPr>
      <t>“Transfers To Other Funds” includes transfers to the General Fund from the following:</t>
    </r>
  </si>
  <si>
    <r>
      <t>Capital Projects Funds</t>
    </r>
    <r>
      <rPr>
        <b/>
        <sz val="9"/>
        <rFont val="Arial"/>
        <family val="2"/>
      </rPr>
      <t xml:space="preserve">  </t>
    </r>
    <r>
      <rPr>
        <sz val="9"/>
        <rFont val="Arial"/>
        <family val="2"/>
      </rPr>
      <t>“Transfers To Other Funds” includes transfers to the General Fund ($1.3m).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</si>
</sst>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m/d/yy;@"/>
    <numFmt numFmtId="179" formatCode="_(&quot;$&quot;* #,##0.000_);_(&quot;$&quot;* \(#,##0.000\);_(&quot;$&quot;* &quot;-&quot;???_);_(@_)"/>
    <numFmt numFmtId="180" formatCode="#,##0.000_);\(#,##0.000\)"/>
    <numFmt numFmtId="181" formatCode="_(* #,##0.000_);_(* \(#,##0.000\);_(* &quot;-&quot;??_);_(@_)"/>
    <numFmt numFmtId="182" formatCode="&quot;$&quot;#,##0.000_);\(&quot;$&quot;#,##0.000\)"/>
    <numFmt numFmtId="183" formatCode="m/d/yy"/>
    <numFmt numFmtId="184" formatCode="0.000_);\(0.000\)"/>
    <numFmt numFmtId="185" formatCode="[$-409]mmmm\ d\,\ yyyy;@"/>
    <numFmt numFmtId="186" formatCode="&quot;$&quot;#,##0.00"/>
    <numFmt numFmtId="187" formatCode="&quot;$&quot;#,##0"/>
    <numFmt numFmtId="188" formatCode="0.000%"/>
    <numFmt numFmtId="189" formatCode="_(* #,##0_);_(* \(#,##0\);_(* &quot;-&quot;??_);_(@_)"/>
    <numFmt numFmtId="190" formatCode="&quot;$&quot;#,##0.0_);[Red]\(&quot;$&quot;#,##0.0\)"/>
    <numFmt numFmtId="191" formatCode="0.0"/>
    <numFmt numFmtId="192" formatCode="_(* #,##0.0_);_(* \(#,##0.0\);_(* &quot;-&quot;??_);_(@_)"/>
    <numFmt numFmtId="193" formatCode="0.0000%"/>
    <numFmt numFmtId="194" formatCode="#,##0.00000_);\(#,##0.00000\)"/>
    <numFmt numFmtId="195" formatCode="0.0_);\(0.0\)"/>
    <numFmt numFmtId="196" formatCode="_(&quot;$&quot;* #,##0_);_(&quot;$&quot;* \(#,##0\);_(&quot;$&quot;* &quot;-&quot;??_);_(@_)"/>
    <numFmt numFmtId="197" formatCode="#,#00.0%"/>
    <numFmt numFmtId="198" formatCode="_(* #,##0.000_);_(* \(#,##0.000\);_(* &quot;-&quot;?_);_(@_)"/>
    <numFmt numFmtId="199" formatCode="mmm\.\ dd\,\ yyyy"/>
  </numFmts>
  <fonts count="232">
    <font>
      <sz val="12"/>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3"/>
      <name val="Arial"/>
      <family val="2"/>
    </font>
    <font>
      <b/>
      <sz val="15"/>
      <name val="Times New Roman"/>
      <family val="1"/>
    </font>
    <font>
      <b/>
      <sz val="12"/>
      <color indexed="9"/>
      <name val="Arial"/>
      <family val="2"/>
    </font>
    <font>
      <b/>
      <sz val="10"/>
      <name val="SWISS"/>
    </font>
    <font>
      <b/>
      <sz val="18"/>
      <color indexed="8"/>
      <name val="Arial"/>
      <family val="2"/>
    </font>
    <font>
      <sz val="14"/>
      <name val="SWISS"/>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b/>
      <i/>
      <sz val="18"/>
      <name val="Arial"/>
      <family val="2"/>
    </font>
    <font>
      <b/>
      <i/>
      <sz val="14"/>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b/>
      <sz val="11"/>
      <color rgb="FFFF0000"/>
      <name val="Arial"/>
      <family val="2"/>
    </font>
    <font>
      <b/>
      <sz val="10"/>
      <color rgb="FFFF0000"/>
      <name val="Arial"/>
      <family val="2"/>
    </font>
    <font>
      <sz val="10"/>
      <name val="Arial"/>
      <family val="2"/>
    </font>
    <font>
      <sz val="11"/>
      <color rgb="FFFF0000"/>
      <name val="Arial"/>
      <family val="2"/>
    </font>
    <font>
      <b/>
      <sz val="12"/>
      <color rgb="FFFF0000"/>
      <name val="SWISS"/>
    </font>
    <font>
      <sz val="10"/>
      <color rgb="FFFF0000"/>
      <name val="SWISS"/>
    </font>
    <font>
      <i/>
      <sz val="12"/>
      <name val="SWISS"/>
    </font>
    <font>
      <b/>
      <sz val="11"/>
      <color theme="1"/>
      <name val="Arial"/>
      <family val="2"/>
    </font>
    <font>
      <b/>
      <sz val="16"/>
      <color theme="1"/>
      <name val="Arial"/>
      <family val="2"/>
    </font>
    <font>
      <sz val="12"/>
      <name val="SWISS"/>
      <family val="2"/>
    </font>
    <font>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style="thin">
        <color indexed="8"/>
      </right>
      <top/>
      <bottom/>
      <diagonal/>
    </border>
    <border>
      <left style="thin">
        <color auto="1"/>
      </left>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right/>
      <top style="thin">
        <color indexed="8"/>
      </top>
      <bottom style="double">
        <color indexed="8"/>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50">
    <xf numFmtId="164" fontId="0" fillId="0" borderId="0"/>
    <xf numFmtId="0" fontId="43" fillId="0" borderId="0"/>
    <xf numFmtId="0" fontId="43" fillId="0" borderId="0"/>
    <xf numFmtId="0" fontId="86" fillId="0" borderId="0"/>
    <xf numFmtId="43" fontId="86" fillId="0" borderId="0" applyFont="0" applyFill="0" applyBorder="0" applyAlignment="0" applyProtection="0"/>
    <xf numFmtId="0" fontId="97" fillId="0" borderId="0"/>
    <xf numFmtId="43" fontId="98" fillId="0" borderId="0" applyFont="0" applyFill="0" applyBorder="0" applyAlignment="0" applyProtection="0"/>
    <xf numFmtId="0" fontId="43" fillId="0" borderId="0"/>
    <xf numFmtId="43" fontId="48" fillId="0" borderId="0" applyFont="0" applyFill="0" applyBorder="0" applyAlignment="0" applyProtection="0"/>
    <xf numFmtId="40" fontId="103" fillId="33" borderId="0">
      <alignment horizontal="right"/>
    </xf>
    <xf numFmtId="0" fontId="104" fillId="33" borderId="0">
      <alignment horizontal="right"/>
    </xf>
    <xf numFmtId="0" fontId="105" fillId="33" borderId="12"/>
    <xf numFmtId="0" fontId="105" fillId="0" borderId="0" applyBorder="0">
      <alignment horizontal="centerContinuous"/>
    </xf>
    <xf numFmtId="0" fontId="106" fillId="0" borderId="0" applyBorder="0">
      <alignment horizontal="centerContinuous"/>
    </xf>
    <xf numFmtId="175" fontId="43" fillId="0" borderId="0"/>
    <xf numFmtId="175" fontId="45" fillId="0" borderId="0"/>
    <xf numFmtId="0" fontId="45" fillId="0" borderId="0"/>
    <xf numFmtId="0" fontId="26" fillId="0" borderId="0"/>
    <xf numFmtId="43" fontId="26" fillId="0" borderId="0" applyFont="0" applyFill="0" applyBorder="0" applyAlignment="0" applyProtection="0"/>
    <xf numFmtId="0" fontId="26" fillId="8" borderId="8" applyNumberFormat="0" applyFont="0" applyAlignment="0" applyProtection="0"/>
    <xf numFmtId="0" fontId="111" fillId="0" borderId="0"/>
    <xf numFmtId="43" fontId="112" fillId="0" borderId="0" applyFont="0" applyFill="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44" fontId="26" fillId="0" borderId="0" applyFont="0" applyFill="0" applyBorder="0" applyAlignment="0" applyProtection="0"/>
    <xf numFmtId="0" fontId="43" fillId="0" borderId="0"/>
    <xf numFmtId="0" fontId="98" fillId="0" borderId="0"/>
    <xf numFmtId="43" fontId="98" fillId="0" borderId="0" applyFont="0" applyFill="0" applyBorder="0" applyAlignment="0" applyProtection="0"/>
    <xf numFmtId="0" fontId="42" fillId="12"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42" fillId="16"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42" fillId="20"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42" fillId="24"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42" fillId="28"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42" fillId="32"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42" fillId="9"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42" fillId="1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42" fillId="17"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42" fillId="21"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42" fillId="25"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42" fillId="29"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32" fillId="3"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6" fillId="6" borderId="4" applyNumberFormat="0" applyAlignment="0" applyProtection="0"/>
    <xf numFmtId="0" fontId="117" fillId="47" borderId="37" applyNumberFormat="0" applyAlignment="0" applyProtection="0"/>
    <xf numFmtId="0" fontId="117" fillId="47" borderId="37" applyNumberFormat="0" applyAlignment="0" applyProtection="0"/>
    <xf numFmtId="0" fontId="38" fillId="7" borderId="7" applyNumberFormat="0" applyAlignment="0" applyProtection="0"/>
    <xf numFmtId="0" fontId="114" fillId="48" borderId="38" applyNumberFormat="0" applyAlignment="0" applyProtection="0"/>
    <xf numFmtId="0" fontId="114" fillId="48" borderId="38" applyNumberFormat="0" applyAlignment="0" applyProtection="0"/>
    <xf numFmtId="0" fontId="40"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31" fillId="2"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28" fillId="0" borderId="1" applyNumberFormat="0" applyFill="0" applyAlignment="0" applyProtection="0"/>
    <xf numFmtId="0" fontId="120" fillId="0" borderId="39" applyNumberFormat="0" applyFill="0" applyAlignment="0" applyProtection="0"/>
    <xf numFmtId="0" fontId="120" fillId="0" borderId="39" applyNumberFormat="0" applyFill="0" applyAlignment="0" applyProtection="0"/>
    <xf numFmtId="0" fontId="29" fillId="0" borderId="2"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30" fillId="0" borderId="3"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30"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34" fillId="5" borderId="4" applyNumberFormat="0" applyAlignment="0" applyProtection="0"/>
    <xf numFmtId="0" fontId="123" fillId="50" borderId="37" applyNumberFormat="0" applyAlignment="0" applyProtection="0"/>
    <xf numFmtId="0" fontId="123" fillId="50" borderId="37" applyNumberFormat="0" applyAlignment="0" applyProtection="0"/>
    <xf numFmtId="0" fontId="37" fillId="0" borderId="6"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33" fillId="4" borderId="0" applyNumberFormat="0" applyBorder="0" applyAlignment="0" applyProtection="0"/>
    <xf numFmtId="0" fontId="125" fillId="51" borderId="0" applyNumberFormat="0" applyBorder="0" applyAlignment="0" applyProtection="0"/>
    <xf numFmtId="0" fontId="125" fillId="51" borderId="0" applyNumberFormat="0" applyBorder="0" applyAlignment="0" applyProtection="0"/>
    <xf numFmtId="0" fontId="26" fillId="0" borderId="0"/>
    <xf numFmtId="0" fontId="35" fillId="6" borderId="5" applyNumberFormat="0" applyAlignment="0" applyProtection="0"/>
    <xf numFmtId="0" fontId="126" fillId="47" borderId="43" applyNumberFormat="0" applyAlignment="0" applyProtection="0"/>
    <xf numFmtId="0" fontId="126" fillId="47" borderId="43" applyNumberFormat="0" applyAlignment="0" applyProtection="0"/>
    <xf numFmtId="0" fontId="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41" fillId="0" borderId="9" applyNumberFormat="0" applyFill="0" applyAlignment="0" applyProtection="0"/>
    <xf numFmtId="0" fontId="62" fillId="0" borderId="44" applyNumberFormat="0" applyFill="0" applyAlignment="0" applyProtection="0"/>
    <xf numFmtId="0" fontId="62" fillId="0" borderId="44" applyNumberFormat="0" applyFill="0" applyAlignment="0" applyProtection="0"/>
    <xf numFmtId="0" fontId="3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5" fillId="0" borderId="0"/>
    <xf numFmtId="0" fontId="43" fillId="0" borderId="0"/>
    <xf numFmtId="0" fontId="45" fillId="0" borderId="0"/>
    <xf numFmtId="0" fontId="43" fillId="0" borderId="0"/>
    <xf numFmtId="0" fontId="24" fillId="0" borderId="0"/>
    <xf numFmtId="43" fontId="2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8" fillId="0" borderId="0"/>
    <xf numFmtId="0" fontId="23" fillId="0" borderId="0"/>
    <xf numFmtId="43" fontId="23" fillId="0" borderId="0" applyFont="0" applyFill="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8" borderId="8" applyNumberFormat="0" applyFont="0" applyAlignment="0" applyProtection="0"/>
    <xf numFmtId="44" fontId="23" fillId="0" borderId="0" applyFont="0" applyFill="0" applyBorder="0" applyAlignment="0" applyProtection="0"/>
    <xf numFmtId="43" fontId="45" fillId="0" borderId="0" applyFont="0" applyFill="0" applyBorder="0" applyAlignment="0" applyProtection="0"/>
    <xf numFmtId="0" fontId="45" fillId="0" borderId="0"/>
    <xf numFmtId="0" fontId="98" fillId="0" borderId="0"/>
    <xf numFmtId="0" fontId="43" fillId="0" borderId="0"/>
    <xf numFmtId="0" fontId="146" fillId="0" borderId="0" applyNumberFormat="0" applyFill="0" applyBorder="0" applyAlignment="0" applyProtection="0">
      <alignment vertical="top"/>
      <protection locked="0"/>
    </xf>
    <xf numFmtId="0" fontId="148" fillId="52"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148" fillId="52"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148" fillId="46"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148" fillId="46"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148" fillId="4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48" fillId="4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48" fillId="53"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48" fillId="53"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48" fillId="54"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148" fillId="54"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148" fillId="5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48" fillId="5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48" fillId="55"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148" fillId="55"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148" fillId="37"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148" fillId="37"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148" fillId="3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148" fillId="3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148" fillId="5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148" fillId="5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148" fillId="55"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148" fillId="55"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148" fillId="56"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148" fillId="56"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23"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0" fillId="0" borderId="0"/>
    <xf numFmtId="0" fontId="23" fillId="0" borderId="0"/>
    <xf numFmtId="0" fontId="23" fillId="0" borderId="0"/>
    <xf numFmtId="0" fontId="23" fillId="0" borderId="0"/>
    <xf numFmtId="0" fontId="97" fillId="0" borderId="0"/>
    <xf numFmtId="0" fontId="149" fillId="0" borderId="0"/>
    <xf numFmtId="0" fontId="23" fillId="0" borderId="0"/>
    <xf numFmtId="0" fontId="23" fillId="0" borderId="0"/>
    <xf numFmtId="0" fontId="23" fillId="0" borderId="0"/>
    <xf numFmtId="0" fontId="23" fillId="0" borderId="0"/>
    <xf numFmtId="0" fontId="23" fillId="0" borderId="0"/>
    <xf numFmtId="0" fontId="23" fillId="0" borderId="0"/>
    <xf numFmtId="0" fontId="97" fillId="0" borderId="0"/>
    <xf numFmtId="0" fontId="149" fillId="0" borderId="0"/>
    <xf numFmtId="0" fontId="149" fillId="0" borderId="0"/>
    <xf numFmtId="0" fontId="23" fillId="0" borderId="0"/>
    <xf numFmtId="0" fontId="43" fillId="0" borderId="0"/>
    <xf numFmtId="0" fontId="148" fillId="57" borderId="4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148" fillId="57" borderId="4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43" fillId="0" borderId="0"/>
    <xf numFmtId="0" fontId="151" fillId="0" borderId="0"/>
    <xf numFmtId="9" fontId="43" fillId="0" borderId="0" applyFont="0" applyFill="0" applyBorder="0" applyAlignment="0" applyProtection="0"/>
    <xf numFmtId="43" fontId="43" fillId="0" borderId="0" applyFont="0" applyFill="0" applyBorder="0" applyAlignment="0" applyProtection="0"/>
    <xf numFmtId="0" fontId="48" fillId="0" borderId="0"/>
    <xf numFmtId="43" fontId="48" fillId="0" borderId="0" applyFont="0" applyFill="0" applyBorder="0" applyAlignment="0" applyProtection="0"/>
    <xf numFmtId="9" fontId="43" fillId="0" borderId="0" applyFont="0" applyFill="0" applyBorder="0" applyAlignment="0" applyProtection="0"/>
    <xf numFmtId="0" fontId="22" fillId="0" borderId="0"/>
    <xf numFmtId="43" fontId="22" fillId="0" borderId="0" applyFont="0" applyFill="0" applyBorder="0" applyAlignment="0" applyProtection="0"/>
    <xf numFmtId="0" fontId="22" fillId="8" borderId="8" applyNumberFormat="0" applyFont="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44" fontId="22" fillId="0" borderId="0" applyFont="0" applyFill="0" applyBorder="0" applyAlignment="0" applyProtection="0"/>
    <xf numFmtId="0" fontId="22" fillId="0" borderId="0"/>
    <xf numFmtId="0" fontId="22" fillId="0" borderId="0"/>
    <xf numFmtId="0" fontId="43" fillId="0" borderId="0"/>
    <xf numFmtId="0" fontId="22" fillId="0" borderId="0"/>
    <xf numFmtId="43" fontId="2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3" fillId="0" borderId="0" applyFont="0" applyFill="0" applyBorder="0" applyAlignment="0" applyProtection="0"/>
    <xf numFmtId="0" fontId="43" fillId="0" borderId="0"/>
    <xf numFmtId="0" fontId="97" fillId="0" borderId="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9" fontId="158"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43" fillId="0" borderId="0"/>
    <xf numFmtId="0" fontId="112" fillId="0" borderId="0"/>
    <xf numFmtId="0" fontId="112" fillId="0" borderId="0"/>
    <xf numFmtId="0" fontId="112" fillId="0" borderId="0"/>
    <xf numFmtId="0" fontId="43" fillId="0" borderId="0"/>
    <xf numFmtId="0" fontId="112" fillId="0" borderId="0"/>
    <xf numFmtId="0" fontId="43" fillId="0" borderId="0"/>
    <xf numFmtId="0" fontId="43" fillId="0" borderId="0"/>
    <xf numFmtId="0" fontId="43" fillId="0" borderId="0"/>
    <xf numFmtId="0" fontId="43" fillId="0" borderId="0"/>
    <xf numFmtId="0" fontId="43" fillId="0" borderId="0"/>
    <xf numFmtId="0" fontId="97" fillId="0" borderId="0"/>
    <xf numFmtId="0" fontId="112" fillId="0" borderId="0"/>
    <xf numFmtId="0" fontId="112" fillId="0" borderId="0"/>
    <xf numFmtId="0" fontId="112" fillId="0" borderId="0"/>
    <xf numFmtId="0" fontId="112" fillId="0" borderId="0"/>
    <xf numFmtId="0" fontId="4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8"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05" fillId="33" borderId="50"/>
    <xf numFmtId="0" fontId="48" fillId="0" borderId="0"/>
    <xf numFmtId="0" fontId="105" fillId="33" borderId="50"/>
    <xf numFmtId="175" fontId="43"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43"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164" fontId="43" fillId="0" borderId="0"/>
    <xf numFmtId="0" fontId="164" fillId="0" borderId="0"/>
    <xf numFmtId="0" fontId="105" fillId="33" borderId="52"/>
    <xf numFmtId="0" fontId="164" fillId="0" borderId="0"/>
    <xf numFmtId="0" fontId="19" fillId="0" borderId="0"/>
    <xf numFmtId="0" fontId="164" fillId="0" borderId="0"/>
    <xf numFmtId="0" fontId="164" fillId="0" borderId="0"/>
    <xf numFmtId="0" fontId="18" fillId="0" borderId="0"/>
    <xf numFmtId="0" fontId="165" fillId="0" borderId="0"/>
    <xf numFmtId="43" fontId="166"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0" fontId="18" fillId="0" borderId="0"/>
    <xf numFmtId="0" fontId="165" fillId="0" borderId="0"/>
    <xf numFmtId="43" fontId="165" fillId="0" borderId="0" applyFont="0" applyFill="0" applyBorder="0" applyAlignment="0" applyProtection="0"/>
    <xf numFmtId="0" fontId="167" fillId="0" borderId="0"/>
    <xf numFmtId="0" fontId="165" fillId="0" borderId="0"/>
    <xf numFmtId="0" fontId="165" fillId="0" borderId="0"/>
    <xf numFmtId="0" fontId="165" fillId="0" borderId="0"/>
    <xf numFmtId="0" fontId="18" fillId="0" borderId="0"/>
    <xf numFmtId="0" fontId="165" fillId="0" borderId="0"/>
    <xf numFmtId="0" fontId="167" fillId="0" borderId="0"/>
    <xf numFmtId="0" fontId="164" fillId="0" borderId="0"/>
    <xf numFmtId="0" fontId="164" fillId="0" borderId="0"/>
    <xf numFmtId="0" fontId="17" fillId="0" borderId="0"/>
    <xf numFmtId="0" fontId="164" fillId="0" borderId="0"/>
    <xf numFmtId="0" fontId="164" fillId="0" borderId="0"/>
    <xf numFmtId="0" fontId="17" fillId="0" borderId="0"/>
    <xf numFmtId="0" fontId="17" fillId="0" borderId="0"/>
    <xf numFmtId="0" fontId="48" fillId="0" borderId="0"/>
    <xf numFmtId="0" fontId="16" fillId="0" borderId="0"/>
    <xf numFmtId="0" fontId="165" fillId="0" borderId="0"/>
    <xf numFmtId="0" fontId="165" fillId="0" borderId="0"/>
    <xf numFmtId="0" fontId="165" fillId="0" borderId="0"/>
    <xf numFmtId="0" fontId="168" fillId="0" borderId="0"/>
    <xf numFmtId="0" fontId="168" fillId="0" borderId="0"/>
    <xf numFmtId="0" fontId="15" fillId="0" borderId="0"/>
    <xf numFmtId="0" fontId="15" fillId="0" borderId="0"/>
    <xf numFmtId="43" fontId="48" fillId="0" borderId="0" applyFont="0" applyFill="0" applyBorder="0" applyAlignment="0" applyProtection="0"/>
    <xf numFmtId="0" fontId="15" fillId="0" borderId="0"/>
    <xf numFmtId="0" fontId="168" fillId="0" borderId="0"/>
    <xf numFmtId="0" fontId="168" fillId="0" borderId="0"/>
    <xf numFmtId="0" fontId="14" fillId="0" borderId="0"/>
    <xf numFmtId="0" fontId="14" fillId="0" borderId="0"/>
    <xf numFmtId="0" fontId="14" fillId="0" borderId="0"/>
    <xf numFmtId="0" fontId="168" fillId="0" borderId="0"/>
    <xf numFmtId="0" fontId="165" fillId="0" borderId="0"/>
    <xf numFmtId="0" fontId="13" fillId="0" borderId="0"/>
    <xf numFmtId="0" fontId="165" fillId="0" borderId="0"/>
    <xf numFmtId="0" fontId="165" fillId="0" borderId="0"/>
    <xf numFmtId="0" fontId="165" fillId="0" borderId="0"/>
    <xf numFmtId="0" fontId="13" fillId="0" borderId="0"/>
    <xf numFmtId="0" fontId="165" fillId="0" borderId="0"/>
    <xf numFmtId="0" fontId="165" fillId="0" borderId="0"/>
    <xf numFmtId="164" fontId="169" fillId="0" borderId="0"/>
    <xf numFmtId="43" fontId="43" fillId="0" borderId="0" applyFont="0" applyFill="0" applyBorder="0" applyAlignment="0" applyProtection="0"/>
    <xf numFmtId="0" fontId="43" fillId="0" borderId="0"/>
    <xf numFmtId="0" fontId="43" fillId="0" borderId="0"/>
    <xf numFmtId="0" fontId="48" fillId="0" borderId="0"/>
    <xf numFmtId="43" fontId="48" fillId="0" borderId="0" applyFont="0" applyFill="0" applyBorder="0" applyAlignment="0" applyProtection="0"/>
    <xf numFmtId="0" fontId="97" fillId="0" borderId="0"/>
    <xf numFmtId="175" fontId="43" fillId="0" borderId="0"/>
    <xf numFmtId="0" fontId="13" fillId="0" borderId="0"/>
    <xf numFmtId="43" fontId="13" fillId="0" borderId="0" applyFont="0" applyFill="0" applyBorder="0" applyAlignment="0" applyProtection="0"/>
    <xf numFmtId="0" fontId="13" fillId="8" borderId="8" applyNumberFormat="0" applyFont="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44" fontId="13" fillId="0" borderId="0" applyFont="0" applyFill="0" applyBorder="0" applyAlignment="0" applyProtection="0"/>
    <xf numFmtId="0" fontId="117" fillId="47" borderId="55" applyNumberFormat="0" applyAlignment="0" applyProtection="0"/>
    <xf numFmtId="0" fontId="117" fillId="47" borderId="55" applyNumberFormat="0" applyAlignment="0" applyProtection="0"/>
    <xf numFmtId="0" fontId="123" fillId="50" borderId="55" applyNumberFormat="0" applyAlignment="0" applyProtection="0"/>
    <xf numFmtId="0" fontId="123" fillId="50" borderId="55" applyNumberFormat="0" applyAlignment="0" applyProtection="0"/>
    <xf numFmtId="0" fontId="13" fillId="0" borderId="0"/>
    <xf numFmtId="0" fontId="165" fillId="0" borderId="0"/>
    <xf numFmtId="0" fontId="126" fillId="47" borderId="56" applyNumberFormat="0" applyAlignment="0" applyProtection="0"/>
    <xf numFmtId="0" fontId="126" fillId="47" borderId="56" applyNumberFormat="0" applyAlignment="0" applyProtection="0"/>
    <xf numFmtId="0" fontId="62" fillId="0" borderId="57" applyNumberFormat="0" applyFill="0" applyAlignment="0" applyProtection="0"/>
    <xf numFmtId="0" fontId="62" fillId="0" borderId="57" applyNumberFormat="0" applyFill="0" applyAlignment="0" applyProtection="0"/>
    <xf numFmtId="0" fontId="168"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8" borderId="8" applyNumberFormat="0" applyFont="0" applyAlignment="0" applyProtection="0"/>
    <xf numFmtId="44" fontId="13" fillId="0" borderId="0" applyFont="0" applyFill="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8" fillId="57" borderId="5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48" fillId="57" borderId="5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65" fillId="0" borderId="0"/>
    <xf numFmtId="0" fontId="13" fillId="0" borderId="0"/>
    <xf numFmtId="43" fontId="13" fillId="0" borderId="0" applyFont="0" applyFill="0" applyBorder="0" applyAlignment="0" applyProtection="0"/>
    <xf numFmtId="0" fontId="13" fillId="8" borderId="8" applyNumberFormat="0" applyFont="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44"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8" borderId="8" applyNumberFormat="0" applyFont="0" applyAlignment="0" applyProtection="0"/>
    <xf numFmtId="44" fontId="13" fillId="0" borderId="0" applyFont="0" applyFill="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9" fontId="43" fillId="0" borderId="0" applyFont="0" applyFill="0" applyBorder="0" applyAlignment="0" applyProtection="0"/>
    <xf numFmtId="0" fontId="13" fillId="0" borderId="0"/>
    <xf numFmtId="0" fontId="105" fillId="33" borderId="52"/>
    <xf numFmtId="0" fontId="13" fillId="0" borderId="0"/>
    <xf numFmtId="43" fontId="13" fillId="0" borderId="0" applyFont="0" applyFill="0" applyBorder="0" applyAlignment="0" applyProtection="0"/>
    <xf numFmtId="0" fontId="13" fillId="8" borderId="8" applyNumberFormat="0" applyFont="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44"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8" borderId="8" applyNumberFormat="0" applyFont="0" applyAlignment="0" applyProtection="0"/>
    <xf numFmtId="44" fontId="13" fillId="0" borderId="0" applyFont="0" applyFill="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0" borderId="0"/>
    <xf numFmtId="43" fontId="13" fillId="0" borderId="0" applyFont="0" applyFill="0" applyBorder="0" applyAlignment="0" applyProtection="0"/>
    <xf numFmtId="0" fontId="13" fillId="8" borderId="8" applyNumberFormat="0" applyFont="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44"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8" borderId="8" applyNumberFormat="0" applyFont="0" applyAlignment="0" applyProtection="0"/>
    <xf numFmtId="44" fontId="13" fillId="0" borderId="0" applyFont="0" applyFill="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48" fillId="0" borderId="0"/>
    <xf numFmtId="0" fontId="165" fillId="0" borderId="0"/>
    <xf numFmtId="0" fontId="48" fillId="0" borderId="0"/>
    <xf numFmtId="0" fontId="13" fillId="0" borderId="0"/>
    <xf numFmtId="0" fontId="48" fillId="0" borderId="0"/>
    <xf numFmtId="0" fontId="48" fillId="0" borderId="0"/>
    <xf numFmtId="0" fontId="13" fillId="0" borderId="0"/>
    <xf numFmtId="0" fontId="13" fillId="0" borderId="0"/>
    <xf numFmtId="0" fontId="165" fillId="0" borderId="0"/>
    <xf numFmtId="0" fontId="13" fillId="0" borderId="0"/>
    <xf numFmtId="0" fontId="165" fillId="0" borderId="0"/>
    <xf numFmtId="0" fontId="48" fillId="0" borderId="0"/>
    <xf numFmtId="0" fontId="48" fillId="0" borderId="0"/>
    <xf numFmtId="0" fontId="13" fillId="0" borderId="0"/>
    <xf numFmtId="0" fontId="48" fillId="0" borderId="0"/>
    <xf numFmtId="0" fontId="48" fillId="0" borderId="0"/>
    <xf numFmtId="0" fontId="13" fillId="0" borderId="0"/>
    <xf numFmtId="0" fontId="13" fillId="0" borderId="0"/>
    <xf numFmtId="0" fontId="13" fillId="0" borderId="0"/>
    <xf numFmtId="0" fontId="170" fillId="0" borderId="0"/>
    <xf numFmtId="0" fontId="170" fillId="0" borderId="0"/>
    <xf numFmtId="0" fontId="12" fillId="0" borderId="0"/>
    <xf numFmtId="0" fontId="12" fillId="0" borderId="0"/>
    <xf numFmtId="175" fontId="43"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0" fontId="12" fillId="0" borderId="0"/>
    <xf numFmtId="0" fontId="12" fillId="0" borderId="0"/>
    <xf numFmtId="0" fontId="12" fillId="0" borderId="0"/>
    <xf numFmtId="0" fontId="43" fillId="0" borderId="0"/>
    <xf numFmtId="0" fontId="171" fillId="0" borderId="0"/>
    <xf numFmtId="0" fontId="17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71" fillId="0" borderId="0"/>
    <xf numFmtId="0" fontId="11" fillId="0" borderId="0"/>
    <xf numFmtId="0" fontId="173" fillId="0" borderId="0"/>
    <xf numFmtId="0" fontId="10" fillId="0" borderId="0"/>
    <xf numFmtId="0" fontId="10"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05" fillId="33" borderId="6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0" borderId="0"/>
    <xf numFmtId="0" fontId="48" fillId="0" borderId="0"/>
    <xf numFmtId="0" fontId="9" fillId="0" borderId="0"/>
    <xf numFmtId="0" fontId="9" fillId="0" borderId="0"/>
    <xf numFmtId="0" fontId="9" fillId="0" borderId="0"/>
    <xf numFmtId="0" fontId="48" fillId="0" borderId="0"/>
    <xf numFmtId="0" fontId="48" fillId="0" borderId="0"/>
    <xf numFmtId="0" fontId="9" fillId="0" borderId="0"/>
    <xf numFmtId="0" fontId="9" fillId="0" borderId="0"/>
    <xf numFmtId="0" fontId="9" fillId="0" borderId="0"/>
    <xf numFmtId="0" fontId="48" fillId="0" borderId="0"/>
    <xf numFmtId="0" fontId="9" fillId="0" borderId="0"/>
    <xf numFmtId="0" fontId="9" fillId="0" borderId="0"/>
    <xf numFmtId="164" fontId="43"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48"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105" fillId="33" borderId="6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0" borderId="0"/>
    <xf numFmtId="0" fontId="48" fillId="0" borderId="0"/>
    <xf numFmtId="0" fontId="9" fillId="0" borderId="0"/>
    <xf numFmtId="0" fontId="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48" fillId="0" borderId="0"/>
    <xf numFmtId="0" fontId="48" fillId="0" borderId="0"/>
    <xf numFmtId="0" fontId="9" fillId="0" borderId="0"/>
    <xf numFmtId="0" fontId="9" fillId="0" borderId="0"/>
    <xf numFmtId="0" fontId="48" fillId="0" borderId="0"/>
    <xf numFmtId="0" fontId="48" fillId="0" borderId="0"/>
    <xf numFmtId="0" fontId="48" fillId="0" borderId="0"/>
    <xf numFmtId="0" fontId="48" fillId="0" borderId="0"/>
    <xf numFmtId="0" fontId="48" fillId="0" borderId="0"/>
    <xf numFmtId="0" fontId="9" fillId="0" borderId="0"/>
    <xf numFmtId="43" fontId="175" fillId="0" borderId="0" applyFont="0" applyFill="0" applyBorder="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76" fillId="0" borderId="0"/>
    <xf numFmtId="0" fontId="49" fillId="0" borderId="62" applyNumberFormat="0" applyFont="0" applyBorder="0">
      <alignment horizontal="right"/>
    </xf>
    <xf numFmtId="0" fontId="180" fillId="0" borderId="0" applyFill="0"/>
    <xf numFmtId="0" fontId="48" fillId="0" borderId="0" applyNumberFormat="0" applyFont="0" applyBorder="0" applyAlignment="0"/>
    <xf numFmtId="0" fontId="181" fillId="0" borderId="0" applyFill="0">
      <alignment horizontal="left" indent="1"/>
    </xf>
    <xf numFmtId="44" fontId="176" fillId="0" borderId="0" applyFont="0" applyFill="0" applyBorder="0" applyAlignment="0" applyProtection="0"/>
    <xf numFmtId="43" fontId="176" fillId="0" borderId="0" applyFont="0" applyFill="0" applyBorder="0" applyAlignment="0" applyProtection="0"/>
    <xf numFmtId="4" fontId="113" fillId="0" borderId="10" applyFill="0"/>
    <xf numFmtId="0" fontId="50" fillId="0" borderId="0" applyFill="0"/>
    <xf numFmtId="0" fontId="48" fillId="0" borderId="0"/>
    <xf numFmtId="43" fontId="48" fillId="0" borderId="0" applyFont="0" applyFill="0" applyBorder="0" applyAlignment="0" applyProtection="0"/>
    <xf numFmtId="44" fontId="48" fillId="0" borderId="0" applyFont="0" applyFill="0" applyBorder="0" applyAlignment="0" applyProtection="0"/>
    <xf numFmtId="0" fontId="48" fillId="0" borderId="0"/>
    <xf numFmtId="0" fontId="97" fillId="0" borderId="0"/>
    <xf numFmtId="0" fontId="105" fillId="33" borderId="68"/>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05" fillId="33" borderId="68"/>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05" fillId="33" borderId="7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105" fillId="33" borderId="7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05" fillId="33" borderId="7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105" fillId="33" borderId="7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189" fillId="0" borderId="0"/>
    <xf numFmtId="186" fontId="46" fillId="0" borderId="0" applyFill="0"/>
    <xf numFmtId="186" fontId="46" fillId="0" borderId="0">
      <alignment horizontal="center"/>
    </xf>
    <xf numFmtId="0" fontId="46" fillId="0" borderId="0" applyFill="0">
      <alignment horizontal="center"/>
    </xf>
    <xf numFmtId="186" fontId="71" fillId="0" borderId="22" applyFill="0"/>
    <xf numFmtId="0" fontId="48" fillId="0" borderId="0" applyFont="0" applyAlignment="0"/>
    <xf numFmtId="0" fontId="190" fillId="0" borderId="0" applyFill="0">
      <alignment vertical="top"/>
    </xf>
    <xf numFmtId="0" fontId="71" fillId="0" borderId="0" applyFill="0">
      <alignment horizontal="left" vertical="top"/>
    </xf>
    <xf numFmtId="186" fontId="50" fillId="0" borderId="65" applyFill="0"/>
    <xf numFmtId="0" fontId="48" fillId="0" borderId="0" applyNumberFormat="0" applyFont="0" applyAlignment="0"/>
    <xf numFmtId="0" fontId="190" fillId="0" borderId="0" applyFill="0">
      <alignment wrapText="1"/>
    </xf>
    <xf numFmtId="0" fontId="71" fillId="0" borderId="0" applyFill="0">
      <alignment horizontal="left" vertical="top" wrapText="1"/>
    </xf>
    <xf numFmtId="186" fontId="85" fillId="0" borderId="0" applyFill="0"/>
    <xf numFmtId="0" fontId="191" fillId="0" borderId="0" applyNumberFormat="0" applyFont="0" applyAlignment="0">
      <alignment horizontal="center"/>
    </xf>
    <xf numFmtId="0" fontId="155" fillId="0" borderId="0" applyFill="0">
      <alignment vertical="top" wrapText="1"/>
    </xf>
    <xf numFmtId="0" fontId="50" fillId="0" borderId="0" applyFill="0">
      <alignment horizontal="left" vertical="top" wrapText="1"/>
    </xf>
    <xf numFmtId="186" fontId="48" fillId="0" borderId="0" applyFill="0"/>
    <xf numFmtId="0" fontId="191" fillId="0" borderId="0" applyNumberFormat="0" applyFont="0" applyAlignment="0">
      <alignment horizontal="center"/>
    </xf>
    <xf numFmtId="0" fontId="93" fillId="0" borderId="0" applyFill="0">
      <alignment vertical="center" wrapText="1"/>
    </xf>
    <xf numFmtId="0" fontId="43" fillId="0" borderId="0">
      <alignment horizontal="left" vertical="center" wrapText="1"/>
    </xf>
    <xf numFmtId="186" fontId="55" fillId="0" borderId="0" applyFill="0"/>
    <xf numFmtId="0" fontId="191" fillId="0" borderId="0" applyNumberFormat="0" applyFont="0" applyAlignment="0">
      <alignment horizontal="center"/>
    </xf>
    <xf numFmtId="0" fontId="192" fillId="0" borderId="0" applyFill="0">
      <alignment horizontal="center" vertical="center" wrapText="1"/>
    </xf>
    <xf numFmtId="0" fontId="48" fillId="0" borderId="0" applyFill="0">
      <alignment horizontal="center" vertical="center" wrapText="1"/>
    </xf>
    <xf numFmtId="186" fontId="193" fillId="0" borderId="0" applyFill="0"/>
    <xf numFmtId="0" fontId="191" fillId="0" borderId="0" applyNumberFormat="0" applyFont="0" applyAlignment="0">
      <alignment horizontal="center"/>
    </xf>
    <xf numFmtId="0" fontId="194" fillId="0" borderId="0" applyFill="0">
      <alignment horizontal="center" vertical="center" wrapText="1"/>
    </xf>
    <xf numFmtId="0" fontId="195" fillId="0" borderId="0" applyFill="0">
      <alignment horizontal="center" vertical="center" wrapText="1"/>
    </xf>
    <xf numFmtId="186" fontId="196" fillId="0" borderId="0" applyFill="0"/>
    <xf numFmtId="0" fontId="191" fillId="0" borderId="0" applyNumberFormat="0" applyFont="0" applyAlignment="0">
      <alignment horizontal="center"/>
    </xf>
    <xf numFmtId="0" fontId="197" fillId="0" borderId="0">
      <alignment horizontal="center" wrapText="1"/>
    </xf>
    <xf numFmtId="0" fontId="193" fillId="0" borderId="0" applyFill="0">
      <alignment horizontal="center" wrapText="1"/>
    </xf>
    <xf numFmtId="4" fontId="46" fillId="35" borderId="0" applyFill="0"/>
    <xf numFmtId="0" fontId="198" fillId="0" borderId="0">
      <alignment horizontal="left" indent="7"/>
    </xf>
    <xf numFmtId="0" fontId="46" fillId="0" borderId="0" applyFill="0">
      <alignment horizontal="left" indent="7"/>
    </xf>
    <xf numFmtId="186" fontId="113" fillId="0" borderId="10" applyFill="0">
      <alignment horizontal="right"/>
    </xf>
    <xf numFmtId="0" fontId="155" fillId="0" borderId="0" applyFill="0">
      <alignment horizontal="left" indent="1"/>
    </xf>
    <xf numFmtId="4" fontId="55" fillId="0" borderId="0" applyFill="0"/>
    <xf numFmtId="0" fontId="48" fillId="0" borderId="0" applyNumberFormat="0" applyFont="0" applyFill="0" applyBorder="0" applyAlignment="0"/>
    <xf numFmtId="0" fontId="155" fillId="0" borderId="0" applyFill="0">
      <alignment horizontal="left" indent="2"/>
    </xf>
    <xf numFmtId="0" fontId="50" fillId="0" borderId="0" applyFill="0">
      <alignment horizontal="left" indent="2"/>
    </xf>
    <xf numFmtId="4" fontId="55" fillId="0" borderId="0" applyFill="0"/>
    <xf numFmtId="0" fontId="48" fillId="0" borderId="0" applyNumberFormat="0" applyFont="0" applyBorder="0" applyAlignment="0"/>
    <xf numFmtId="0" fontId="199" fillId="0" borderId="0">
      <alignment horizontal="left" indent="3"/>
    </xf>
    <xf numFmtId="0" fontId="83" fillId="0" borderId="0" applyFill="0">
      <alignment horizontal="left" indent="3"/>
    </xf>
    <xf numFmtId="4" fontId="55" fillId="0" borderId="0" applyFill="0"/>
    <xf numFmtId="0" fontId="48" fillId="0" borderId="0" applyNumberFormat="0" applyFont="0" applyBorder="0" applyAlignment="0"/>
    <xf numFmtId="0" fontId="192" fillId="0" borderId="0">
      <alignment horizontal="left" indent="4"/>
    </xf>
    <xf numFmtId="0" fontId="48" fillId="0" borderId="0" applyFill="0">
      <alignment horizontal="left" indent="4"/>
    </xf>
    <xf numFmtId="4" fontId="193" fillId="0" borderId="0" applyFill="0"/>
    <xf numFmtId="0" fontId="48" fillId="0" borderId="0" applyNumberFormat="0" applyFont="0" applyBorder="0" applyAlignment="0"/>
    <xf numFmtId="0" fontId="194" fillId="0" borderId="0">
      <alignment horizontal="left" indent="5"/>
    </xf>
    <xf numFmtId="0" fontId="195" fillId="0" borderId="0" applyFill="0">
      <alignment horizontal="left" indent="5"/>
    </xf>
    <xf numFmtId="4" fontId="196" fillId="0" borderId="0" applyFill="0"/>
    <xf numFmtId="0" fontId="48" fillId="0" borderId="0" applyNumberFormat="0" applyFont="0" applyFill="0" applyBorder="0" applyAlignment="0"/>
    <xf numFmtId="0" fontId="197" fillId="0" borderId="0" applyFill="0">
      <alignment horizontal="left" indent="6"/>
    </xf>
    <xf numFmtId="0" fontId="193" fillId="0" borderId="0" applyFill="0">
      <alignment horizontal="left" indent="6"/>
    </xf>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8" fillId="0" borderId="0" applyFill="0">
      <alignment horizontal="center" vertical="center" wrapText="1"/>
    </xf>
    <xf numFmtId="0" fontId="48" fillId="0" borderId="0" applyFill="0">
      <alignment horizontal="left" indent="4"/>
    </xf>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8" fillId="0" borderId="0" applyFill="0">
      <alignment horizontal="center" vertical="center" wrapText="1"/>
    </xf>
    <xf numFmtId="0" fontId="48" fillId="0" borderId="0" applyFill="0">
      <alignment horizontal="left" indent="4"/>
    </xf>
    <xf numFmtId="0" fontId="202"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43" fontId="202"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8" fillId="0" borderId="0"/>
    <xf numFmtId="0" fontId="223" fillId="0" borderId="0"/>
    <xf numFmtId="0" fontId="105" fillId="33" borderId="76"/>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186" fontId="113" fillId="0" borderId="45" applyFill="0">
      <alignment horizontal="right"/>
    </xf>
    <xf numFmtId="4" fontId="113" fillId="0" borderId="45" applyFill="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4" fontId="231" fillId="0" borderId="0" applyFont="0" applyFill="0" applyBorder="0" applyAlignment="0" applyProtection="0"/>
  </cellStyleXfs>
  <cellXfs count="2090">
    <xf numFmtId="164" fontId="0" fillId="0" borderId="0" xfId="0"/>
    <xf numFmtId="170" fontId="50" fillId="0" borderId="0" xfId="0" applyNumberFormat="1" applyFont="1"/>
    <xf numFmtId="164" fontId="50" fillId="0" borderId="0" xfId="0" applyFont="1" applyProtection="1">
      <protection locked="0"/>
    </xf>
    <xf numFmtId="0" fontId="50" fillId="0" borderId="0" xfId="1" applyFont="1"/>
    <xf numFmtId="165" fontId="45" fillId="0" borderId="0" xfId="1" applyNumberFormat="1" applyFont="1"/>
    <xf numFmtId="0" fontId="45" fillId="0" borderId="0" xfId="1" applyFont="1"/>
    <xf numFmtId="0" fontId="50" fillId="0" borderId="0" xfId="1" quotePrefix="1" applyFont="1" applyAlignment="1">
      <alignment horizontal="left"/>
    </xf>
    <xf numFmtId="0" fontId="68" fillId="0" borderId="0" xfId="1" applyFont="1"/>
    <xf numFmtId="165" fontId="68" fillId="0" borderId="0" xfId="1" applyNumberFormat="1" applyFont="1" applyAlignment="1" applyProtection="1">
      <alignment horizontal="center"/>
      <protection locked="0"/>
    </xf>
    <xf numFmtId="165" fontId="68" fillId="0" borderId="0" xfId="1" applyNumberFormat="1" applyFont="1" applyProtection="1">
      <protection locked="0"/>
    </xf>
    <xf numFmtId="165" fontId="68" fillId="0" borderId="0" xfId="1" applyNumberFormat="1" applyFont="1"/>
    <xf numFmtId="170" fontId="68" fillId="0" borderId="0" xfId="1" applyNumberFormat="1" applyFont="1"/>
    <xf numFmtId="170" fontId="0" fillId="0" borderId="0" xfId="1" applyNumberFormat="1" applyFont="1"/>
    <xf numFmtId="170" fontId="50" fillId="0" borderId="0" xfId="1" applyNumberFormat="1" applyFont="1"/>
    <xf numFmtId="170" fontId="50" fillId="0" borderId="17" xfId="1" applyNumberFormat="1" applyFont="1" applyBorder="1"/>
    <xf numFmtId="165" fontId="69" fillId="0" borderId="0" xfId="1" applyNumberFormat="1" applyFont="1"/>
    <xf numFmtId="170" fontId="50" fillId="0" borderId="0" xfId="1" quotePrefix="1" applyNumberFormat="1" applyFont="1" applyAlignment="1">
      <alignment horizontal="center"/>
    </xf>
    <xf numFmtId="170" fontId="50" fillId="0" borderId="0" xfId="1" applyNumberFormat="1" applyFont="1" applyAlignment="1">
      <alignment horizontal="center"/>
    </xf>
    <xf numFmtId="170" fontId="50" fillId="0" borderId="0" xfId="1" applyNumberFormat="1" applyFont="1" applyAlignment="1">
      <alignment horizontal="right"/>
    </xf>
    <xf numFmtId="170" fontId="50" fillId="0" borderId="0" xfId="1" applyNumberFormat="1" applyFont="1" applyAlignment="1">
      <alignment vertical="center"/>
    </xf>
    <xf numFmtId="174" fontId="50" fillId="0" borderId="0" xfId="1" applyNumberFormat="1" applyFont="1"/>
    <xf numFmtId="174" fontId="50" fillId="0" borderId="17" xfId="1" applyNumberFormat="1" applyFont="1" applyBorder="1"/>
    <xf numFmtId="168" fontId="68" fillId="0" borderId="0" xfId="1" applyNumberFormat="1" applyFont="1" applyProtection="1">
      <protection locked="0"/>
    </xf>
    <xf numFmtId="0" fontId="0" fillId="0" borderId="0" xfId="1" applyFont="1"/>
    <xf numFmtId="166" fontId="70" fillId="0" borderId="0" xfId="1" applyNumberFormat="1" applyFont="1"/>
    <xf numFmtId="0" fontId="50" fillId="0" borderId="0" xfId="1" applyFont="1" applyAlignment="1">
      <alignment horizontal="centerContinuous"/>
    </xf>
    <xf numFmtId="170" fontId="50" fillId="0" borderId="0" xfId="1" quotePrefix="1" applyNumberFormat="1" applyFont="1" applyAlignment="1">
      <alignment horizontal="right"/>
    </xf>
    <xf numFmtId="174" fontId="50" fillId="0" borderId="0" xfId="1" applyNumberFormat="1" applyFont="1" applyAlignment="1">
      <alignment horizontal="center"/>
    </xf>
    <xf numFmtId="0" fontId="71" fillId="33" borderId="0" xfId="1" applyFont="1" applyFill="1" applyAlignment="1">
      <alignment horizontal="left"/>
    </xf>
    <xf numFmtId="37" fontId="48" fillId="33" borderId="0" xfId="1" applyNumberFormat="1" applyFont="1" applyFill="1"/>
    <xf numFmtId="37" fontId="48" fillId="0" borderId="0" xfId="1" applyNumberFormat="1" applyFont="1"/>
    <xf numFmtId="37" fontId="72" fillId="0" borderId="0" xfId="1" applyNumberFormat="1" applyFont="1" applyAlignment="1">
      <alignment horizontal="center"/>
    </xf>
    <xf numFmtId="37" fontId="73" fillId="0" borderId="0" xfId="1" applyNumberFormat="1" applyFont="1"/>
    <xf numFmtId="0" fontId="71" fillId="0" borderId="0" xfId="1" quotePrefix="1" applyFont="1" applyAlignment="1" applyProtection="1">
      <alignment horizontal="left"/>
      <protection locked="0"/>
    </xf>
    <xf numFmtId="0" fontId="66" fillId="0" borderId="0" xfId="1" applyFont="1"/>
    <xf numFmtId="0" fontId="46" fillId="0" borderId="0" xfId="1" applyFont="1"/>
    <xf numFmtId="37" fontId="50" fillId="0" borderId="0" xfId="1" applyNumberFormat="1" applyFont="1"/>
    <xf numFmtId="37" fontId="50" fillId="0" borderId="0" xfId="1" applyNumberFormat="1" applyFont="1" applyAlignment="1">
      <alignment horizontal="center"/>
    </xf>
    <xf numFmtId="37" fontId="50" fillId="0" borderId="0" xfId="1" quotePrefix="1" applyNumberFormat="1" applyFont="1" applyAlignment="1">
      <alignment horizontal="center"/>
    </xf>
    <xf numFmtId="3" fontId="48" fillId="0" borderId="0" xfId="1" applyNumberFormat="1" applyFont="1"/>
    <xf numFmtId="166" fontId="50" fillId="0" borderId="0" xfId="1" applyNumberFormat="1" applyFont="1"/>
    <xf numFmtId="166" fontId="0" fillId="0" borderId="0" xfId="1" applyNumberFormat="1" applyFont="1"/>
    <xf numFmtId="37" fontId="50" fillId="0" borderId="0" xfId="1" applyNumberFormat="1" applyFont="1" applyAlignment="1">
      <alignment horizontal="right"/>
    </xf>
    <xf numFmtId="3" fontId="50" fillId="0" borderId="0" xfId="1" applyNumberFormat="1" applyFont="1" applyAlignment="1">
      <alignment horizontal="right"/>
    </xf>
    <xf numFmtId="174" fontId="50" fillId="0" borderId="0" xfId="1" applyNumberFormat="1" applyFont="1" applyAlignment="1">
      <alignment horizontal="right"/>
    </xf>
    <xf numFmtId="169" fontId="50" fillId="0" borderId="0" xfId="1" applyNumberFormat="1" applyFont="1"/>
    <xf numFmtId="166" fontId="68" fillId="0" borderId="0" xfId="1" quotePrefix="1" applyNumberFormat="1" applyFont="1" applyAlignment="1">
      <alignment horizontal="left"/>
    </xf>
    <xf numFmtId="0" fontId="75" fillId="0" borderId="0" xfId="1" applyFont="1"/>
    <xf numFmtId="37" fontId="70" fillId="0" borderId="0" xfId="1" applyNumberFormat="1" applyFont="1"/>
    <xf numFmtId="0" fontId="76" fillId="0" borderId="0" xfId="1" applyFont="1"/>
    <xf numFmtId="0" fontId="71" fillId="0" borderId="0" xfId="1" applyFont="1" applyAlignment="1">
      <alignment horizontal="left"/>
    </xf>
    <xf numFmtId="37" fontId="50" fillId="0" borderId="0" xfId="1" applyNumberFormat="1" applyFont="1" applyAlignment="1">
      <alignment horizontal="centerContinuous"/>
    </xf>
    <xf numFmtId="0" fontId="50" fillId="0" borderId="0" xfId="1" applyFont="1" applyAlignment="1">
      <alignment horizontal="center"/>
    </xf>
    <xf numFmtId="0" fontId="77" fillId="0" borderId="0" xfId="1" applyFont="1" applyAlignment="1">
      <alignment horizontal="center"/>
    </xf>
    <xf numFmtId="37" fontId="74" fillId="0" borderId="0" xfId="1" quotePrefix="1" applyNumberFormat="1" applyFont="1" applyAlignment="1">
      <alignment horizontal="centerContinuous"/>
    </xf>
    <xf numFmtId="0" fontId="55" fillId="0" borderId="0" xfId="1" applyFont="1"/>
    <xf numFmtId="165" fontId="70" fillId="0" borderId="0" xfId="1" applyNumberFormat="1" applyFont="1"/>
    <xf numFmtId="165" fontId="50" fillId="0" borderId="0" xfId="1" applyNumberFormat="1" applyFont="1"/>
    <xf numFmtId="166" fontId="68" fillId="0" borderId="0" xfId="1" applyNumberFormat="1" applyFont="1"/>
    <xf numFmtId="165" fontId="78" fillId="0" borderId="0" xfId="1" applyNumberFormat="1" applyFont="1"/>
    <xf numFmtId="166" fontId="79" fillId="0" borderId="0" xfId="1" applyNumberFormat="1" applyFont="1"/>
    <xf numFmtId="166" fontId="79" fillId="0" borderId="0" xfId="1" quotePrefix="1" applyNumberFormat="1" applyFont="1" applyAlignment="1">
      <alignment horizontal="left"/>
    </xf>
    <xf numFmtId="166" fontId="64" fillId="0" borderId="0" xfId="1" applyNumberFormat="1" applyFont="1"/>
    <xf numFmtId="165" fontId="48" fillId="0" borderId="0" xfId="1" applyNumberFormat="1" applyFont="1"/>
    <xf numFmtId="165" fontId="71" fillId="0" borderId="0" xfId="1" applyNumberFormat="1" applyFont="1"/>
    <xf numFmtId="0" fontId="71" fillId="0" borderId="0" xfId="1" applyFont="1"/>
    <xf numFmtId="164" fontId="71" fillId="0" borderId="0" xfId="1" applyNumberFormat="1" applyFont="1" applyAlignment="1">
      <alignment horizontal="right"/>
    </xf>
    <xf numFmtId="174" fontId="69" fillId="0" borderId="0" xfId="1" applyNumberFormat="1" applyFont="1"/>
    <xf numFmtId="170" fontId="50" fillId="0" borderId="25" xfId="1" applyNumberFormat="1" applyFont="1" applyBorder="1"/>
    <xf numFmtId="0" fontId="50" fillId="0" borderId="17" xfId="1" applyFont="1" applyBorder="1"/>
    <xf numFmtId="174" fontId="50" fillId="0" borderId="15" xfId="1" applyNumberFormat="1" applyFont="1" applyBorder="1"/>
    <xf numFmtId="0" fontId="48" fillId="0" borderId="0" xfId="1" applyFont="1"/>
    <xf numFmtId="0" fontId="44" fillId="0" borderId="0" xfId="1" applyFont="1" applyAlignment="1">
      <alignment horizontal="right"/>
    </xf>
    <xf numFmtId="174" fontId="50" fillId="0" borderId="27" xfId="1" applyNumberFormat="1" applyFont="1" applyBorder="1"/>
    <xf numFmtId="164" fontId="50" fillId="0" borderId="0" xfId="1" applyNumberFormat="1" applyFont="1"/>
    <xf numFmtId="170" fontId="50" fillId="0" borderId="27" xfId="1" applyNumberFormat="1" applyFont="1" applyBorder="1"/>
    <xf numFmtId="166" fontId="50" fillId="0" borderId="0" xfId="1" applyNumberFormat="1" applyFont="1" applyAlignment="1">
      <alignment horizontal="right"/>
    </xf>
    <xf numFmtId="164" fontId="50" fillId="0" borderId="15" xfId="1" applyNumberFormat="1" applyFont="1" applyBorder="1"/>
    <xf numFmtId="168" fontId="46" fillId="0" borderId="0" xfId="1" applyNumberFormat="1" applyFont="1"/>
    <xf numFmtId="0" fontId="85" fillId="0" borderId="0" xfId="1" applyFont="1"/>
    <xf numFmtId="0" fontId="48" fillId="0" borderId="0" xfId="3" applyFont="1"/>
    <xf numFmtId="0" fontId="71" fillId="0" borderId="0" xfId="3" applyFont="1"/>
    <xf numFmtId="174" fontId="50" fillId="0" borderId="0" xfId="3" applyNumberFormat="1" applyFont="1"/>
    <xf numFmtId="0" fontId="50" fillId="0" borderId="0" xfId="3" applyFont="1"/>
    <xf numFmtId="165" fontId="88" fillId="0" borderId="0" xfId="1" applyNumberFormat="1" applyFont="1" applyAlignment="1">
      <alignment horizontal="left"/>
    </xf>
    <xf numFmtId="165" fontId="89" fillId="0" borderId="0" xfId="1" applyNumberFormat="1" applyFont="1"/>
    <xf numFmtId="165" fontId="90" fillId="0" borderId="0" xfId="1" applyNumberFormat="1" applyFont="1"/>
    <xf numFmtId="165" fontId="91" fillId="0" borderId="0" xfId="1" applyNumberFormat="1" applyFont="1" applyAlignment="1">
      <alignment horizontal="centerContinuous"/>
    </xf>
    <xf numFmtId="0" fontId="81" fillId="0" borderId="0" xfId="1" applyFont="1"/>
    <xf numFmtId="165" fontId="88" fillId="0" borderId="0" xfId="1" applyNumberFormat="1" applyFont="1" applyAlignment="1">
      <alignment horizontal="centerContinuous"/>
    </xf>
    <xf numFmtId="0" fontId="92" fillId="0" borderId="0" xfId="1" applyFont="1" applyAlignment="1">
      <alignment horizontal="left"/>
    </xf>
    <xf numFmtId="165" fontId="93" fillId="0" borderId="0" xfId="1" applyNumberFormat="1" applyFont="1"/>
    <xf numFmtId="166" fontId="50" fillId="0" borderId="14" xfId="1" applyNumberFormat="1" applyFont="1" applyBorder="1"/>
    <xf numFmtId="174" fontId="50" fillId="0" borderId="0" xfId="1" quotePrefix="1" applyNumberFormat="1" applyFont="1"/>
    <xf numFmtId="174" fontId="50" fillId="0" borderId="14" xfId="1" applyNumberFormat="1" applyFont="1" applyBorder="1"/>
    <xf numFmtId="166" fontId="0" fillId="0" borderId="0" xfId="1" applyNumberFormat="1" applyFont="1" applyAlignment="1">
      <alignment horizontal="center"/>
    </xf>
    <xf numFmtId="164" fontId="0" fillId="0" borderId="0" xfId="1" applyNumberFormat="1" applyFont="1"/>
    <xf numFmtId="170" fontId="50" fillId="0" borderId="14" xfId="1" applyNumberFormat="1" applyFont="1" applyBorder="1" applyAlignment="1">
      <alignment horizontal="right"/>
    </xf>
    <xf numFmtId="170" fontId="50" fillId="0" borderId="14" xfId="1" applyNumberFormat="1" applyFont="1" applyBorder="1"/>
    <xf numFmtId="172" fontId="0" fillId="0" borderId="0" xfId="1" applyNumberFormat="1" applyFont="1"/>
    <xf numFmtId="170" fontId="50" fillId="0" borderId="14" xfId="1" applyNumberFormat="1" applyFont="1" applyBorder="1" applyAlignment="1">
      <alignment horizontal="center"/>
    </xf>
    <xf numFmtId="7" fontId="50" fillId="0" borderId="0" xfId="1" applyNumberFormat="1" applyFont="1"/>
    <xf numFmtId="166" fontId="83" fillId="0" borderId="0" xfId="1" applyNumberFormat="1" applyFont="1" applyAlignment="1">
      <alignment horizontal="left"/>
    </xf>
    <xf numFmtId="0" fontId="83" fillId="0" borderId="0" xfId="1" applyFont="1"/>
    <xf numFmtId="166" fontId="83" fillId="0" borderId="0" xfId="1" quotePrefix="1" applyNumberFormat="1" applyFont="1" applyAlignment="1">
      <alignment horizontal="left"/>
    </xf>
    <xf numFmtId="170" fontId="64" fillId="0" borderId="0" xfId="1" applyNumberFormat="1" applyFont="1" applyAlignment="1">
      <alignment horizontal="right"/>
    </xf>
    <xf numFmtId="0" fontId="71" fillId="0" borderId="0" xfId="1" applyFont="1" applyAlignment="1">
      <alignment horizontal="right"/>
    </xf>
    <xf numFmtId="0" fontId="95" fillId="0" borderId="0" xfId="1" applyFont="1"/>
    <xf numFmtId="0" fontId="0" fillId="0" borderId="0" xfId="14" applyNumberFormat="1" applyFont="1"/>
    <xf numFmtId="0" fontId="50" fillId="0" borderId="0" xfId="14" applyNumberFormat="1" applyFont="1" applyAlignment="1" applyProtection="1">
      <alignment horizontal="center"/>
      <protection locked="0"/>
    </xf>
    <xf numFmtId="0" fontId="50" fillId="0" borderId="0" xfId="14" applyNumberFormat="1" applyFont="1" applyAlignment="1">
      <alignment horizontal="center"/>
    </xf>
    <xf numFmtId="0" fontId="74" fillId="0" borderId="0" xfId="14" applyNumberFormat="1" applyFont="1"/>
    <xf numFmtId="174" fontId="50" fillId="0" borderId="0" xfId="14" applyNumberFormat="1" applyFont="1"/>
    <xf numFmtId="189" fontId="108" fillId="0" borderId="0" xfId="8" applyNumberFormat="1" applyFont="1" applyAlignment="1">
      <alignment horizontal="right"/>
    </xf>
    <xf numFmtId="189" fontId="70" fillId="0" borderId="0" xfId="8" applyNumberFormat="1" applyFont="1" applyAlignment="1"/>
    <xf numFmtId="43" fontId="78" fillId="0" borderId="0" xfId="8" applyFont="1" applyAlignment="1"/>
    <xf numFmtId="189" fontId="48" fillId="0" borderId="0" xfId="8" applyNumberFormat="1" applyFont="1" applyAlignment="1"/>
    <xf numFmtId="0" fontId="44" fillId="0" borderId="0" xfId="736" quotePrefix="1" applyFont="1" applyAlignment="1">
      <alignment horizontal="left"/>
    </xf>
    <xf numFmtId="0" fontId="50" fillId="0" borderId="0" xfId="736" applyFont="1"/>
    <xf numFmtId="0" fontId="95" fillId="0" borderId="0" xfId="736" applyFont="1"/>
    <xf numFmtId="0" fontId="94" fillId="0" borderId="0" xfId="736" applyFont="1"/>
    <xf numFmtId="37" fontId="94" fillId="0" borderId="0" xfId="736" applyNumberFormat="1" applyFont="1"/>
    <xf numFmtId="0" fontId="96" fillId="0" borderId="0" xfId="736" applyFont="1"/>
    <xf numFmtId="37" fontId="95" fillId="0" borderId="22" xfId="736" quotePrefix="1" applyNumberFormat="1" applyFont="1" applyBorder="1" applyAlignment="1">
      <alignment horizontal="center"/>
    </xf>
    <xf numFmtId="37" fontId="131" fillId="0" borderId="0" xfId="1" applyNumberFormat="1" applyFont="1"/>
    <xf numFmtId="37" fontId="132" fillId="0" borderId="0" xfId="1" applyNumberFormat="1" applyFont="1"/>
    <xf numFmtId="0" fontId="130" fillId="0" borderId="0" xfId="1" applyFont="1" applyAlignment="1">
      <alignment horizontal="center"/>
    </xf>
    <xf numFmtId="37" fontId="130" fillId="0" borderId="0" xfId="1" applyNumberFormat="1" applyFont="1"/>
    <xf numFmtId="37" fontId="129" fillId="0" borderId="0" xfId="1" applyNumberFormat="1" applyFont="1"/>
    <xf numFmtId="166" fontId="69" fillId="0" borderId="0" xfId="1" applyNumberFormat="1" applyFont="1"/>
    <xf numFmtId="177" fontId="50" fillId="0" borderId="0" xfId="737" quotePrefix="1" applyNumberFormat="1" applyFont="1" applyAlignment="1">
      <alignment horizontal="left"/>
    </xf>
    <xf numFmtId="177" fontId="50" fillId="0" borderId="0" xfId="737" applyNumberFormat="1" applyFont="1" applyAlignment="1">
      <alignment horizontal="center"/>
    </xf>
    <xf numFmtId="177" fontId="74" fillId="0" borderId="0" xfId="737" applyNumberFormat="1" applyFont="1"/>
    <xf numFmtId="177" fontId="99" fillId="0" borderId="0" xfId="737" applyNumberFormat="1" applyFont="1"/>
    <xf numFmtId="165" fontId="99" fillId="0" borderId="0" xfId="737" applyNumberFormat="1" applyFont="1"/>
    <xf numFmtId="177" fontId="50" fillId="0" borderId="0" xfId="737" applyNumberFormat="1" applyFont="1"/>
    <xf numFmtId="177" fontId="50" fillId="0" borderId="0" xfId="737" applyNumberFormat="1" applyFont="1" applyAlignment="1">
      <alignment horizontal="right"/>
    </xf>
    <xf numFmtId="182" fontId="50" fillId="0" borderId="0" xfId="737" applyNumberFormat="1" applyFont="1"/>
    <xf numFmtId="0" fontId="66" fillId="0" borderId="0" xfId="833" applyFont="1"/>
    <xf numFmtId="0" fontId="66" fillId="0" borderId="0" xfId="833" applyFont="1" applyAlignment="1">
      <alignment horizontal="right"/>
    </xf>
    <xf numFmtId="177" fontId="66" fillId="0" borderId="0" xfId="833" applyNumberFormat="1" applyFont="1"/>
    <xf numFmtId="173" fontId="70" fillId="0" borderId="0" xfId="833" applyNumberFormat="1" applyFont="1"/>
    <xf numFmtId="0" fontId="71" fillId="0" borderId="0" xfId="833" applyFont="1"/>
    <xf numFmtId="0" fontId="50" fillId="0" borderId="0" xfId="833" applyFont="1"/>
    <xf numFmtId="173" fontId="45" fillId="0" borderId="0" xfId="833" applyNumberFormat="1"/>
    <xf numFmtId="0" fontId="71" fillId="0" borderId="0" xfId="833" applyFont="1" applyAlignment="1">
      <alignment horizontal="right"/>
    </xf>
    <xf numFmtId="173" fontId="66" fillId="0" borderId="0" xfId="833" applyNumberFormat="1" applyFont="1"/>
    <xf numFmtId="0" fontId="50" fillId="0" borderId="0" xfId="833" applyFont="1" applyAlignment="1">
      <alignment horizontal="right"/>
    </xf>
    <xf numFmtId="0" fontId="71" fillId="0" borderId="0" xfId="833" quotePrefix="1" applyFont="1" applyAlignment="1">
      <alignment horizontal="left"/>
    </xf>
    <xf numFmtId="0" fontId="102" fillId="0" borderId="0" xfId="833" applyFont="1"/>
    <xf numFmtId="180" fontId="45" fillId="0" borderId="0" xfId="833" applyNumberFormat="1"/>
    <xf numFmtId="180" fontId="50" fillId="0" borderId="0" xfId="833" applyNumberFormat="1" applyFont="1"/>
    <xf numFmtId="173" fontId="50" fillId="0" borderId="0" xfId="833" applyNumberFormat="1" applyFont="1"/>
    <xf numFmtId="173" fontId="71" fillId="0" borderId="0" xfId="833" applyNumberFormat="1" applyFont="1"/>
    <xf numFmtId="180" fontId="45" fillId="0" borderId="0" xfId="833" quotePrefix="1" applyNumberFormat="1" applyAlignment="1">
      <alignment horizontal="left"/>
    </xf>
    <xf numFmtId="173" fontId="71" fillId="0" borderId="0" xfId="833" applyNumberFormat="1" applyFont="1" applyAlignment="1">
      <alignment horizontal="centerContinuous"/>
    </xf>
    <xf numFmtId="173" fontId="71" fillId="0" borderId="0" xfId="833" applyNumberFormat="1" applyFont="1" applyAlignment="1">
      <alignment horizontal="center"/>
    </xf>
    <xf numFmtId="0" fontId="102" fillId="0" borderId="0" xfId="833" applyFont="1" applyAlignment="1">
      <alignment horizontal="center"/>
    </xf>
    <xf numFmtId="0" fontId="71" fillId="0" borderId="0" xfId="833" applyFont="1" applyAlignment="1">
      <alignment horizontal="center"/>
    </xf>
    <xf numFmtId="173" fontId="66" fillId="0" borderId="0" xfId="833" applyNumberFormat="1" applyFont="1" applyAlignment="1">
      <alignment horizontal="right"/>
    </xf>
    <xf numFmtId="176" fontId="66" fillId="0" borderId="0" xfId="833" applyNumberFormat="1" applyFont="1"/>
    <xf numFmtId="173" fontId="66" fillId="0" borderId="0" xfId="833" applyNumberFormat="1" applyFont="1" applyAlignment="1">
      <alignment horizontal="center"/>
    </xf>
    <xf numFmtId="0" fontId="67" fillId="0" borderId="0" xfId="833" applyFont="1"/>
    <xf numFmtId="165" fontId="48" fillId="0" borderId="0" xfId="837" applyNumberFormat="1"/>
    <xf numFmtId="165" fontId="108" fillId="0" borderId="0" xfId="837" applyNumberFormat="1" applyFont="1" applyAlignment="1">
      <alignment horizontal="right"/>
    </xf>
    <xf numFmtId="39" fontId="48" fillId="0" borderId="0" xfId="837" applyNumberFormat="1"/>
    <xf numFmtId="40" fontId="48" fillId="0" borderId="0" xfId="837" applyNumberFormat="1"/>
    <xf numFmtId="165" fontId="70" fillId="0" borderId="0" xfId="837" applyNumberFormat="1" applyFont="1"/>
    <xf numFmtId="5" fontId="50" fillId="0" borderId="0" xfId="837" applyNumberFormat="1" applyFont="1"/>
    <xf numFmtId="40" fontId="50" fillId="0" borderId="0" xfId="837" applyNumberFormat="1" applyFont="1"/>
    <xf numFmtId="165" fontId="78" fillId="0" borderId="0" xfId="837" applyNumberFormat="1" applyFont="1" applyAlignment="1">
      <alignment horizontal="right"/>
    </xf>
    <xf numFmtId="0" fontId="72" fillId="0" borderId="0" xfId="837" quotePrefix="1" applyFont="1" applyAlignment="1">
      <alignment horizontal="left"/>
    </xf>
    <xf numFmtId="0" fontId="71" fillId="0" borderId="0" xfId="837" applyFont="1"/>
    <xf numFmtId="40" fontId="109" fillId="0" borderId="0" xfId="837" applyNumberFormat="1" applyFont="1" applyAlignment="1">
      <alignment horizontal="center"/>
    </xf>
    <xf numFmtId="40" fontId="50" fillId="0" borderId="0" xfId="837" quotePrefix="1" applyNumberFormat="1" applyFont="1" applyAlignment="1">
      <alignment horizontal="left"/>
    </xf>
    <xf numFmtId="40" fontId="50" fillId="0" borderId="0" xfId="837" applyNumberFormat="1" applyFont="1" applyAlignment="1">
      <alignment horizontal="left"/>
    </xf>
    <xf numFmtId="39" fontId="50" fillId="0" borderId="0" xfId="837" quotePrefix="1" applyNumberFormat="1" applyFont="1" applyAlignment="1">
      <alignment horizontal="center"/>
    </xf>
    <xf numFmtId="40" fontId="50" fillId="0" borderId="0" xfId="837" applyNumberFormat="1" applyFont="1" applyAlignment="1">
      <alignment horizontal="center"/>
    </xf>
    <xf numFmtId="39" fontId="50" fillId="0" borderId="0" xfId="837" applyNumberFormat="1" applyFont="1" applyAlignment="1">
      <alignment horizontal="center"/>
    </xf>
    <xf numFmtId="37" fontId="50" fillId="0" borderId="0" xfId="837" applyNumberFormat="1" applyFont="1"/>
    <xf numFmtId="185" fontId="50" fillId="0" borderId="0" xfId="837" quotePrefix="1" applyNumberFormat="1" applyFont="1" applyAlignment="1">
      <alignment horizontal="center"/>
    </xf>
    <xf numFmtId="42" fontId="50" fillId="0" borderId="0" xfId="837" applyNumberFormat="1" applyFont="1"/>
    <xf numFmtId="165" fontId="78" fillId="0" borderId="0" xfId="837" applyNumberFormat="1" applyFont="1"/>
    <xf numFmtId="0" fontId="50" fillId="0" borderId="0" xfId="837" applyFont="1"/>
    <xf numFmtId="41" fontId="50" fillId="0" borderId="0" xfId="837" applyNumberFormat="1" applyFont="1"/>
    <xf numFmtId="0" fontId="50" fillId="0" borderId="0" xfId="837" applyFont="1" applyAlignment="1">
      <alignment horizontal="left"/>
    </xf>
    <xf numFmtId="0" fontId="48" fillId="0" borderId="0" xfId="837" applyAlignment="1">
      <alignment horizontal="left"/>
    </xf>
    <xf numFmtId="166" fontId="63" fillId="0" borderId="0" xfId="1" applyNumberFormat="1" applyFont="1"/>
    <xf numFmtId="166" fontId="63" fillId="0" borderId="0" xfId="1" quotePrefix="1" applyNumberFormat="1" applyFont="1" applyAlignment="1">
      <alignment horizontal="left"/>
    </xf>
    <xf numFmtId="166" fontId="64" fillId="0" borderId="0" xfId="1" applyNumberFormat="1" applyFont="1" applyAlignment="1">
      <alignment horizontal="center"/>
    </xf>
    <xf numFmtId="174" fontId="63" fillId="0" borderId="0" xfId="1" applyNumberFormat="1" applyFont="1"/>
    <xf numFmtId="174" fontId="63" fillId="0" borderId="16" xfId="1" applyNumberFormat="1" applyFont="1" applyBorder="1"/>
    <xf numFmtId="166" fontId="64" fillId="0" borderId="0" xfId="1" applyNumberFormat="1" applyFont="1" applyAlignment="1">
      <alignment horizontal="right"/>
    </xf>
    <xf numFmtId="166" fontId="64" fillId="0" borderId="16" xfId="1" applyNumberFormat="1" applyFont="1" applyBorder="1"/>
    <xf numFmtId="170" fontId="64" fillId="0" borderId="0" xfId="1" applyNumberFormat="1" applyFont="1"/>
    <xf numFmtId="170" fontId="64" fillId="0" borderId="16" xfId="1" applyNumberFormat="1" applyFont="1" applyBorder="1"/>
    <xf numFmtId="170" fontId="64" fillId="0" borderId="45" xfId="1" applyNumberFormat="1" applyFont="1" applyBorder="1"/>
    <xf numFmtId="170" fontId="63" fillId="0" borderId="0" xfId="1" applyNumberFormat="1" applyFont="1"/>
    <xf numFmtId="170" fontId="63" fillId="0" borderId="16" xfId="1" applyNumberFormat="1" applyFont="1" applyBorder="1"/>
    <xf numFmtId="166" fontId="64" fillId="0" borderId="0" xfId="1" quotePrefix="1" applyNumberFormat="1" applyFont="1" applyAlignment="1">
      <alignment horizontal="left"/>
    </xf>
    <xf numFmtId="170" fontId="136" fillId="0" borderId="0" xfId="1" applyNumberFormat="1" applyFont="1"/>
    <xf numFmtId="170" fontId="68" fillId="0" borderId="16" xfId="1" applyNumberFormat="1" applyFont="1" applyBorder="1"/>
    <xf numFmtId="170" fontId="69" fillId="0" borderId="0" xfId="1" applyNumberFormat="1" applyFont="1"/>
    <xf numFmtId="170" fontId="69" fillId="0" borderId="16" xfId="1" applyNumberFormat="1" applyFont="1" applyBorder="1"/>
    <xf numFmtId="170" fontId="63" fillId="0" borderId="0" xfId="1" applyNumberFormat="1" applyFont="1" applyAlignment="1">
      <alignment horizontal="right"/>
    </xf>
    <xf numFmtId="166" fontId="68" fillId="0" borderId="16" xfId="1" applyNumberFormat="1" applyFont="1" applyBorder="1"/>
    <xf numFmtId="166" fontId="50" fillId="0" borderId="0" xfId="1" applyNumberFormat="1" applyFont="1" applyAlignment="1">
      <alignment horizontal="left"/>
    </xf>
    <xf numFmtId="174" fontId="63" fillId="0" borderId="15" xfId="1" applyNumberFormat="1" applyFont="1" applyBorder="1"/>
    <xf numFmtId="174" fontId="69" fillId="0" borderId="0" xfId="1" applyNumberFormat="1" applyFont="1" applyAlignment="1">
      <alignment horizontal="right"/>
    </xf>
    <xf numFmtId="174" fontId="69" fillId="0" borderId="16" xfId="1" applyNumberFormat="1" applyFont="1" applyBorder="1"/>
    <xf numFmtId="166" fontId="52" fillId="0" borderId="0" xfId="1" applyNumberFormat="1" applyFont="1"/>
    <xf numFmtId="43" fontId="48" fillId="0" borderId="0" xfId="4" applyFont="1" applyFill="1" applyBorder="1" applyAlignment="1">
      <alignment horizontal="right"/>
    </xf>
    <xf numFmtId="0" fontId="82" fillId="0" borderId="0" xfId="5" applyFont="1"/>
    <xf numFmtId="0" fontId="137" fillId="0" borderId="0" xfId="5" applyFont="1"/>
    <xf numFmtId="0" fontId="113" fillId="0" borderId="0" xfId="5" applyFont="1"/>
    <xf numFmtId="0" fontId="55" fillId="0" borderId="0" xfId="5" applyFont="1"/>
    <xf numFmtId="0" fontId="55" fillId="0" borderId="0" xfId="5" applyFont="1" applyAlignment="1">
      <alignment horizontal="left"/>
    </xf>
    <xf numFmtId="0" fontId="55" fillId="0" borderId="0" xfId="5" applyFont="1" applyAlignment="1">
      <alignment horizontal="right" indent="15"/>
    </xf>
    <xf numFmtId="0" fontId="48" fillId="0" borderId="0" xfId="5" applyFont="1" applyAlignment="1">
      <alignment horizontal="center"/>
    </xf>
    <xf numFmtId="0" fontId="55" fillId="0" borderId="0" xfId="5" applyFont="1" applyAlignment="1">
      <alignment horizontal="center"/>
    </xf>
    <xf numFmtId="0" fontId="55" fillId="0" borderId="0" xfId="5" applyFont="1" applyAlignment="1">
      <alignment horizontal="right"/>
    </xf>
    <xf numFmtId="0" fontId="113" fillId="0" borderId="0" xfId="5" quotePrefix="1" applyFont="1" applyAlignment="1">
      <alignment horizontal="right"/>
    </xf>
    <xf numFmtId="165" fontId="55" fillId="0" borderId="0" xfId="5" applyNumberFormat="1" applyFont="1" applyAlignment="1">
      <alignment horizontal="right"/>
    </xf>
    <xf numFmtId="0" fontId="139" fillId="0" borderId="0" xfId="5" applyFont="1"/>
    <xf numFmtId="0" fontId="113" fillId="0" borderId="0" xfId="5" applyFont="1" applyAlignment="1">
      <alignment horizontal="center"/>
    </xf>
    <xf numFmtId="187" fontId="55" fillId="0" borderId="0" xfId="5" applyNumberFormat="1" applyFont="1"/>
    <xf numFmtId="0" fontId="137" fillId="0" borderId="0" xfId="5" applyFont="1" applyAlignment="1">
      <alignment horizontal="center"/>
    </xf>
    <xf numFmtId="190" fontId="55" fillId="0" borderId="0" xfId="5" applyNumberFormat="1" applyFont="1"/>
    <xf numFmtId="175" fontId="55" fillId="0" borderId="0" xfId="5" quotePrefix="1" applyNumberFormat="1" applyFont="1" applyAlignment="1">
      <alignment horizontal="right"/>
    </xf>
    <xf numFmtId="191" fontId="55" fillId="0" borderId="0" xfId="5" applyNumberFormat="1" applyFont="1"/>
    <xf numFmtId="175" fontId="55" fillId="0" borderId="0" xfId="5" quotePrefix="1" applyNumberFormat="1" applyFont="1"/>
    <xf numFmtId="0" fontId="49" fillId="0" borderId="0" xfId="857" applyFont="1" applyAlignment="1">
      <alignment horizontal="centerContinuous"/>
    </xf>
    <xf numFmtId="37" fontId="49" fillId="0" borderId="0" xfId="857" applyNumberFormat="1" applyFont="1" applyAlignment="1">
      <alignment horizontal="centerContinuous"/>
    </xf>
    <xf numFmtId="0" fontId="49" fillId="0" borderId="0" xfId="857" applyFont="1"/>
    <xf numFmtId="0" fontId="48" fillId="0" borderId="0" xfId="857" applyFont="1" applyAlignment="1">
      <alignment horizontal="centerContinuous"/>
    </xf>
    <xf numFmtId="37" fontId="71" fillId="0" borderId="0" xfId="857" applyNumberFormat="1" applyFont="1" applyAlignment="1">
      <alignment horizontal="centerContinuous"/>
    </xf>
    <xf numFmtId="0" fontId="48" fillId="0" borderId="0" xfId="857" applyFont="1"/>
    <xf numFmtId="0" fontId="49" fillId="0" borderId="46" xfId="857" applyFont="1" applyBorder="1" applyAlignment="1">
      <alignment horizontal="centerContinuous"/>
    </xf>
    <xf numFmtId="0" fontId="48" fillId="0" borderId="20" xfId="857" applyFont="1" applyBorder="1" applyAlignment="1">
      <alignment horizontal="centerContinuous"/>
    </xf>
    <xf numFmtId="37" fontId="71" fillId="0" borderId="47" xfId="857" applyNumberFormat="1" applyFont="1" applyBorder="1"/>
    <xf numFmtId="0" fontId="49" fillId="0" borderId="20" xfId="857" applyFont="1" applyBorder="1"/>
    <xf numFmtId="0" fontId="48" fillId="0" borderId="20" xfId="857" applyFont="1" applyBorder="1"/>
    <xf numFmtId="37" fontId="71" fillId="0" borderId="0" xfId="857" applyNumberFormat="1" applyFont="1"/>
    <xf numFmtId="37" fontId="48" fillId="0" borderId="0" xfId="857" applyNumberFormat="1" applyFont="1"/>
    <xf numFmtId="37" fontId="46" fillId="0" borderId="0" xfId="857" applyNumberFormat="1" applyFont="1"/>
    <xf numFmtId="0" fontId="48" fillId="0" borderId="45" xfId="857" applyFont="1" applyBorder="1"/>
    <xf numFmtId="0" fontId="140" fillId="0" borderId="0" xfId="857" applyFont="1"/>
    <xf numFmtId="37" fontId="48" fillId="0" borderId="0" xfId="857" applyNumberFormat="1" applyFont="1" applyAlignment="1">
      <alignment horizontal="left"/>
    </xf>
    <xf numFmtId="0" fontId="110" fillId="0" borderId="0" xfId="857" applyFont="1"/>
    <xf numFmtId="165" fontId="48" fillId="0" borderId="0" xfId="857" applyNumberFormat="1" applyFont="1" applyAlignment="1">
      <alignment horizontal="left"/>
    </xf>
    <xf numFmtId="0" fontId="141" fillId="0" borderId="0" xfId="857" applyFont="1" applyAlignment="1">
      <alignment vertical="top" wrapText="1"/>
    </xf>
    <xf numFmtId="0" fontId="84" fillId="0" borderId="0" xfId="857" applyFont="1"/>
    <xf numFmtId="0" fontId="48" fillId="0" borderId="0" xfId="857" applyFont="1" applyAlignment="1">
      <alignment horizontal="left"/>
    </xf>
    <xf numFmtId="170" fontId="43" fillId="0" borderId="0" xfId="0" applyNumberFormat="1" applyFont="1"/>
    <xf numFmtId="166" fontId="43" fillId="0" borderId="0" xfId="0" applyNumberFormat="1" applyFont="1" applyProtection="1">
      <protection locked="0"/>
    </xf>
    <xf numFmtId="170" fontId="43" fillId="0" borderId="0" xfId="0" quotePrefix="1" applyNumberFormat="1" applyFont="1" applyAlignment="1">
      <alignment horizontal="center"/>
    </xf>
    <xf numFmtId="37" fontId="43" fillId="0" borderId="0" xfId="1" applyNumberFormat="1"/>
    <xf numFmtId="49" fontId="43" fillId="0" borderId="0" xfId="14" applyNumberFormat="1" applyAlignment="1">
      <alignment horizontal="center"/>
    </xf>
    <xf numFmtId="0" fontId="71" fillId="0" borderId="0" xfId="0" applyNumberFormat="1" applyFont="1"/>
    <xf numFmtId="0" fontId="48" fillId="0" borderId="0" xfId="0" applyNumberFormat="1" applyFont="1"/>
    <xf numFmtId="0" fontId="48" fillId="0" borderId="0" xfId="0" applyNumberFormat="1" applyFont="1" applyAlignment="1">
      <alignment horizontal="right"/>
    </xf>
    <xf numFmtId="0" fontId="49" fillId="0" borderId="0" xfId="0" applyNumberFormat="1" applyFont="1"/>
    <xf numFmtId="39" fontId="49" fillId="0" borderId="0" xfId="0" applyNumberFormat="1" applyFont="1"/>
    <xf numFmtId="0" fontId="48" fillId="0" borderId="0" xfId="0" applyNumberFormat="1" applyFont="1" applyAlignment="1">
      <alignment horizontal="left" vertical="top"/>
    </xf>
    <xf numFmtId="170" fontId="43" fillId="0" borderId="0" xfId="1" applyNumberFormat="1"/>
    <xf numFmtId="165" fontId="43" fillId="0" borderId="0" xfId="0" applyNumberFormat="1" applyFont="1" applyProtection="1">
      <protection locked="0"/>
    </xf>
    <xf numFmtId="164" fontId="43" fillId="0" borderId="0" xfId="0" applyFont="1"/>
    <xf numFmtId="164" fontId="95" fillId="0" borderId="0" xfId="0" applyFont="1"/>
    <xf numFmtId="166" fontId="43" fillId="0" borderId="0" xfId="1" applyNumberFormat="1"/>
    <xf numFmtId="0" fontId="43" fillId="0" borderId="0" xfId="14" applyNumberFormat="1" applyAlignment="1">
      <alignment horizontal="left"/>
    </xf>
    <xf numFmtId="164" fontId="71" fillId="0" borderId="0" xfId="0" applyFont="1"/>
    <xf numFmtId="0" fontId="145" fillId="0" borderId="0" xfId="857" applyFont="1"/>
    <xf numFmtId="37" fontId="48" fillId="34" borderId="0" xfId="857" applyNumberFormat="1" applyFont="1" applyFill="1" applyAlignment="1">
      <alignment horizontal="left"/>
    </xf>
    <xf numFmtId="0" fontId="49" fillId="34" borderId="0" xfId="857" applyFont="1" applyFill="1"/>
    <xf numFmtId="174" fontId="43" fillId="0" borderId="0" xfId="1" applyNumberFormat="1"/>
    <xf numFmtId="170" fontId="43" fillId="0" borderId="0" xfId="1" quotePrefix="1" applyNumberFormat="1" applyAlignment="1">
      <alignment horizontal="center"/>
    </xf>
    <xf numFmtId="174" fontId="43" fillId="0" borderId="0" xfId="1" applyNumberFormat="1" applyAlignment="1">
      <alignment horizontal="right"/>
    </xf>
    <xf numFmtId="174" fontId="43" fillId="0" borderId="0" xfId="1" quotePrefix="1" applyNumberFormat="1" applyAlignment="1">
      <alignment horizontal="center"/>
    </xf>
    <xf numFmtId="186" fontId="97" fillId="0" borderId="0" xfId="5" applyNumberFormat="1"/>
    <xf numFmtId="0" fontId="43" fillId="0" borderId="0" xfId="14" quotePrefix="1" applyNumberFormat="1" applyAlignment="1">
      <alignment horizontal="left"/>
    </xf>
    <xf numFmtId="164" fontId="66" fillId="0" borderId="0" xfId="0" applyFont="1"/>
    <xf numFmtId="164" fontId="50" fillId="0" borderId="0" xfId="0" applyFont="1"/>
    <xf numFmtId="0" fontId="138" fillId="0" borderId="0" xfId="5" applyFont="1" applyAlignment="1">
      <alignment horizontal="left"/>
    </xf>
    <xf numFmtId="164" fontId="43" fillId="0" borderId="0" xfId="1" applyNumberFormat="1"/>
    <xf numFmtId="165" fontId="43" fillId="0" borderId="0" xfId="0" applyNumberFormat="1" applyFont="1"/>
    <xf numFmtId="165" fontId="50" fillId="0" borderId="0" xfId="0" applyNumberFormat="1" applyFont="1"/>
    <xf numFmtId="165" fontId="43" fillId="0" borderId="0" xfId="0" quotePrefix="1" applyNumberFormat="1" applyFont="1" applyAlignment="1">
      <alignment horizontal="center"/>
    </xf>
    <xf numFmtId="170" fontId="43" fillId="0" borderId="0" xfId="1" applyNumberFormat="1" applyAlignment="1">
      <alignment horizontal="right"/>
    </xf>
    <xf numFmtId="170" fontId="43" fillId="0" borderId="0" xfId="1" quotePrefix="1" applyNumberFormat="1" applyAlignment="1">
      <alignment horizontal="right"/>
    </xf>
    <xf numFmtId="170" fontId="43" fillId="0" borderId="0" xfId="1" quotePrefix="1" applyNumberFormat="1"/>
    <xf numFmtId="174" fontId="129" fillId="0" borderId="0" xfId="1" applyNumberFormat="1" applyFont="1"/>
    <xf numFmtId="0" fontId="43" fillId="0" borderId="0" xfId="1"/>
    <xf numFmtId="180" fontId="66" fillId="0" borderId="0" xfId="833" applyNumberFormat="1" applyFont="1"/>
    <xf numFmtId="177" fontId="71" fillId="0" borderId="0" xfId="833" applyNumberFormat="1" applyFont="1" applyAlignment="1">
      <alignment horizontal="right"/>
    </xf>
    <xf numFmtId="177" fontId="71" fillId="0" borderId="0" xfId="833" applyNumberFormat="1" applyFont="1"/>
    <xf numFmtId="173" fontId="66" fillId="0" borderId="0" xfId="833" quotePrefix="1" applyNumberFormat="1" applyFont="1" applyAlignment="1">
      <alignment horizontal="left"/>
    </xf>
    <xf numFmtId="179" fontId="66" fillId="0" borderId="0" xfId="833" applyNumberFormat="1" applyFont="1"/>
    <xf numFmtId="179" fontId="71" fillId="0" borderId="0" xfId="833" applyNumberFormat="1" applyFont="1" applyAlignment="1">
      <alignment horizontal="right"/>
    </xf>
    <xf numFmtId="0" fontId="152" fillId="0" borderId="0" xfId="833" quotePrefix="1" applyFont="1" applyAlignment="1">
      <alignment horizontal="left"/>
    </xf>
    <xf numFmtId="173" fontId="80" fillId="0" borderId="0" xfId="833" applyNumberFormat="1" applyFont="1"/>
    <xf numFmtId="0" fontId="43" fillId="0" borderId="0" xfId="14" applyNumberFormat="1" applyAlignment="1">
      <alignment readingOrder="1"/>
    </xf>
    <xf numFmtId="0" fontId="43" fillId="0" borderId="0" xfId="14" applyNumberFormat="1"/>
    <xf numFmtId="0" fontId="43" fillId="0" borderId="0" xfId="14" applyNumberFormat="1" applyAlignment="1" applyProtection="1">
      <alignment readingOrder="1"/>
      <protection locked="0"/>
    </xf>
    <xf numFmtId="0" fontId="43" fillId="0" borderId="0" xfId="14" applyNumberFormat="1" applyProtection="1">
      <protection locked="0"/>
    </xf>
    <xf numFmtId="0" fontId="50" fillId="0" borderId="0" xfId="14" applyNumberFormat="1" applyFont="1" applyProtection="1">
      <protection locked="0"/>
    </xf>
    <xf numFmtId="39" fontId="48" fillId="0" borderId="0" xfId="0" applyNumberFormat="1" applyFont="1" applyAlignment="1">
      <alignment horizontal="center" vertical="top"/>
    </xf>
    <xf numFmtId="0" fontId="48" fillId="0" borderId="0" xfId="0" quotePrefix="1" applyNumberFormat="1" applyFont="1"/>
    <xf numFmtId="177" fontId="43" fillId="0" borderId="0" xfId="737" applyNumberFormat="1" applyFont="1" applyAlignment="1">
      <alignment horizontal="right"/>
    </xf>
    <xf numFmtId="177" fontId="43" fillId="0" borderId="0" xfId="737" applyNumberFormat="1" applyFont="1"/>
    <xf numFmtId="177" fontId="43" fillId="0" borderId="0" xfId="737" quotePrefix="1" applyNumberFormat="1" applyFont="1" applyAlignment="1">
      <alignment horizontal="left"/>
    </xf>
    <xf numFmtId="177" fontId="97" fillId="0" borderId="0" xfId="737" applyNumberFormat="1" applyFont="1"/>
    <xf numFmtId="0" fontId="97" fillId="0" borderId="0" xfId="737" applyFont="1"/>
    <xf numFmtId="0" fontId="43" fillId="0" borderId="0" xfId="737" quotePrefix="1" applyFont="1" applyAlignment="1">
      <alignment horizontal="left"/>
    </xf>
    <xf numFmtId="181" fontId="43" fillId="0" borderId="0" xfId="738" applyNumberFormat="1" applyFont="1" applyFill="1" applyBorder="1" applyAlignment="1"/>
    <xf numFmtId="0" fontId="50" fillId="0" borderId="0" xfId="1" quotePrefix="1" applyFont="1" applyAlignment="1">
      <alignment horizontal="center"/>
    </xf>
    <xf numFmtId="17" fontId="50" fillId="0" borderId="0" xfId="1" applyNumberFormat="1" applyFont="1" applyAlignment="1">
      <alignment horizontal="center"/>
    </xf>
    <xf numFmtId="15" fontId="50" fillId="0" borderId="0" xfId="1" applyNumberFormat="1" applyFont="1" applyAlignment="1">
      <alignment horizontal="center"/>
    </xf>
    <xf numFmtId="166" fontId="63" fillId="0" borderId="0" xfId="1" applyNumberFormat="1" applyFont="1" applyAlignment="1">
      <alignment horizontal="center"/>
    </xf>
    <xf numFmtId="165" fontId="50" fillId="0" borderId="0" xfId="1" quotePrefix="1" applyNumberFormat="1" applyFont="1" applyAlignment="1">
      <alignment horizontal="center"/>
    </xf>
    <xf numFmtId="166" fontId="50" fillId="0" borderId="0" xfId="1" applyNumberFormat="1" applyFont="1" applyAlignment="1">
      <alignment horizontal="center"/>
    </xf>
    <xf numFmtId="165" fontId="50" fillId="0" borderId="0" xfId="1" applyNumberFormat="1" applyFont="1" applyAlignment="1">
      <alignment horizontal="center"/>
    </xf>
    <xf numFmtId="165" fontId="49" fillId="0" borderId="0" xfId="1" applyNumberFormat="1" applyFont="1"/>
    <xf numFmtId="165" fontId="154" fillId="0" borderId="0" xfId="1" applyNumberFormat="1" applyFont="1"/>
    <xf numFmtId="165" fontId="155" fillId="0" borderId="0" xfId="1" applyNumberFormat="1" applyFont="1"/>
    <xf numFmtId="164" fontId="50" fillId="0" borderId="0" xfId="0" applyFont="1" applyAlignment="1">
      <alignment horizontal="center"/>
    </xf>
    <xf numFmtId="0" fontId="71" fillId="0" borderId="0" xfId="0" applyNumberFormat="1" applyFont="1" applyAlignment="1">
      <alignment horizontal="center"/>
    </xf>
    <xf numFmtId="164" fontId="71" fillId="0" borderId="0" xfId="0" applyFont="1" applyAlignment="1">
      <alignment horizontal="center"/>
    </xf>
    <xf numFmtId="0" fontId="49" fillId="0" borderId="0" xfId="857" applyFont="1" applyAlignment="1">
      <alignment horizontal="right"/>
    </xf>
    <xf numFmtId="164" fontId="48" fillId="0" borderId="0" xfId="1" applyNumberFormat="1" applyFont="1"/>
    <xf numFmtId="164" fontId="44" fillId="0" borderId="0" xfId="1" applyNumberFormat="1" applyFont="1" applyAlignment="1">
      <alignment horizontal="right"/>
    </xf>
    <xf numFmtId="164" fontId="46" fillId="0" borderId="0" xfId="1" applyNumberFormat="1" applyFont="1"/>
    <xf numFmtId="164" fontId="50" fillId="0" borderId="0" xfId="1" applyNumberFormat="1" applyFont="1" applyAlignment="1">
      <alignment horizontal="center"/>
    </xf>
    <xf numFmtId="43" fontId="43" fillId="0" borderId="0" xfId="0" applyNumberFormat="1" applyFont="1"/>
    <xf numFmtId="42" fontId="43" fillId="0" borderId="0" xfId="0" applyNumberFormat="1" applyFont="1"/>
    <xf numFmtId="42" fontId="43" fillId="0" borderId="0" xfId="0" applyNumberFormat="1" applyFont="1" applyProtection="1">
      <protection locked="0"/>
    </xf>
    <xf numFmtId="41" fontId="43" fillId="0" borderId="0" xfId="0" quotePrefix="1" applyNumberFormat="1" applyFont="1" applyAlignment="1">
      <alignment horizontal="right"/>
    </xf>
    <xf numFmtId="41" fontId="43" fillId="0" borderId="0" xfId="0" applyNumberFormat="1" applyFont="1"/>
    <xf numFmtId="41" fontId="43" fillId="0" borderId="0" xfId="0" applyNumberFormat="1" applyFont="1" applyProtection="1">
      <protection locked="0"/>
    </xf>
    <xf numFmtId="41" fontId="43" fillId="0" borderId="0" xfId="0" quotePrefix="1" applyNumberFormat="1" applyFont="1" applyAlignment="1">
      <alignment horizontal="center"/>
    </xf>
    <xf numFmtId="41" fontId="43" fillId="0" borderId="0" xfId="0" quotePrefix="1" applyNumberFormat="1" applyFont="1"/>
    <xf numFmtId="174" fontId="50" fillId="0" borderId="49" xfId="1" applyNumberFormat="1" applyFont="1" applyBorder="1"/>
    <xf numFmtId="0" fontId="71" fillId="0" borderId="0" xfId="833" quotePrefix="1" applyFont="1"/>
    <xf numFmtId="43" fontId="48" fillId="0" borderId="0" xfId="0" applyNumberFormat="1" applyFont="1"/>
    <xf numFmtId="189" fontId="156" fillId="0" borderId="0" xfId="8" applyNumberFormat="1" applyFont="1" applyAlignment="1">
      <alignment horizontal="right"/>
    </xf>
    <xf numFmtId="4" fontId="50" fillId="0" borderId="0" xfId="1025" applyNumberFormat="1" applyFont="1" applyAlignment="1">
      <alignment horizontal="left"/>
    </xf>
    <xf numFmtId="37" fontId="101" fillId="0" borderId="0" xfId="0" applyNumberFormat="1" applyFont="1" applyAlignment="1">
      <alignment horizontal="right"/>
    </xf>
    <xf numFmtId="164" fontId="97" fillId="0" borderId="0" xfId="0" applyFont="1"/>
    <xf numFmtId="165" fontId="72" fillId="0" borderId="0" xfId="837" applyNumberFormat="1" applyFont="1" applyAlignment="1">
      <alignment horizontal="left"/>
    </xf>
    <xf numFmtId="0" fontId="72" fillId="0" borderId="0" xfId="837" applyFont="1" applyAlignment="1">
      <alignment horizontal="left"/>
    </xf>
    <xf numFmtId="0" fontId="43" fillId="0" borderId="0" xfId="837" applyFont="1" applyAlignment="1">
      <alignment horizontal="left"/>
    </xf>
    <xf numFmtId="0" fontId="43" fillId="0" borderId="0" xfId="1" applyAlignment="1">
      <alignment horizontal="left"/>
    </xf>
    <xf numFmtId="0" fontId="71" fillId="0" borderId="0" xfId="1" applyFont="1" applyAlignment="1" applyProtection="1">
      <alignment horizontal="left"/>
      <protection locked="0"/>
    </xf>
    <xf numFmtId="37" fontId="71" fillId="0" borderId="0" xfId="1" applyNumberFormat="1" applyFont="1" applyAlignment="1">
      <alignment horizontal="center"/>
    </xf>
    <xf numFmtId="37" fontId="71" fillId="0" borderId="0" xfId="1" quotePrefix="1" applyNumberFormat="1" applyFont="1" applyAlignment="1">
      <alignment horizontal="center"/>
    </xf>
    <xf numFmtId="165" fontId="43" fillId="0" borderId="0" xfId="1" applyNumberFormat="1" applyProtection="1">
      <protection locked="0"/>
    </xf>
    <xf numFmtId="165" fontId="43" fillId="0" borderId="0" xfId="14" applyNumberFormat="1" applyProtection="1">
      <protection locked="0"/>
    </xf>
    <xf numFmtId="0" fontId="50" fillId="0" borderId="0" xfId="14" applyNumberFormat="1" applyFont="1"/>
    <xf numFmtId="170" fontId="50" fillId="0" borderId="45" xfId="1" applyNumberFormat="1" applyFont="1" applyBorder="1"/>
    <xf numFmtId="43" fontId="49" fillId="0" borderId="0" xfId="0" applyNumberFormat="1" applyFont="1"/>
    <xf numFmtId="0" fontId="102" fillId="0" borderId="0" xfId="14" applyNumberFormat="1" applyFont="1"/>
    <xf numFmtId="0" fontId="107" fillId="0" borderId="0" xfId="14" applyNumberFormat="1" applyFont="1" applyProtection="1">
      <protection locked="0"/>
    </xf>
    <xf numFmtId="0" fontId="107" fillId="0" borderId="0" xfId="14" applyNumberFormat="1" applyFont="1"/>
    <xf numFmtId="0" fontId="107" fillId="0" borderId="0" xfId="14" applyNumberFormat="1" applyFont="1" applyAlignment="1">
      <alignment horizontal="center"/>
    </xf>
    <xf numFmtId="0" fontId="49" fillId="0" borderId="0" xfId="5" applyFont="1" applyAlignment="1">
      <alignment horizontal="right"/>
    </xf>
    <xf numFmtId="165" fontId="43" fillId="0" borderId="0" xfId="1" applyNumberFormat="1"/>
    <xf numFmtId="165" fontId="43" fillId="0" borderId="0" xfId="1" applyNumberFormat="1" applyAlignment="1">
      <alignment horizontal="centerContinuous"/>
    </xf>
    <xf numFmtId="0" fontId="78" fillId="0" borderId="0" xfId="1" applyFont="1" applyAlignment="1">
      <alignment horizontal="left"/>
    </xf>
    <xf numFmtId="170" fontId="43" fillId="0" borderId="0" xfId="1" applyNumberFormat="1" applyAlignment="1">
      <alignment horizontal="center"/>
    </xf>
    <xf numFmtId="164" fontId="50" fillId="0" borderId="45" xfId="1" applyNumberFormat="1" applyFont="1" applyBorder="1"/>
    <xf numFmtId="179" fontId="0" fillId="0" borderId="0" xfId="14" applyNumberFormat="1" applyFont="1"/>
    <xf numFmtId="17" fontId="50" fillId="0" borderId="45" xfId="1" quotePrefix="1" applyNumberFormat="1" applyFont="1" applyBorder="1" applyAlignment="1">
      <alignment horizontal="center"/>
    </xf>
    <xf numFmtId="178" fontId="71" fillId="0" borderId="0" xfId="833" quotePrefix="1" applyNumberFormat="1" applyFont="1" applyAlignment="1">
      <alignment horizontal="center"/>
    </xf>
    <xf numFmtId="0" fontId="159" fillId="0" borderId="0" xfId="1" applyFont="1"/>
    <xf numFmtId="0" fontId="50" fillId="0" borderId="0" xfId="837" quotePrefix="1" applyFont="1" applyAlignment="1">
      <alignment horizontal="center"/>
    </xf>
    <xf numFmtId="164" fontId="43" fillId="0" borderId="0" xfId="0" applyFont="1" applyProtection="1">
      <protection locked="0"/>
    </xf>
    <xf numFmtId="0" fontId="161" fillId="0" borderId="0" xfId="0" applyNumberFormat="1" applyFont="1"/>
    <xf numFmtId="41" fontId="161" fillId="0" borderId="0" xfId="0" applyNumberFormat="1" applyFont="1"/>
    <xf numFmtId="0" fontId="48" fillId="0" borderId="0" xfId="0" applyNumberFormat="1" applyFont="1" applyAlignment="1">
      <alignment horizontal="left" vertical="top" wrapText="1"/>
    </xf>
    <xf numFmtId="165" fontId="43" fillId="34" borderId="0" xfId="5450" applyNumberFormat="1" applyFill="1" applyProtection="1">
      <protection locked="0"/>
    </xf>
    <xf numFmtId="37" fontId="43" fillId="0" borderId="0" xfId="1" applyNumberFormat="1" applyAlignment="1">
      <alignment horizontal="right"/>
    </xf>
    <xf numFmtId="169" fontId="43" fillId="0" borderId="0" xfId="1" applyNumberFormat="1"/>
    <xf numFmtId="37" fontId="43" fillId="0" borderId="0" xfId="1" quotePrefix="1" applyNumberFormat="1" applyAlignment="1">
      <alignment horizontal="center"/>
    </xf>
    <xf numFmtId="170" fontId="43" fillId="0" borderId="45" xfId="1" applyNumberFormat="1" applyBorder="1" applyAlignment="1">
      <alignment horizontal="right"/>
    </xf>
    <xf numFmtId="170" fontId="43" fillId="0" borderId="45" xfId="1" applyNumberFormat="1" applyBorder="1"/>
    <xf numFmtId="166" fontId="43" fillId="0" borderId="0" xfId="1" applyNumberFormat="1" applyAlignment="1">
      <alignment horizontal="right"/>
    </xf>
    <xf numFmtId="3" fontId="43" fillId="0" borderId="0" xfId="1" applyNumberFormat="1"/>
    <xf numFmtId="0" fontId="43" fillId="0" borderId="0" xfId="5450" applyNumberFormat="1" applyAlignment="1">
      <alignment horizontal="left"/>
    </xf>
    <xf numFmtId="165" fontId="43" fillId="0" borderId="0" xfId="5450" applyNumberFormat="1" applyProtection="1">
      <protection locked="0"/>
    </xf>
    <xf numFmtId="174" fontId="43" fillId="0" borderId="0" xfId="1" quotePrefix="1" applyNumberFormat="1" applyAlignment="1">
      <alignment horizontal="right"/>
    </xf>
    <xf numFmtId="37" fontId="43" fillId="0" borderId="0" xfId="1" applyNumberFormat="1" applyAlignment="1">
      <alignment horizontal="center"/>
    </xf>
    <xf numFmtId="174" fontId="43" fillId="0" borderId="0" xfId="1" quotePrefix="1" applyNumberFormat="1"/>
    <xf numFmtId="166" fontId="64" fillId="0" borderId="19" xfId="1" applyNumberFormat="1" applyFont="1" applyBorder="1"/>
    <xf numFmtId="170" fontId="64" fillId="0" borderId="19" xfId="1" applyNumberFormat="1" applyFont="1" applyBorder="1"/>
    <xf numFmtId="37" fontId="133" fillId="0" borderId="0" xfId="1" applyNumberFormat="1" applyFont="1" applyAlignment="1">
      <alignment horizontal="centerContinuous"/>
    </xf>
    <xf numFmtId="170" fontId="50" fillId="0" borderId="0" xfId="1" quotePrefix="1" applyNumberFormat="1" applyFont="1"/>
    <xf numFmtId="0" fontId="50" fillId="0" borderId="14" xfId="1" applyFont="1" applyBorder="1" applyAlignment="1">
      <alignment horizontal="center"/>
    </xf>
    <xf numFmtId="0" fontId="50" fillId="0" borderId="14" xfId="1" quotePrefix="1" applyFont="1" applyBorder="1" applyAlignment="1">
      <alignment horizontal="center"/>
    </xf>
    <xf numFmtId="170" fontId="50" fillId="0" borderId="14" xfId="1" quotePrefix="1" applyNumberFormat="1" applyFont="1" applyBorder="1"/>
    <xf numFmtId="170" fontId="50" fillId="0" borderId="14" xfId="1" applyNumberFormat="1" applyFont="1" applyBorder="1" applyAlignment="1">
      <alignment vertical="center"/>
    </xf>
    <xf numFmtId="0" fontId="50" fillId="0" borderId="14" xfId="1" applyFont="1" applyBorder="1"/>
    <xf numFmtId="0" fontId="43" fillId="0" borderId="0" xfId="1" applyAlignment="1">
      <alignment horizontal="centerContinuous"/>
    </xf>
    <xf numFmtId="165" fontId="43" fillId="0" borderId="0" xfId="1" applyNumberFormat="1" applyAlignment="1" applyProtection="1">
      <alignment horizontal="center"/>
      <protection locked="0"/>
    </xf>
    <xf numFmtId="165" fontId="43" fillId="0" borderId="14" xfId="1" applyNumberFormat="1" applyBorder="1" applyProtection="1">
      <protection locked="0"/>
    </xf>
    <xf numFmtId="0" fontId="43" fillId="0" borderId="14" xfId="1" applyBorder="1"/>
    <xf numFmtId="169" fontId="43" fillId="0" borderId="14" xfId="1" applyNumberFormat="1" applyBorder="1"/>
    <xf numFmtId="168" fontId="43" fillId="0" borderId="0" xfId="1" applyNumberFormat="1" applyProtection="1">
      <protection locked="0"/>
    </xf>
    <xf numFmtId="168" fontId="43" fillId="0" borderId="0" xfId="1" applyNumberFormat="1"/>
    <xf numFmtId="166" fontId="43" fillId="0" borderId="14" xfId="1" applyNumberFormat="1" applyBorder="1"/>
    <xf numFmtId="0" fontId="43" fillId="0" borderId="14" xfId="1" quotePrefix="1" applyBorder="1"/>
    <xf numFmtId="0" fontId="43" fillId="0" borderId="14" xfId="1" quotePrefix="1" applyBorder="1" applyAlignment="1">
      <alignment horizontal="center"/>
    </xf>
    <xf numFmtId="0" fontId="43" fillId="0" borderId="14" xfId="1" quotePrefix="1" applyBorder="1" applyAlignment="1">
      <alignment horizontal="right"/>
    </xf>
    <xf numFmtId="169" fontId="43" fillId="0" borderId="20" xfId="1" applyNumberFormat="1" applyBorder="1"/>
    <xf numFmtId="170" fontId="43" fillId="0" borderId="0" xfId="1" applyNumberFormat="1" applyProtection="1">
      <protection locked="0"/>
    </xf>
    <xf numFmtId="0" fontId="43" fillId="0" borderId="0" xfId="1" quotePrefix="1" applyAlignment="1">
      <alignment horizontal="left"/>
    </xf>
    <xf numFmtId="170" fontId="50" fillId="0" borderId="0" xfId="3" applyNumberFormat="1" applyFont="1"/>
    <xf numFmtId="170" fontId="50" fillId="0" borderId="0" xfId="4" applyNumberFormat="1" applyFont="1" applyFill="1" applyBorder="1"/>
    <xf numFmtId="165" fontId="50" fillId="0" borderId="45" xfId="1" applyNumberFormat="1" applyFont="1" applyBorder="1" applyAlignment="1">
      <alignment horizontal="center"/>
    </xf>
    <xf numFmtId="164" fontId="50" fillId="0" borderId="25" xfId="1" applyNumberFormat="1" applyFont="1" applyBorder="1"/>
    <xf numFmtId="0" fontId="53" fillId="0" borderId="0" xfId="1" applyFont="1"/>
    <xf numFmtId="170" fontId="85" fillId="0" borderId="0" xfId="1" applyNumberFormat="1" applyFont="1"/>
    <xf numFmtId="170" fontId="50" fillId="0" borderId="25" xfId="1" applyNumberFormat="1" applyFont="1" applyBorder="1" applyAlignment="1">
      <alignment horizontal="right"/>
    </xf>
    <xf numFmtId="165" fontId="43" fillId="0" borderId="0" xfId="0" applyNumberFormat="1" applyFont="1" applyAlignment="1">
      <alignment horizontal="left"/>
    </xf>
    <xf numFmtId="165" fontId="0" fillId="0" borderId="0" xfId="1" applyNumberFormat="1" applyFont="1"/>
    <xf numFmtId="170" fontId="48" fillId="0" borderId="0" xfId="1" applyNumberFormat="1" applyFont="1"/>
    <xf numFmtId="170" fontId="43" fillId="0" borderId="0" xfId="17915" applyNumberFormat="1" applyFont="1" applyFill="1" applyAlignment="1">
      <alignment horizontal="center"/>
    </xf>
    <xf numFmtId="174" fontId="43" fillId="0" borderId="0" xfId="1" applyNumberFormat="1" applyProtection="1">
      <protection locked="0"/>
    </xf>
    <xf numFmtId="174" fontId="0" fillId="0" borderId="0" xfId="1" applyNumberFormat="1" applyFont="1"/>
    <xf numFmtId="37" fontId="50" fillId="0" borderId="45" xfId="1" applyNumberFormat="1" applyFont="1" applyBorder="1"/>
    <xf numFmtId="37" fontId="50" fillId="0" borderId="45" xfId="1" applyNumberFormat="1" applyFont="1" applyBorder="1" applyAlignment="1">
      <alignment horizontal="centerContinuous"/>
    </xf>
    <xf numFmtId="166" fontId="43" fillId="0" borderId="0" xfId="1" applyNumberFormat="1" applyAlignment="1">
      <alignment horizontal="left"/>
    </xf>
    <xf numFmtId="0" fontId="50" fillId="0" borderId="0" xfId="14" applyNumberFormat="1" applyFont="1" applyAlignment="1" applyProtection="1">
      <alignment horizontal="right"/>
      <protection locked="0"/>
    </xf>
    <xf numFmtId="37" fontId="50" fillId="0" borderId="45" xfId="1" applyNumberFormat="1" applyFont="1" applyBorder="1" applyAlignment="1">
      <alignment horizontal="center"/>
    </xf>
    <xf numFmtId="174" fontId="43" fillId="0" borderId="17" xfId="1" applyNumberFormat="1" applyBorder="1"/>
    <xf numFmtId="43" fontId="43" fillId="0" borderId="0" xfId="737" applyNumberFormat="1" applyFont="1" applyAlignment="1">
      <alignment horizontal="right"/>
    </xf>
    <xf numFmtId="0" fontId="98" fillId="0" borderId="0" xfId="737"/>
    <xf numFmtId="0" fontId="43" fillId="0" borderId="0" xfId="736"/>
    <xf numFmtId="37" fontId="43" fillId="0" borderId="0" xfId="736" applyNumberFormat="1"/>
    <xf numFmtId="164" fontId="44" fillId="0" borderId="0" xfId="0" applyFont="1" applyAlignment="1">
      <alignment horizontal="right"/>
    </xf>
    <xf numFmtId="0" fontId="43" fillId="0" borderId="0" xfId="736" applyAlignment="1">
      <alignment horizontal="centerContinuous"/>
    </xf>
    <xf numFmtId="166" fontId="43" fillId="0" borderId="0" xfId="736" applyNumberFormat="1" applyProtection="1">
      <protection locked="0"/>
    </xf>
    <xf numFmtId="0" fontId="43" fillId="0" borderId="0" xfId="736" applyAlignment="1">
      <alignment horizontal="left"/>
    </xf>
    <xf numFmtId="0" fontId="43" fillId="0" borderId="0" xfId="1769"/>
    <xf numFmtId="39" fontId="43" fillId="0" borderId="0" xfId="1769" applyNumberFormat="1"/>
    <xf numFmtId="165" fontId="66" fillId="0" borderId="0" xfId="1769" applyNumberFormat="1" applyFont="1" applyAlignment="1">
      <alignment horizontal="left"/>
    </xf>
    <xf numFmtId="39" fontId="66" fillId="0" borderId="0" xfId="1769" applyNumberFormat="1" applyFont="1"/>
    <xf numFmtId="0" fontId="66" fillId="0" borderId="0" xfId="1769" applyFont="1"/>
    <xf numFmtId="0" fontId="43" fillId="0" borderId="0" xfId="1769" applyAlignment="1">
      <alignment horizontal="left"/>
    </xf>
    <xf numFmtId="39" fontId="43" fillId="0" borderId="0" xfId="1769" applyNumberFormat="1" applyAlignment="1">
      <alignment horizontal="center"/>
    </xf>
    <xf numFmtId="165" fontId="50" fillId="0" borderId="0" xfId="1769" applyNumberFormat="1" applyFont="1"/>
    <xf numFmtId="39" fontId="50" fillId="0" borderId="0" xfId="1769" applyNumberFormat="1" applyFont="1"/>
    <xf numFmtId="0" fontId="50" fillId="0" borderId="0" xfId="1769" applyFont="1"/>
    <xf numFmtId="39" fontId="50" fillId="0" borderId="0" xfId="1769" applyNumberFormat="1" applyFont="1" applyAlignment="1">
      <alignment horizontal="center"/>
    </xf>
    <xf numFmtId="44" fontId="50" fillId="0" borderId="0" xfId="1769" applyNumberFormat="1" applyFont="1"/>
    <xf numFmtId="8" fontId="50" fillId="0" borderId="0" xfId="1769" applyNumberFormat="1" applyFont="1"/>
    <xf numFmtId="40" fontId="50" fillId="0" borderId="0" xfId="1769" applyNumberFormat="1" applyFont="1"/>
    <xf numFmtId="43" fontId="43" fillId="0" borderId="0" xfId="1769" applyNumberFormat="1"/>
    <xf numFmtId="0" fontId="50" fillId="0" borderId="0" xfId="1769" applyFont="1" applyAlignment="1">
      <alignment horizontal="left"/>
    </xf>
    <xf numFmtId="0" fontId="43" fillId="0" borderId="0" xfId="1769" quotePrefix="1" applyAlignment="1">
      <alignment horizontal="left"/>
    </xf>
    <xf numFmtId="43" fontId="50" fillId="0" borderId="0" xfId="1769" applyNumberFormat="1" applyFont="1" applyAlignment="1">
      <alignment horizontal="right"/>
    </xf>
    <xf numFmtId="43" fontId="43" fillId="0" borderId="0" xfId="1769" applyNumberFormat="1" applyAlignment="1">
      <alignment horizontal="right"/>
    </xf>
    <xf numFmtId="39" fontId="43" fillId="0" borderId="26" xfId="1769" applyNumberFormat="1" applyBorder="1"/>
    <xf numFmtId="39" fontId="50" fillId="0" borderId="0" xfId="1769" quotePrefix="1" applyNumberFormat="1" applyFont="1" applyAlignment="1">
      <alignment horizontal="left"/>
    </xf>
    <xf numFmtId="4" fontId="50" fillId="0" borderId="0" xfId="1769" applyNumberFormat="1" applyFont="1"/>
    <xf numFmtId="0" fontId="83" fillId="0" borderId="0" xfId="1769" applyFont="1"/>
    <xf numFmtId="165" fontId="43" fillId="0" borderId="0" xfId="1769" applyNumberFormat="1" applyProtection="1">
      <protection locked="0"/>
    </xf>
    <xf numFmtId="0" fontId="57" fillId="0" borderId="0" xfId="1769" applyFont="1" applyAlignment="1">
      <alignment horizontal="left"/>
    </xf>
    <xf numFmtId="165" fontId="89" fillId="0" borderId="0" xfId="1769" applyNumberFormat="1" applyFont="1"/>
    <xf numFmtId="39" fontId="89" fillId="0" borderId="0" xfId="1769" applyNumberFormat="1" applyFont="1"/>
    <xf numFmtId="44" fontId="50" fillId="0" borderId="17" xfId="1769" applyNumberFormat="1" applyFont="1" applyBorder="1"/>
    <xf numFmtId="39" fontId="43" fillId="0" borderId="17" xfId="1769" applyNumberFormat="1" applyBorder="1"/>
    <xf numFmtId="43" fontId="43" fillId="0" borderId="17" xfId="1769" applyNumberFormat="1" applyBorder="1"/>
    <xf numFmtId="43" fontId="43" fillId="0" borderId="16" xfId="1769" applyNumberFormat="1" applyBorder="1"/>
    <xf numFmtId="43" fontId="50" fillId="0" borderId="17" xfId="1769" applyNumberFormat="1" applyFont="1" applyBorder="1"/>
    <xf numFmtId="43" fontId="50" fillId="0" borderId="0" xfId="1769" applyNumberFormat="1" applyFont="1"/>
    <xf numFmtId="43" fontId="93" fillId="0" borderId="0" xfId="1769" applyNumberFormat="1" applyFont="1"/>
    <xf numFmtId="43" fontId="50" fillId="0" borderId="16" xfId="1769" applyNumberFormat="1" applyFont="1" applyBorder="1"/>
    <xf numFmtId="39" fontId="43" fillId="0" borderId="16" xfId="1769" applyNumberFormat="1" applyBorder="1"/>
    <xf numFmtId="44" fontId="50" fillId="0" borderId="16" xfId="1769" applyNumberFormat="1" applyFont="1" applyBorder="1"/>
    <xf numFmtId="39" fontId="43" fillId="0" borderId="20" xfId="1769" applyNumberFormat="1" applyBorder="1"/>
    <xf numFmtId="165" fontId="46" fillId="0" borderId="0" xfId="837" applyNumberFormat="1" applyFont="1" applyProtection="1">
      <protection locked="0"/>
    </xf>
    <xf numFmtId="40" fontId="43" fillId="0" borderId="0" xfId="837" applyNumberFormat="1" applyFont="1" applyAlignment="1">
      <alignment horizontal="center"/>
    </xf>
    <xf numFmtId="189" fontId="43" fillId="0" borderId="0" xfId="8" applyNumberFormat="1" applyFont="1" applyAlignment="1">
      <alignment horizontal="center"/>
    </xf>
    <xf numFmtId="40" fontId="43" fillId="0" borderId="0" xfId="837" quotePrefix="1" applyNumberFormat="1" applyFont="1" applyAlignment="1">
      <alignment horizontal="center"/>
    </xf>
    <xf numFmtId="165" fontId="43" fillId="0" borderId="0" xfId="837" applyNumberFormat="1" applyFont="1"/>
    <xf numFmtId="39" fontId="43" fillId="0" borderId="0" xfId="837" applyNumberFormat="1" applyFont="1"/>
    <xf numFmtId="40" fontId="43" fillId="0" borderId="0" xfId="837" applyNumberFormat="1" applyFont="1"/>
    <xf numFmtId="42" fontId="43" fillId="0" borderId="0" xfId="837" applyNumberFormat="1" applyFont="1"/>
    <xf numFmtId="0" fontId="43" fillId="0" borderId="0" xfId="837" applyFont="1"/>
    <xf numFmtId="37" fontId="43" fillId="0" borderId="0" xfId="837" applyNumberFormat="1" applyFont="1"/>
    <xf numFmtId="189" fontId="43" fillId="0" borderId="0" xfId="8" applyNumberFormat="1" applyFont="1" applyAlignment="1"/>
    <xf numFmtId="41" fontId="43" fillId="0" borderId="0" xfId="837" applyNumberFormat="1" applyFont="1"/>
    <xf numFmtId="41" fontId="43" fillId="0" borderId="0" xfId="8" applyNumberFormat="1" applyFont="1" applyFill="1" applyAlignment="1"/>
    <xf numFmtId="41" fontId="43" fillId="0" borderId="0" xfId="837" quotePrefix="1" applyNumberFormat="1" applyFont="1" applyAlignment="1">
      <alignment horizontal="center"/>
    </xf>
    <xf numFmtId="41" fontId="43" fillId="0" borderId="0" xfId="8" applyNumberFormat="1" applyFont="1" applyAlignment="1"/>
    <xf numFmtId="41" fontId="43" fillId="0" borderId="0" xfId="837" applyNumberFormat="1" applyFont="1" applyAlignment="1">
      <alignment horizontal="right"/>
    </xf>
    <xf numFmtId="41" fontId="43" fillId="0" borderId="0" xfId="837" quotePrefix="1" applyNumberFormat="1" applyFont="1" applyAlignment="1">
      <alignment horizontal="right"/>
    </xf>
    <xf numFmtId="189" fontId="43" fillId="0" borderId="0" xfId="8" applyNumberFormat="1" applyFont="1" applyBorder="1" applyAlignment="1"/>
    <xf numFmtId="174" fontId="43" fillId="0" borderId="0" xfId="14" applyNumberFormat="1"/>
    <xf numFmtId="170" fontId="43" fillId="0" borderId="0" xfId="14" applyNumberFormat="1"/>
    <xf numFmtId="174" fontId="45" fillId="0" borderId="0" xfId="15" applyNumberFormat="1" applyAlignment="1">
      <alignment horizontal="center"/>
    </xf>
    <xf numFmtId="170" fontId="43" fillId="0" borderId="0" xfId="14" applyNumberFormat="1" applyProtection="1">
      <protection locked="0"/>
    </xf>
    <xf numFmtId="170" fontId="43" fillId="0" borderId="0" xfId="14" applyNumberFormat="1" applyAlignment="1">
      <alignment horizontal="right"/>
    </xf>
    <xf numFmtId="186" fontId="43" fillId="0" borderId="0" xfId="14" applyNumberFormat="1"/>
    <xf numFmtId="0" fontId="0" fillId="0" borderId="0" xfId="1" applyFont="1" applyAlignment="1">
      <alignment horizontal="right"/>
    </xf>
    <xf numFmtId="165" fontId="68" fillId="0" borderId="0" xfId="1" applyNumberFormat="1" applyFont="1" applyAlignment="1">
      <alignment horizontal="center"/>
    </xf>
    <xf numFmtId="193" fontId="43" fillId="0" borderId="0" xfId="1" applyNumberFormat="1" applyProtection="1">
      <protection locked="0"/>
    </xf>
    <xf numFmtId="39" fontId="71" fillId="0" borderId="0" xfId="1769" applyNumberFormat="1" applyFont="1" applyAlignment="1">
      <alignment horizontal="right" vertical="top"/>
    </xf>
    <xf numFmtId="0" fontId="71" fillId="0" borderId="0" xfId="1769" applyFont="1" applyAlignment="1">
      <alignment horizontal="left"/>
    </xf>
    <xf numFmtId="0" fontId="50" fillId="0" borderId="0" xfId="1769" applyFont="1" applyAlignment="1">
      <alignment horizontal="left" vertical="top"/>
    </xf>
    <xf numFmtId="0" fontId="71" fillId="0" borderId="0" xfId="1769" applyFont="1" applyAlignment="1">
      <alignment horizontal="center"/>
    </xf>
    <xf numFmtId="39" fontId="46" fillId="0" borderId="0" xfId="1769" applyNumberFormat="1" applyFont="1" applyAlignment="1">
      <alignment horizontal="centerContinuous"/>
    </xf>
    <xf numFmtId="0" fontId="66" fillId="0" borderId="0" xfId="1769" applyFont="1" applyAlignment="1">
      <alignment horizontal="left"/>
    </xf>
    <xf numFmtId="0" fontId="43" fillId="0" borderId="0" xfId="1769" applyAlignment="1">
      <alignment horizontal="center"/>
    </xf>
    <xf numFmtId="170" fontId="43" fillId="0" borderId="0" xfId="0" quotePrefix="1" applyNumberFormat="1" applyFont="1" applyAlignment="1">
      <alignment horizontal="right"/>
    </xf>
    <xf numFmtId="0" fontId="162" fillId="0" borderId="0" xfId="858" applyNumberFormat="1" applyFont="1" applyAlignment="1" applyProtection="1"/>
    <xf numFmtId="0" fontId="162" fillId="0" borderId="0" xfId="857" applyFont="1"/>
    <xf numFmtId="0" fontId="163" fillId="0" borderId="0" xfId="857" applyFont="1"/>
    <xf numFmtId="0" fontId="162" fillId="0" borderId="0" xfId="858" quotePrefix="1" applyNumberFormat="1" applyFont="1" applyBorder="1" applyAlignment="1" applyProtection="1">
      <alignment horizontal="left"/>
    </xf>
    <xf numFmtId="0" fontId="162" fillId="0" borderId="0" xfId="858" applyNumberFormat="1" applyFont="1" applyBorder="1" applyAlignment="1" applyProtection="1"/>
    <xf numFmtId="0" fontId="146" fillId="0" borderId="0" xfId="858" applyNumberFormat="1" applyAlignment="1" applyProtection="1"/>
    <xf numFmtId="170" fontId="43" fillId="0" borderId="27" xfId="1" applyNumberFormat="1" applyBorder="1"/>
    <xf numFmtId="164" fontId="43" fillId="0" borderId="0" xfId="1933" applyNumberFormat="1" applyFont="1" applyAlignment="1"/>
    <xf numFmtId="164" fontId="50" fillId="0" borderId="45" xfId="1933" applyNumberFormat="1" applyFont="1" applyBorder="1" applyAlignment="1"/>
    <xf numFmtId="174" fontId="43" fillId="0" borderId="14" xfId="1" applyNumberFormat="1" applyBorder="1"/>
    <xf numFmtId="170" fontId="43" fillId="0" borderId="17" xfId="1" applyNumberFormat="1" applyBorder="1"/>
    <xf numFmtId="170" fontId="43" fillId="0" borderId="16" xfId="1" applyNumberFormat="1" applyBorder="1"/>
    <xf numFmtId="170" fontId="43" fillId="0" borderId="14" xfId="1" applyNumberFormat="1" applyBorder="1"/>
    <xf numFmtId="43" fontId="43" fillId="0" borderId="0" xfId="1" applyNumberFormat="1"/>
    <xf numFmtId="170" fontId="43" fillId="0" borderId="14" xfId="1" quotePrefix="1" applyNumberFormat="1" applyBorder="1" applyAlignment="1">
      <alignment horizontal="right"/>
    </xf>
    <xf numFmtId="170" fontId="43" fillId="0" borderId="14" xfId="1" quotePrefix="1" applyNumberFormat="1" applyBorder="1"/>
    <xf numFmtId="0" fontId="43" fillId="0" borderId="0" xfId="1" quotePrefix="1" applyAlignment="1">
      <alignment horizontal="right"/>
    </xf>
    <xf numFmtId="165" fontId="43" fillId="0" borderId="0" xfId="1" applyNumberFormat="1" applyAlignment="1">
      <alignment horizontal="right"/>
    </xf>
    <xf numFmtId="170" fontId="43" fillId="0" borderId="0" xfId="0" applyNumberFormat="1" applyFont="1" applyAlignment="1">
      <alignment horizontal="right"/>
    </xf>
    <xf numFmtId="0" fontId="50" fillId="0" borderId="0" xfId="1" applyFont="1" applyAlignment="1" applyProtection="1">
      <alignment horizontal="center"/>
      <protection locked="0"/>
    </xf>
    <xf numFmtId="164" fontId="43" fillId="0" borderId="45" xfId="0" applyFont="1" applyBorder="1"/>
    <xf numFmtId="164" fontId="43" fillId="0" borderId="45" xfId="1" applyNumberFormat="1" applyBorder="1" applyAlignment="1">
      <alignment horizontal="right"/>
    </xf>
    <xf numFmtId="164" fontId="43" fillId="0" borderId="0" xfId="1" applyNumberFormat="1" applyAlignment="1">
      <alignment horizontal="right"/>
    </xf>
    <xf numFmtId="164" fontId="50" fillId="0" borderId="45" xfId="1" applyNumberFormat="1" applyFont="1" applyBorder="1" applyAlignment="1">
      <alignment horizontal="right"/>
    </xf>
    <xf numFmtId="164" fontId="50" fillId="0" borderId="25" xfId="0" applyFont="1" applyBorder="1"/>
    <xf numFmtId="164" fontId="50" fillId="0" borderId="45" xfId="0" applyFont="1" applyBorder="1"/>
    <xf numFmtId="172" fontId="50" fillId="0" borderId="45" xfId="0" applyNumberFormat="1" applyFont="1" applyBorder="1"/>
    <xf numFmtId="0" fontId="71" fillId="0" borderId="0" xfId="1" quotePrefix="1" applyFont="1" applyAlignment="1">
      <alignment horizontal="left"/>
    </xf>
    <xf numFmtId="41" fontId="43" fillId="0" borderId="0" xfId="736" applyNumberFormat="1"/>
    <xf numFmtId="172" fontId="43" fillId="0" borderId="0" xfId="0" applyNumberFormat="1" applyFont="1"/>
    <xf numFmtId="172" fontId="50" fillId="0" borderId="0" xfId="0" applyNumberFormat="1" applyFont="1"/>
    <xf numFmtId="0" fontId="138" fillId="0" borderId="0" xfId="5" applyFont="1"/>
    <xf numFmtId="0" fontId="43" fillId="0" borderId="0" xfId="5" applyFont="1"/>
    <xf numFmtId="41" fontId="48" fillId="0" borderId="0" xfId="17915" applyNumberFormat="1" applyFont="1" applyFill="1"/>
    <xf numFmtId="172" fontId="43" fillId="0" borderId="0" xfId="1933" applyNumberFormat="1" applyFont="1" applyBorder="1" applyAlignment="1" applyProtection="1"/>
    <xf numFmtId="0" fontId="49" fillId="0" borderId="0" xfId="9958" applyFont="1" applyAlignment="1">
      <alignment horizontal="center"/>
    </xf>
    <xf numFmtId="43" fontId="49" fillId="0" borderId="0" xfId="9958" applyNumberFormat="1" applyFont="1" applyAlignment="1">
      <alignment horizontal="center"/>
    </xf>
    <xf numFmtId="0" fontId="49" fillId="0" borderId="0" xfId="9958" quotePrefix="1" applyFont="1" applyAlignment="1">
      <alignment horizontal="center"/>
    </xf>
    <xf numFmtId="0" fontId="44" fillId="0" borderId="0" xfId="1" quotePrefix="1" applyFont="1" applyAlignment="1">
      <alignment horizontal="left"/>
    </xf>
    <xf numFmtId="0" fontId="43" fillId="0" borderId="0" xfId="5509" applyFont="1"/>
    <xf numFmtId="170" fontId="43" fillId="0" borderId="0" xfId="5509" applyNumberFormat="1" applyFont="1"/>
    <xf numFmtId="185" fontId="49" fillId="0" borderId="47" xfId="857" quotePrefix="1" applyNumberFormat="1" applyFont="1" applyBorder="1" applyAlignment="1">
      <alignment horizontal="centerContinuous"/>
    </xf>
    <xf numFmtId="37" fontId="174" fillId="0" borderId="0" xfId="1" applyNumberFormat="1" applyFont="1"/>
    <xf numFmtId="174" fontId="174" fillId="0" borderId="0" xfId="1" applyNumberFormat="1" applyFont="1"/>
    <xf numFmtId="0" fontId="49" fillId="0" borderId="0" xfId="0" quotePrefix="1" applyNumberFormat="1" applyFont="1" applyAlignment="1">
      <alignment horizontal="left"/>
    </xf>
    <xf numFmtId="0" fontId="63" fillId="0" borderId="0" xfId="1" quotePrefix="1" applyFont="1" applyAlignment="1">
      <alignment horizontal="center"/>
    </xf>
    <xf numFmtId="44" fontId="48" fillId="0" borderId="0" xfId="0" applyNumberFormat="1" applyFont="1"/>
    <xf numFmtId="0" fontId="97" fillId="0" borderId="0" xfId="5"/>
    <xf numFmtId="172" fontId="0" fillId="0" borderId="0" xfId="0" applyNumberFormat="1"/>
    <xf numFmtId="40" fontId="70" fillId="0" borderId="0" xfId="25852" applyNumberFormat="1" applyFont="1"/>
    <xf numFmtId="39" fontId="70" fillId="0" borderId="0" xfId="25852" applyNumberFormat="1" applyFont="1"/>
    <xf numFmtId="165" fontId="83" fillId="0" borderId="0" xfId="837" applyNumberFormat="1" applyFont="1"/>
    <xf numFmtId="0" fontId="83" fillId="0" borderId="0" xfId="837" applyFont="1" applyAlignment="1">
      <alignment horizontal="left"/>
    </xf>
    <xf numFmtId="164" fontId="161" fillId="0" borderId="0" xfId="0" applyFont="1"/>
    <xf numFmtId="0" fontId="71" fillId="0" borderId="0" xfId="17020" quotePrefix="1" applyFont="1" applyAlignment="1">
      <alignment horizontal="left"/>
    </xf>
    <xf numFmtId="0" fontId="49" fillId="0" borderId="0" xfId="0" applyNumberFormat="1" applyFont="1" applyAlignment="1">
      <alignment horizontal="right"/>
    </xf>
    <xf numFmtId="0" fontId="49" fillId="0" borderId="0" xfId="0" quotePrefix="1" applyNumberFormat="1" applyFont="1"/>
    <xf numFmtId="0" fontId="49" fillId="0" borderId="0" xfId="0" applyNumberFormat="1" applyFont="1" applyAlignment="1">
      <alignment horizontal="right" vertical="top"/>
    </xf>
    <xf numFmtId="0" fontId="50" fillId="0" borderId="0" xfId="5500" applyFont="1"/>
    <xf numFmtId="0" fontId="43" fillId="0" borderId="0" xfId="5500" applyFont="1"/>
    <xf numFmtId="172" fontId="50" fillId="0" borderId="45" xfId="1933" applyNumberFormat="1" applyFont="1" applyBorder="1" applyAlignment="1" applyProtection="1"/>
    <xf numFmtId="190" fontId="55" fillId="0" borderId="0" xfId="5" quotePrefix="1" applyNumberFormat="1" applyFont="1" applyAlignment="1">
      <alignment horizontal="right"/>
    </xf>
    <xf numFmtId="166" fontId="55" fillId="0" borderId="0" xfId="5" quotePrefix="1" applyNumberFormat="1" applyFont="1" applyAlignment="1">
      <alignment horizontal="right"/>
    </xf>
    <xf numFmtId="166" fontId="55" fillId="0" borderId="0" xfId="5" applyNumberFormat="1" applyFont="1" applyAlignment="1">
      <alignment horizontal="right" vertical="top"/>
    </xf>
    <xf numFmtId="165" fontId="55" fillId="0" borderId="0" xfId="5" quotePrefix="1" applyNumberFormat="1" applyFont="1" applyAlignment="1">
      <alignment horizontal="right"/>
    </xf>
    <xf numFmtId="0" fontId="55" fillId="0" borderId="0" xfId="5" quotePrefix="1" applyFont="1"/>
    <xf numFmtId="0" fontId="137" fillId="0" borderId="0" xfId="5" applyFont="1" applyAlignment="1">
      <alignment horizontal="left"/>
    </xf>
    <xf numFmtId="0" fontId="146" fillId="0" borderId="0" xfId="858" applyNumberFormat="1" applyBorder="1" applyAlignment="1" applyProtection="1"/>
    <xf numFmtId="0" fontId="50" fillId="0" borderId="0" xfId="1769" applyFont="1" applyAlignment="1">
      <alignment horizontal="center"/>
    </xf>
    <xf numFmtId="0" fontId="43" fillId="0" borderId="45" xfId="1" applyBorder="1" applyAlignment="1">
      <alignment horizontal="center"/>
    </xf>
    <xf numFmtId="37" fontId="50" fillId="0" borderId="45" xfId="1" quotePrefix="1" applyNumberFormat="1" applyFont="1" applyBorder="1" applyAlignment="1">
      <alignment horizontal="center"/>
    </xf>
    <xf numFmtId="41" fontId="48" fillId="0" borderId="0" xfId="0" applyNumberFormat="1" applyFont="1"/>
    <xf numFmtId="167" fontId="43" fillId="0" borderId="0" xfId="1" quotePrefix="1" applyNumberFormat="1" applyAlignment="1">
      <alignment horizontal="center"/>
    </xf>
    <xf numFmtId="192" fontId="43" fillId="0" borderId="0" xfId="1" quotePrefix="1" applyNumberFormat="1" applyAlignment="1">
      <alignment horizontal="center"/>
    </xf>
    <xf numFmtId="169" fontId="55" fillId="0" borderId="0" xfId="5" quotePrefix="1" applyNumberFormat="1" applyFont="1" applyAlignment="1">
      <alignment horizontal="right"/>
    </xf>
    <xf numFmtId="177" fontId="66" fillId="0" borderId="0" xfId="737" applyNumberFormat="1" applyFont="1" applyAlignment="1">
      <alignment horizontal="right"/>
    </xf>
    <xf numFmtId="179" fontId="66" fillId="0" borderId="0" xfId="737" applyNumberFormat="1" applyFont="1" applyAlignment="1">
      <alignment horizontal="center"/>
    </xf>
    <xf numFmtId="177" fontId="66" fillId="0" borderId="0" xfId="737" applyNumberFormat="1" applyFont="1" applyAlignment="1">
      <alignment horizontal="left"/>
    </xf>
    <xf numFmtId="177" fontId="66" fillId="0" borderId="0" xfId="737" applyNumberFormat="1" applyFont="1" applyAlignment="1">
      <alignment horizontal="center"/>
    </xf>
    <xf numFmtId="164" fontId="43" fillId="0" borderId="0" xfId="1933" applyNumberFormat="1" applyFont="1" applyFill="1" applyAlignment="1">
      <alignment horizontal="right"/>
    </xf>
    <xf numFmtId="41" fontId="50" fillId="0" borderId="61" xfId="837" applyNumberFormat="1" applyFont="1" applyBorder="1"/>
    <xf numFmtId="39" fontId="70" fillId="0" borderId="0" xfId="16" applyNumberFormat="1" applyFont="1"/>
    <xf numFmtId="189" fontId="108" fillId="0" borderId="0" xfId="8" applyNumberFormat="1" applyFont="1" applyFill="1" applyAlignment="1">
      <alignment horizontal="right"/>
    </xf>
    <xf numFmtId="189" fontId="156" fillId="0" borderId="0" xfId="8" applyNumberFormat="1" applyFont="1" applyFill="1" applyAlignment="1">
      <alignment horizontal="right"/>
    </xf>
    <xf numFmtId="189" fontId="43" fillId="0" borderId="0" xfId="8" applyNumberFormat="1" applyFont="1" applyFill="1" applyAlignment="1">
      <alignment horizontal="center"/>
    </xf>
    <xf numFmtId="189" fontId="43" fillId="0" borderId="0" xfId="8" applyNumberFormat="1" applyFont="1" applyFill="1" applyAlignment="1"/>
    <xf numFmtId="41" fontId="70" fillId="0" borderId="0" xfId="837" applyNumberFormat="1" applyFont="1"/>
    <xf numFmtId="41" fontId="50" fillId="0" borderId="61" xfId="837" quotePrefix="1" applyNumberFormat="1" applyFont="1" applyBorder="1"/>
    <xf numFmtId="189" fontId="43" fillId="0" borderId="0" xfId="8" applyNumberFormat="1" applyFont="1" applyFill="1" applyBorder="1" applyAlignment="1"/>
    <xf numFmtId="0" fontId="66" fillId="0" borderId="0" xfId="837" quotePrefix="1" applyFont="1" applyAlignment="1">
      <alignment horizontal="left"/>
    </xf>
    <xf numFmtId="189" fontId="48" fillId="0" borderId="0" xfId="8" applyNumberFormat="1" applyFont="1" applyFill="1" applyAlignment="1"/>
    <xf numFmtId="40" fontId="70" fillId="0" borderId="0" xfId="16" applyNumberFormat="1" applyFont="1"/>
    <xf numFmtId="189" fontId="70" fillId="0" borderId="0" xfId="8" applyNumberFormat="1" applyFont="1" applyFill="1" applyAlignment="1"/>
    <xf numFmtId="174" fontId="43" fillId="0" borderId="0" xfId="5509" applyNumberFormat="1" applyFont="1"/>
    <xf numFmtId="172" fontId="43" fillId="0" borderId="0" xfId="1" applyNumberFormat="1"/>
    <xf numFmtId="170" fontId="50" fillId="0" borderId="45" xfId="5509" applyNumberFormat="1" applyFont="1" applyBorder="1"/>
    <xf numFmtId="170" fontId="50" fillId="0" borderId="0" xfId="1043" applyNumberFormat="1" applyFont="1" applyFill="1" applyBorder="1"/>
    <xf numFmtId="170" fontId="159" fillId="0" borderId="0" xfId="1" applyNumberFormat="1" applyFont="1"/>
    <xf numFmtId="172" fontId="50" fillId="0" borderId="45" xfId="1" applyNumberFormat="1" applyFont="1" applyBorder="1"/>
    <xf numFmtId="39" fontId="43" fillId="0" borderId="64" xfId="837" applyNumberFormat="1" applyFont="1" applyBorder="1"/>
    <xf numFmtId="41" fontId="43" fillId="0" borderId="0" xfId="837" quotePrefix="1" applyNumberFormat="1" applyFont="1"/>
    <xf numFmtId="41" fontId="43" fillId="0" borderId="65" xfId="837" quotePrefix="1" applyNumberFormat="1" applyFont="1" applyBorder="1" applyAlignment="1">
      <alignment horizontal="center"/>
    </xf>
    <xf numFmtId="170" fontId="43" fillId="0" borderId="64" xfId="1" applyNumberFormat="1" applyBorder="1"/>
    <xf numFmtId="170" fontId="50" fillId="0" borderId="66" xfId="1" applyNumberFormat="1" applyFont="1" applyBorder="1"/>
    <xf numFmtId="170" fontId="50" fillId="0" borderId="64" xfId="1" applyNumberFormat="1" applyFont="1" applyBorder="1"/>
    <xf numFmtId="192" fontId="50" fillId="0" borderId="0" xfId="1" quotePrefix="1" applyNumberFormat="1" applyFont="1" applyAlignment="1">
      <alignment horizontal="center"/>
    </xf>
    <xf numFmtId="195" fontId="43" fillId="0" borderId="0" xfId="736" applyNumberFormat="1" applyProtection="1">
      <protection locked="0"/>
    </xf>
    <xf numFmtId="195" fontId="43" fillId="0" borderId="0" xfId="736" applyNumberFormat="1"/>
    <xf numFmtId="195" fontId="95" fillId="0" borderId="0" xfId="736" applyNumberFormat="1" applyFont="1"/>
    <xf numFmtId="39" fontId="43" fillId="0" borderId="64" xfId="1769" applyNumberFormat="1" applyBorder="1"/>
    <xf numFmtId="43" fontId="50" fillId="0" borderId="63" xfId="1769" applyNumberFormat="1" applyFont="1" applyBorder="1"/>
    <xf numFmtId="43" fontId="43" fillId="0" borderId="64" xfId="1769" applyNumberFormat="1" applyBorder="1"/>
    <xf numFmtId="43" fontId="50" fillId="0" borderId="64" xfId="1769" applyNumberFormat="1" applyFont="1" applyBorder="1"/>
    <xf numFmtId="43" fontId="50" fillId="0" borderId="61" xfId="1769" applyNumberFormat="1" applyFont="1" applyBorder="1"/>
    <xf numFmtId="0" fontId="50" fillId="0" borderId="64" xfId="14" applyNumberFormat="1" applyFont="1" applyBorder="1"/>
    <xf numFmtId="174" fontId="50" fillId="0" borderId="54" xfId="14" applyNumberFormat="1" applyFont="1" applyBorder="1"/>
    <xf numFmtId="180" fontId="48" fillId="0" borderId="0" xfId="1769" applyNumberFormat="1" applyFont="1"/>
    <xf numFmtId="180" fontId="71" fillId="0" borderId="0" xfId="1769" applyNumberFormat="1" applyFont="1"/>
    <xf numFmtId="180" fontId="66" fillId="0" borderId="0" xfId="1769" applyNumberFormat="1" applyFont="1"/>
    <xf numFmtId="180" fontId="71" fillId="0" borderId="0" xfId="1769" quotePrefix="1" applyNumberFormat="1" applyFont="1" applyAlignment="1">
      <alignment horizontal="left"/>
    </xf>
    <xf numFmtId="180" fontId="71" fillId="0" borderId="0" xfId="1769" applyNumberFormat="1" applyFont="1" applyAlignment="1">
      <alignment horizontal="center"/>
    </xf>
    <xf numFmtId="180" fontId="102" fillId="0" borderId="0" xfId="1769" applyNumberFormat="1" applyFont="1" applyAlignment="1">
      <alignment horizontal="center"/>
    </xf>
    <xf numFmtId="180" fontId="71" fillId="0" borderId="0" xfId="1769" quotePrefix="1" applyNumberFormat="1" applyFont="1" applyAlignment="1">
      <alignment horizontal="center"/>
    </xf>
    <xf numFmtId="180" fontId="71" fillId="0" borderId="64" xfId="1769" applyNumberFormat="1" applyFont="1" applyBorder="1" applyAlignment="1">
      <alignment horizontal="center"/>
    </xf>
    <xf numFmtId="180" fontId="71" fillId="0" borderId="64" xfId="1769" quotePrefix="1" applyNumberFormat="1" applyFont="1" applyBorder="1" applyAlignment="1">
      <alignment horizontal="fill"/>
    </xf>
    <xf numFmtId="180" fontId="102" fillId="0" borderId="0" xfId="1769" applyNumberFormat="1" applyFont="1"/>
    <xf numFmtId="179" fontId="66" fillId="0" borderId="0" xfId="1769" applyNumberFormat="1" applyFont="1" applyAlignment="1">
      <alignment horizontal="right"/>
    </xf>
    <xf numFmtId="180" fontId="66" fillId="0" borderId="0" xfId="1769" quotePrefix="1" applyNumberFormat="1" applyFont="1" applyAlignment="1">
      <alignment horizontal="left"/>
    </xf>
    <xf numFmtId="177" fontId="66" fillId="0" borderId="0" xfId="1769" applyNumberFormat="1" applyFont="1"/>
    <xf numFmtId="177" fontId="66" fillId="0" borderId="0" xfId="1769" applyNumberFormat="1" applyFont="1" applyAlignment="1">
      <alignment horizontal="right"/>
    </xf>
    <xf numFmtId="180" fontId="71" fillId="0" borderId="0" xfId="1769" applyNumberFormat="1" applyFont="1" applyAlignment="1">
      <alignment horizontal="left"/>
    </xf>
    <xf numFmtId="179" fontId="71" fillId="0" borderId="67" xfId="1769" applyNumberFormat="1" applyFont="1" applyBorder="1" applyAlignment="1">
      <alignment horizontal="right"/>
    </xf>
    <xf numFmtId="180" fontId="49" fillId="0" borderId="0" xfId="1769" applyNumberFormat="1" applyFont="1"/>
    <xf numFmtId="180" fontId="48" fillId="0" borderId="0" xfId="1769" quotePrefix="1" applyNumberFormat="1" applyFont="1" applyAlignment="1">
      <alignment horizontal="left" wrapText="1"/>
    </xf>
    <xf numFmtId="180" fontId="48" fillId="0" borderId="0" xfId="1769" applyNumberFormat="1" applyFont="1" applyAlignment="1">
      <alignment horizontal="right"/>
    </xf>
    <xf numFmtId="39" fontId="48" fillId="0" borderId="0" xfId="1769" applyNumberFormat="1" applyFont="1"/>
    <xf numFmtId="180" fontId="48" fillId="0" borderId="0" xfId="1769" quotePrefix="1" applyNumberFormat="1" applyFont="1" applyAlignment="1">
      <alignment horizontal="left"/>
    </xf>
    <xf numFmtId="39" fontId="48" fillId="0" borderId="0" xfId="1769" quotePrefix="1" applyNumberFormat="1" applyFont="1" applyAlignment="1">
      <alignment horizontal="center"/>
    </xf>
    <xf numFmtId="39" fontId="48" fillId="0" borderId="0" xfId="1769" quotePrefix="1" applyNumberFormat="1" applyFont="1" applyAlignment="1">
      <alignment horizontal="right"/>
    </xf>
    <xf numFmtId="180" fontId="49" fillId="0" borderId="0" xfId="1769" quotePrefix="1" applyNumberFormat="1" applyFont="1" applyAlignment="1">
      <alignment horizontal="left"/>
    </xf>
    <xf numFmtId="180" fontId="48" fillId="0" borderId="0" xfId="1769" applyNumberFormat="1" applyFont="1" applyAlignment="1">
      <alignment horizontal="left"/>
    </xf>
    <xf numFmtId="39" fontId="49" fillId="0" borderId="0" xfId="1769" quotePrefix="1" applyNumberFormat="1" applyFont="1" applyAlignment="1">
      <alignment horizontal="center"/>
    </xf>
    <xf numFmtId="39" fontId="49" fillId="0" borderId="0" xfId="1769" applyNumberFormat="1" applyFont="1"/>
    <xf numFmtId="40" fontId="50" fillId="0" borderId="0" xfId="837" quotePrefix="1" applyNumberFormat="1" applyFont="1" applyAlignment="1">
      <alignment horizontal="center"/>
    </xf>
    <xf numFmtId="0" fontId="50" fillId="0" borderId="0" xfId="14" applyNumberFormat="1" applyFont="1" applyAlignment="1">
      <alignment horizontal="left"/>
    </xf>
    <xf numFmtId="0" fontId="43" fillId="0" borderId="0" xfId="14" applyNumberFormat="1" applyAlignment="1" applyProtection="1">
      <alignment horizontal="left"/>
      <protection locked="0"/>
    </xf>
    <xf numFmtId="0" fontId="50" fillId="0" borderId="0" xfId="14" applyNumberFormat="1" applyFont="1" applyAlignment="1" applyProtection="1">
      <alignment horizontal="left"/>
      <protection locked="0"/>
    </xf>
    <xf numFmtId="189" fontId="161" fillId="0" borderId="0" xfId="17915" applyNumberFormat="1" applyFont="1" applyFill="1"/>
    <xf numFmtId="189" fontId="48" fillId="0" borderId="0" xfId="17915" applyNumberFormat="1" applyFont="1" applyFill="1"/>
    <xf numFmtId="170" fontId="50" fillId="0" borderId="0" xfId="17915" applyNumberFormat="1" applyFont="1" applyBorder="1" applyAlignment="1"/>
    <xf numFmtId="0" fontId="71" fillId="0" borderId="0" xfId="1769" quotePrefix="1" applyFont="1" applyAlignment="1">
      <alignment horizontal="left"/>
    </xf>
    <xf numFmtId="0" fontId="71" fillId="0" borderId="0" xfId="1769" quotePrefix="1" applyFont="1" applyAlignment="1">
      <alignment horizontal="center"/>
    </xf>
    <xf numFmtId="0" fontId="50" fillId="0" borderId="0" xfId="1769" quotePrefix="1" applyFont="1" applyAlignment="1">
      <alignment horizontal="center"/>
    </xf>
    <xf numFmtId="170" fontId="43" fillId="0" borderId="0" xfId="1043" applyNumberFormat="1" applyFont="1" applyFill="1" applyProtection="1"/>
    <xf numFmtId="166" fontId="43" fillId="0" borderId="17" xfId="1" applyNumberFormat="1" applyBorder="1"/>
    <xf numFmtId="166" fontId="50" fillId="0" borderId="17" xfId="1" applyNumberFormat="1" applyFont="1" applyBorder="1"/>
    <xf numFmtId="170" fontId="50" fillId="0" borderId="16" xfId="1" applyNumberFormat="1" applyFont="1" applyBorder="1"/>
    <xf numFmtId="170" fontId="50" fillId="0" borderId="0" xfId="4" applyNumberFormat="1" applyFont="1" applyFill="1" applyBorder="1" applyProtection="1"/>
    <xf numFmtId="0" fontId="50" fillId="0" borderId="16" xfId="1" applyFont="1" applyBorder="1"/>
    <xf numFmtId="173" fontId="43" fillId="0" borderId="0" xfId="737" quotePrefix="1" applyNumberFormat="1" applyFont="1" applyAlignment="1">
      <alignment horizontal="left"/>
    </xf>
    <xf numFmtId="170" fontId="50" fillId="0" borderId="69" xfId="1" applyNumberFormat="1" applyFont="1" applyBorder="1"/>
    <xf numFmtId="174" fontId="50" fillId="0" borderId="54" xfId="1" applyNumberFormat="1" applyFont="1" applyBorder="1"/>
    <xf numFmtId="0" fontId="55" fillId="0" borderId="0" xfId="5" applyFont="1" applyAlignment="1">
      <alignment horizontal="left" vertical="top"/>
    </xf>
    <xf numFmtId="172" fontId="50" fillId="0" borderId="45" xfId="1933" applyNumberFormat="1" applyFont="1" applyBorder="1" applyAlignment="1"/>
    <xf numFmtId="172" fontId="50" fillId="0" borderId="0" xfId="1933" applyNumberFormat="1" applyFont="1" applyBorder="1" applyAlignment="1"/>
    <xf numFmtId="0" fontId="43" fillId="0" borderId="0" xfId="0" applyNumberFormat="1" applyFont="1" applyAlignment="1">
      <alignment horizontal="left"/>
    </xf>
    <xf numFmtId="0" fontId="43" fillId="0" borderId="0" xfId="14" applyNumberFormat="1" applyAlignment="1">
      <alignment horizontal="center"/>
    </xf>
    <xf numFmtId="5" fontId="43" fillId="0" borderId="0" xfId="1" applyNumberFormat="1"/>
    <xf numFmtId="43" fontId="43" fillId="0" borderId="0" xfId="17915" applyFont="1" applyFill="1" applyAlignment="1" applyProtection="1">
      <alignment horizontal="right"/>
    </xf>
    <xf numFmtId="170" fontId="64" fillId="0" borderId="0" xfId="1" applyNumberFormat="1" applyFont="1" applyAlignment="1">
      <alignment horizontal="center"/>
    </xf>
    <xf numFmtId="4" fontId="50" fillId="0" borderId="0" xfId="1025" quotePrefix="1" applyNumberFormat="1" applyFont="1" applyAlignment="1">
      <alignment horizontal="left"/>
    </xf>
    <xf numFmtId="180" fontId="50" fillId="0" borderId="0" xfId="1769" quotePrefix="1" applyNumberFormat="1" applyFont="1" applyAlignment="1">
      <alignment horizontal="left"/>
    </xf>
    <xf numFmtId="42" fontId="43" fillId="0" borderId="0" xfId="0" quotePrefix="1" applyNumberFormat="1" applyFont="1"/>
    <xf numFmtId="164" fontId="152" fillId="0" borderId="0" xfId="0" applyFont="1"/>
    <xf numFmtId="190" fontId="55" fillId="0" borderId="0" xfId="5" applyNumberFormat="1" applyFont="1" applyAlignment="1">
      <alignment horizontal="right" vertical="top"/>
    </xf>
    <xf numFmtId="165" fontId="50" fillId="0" borderId="0" xfId="1" applyNumberFormat="1" applyFont="1" applyAlignment="1">
      <alignment horizontal="right"/>
    </xf>
    <xf numFmtId="177" fontId="50" fillId="0" borderId="0" xfId="737" quotePrefix="1" applyNumberFormat="1" applyFont="1" applyAlignment="1">
      <alignment horizontal="center"/>
    </xf>
    <xf numFmtId="0" fontId="80" fillId="0" borderId="0" xfId="833" applyFont="1"/>
    <xf numFmtId="184" fontId="66" fillId="0" borderId="0" xfId="833" applyNumberFormat="1" applyFont="1"/>
    <xf numFmtId="179" fontId="71" fillId="0" borderId="15" xfId="833" applyNumberFormat="1" applyFont="1" applyBorder="1" applyAlignment="1">
      <alignment horizontal="right"/>
    </xf>
    <xf numFmtId="184" fontId="66" fillId="0" borderId="20" xfId="833" applyNumberFormat="1" applyFont="1" applyBorder="1"/>
    <xf numFmtId="165" fontId="80" fillId="0" borderId="0" xfId="833" applyNumberFormat="1" applyFont="1"/>
    <xf numFmtId="165" fontId="68" fillId="0" borderId="45" xfId="1" applyNumberFormat="1" applyFont="1" applyBorder="1" applyAlignment="1" applyProtection="1">
      <alignment horizontal="centerContinuous"/>
      <protection locked="0"/>
    </xf>
    <xf numFmtId="43" fontId="50" fillId="0" borderId="10" xfId="1769" applyNumberFormat="1" applyFont="1" applyBorder="1"/>
    <xf numFmtId="166" fontId="43" fillId="0" borderId="0" xfId="0" applyNumberFormat="1" applyFont="1" applyAlignment="1">
      <alignment horizontal="left"/>
    </xf>
    <xf numFmtId="170" fontId="70" fillId="0" borderId="0" xfId="1" applyNumberFormat="1" applyFont="1"/>
    <xf numFmtId="164" fontId="70" fillId="0" borderId="0" xfId="1" applyNumberFormat="1" applyFont="1"/>
    <xf numFmtId="165" fontId="71" fillId="0" borderId="0" xfId="1" applyNumberFormat="1" applyFont="1" applyAlignment="1">
      <alignment horizontal="right"/>
    </xf>
    <xf numFmtId="1" fontId="50" fillId="0" borderId="0" xfId="1" quotePrefix="1" applyNumberFormat="1" applyFont="1" applyAlignment="1">
      <alignment horizontal="center"/>
    </xf>
    <xf numFmtId="165" fontId="70" fillId="0" borderId="14" xfId="1" applyNumberFormat="1" applyFont="1" applyBorder="1"/>
    <xf numFmtId="169" fontId="50" fillId="0" borderId="17" xfId="1" applyNumberFormat="1" applyFont="1" applyBorder="1"/>
    <xf numFmtId="169" fontId="78" fillId="0" borderId="14" xfId="1" applyNumberFormat="1" applyFont="1" applyBorder="1"/>
    <xf numFmtId="169" fontId="49" fillId="0" borderId="0" xfId="1" applyNumberFormat="1" applyFont="1"/>
    <xf numFmtId="170" fontId="70" fillId="0" borderId="14" xfId="1" applyNumberFormat="1" applyFont="1" applyBorder="1"/>
    <xf numFmtId="170" fontId="78" fillId="0" borderId="14" xfId="1" applyNumberFormat="1" applyFont="1" applyBorder="1"/>
    <xf numFmtId="170" fontId="50" fillId="0" borderId="45" xfId="1043" applyNumberFormat="1" applyFont="1" applyFill="1" applyBorder="1" applyProtection="1"/>
    <xf numFmtId="170" fontId="43" fillId="0" borderId="14" xfId="0" quotePrefix="1" applyNumberFormat="1" applyFont="1" applyBorder="1" applyAlignment="1">
      <alignment horizontal="right"/>
    </xf>
    <xf numFmtId="170" fontId="52" fillId="0" borderId="0" xfId="1" applyNumberFormat="1" applyFont="1" applyAlignment="1">
      <alignment horizontal="right"/>
    </xf>
    <xf numFmtId="170" fontId="70" fillId="0" borderId="14" xfId="1" applyNumberFormat="1" applyFont="1" applyBorder="1" applyAlignment="1">
      <alignment horizontal="center"/>
    </xf>
    <xf numFmtId="170" fontId="49" fillId="0" borderId="0" xfId="1" applyNumberFormat="1" applyFont="1"/>
    <xf numFmtId="169" fontId="50" fillId="0" borderId="16" xfId="1" applyNumberFormat="1" applyFont="1" applyBorder="1"/>
    <xf numFmtId="168" fontId="50" fillId="0" borderId="0" xfId="1" applyNumberFormat="1" applyFont="1"/>
    <xf numFmtId="192" fontId="43" fillId="0" borderId="0" xfId="1" applyNumberFormat="1"/>
    <xf numFmtId="170" fontId="43" fillId="0" borderId="0" xfId="17915" applyNumberFormat="1" applyFont="1" applyFill="1" applyAlignment="1" applyProtection="1">
      <alignment horizontal="right"/>
    </xf>
    <xf numFmtId="170" fontId="43" fillId="0" borderId="14" xfId="17915" applyNumberFormat="1" applyFont="1" applyFill="1" applyBorder="1" applyAlignment="1" applyProtection="1">
      <alignment horizontal="right"/>
    </xf>
    <xf numFmtId="170" fontId="50" fillId="0" borderId="45" xfId="49849" applyNumberFormat="1" applyFont="1" applyFill="1" applyBorder="1" applyAlignment="1" applyProtection="1"/>
    <xf numFmtId="170" fontId="50" fillId="0" borderId="0" xfId="49849" applyNumberFormat="1" applyFont="1" applyFill="1" applyAlignment="1" applyProtection="1"/>
    <xf numFmtId="170" fontId="50" fillId="0" borderId="17" xfId="49849" applyNumberFormat="1" applyFont="1" applyFill="1" applyBorder="1" applyAlignment="1" applyProtection="1"/>
    <xf numFmtId="166" fontId="48" fillId="0" borderId="0" xfId="3" applyNumberFormat="1" applyFont="1"/>
    <xf numFmtId="43" fontId="48" fillId="0" borderId="0" xfId="4" applyFont="1" applyFill="1" applyBorder="1" applyAlignment="1" applyProtection="1">
      <alignment horizontal="right"/>
    </xf>
    <xf numFmtId="0" fontId="71" fillId="0" borderId="0" xfId="3" quotePrefix="1" applyFont="1" applyAlignment="1">
      <alignment horizontal="left"/>
    </xf>
    <xf numFmtId="0" fontId="71" fillId="0" borderId="0" xfId="3" applyFont="1" applyAlignment="1">
      <alignment horizontal="right"/>
    </xf>
    <xf numFmtId="0" fontId="50" fillId="0" borderId="0" xfId="3" applyFont="1" applyAlignment="1">
      <alignment horizontal="center"/>
    </xf>
    <xf numFmtId="166" fontId="50" fillId="0" borderId="0" xfId="3" applyNumberFormat="1" applyFont="1" applyAlignment="1">
      <alignment horizontal="center"/>
    </xf>
    <xf numFmtId="165" fontId="50" fillId="0" borderId="0" xfId="3" applyNumberFormat="1" applyFont="1"/>
    <xf numFmtId="165" fontId="50" fillId="0" borderId="0" xfId="3" applyNumberFormat="1" applyFont="1" applyAlignment="1">
      <alignment horizontal="center"/>
    </xf>
    <xf numFmtId="0" fontId="50" fillId="0" borderId="0" xfId="3" applyFont="1" applyAlignment="1">
      <alignment horizontal="left"/>
    </xf>
    <xf numFmtId="174" fontId="50" fillId="0" borderId="0" xfId="3" quotePrefix="1" applyNumberFormat="1" applyFont="1" applyAlignment="1">
      <alignment horizontal="right"/>
    </xf>
    <xf numFmtId="174" fontId="50" fillId="0" borderId="14" xfId="3" applyNumberFormat="1" applyFont="1" applyBorder="1"/>
    <xf numFmtId="164" fontId="50" fillId="0" borderId="0" xfId="3" applyNumberFormat="1" applyFont="1"/>
    <xf numFmtId="170" fontId="50" fillId="0" borderId="0" xfId="5509" applyNumberFormat="1" applyFont="1"/>
    <xf numFmtId="170" fontId="50" fillId="0" borderId="14" xfId="3" applyNumberFormat="1" applyFont="1" applyBorder="1"/>
    <xf numFmtId="0" fontId="49" fillId="0" borderId="0" xfId="3" applyFont="1"/>
    <xf numFmtId="0" fontId="43" fillId="0" borderId="0" xfId="3" applyFont="1"/>
    <xf numFmtId="170" fontId="50" fillId="0" borderId="0" xfId="5509" applyNumberFormat="1" applyFont="1" applyAlignment="1">
      <alignment horizontal="right"/>
    </xf>
    <xf numFmtId="170" fontId="50" fillId="0" borderId="0" xfId="3" applyNumberFormat="1" applyFont="1" applyAlignment="1">
      <alignment horizontal="right"/>
    </xf>
    <xf numFmtId="0" fontId="50" fillId="0" borderId="0" xfId="3" quotePrefix="1" applyFont="1" applyAlignment="1">
      <alignment horizontal="left"/>
    </xf>
    <xf numFmtId="0" fontId="43" fillId="0" borderId="0" xfId="3" quotePrefix="1" applyFont="1" applyAlignment="1">
      <alignment horizontal="left"/>
    </xf>
    <xf numFmtId="0" fontId="43" fillId="0" borderId="0" xfId="3" applyFont="1" applyAlignment="1">
      <alignment horizontal="left"/>
    </xf>
    <xf numFmtId="170" fontId="43" fillId="0" borderId="0" xfId="5509" applyNumberFormat="1" applyFont="1" applyAlignment="1">
      <alignment horizontal="right"/>
    </xf>
    <xf numFmtId="174" fontId="50" fillId="0" borderId="15" xfId="3" applyNumberFormat="1" applyFont="1" applyBorder="1"/>
    <xf numFmtId="169" fontId="48" fillId="0" borderId="0" xfId="3" applyNumberFormat="1" applyFont="1"/>
    <xf numFmtId="169" fontId="48" fillId="0" borderId="0" xfId="3" quotePrefix="1" applyNumberFormat="1" applyFont="1" applyAlignment="1">
      <alignment horizontal="right"/>
    </xf>
    <xf numFmtId="0" fontId="48" fillId="0" borderId="0" xfId="3" applyFont="1" applyAlignment="1">
      <alignment horizontal="center"/>
    </xf>
    <xf numFmtId="164" fontId="48" fillId="0" borderId="0" xfId="3" applyNumberFormat="1" applyFont="1"/>
    <xf numFmtId="39" fontId="48" fillId="0" borderId="0" xfId="3" applyNumberFormat="1" applyFont="1"/>
    <xf numFmtId="174" fontId="48" fillId="0" borderId="0" xfId="3" applyNumberFormat="1" applyFont="1"/>
    <xf numFmtId="43" fontId="48" fillId="0" borderId="0" xfId="4" applyFont="1" applyFill="1" applyProtection="1"/>
    <xf numFmtId="165" fontId="43" fillId="0" borderId="0" xfId="5450" applyNumberFormat="1"/>
    <xf numFmtId="3" fontId="43" fillId="0" borderId="0" xfId="1" applyNumberFormat="1" applyAlignment="1">
      <alignment vertical="center"/>
    </xf>
    <xf numFmtId="3" fontId="43" fillId="0" borderId="0" xfId="1" applyNumberFormat="1" applyAlignment="1">
      <alignment horizontal="left" vertical="center"/>
    </xf>
    <xf numFmtId="170" fontId="63" fillId="0" borderId="45" xfId="1" applyNumberFormat="1" applyFont="1" applyBorder="1" applyAlignment="1">
      <alignment horizontal="right"/>
    </xf>
    <xf numFmtId="170" fontId="64" fillId="0" borderId="45" xfId="1" applyNumberFormat="1" applyFont="1" applyBorder="1" applyAlignment="1">
      <alignment horizontal="center"/>
    </xf>
    <xf numFmtId="0" fontId="43" fillId="0" borderId="0" xfId="0" quotePrefix="1" applyNumberFormat="1" applyFont="1" applyAlignment="1">
      <alignment horizontal="center"/>
    </xf>
    <xf numFmtId="0" fontId="43" fillId="0" borderId="0" xfId="737" applyFont="1"/>
    <xf numFmtId="0" fontId="20" fillId="0" borderId="0" xfId="838" applyFont="1"/>
    <xf numFmtId="4" fontId="49" fillId="0" borderId="0" xfId="1025" applyNumberFormat="1" applyFont="1"/>
    <xf numFmtId="1" fontId="49" fillId="0" borderId="0" xfId="1025" applyNumberFormat="1" applyFont="1"/>
    <xf numFmtId="0" fontId="49" fillId="0" borderId="0" xfId="1025" applyFont="1" applyAlignment="1">
      <alignment horizontal="left"/>
    </xf>
    <xf numFmtId="4" fontId="71" fillId="0" borderId="0" xfId="1025" applyNumberFormat="1" applyFont="1" applyAlignment="1">
      <alignment horizontal="left" vertical="center"/>
    </xf>
    <xf numFmtId="0" fontId="49" fillId="0" borderId="0" xfId="1025" applyFont="1" applyAlignment="1">
      <alignment horizontal="right"/>
    </xf>
    <xf numFmtId="4" fontId="49" fillId="0" borderId="0" xfId="1025" applyNumberFormat="1" applyFont="1" applyAlignment="1">
      <alignment horizontal="center"/>
    </xf>
    <xf numFmtId="1" fontId="50" fillId="0" borderId="29" xfId="1025" applyNumberFormat="1" applyFont="1" applyBorder="1"/>
    <xf numFmtId="4" fontId="50" fillId="0" borderId="29" xfId="1025" applyNumberFormat="1" applyFont="1" applyBorder="1"/>
    <xf numFmtId="4" fontId="50" fillId="0" borderId="29" xfId="1025" applyNumberFormat="1" applyFont="1" applyBorder="1" applyAlignment="1">
      <alignment horizontal="center"/>
    </xf>
    <xf numFmtId="0" fontId="115" fillId="0" borderId="0" xfId="838" applyFont="1"/>
    <xf numFmtId="0" fontId="0" fillId="0" borderId="0" xfId="0" applyNumberFormat="1"/>
    <xf numFmtId="4" fontId="50" fillId="0" borderId="0" xfId="1025" applyNumberFormat="1" applyFont="1"/>
    <xf numFmtId="4" fontId="50" fillId="35" borderId="62" xfId="1025" applyNumberFormat="1" applyFont="1" applyFill="1" applyBorder="1" applyAlignment="1">
      <alignment horizontal="center"/>
    </xf>
    <xf numFmtId="4" fontId="50" fillId="0" borderId="0" xfId="1025" applyNumberFormat="1" applyFont="1" applyAlignment="1">
      <alignment horizontal="center"/>
    </xf>
    <xf numFmtId="0" fontId="97" fillId="0" borderId="0" xfId="0" applyNumberFormat="1" applyFont="1"/>
    <xf numFmtId="0" fontId="43" fillId="0" borderId="0" xfId="1025" quotePrefix="1" applyAlignment="1">
      <alignment horizontal="center"/>
    </xf>
    <xf numFmtId="4" fontId="43" fillId="0" borderId="0" xfId="1025" applyNumberFormat="1" applyAlignment="1">
      <alignment horizontal="left"/>
    </xf>
    <xf numFmtId="0" fontId="101" fillId="0" borderId="0" xfId="0" applyNumberFormat="1" applyFont="1"/>
    <xf numFmtId="1" fontId="43" fillId="0" borderId="0" xfId="1025" applyNumberFormat="1" applyAlignment="1">
      <alignment horizontal="center"/>
    </xf>
    <xf numFmtId="4" fontId="50" fillId="35" borderId="62" xfId="1025" quotePrefix="1" applyNumberFormat="1" applyFont="1" applyFill="1" applyBorder="1" applyAlignment="1">
      <alignment horizontal="center"/>
    </xf>
    <xf numFmtId="4" fontId="50" fillId="0" borderId="0" xfId="1025" quotePrefix="1" applyNumberFormat="1" applyFont="1" applyAlignment="1">
      <alignment horizontal="center"/>
    </xf>
    <xf numFmtId="4" fontId="43" fillId="0" borderId="0" xfId="1025" quotePrefix="1" applyNumberFormat="1" applyAlignment="1">
      <alignment horizontal="left"/>
    </xf>
    <xf numFmtId="4" fontId="43" fillId="0" borderId="0" xfId="1025" applyNumberFormat="1"/>
    <xf numFmtId="4" fontId="43" fillId="0" borderId="0" xfId="1025" applyNumberFormat="1" applyAlignment="1">
      <alignment horizontal="center"/>
    </xf>
    <xf numFmtId="1" fontId="43" fillId="0" borderId="0" xfId="1025" quotePrefix="1" applyNumberFormat="1"/>
    <xf numFmtId="4" fontId="50" fillId="0" borderId="0" xfId="0" applyNumberFormat="1" applyFont="1"/>
    <xf numFmtId="0" fontId="97" fillId="0" borderId="0" xfId="1025" quotePrefix="1" applyFont="1"/>
    <xf numFmtId="1" fontId="43" fillId="0" borderId="0" xfId="1025" applyNumberFormat="1"/>
    <xf numFmtId="4" fontId="50" fillId="35" borderId="62" xfId="0" applyNumberFormat="1" applyFont="1" applyFill="1" applyBorder="1" applyAlignment="1">
      <alignment horizontal="center"/>
    </xf>
    <xf numFmtId="4" fontId="50" fillId="0" borderId="0" xfId="0" applyNumberFormat="1" applyFont="1" applyAlignment="1">
      <alignment horizontal="center"/>
    </xf>
    <xf numFmtId="4" fontId="43" fillId="0" borderId="0" xfId="0" applyNumberFormat="1" applyFont="1"/>
    <xf numFmtId="4" fontId="43" fillId="0" borderId="0" xfId="0" applyNumberFormat="1" applyFont="1" applyAlignment="1">
      <alignment horizontal="center"/>
    </xf>
    <xf numFmtId="1" fontId="43" fillId="0" borderId="0" xfId="1025" quotePrefix="1" applyNumberFormat="1" applyAlignment="1">
      <alignment horizontal="center"/>
    </xf>
    <xf numFmtId="4" fontId="43" fillId="0" borderId="0" xfId="1025" quotePrefix="1" applyNumberFormat="1" applyAlignment="1">
      <alignment horizontal="right"/>
    </xf>
    <xf numFmtId="4" fontId="43" fillId="0" borderId="0" xfId="1025" quotePrefix="1" applyNumberFormat="1" applyAlignment="1">
      <alignment horizontal="center"/>
    </xf>
    <xf numFmtId="37" fontId="50" fillId="0" borderId="0" xfId="1025" quotePrefix="1" applyNumberFormat="1" applyFont="1" applyAlignment="1">
      <alignment horizontal="center"/>
    </xf>
    <xf numFmtId="43" fontId="50" fillId="0" borderId="0" xfId="17915" applyFont="1" applyFill="1" applyAlignment="1" applyProtection="1">
      <alignment horizontal="right"/>
    </xf>
    <xf numFmtId="4" fontId="43" fillId="33" borderId="0" xfId="1025" applyNumberFormat="1" applyFill="1" applyAlignment="1">
      <alignment horizontal="centerContinuous"/>
    </xf>
    <xf numFmtId="4" fontId="43" fillId="33" borderId="0" xfId="1025" applyNumberFormat="1" applyFill="1" applyAlignment="1">
      <alignment horizontal="center"/>
    </xf>
    <xf numFmtId="4" fontId="43" fillId="0" borderId="0" xfId="1025" applyNumberFormat="1" applyAlignment="1">
      <alignment horizontal="right"/>
    </xf>
    <xf numFmtId="1" fontId="50" fillId="0" borderId="0" xfId="1025" quotePrefix="1" applyNumberFormat="1" applyFont="1"/>
    <xf numFmtId="0" fontId="97" fillId="0" borderId="0" xfId="1025" applyFont="1"/>
    <xf numFmtId="0" fontId="50" fillId="0" borderId="0" xfId="1025" applyFont="1" applyAlignment="1">
      <alignment horizontal="center"/>
    </xf>
    <xf numFmtId="4" fontId="50" fillId="35" borderId="36" xfId="1025" applyNumberFormat="1" applyFont="1" applyFill="1" applyBorder="1" applyAlignment="1">
      <alignment horizontal="left"/>
    </xf>
    <xf numFmtId="164" fontId="43" fillId="0" borderId="0" xfId="1025" applyNumberFormat="1"/>
    <xf numFmtId="4" fontId="50" fillId="0" borderId="0" xfId="0" applyNumberFormat="1" applyFont="1" applyAlignment="1">
      <alignment horizontal="left"/>
    </xf>
    <xf numFmtId="0" fontId="115" fillId="0" borderId="0" xfId="1025" quotePrefix="1" applyFont="1"/>
    <xf numFmtId="164" fontId="43" fillId="0" borderId="0" xfId="1025" quotePrefix="1" applyNumberFormat="1"/>
    <xf numFmtId="7" fontId="50" fillId="0" borderId="0" xfId="0" applyNumberFormat="1" applyFont="1" applyAlignment="1">
      <alignment horizontal="right"/>
    </xf>
    <xf numFmtId="37" fontId="50" fillId="0" borderId="0" xfId="1025" applyNumberFormat="1" applyFont="1" applyAlignment="1">
      <alignment horizontal="right"/>
    </xf>
    <xf numFmtId="4" fontId="50" fillId="0" borderId="0" xfId="0" applyNumberFormat="1" applyFont="1" applyAlignment="1">
      <alignment horizontal="left" vertical="top"/>
    </xf>
    <xf numFmtId="37" fontId="50" fillId="0" borderId="0" xfId="0" applyNumberFormat="1" applyFont="1" applyAlignment="1">
      <alignment horizontal="right" vertical="top"/>
    </xf>
    <xf numFmtId="37" fontId="101" fillId="0" borderId="0" xfId="0" applyNumberFormat="1" applyFont="1" applyAlignment="1">
      <alignment horizontal="right" vertical="top"/>
    </xf>
    <xf numFmtId="37" fontId="50" fillId="0" borderId="0" xfId="838" applyNumberFormat="1" applyFont="1" applyAlignment="1">
      <alignment horizontal="right"/>
    </xf>
    <xf numFmtId="37" fontId="50" fillId="0" borderId="0" xfId="0" applyNumberFormat="1" applyFont="1" applyAlignment="1">
      <alignment horizontal="right"/>
    </xf>
    <xf numFmtId="7" fontId="50" fillId="0" borderId="0" xfId="1025" applyNumberFormat="1" applyFont="1" applyAlignment="1">
      <alignment horizontal="right"/>
    </xf>
    <xf numFmtId="37" fontId="50" fillId="0" borderId="0" xfId="1025" quotePrefix="1" applyNumberFormat="1" applyFont="1" applyAlignment="1">
      <alignment horizontal="right"/>
    </xf>
    <xf numFmtId="0" fontId="135" fillId="0" borderId="0" xfId="838" applyFont="1"/>
    <xf numFmtId="4" fontId="48" fillId="0" borderId="0" xfId="737" applyNumberFormat="1" applyFont="1" applyAlignment="1">
      <alignment horizontal="right"/>
    </xf>
    <xf numFmtId="42" fontId="43" fillId="0" borderId="0" xfId="736" applyNumberFormat="1"/>
    <xf numFmtId="42" fontId="50" fillId="0" borderId="15" xfId="837" applyNumberFormat="1" applyFont="1" applyBorder="1"/>
    <xf numFmtId="165" fontId="43" fillId="0" borderId="0" xfId="737" applyNumberFormat="1" applyFont="1" applyProtection="1">
      <protection locked="0"/>
    </xf>
    <xf numFmtId="177" fontId="43" fillId="0" borderId="0" xfId="737" applyNumberFormat="1" applyFont="1" applyAlignment="1">
      <alignment horizontal="fill"/>
    </xf>
    <xf numFmtId="178" fontId="50" fillId="0" borderId="10" xfId="737" quotePrefix="1" applyNumberFormat="1" applyFont="1" applyBorder="1" applyAlignment="1">
      <alignment horizontal="center"/>
    </xf>
    <xf numFmtId="178" fontId="50" fillId="0" borderId="0" xfId="737" quotePrefix="1" applyNumberFormat="1" applyFont="1" applyAlignment="1">
      <alignment horizontal="center"/>
    </xf>
    <xf numFmtId="173" fontId="43" fillId="0" borderId="0" xfId="737" applyNumberFormat="1" applyFont="1"/>
    <xf numFmtId="181" fontId="97" fillId="0" borderId="0" xfId="737" applyNumberFormat="1" applyFont="1"/>
    <xf numFmtId="177" fontId="50" fillId="0" borderId="0" xfId="737" applyNumberFormat="1" applyFont="1" applyAlignment="1">
      <alignment horizontal="left"/>
    </xf>
    <xf numFmtId="43" fontId="43" fillId="0" borderId="0" xfId="738" applyFont="1" applyFill="1" applyAlignment="1"/>
    <xf numFmtId="180" fontId="43" fillId="0" borderId="0" xfId="737" applyNumberFormat="1" applyFont="1" applyAlignment="1">
      <alignment horizontal="right"/>
    </xf>
    <xf numFmtId="177" fontId="74" fillId="0" borderId="0" xfId="737" applyNumberFormat="1" applyFont="1" applyAlignment="1">
      <alignment horizontal="left"/>
    </xf>
    <xf numFmtId="41" fontId="0" fillId="0" borderId="0" xfId="0" applyNumberFormat="1"/>
    <xf numFmtId="41" fontId="49" fillId="0" borderId="0" xfId="0" applyNumberFormat="1" applyFont="1" applyAlignment="1">
      <alignment horizontal="center" wrapText="1"/>
    </xf>
    <xf numFmtId="196" fontId="0" fillId="0" borderId="0" xfId="0" applyNumberFormat="1"/>
    <xf numFmtId="41" fontId="110" fillId="0" borderId="0" xfId="0" applyNumberFormat="1" applyFont="1"/>
    <xf numFmtId="41" fontId="161" fillId="0" borderId="0" xfId="0" applyNumberFormat="1" applyFont="1" applyAlignment="1">
      <alignment horizontal="center" vertical="top"/>
    </xf>
    <xf numFmtId="170" fontId="43" fillId="0" borderId="45" xfId="1" quotePrefix="1" applyNumberFormat="1" applyBorder="1" applyAlignment="1">
      <alignment horizontal="center"/>
    </xf>
    <xf numFmtId="165" fontId="43" fillId="0" borderId="0" xfId="833" applyNumberFormat="1" applyFont="1" applyProtection="1">
      <protection locked="0"/>
    </xf>
    <xf numFmtId="0" fontId="57" fillId="0" borderId="0" xfId="833" applyFont="1"/>
    <xf numFmtId="0" fontId="45" fillId="0" borderId="0" xfId="833" quotePrefix="1" applyAlignment="1">
      <alignment horizontal="left"/>
    </xf>
    <xf numFmtId="181" fontId="80" fillId="0" borderId="0" xfId="833" applyNumberFormat="1" applyFont="1"/>
    <xf numFmtId="0" fontId="113" fillId="0" borderId="0" xfId="1" applyFont="1"/>
    <xf numFmtId="165" fontId="48" fillId="0" borderId="0" xfId="0" applyNumberFormat="1" applyFont="1" applyProtection="1">
      <protection locked="0"/>
    </xf>
    <xf numFmtId="165" fontId="161" fillId="0" borderId="0" xfId="0" applyNumberFormat="1" applyFont="1" applyProtection="1">
      <protection locked="0"/>
    </xf>
    <xf numFmtId="37" fontId="50" fillId="0" borderId="0" xfId="1025" applyNumberFormat="1" applyFont="1" applyAlignment="1">
      <alignment horizontal="center"/>
    </xf>
    <xf numFmtId="4" fontId="43" fillId="0" borderId="0" xfId="0" applyNumberFormat="1" applyFont="1" applyAlignment="1">
      <alignment horizontal="left"/>
    </xf>
    <xf numFmtId="1" fontId="43" fillId="0" borderId="0" xfId="0" applyNumberFormat="1" applyFont="1" applyAlignment="1">
      <alignment horizontal="center"/>
    </xf>
    <xf numFmtId="188" fontId="0" fillId="0" borderId="0" xfId="14" applyNumberFormat="1" applyFont="1"/>
    <xf numFmtId="179" fontId="43" fillId="0" borderId="0" xfId="14" applyNumberFormat="1"/>
    <xf numFmtId="180" fontId="66" fillId="0" borderId="0" xfId="1769" applyNumberFormat="1" applyFont="1" applyAlignment="1">
      <alignment horizontal="left"/>
    </xf>
    <xf numFmtId="179" fontId="71" fillId="0" borderId="0" xfId="1769" applyNumberFormat="1" applyFont="1" applyAlignment="1">
      <alignment horizontal="right"/>
    </xf>
    <xf numFmtId="0" fontId="43" fillId="0" borderId="0" xfId="1025" quotePrefix="1" applyAlignment="1">
      <alignment horizontal="left"/>
    </xf>
    <xf numFmtId="165" fontId="44" fillId="0" borderId="0" xfId="1" applyNumberFormat="1" applyFont="1" applyAlignment="1">
      <alignment horizontal="right"/>
    </xf>
    <xf numFmtId="171" fontId="63" fillId="0" borderId="0" xfId="1" quotePrefix="1" applyNumberFormat="1" applyFont="1" applyAlignment="1">
      <alignment horizontal="center"/>
    </xf>
    <xf numFmtId="165" fontId="49" fillId="0" borderId="0" xfId="1" applyNumberFormat="1" applyFont="1" applyAlignment="1">
      <alignment horizontal="right"/>
    </xf>
    <xf numFmtId="0" fontId="43" fillId="0" borderId="17" xfId="1" applyBorder="1"/>
    <xf numFmtId="170" fontId="159" fillId="0" borderId="16" xfId="1" applyNumberFormat="1" applyFont="1" applyBorder="1"/>
    <xf numFmtId="166" fontId="63" fillId="0" borderId="0" xfId="1" quotePrefix="1" applyNumberFormat="1" applyFont="1" applyAlignment="1">
      <alignment horizontal="center"/>
    </xf>
    <xf numFmtId="174" fontId="63" fillId="0" borderId="17" xfId="1" applyNumberFormat="1" applyFont="1" applyBorder="1"/>
    <xf numFmtId="166" fontId="64" fillId="0" borderId="17" xfId="1" applyNumberFormat="1" applyFont="1" applyBorder="1"/>
    <xf numFmtId="172" fontId="43" fillId="0" borderId="0" xfId="0" applyNumberFormat="1" applyFont="1" applyProtection="1">
      <protection locked="0"/>
    </xf>
    <xf numFmtId="164" fontId="50" fillId="0" borderId="45" xfId="0" applyFont="1" applyBorder="1" applyProtection="1">
      <protection locked="0"/>
    </xf>
    <xf numFmtId="170" fontId="64" fillId="0" borderId="17" xfId="1" applyNumberFormat="1" applyFont="1" applyBorder="1"/>
    <xf numFmtId="170" fontId="78" fillId="0" borderId="0" xfId="1" applyNumberFormat="1" applyFont="1"/>
    <xf numFmtId="164" fontId="43" fillId="0" borderId="45" xfId="0" applyFont="1" applyBorder="1" applyProtection="1">
      <protection locked="0"/>
    </xf>
    <xf numFmtId="170" fontId="63" fillId="0" borderId="17" xfId="1" applyNumberFormat="1" applyFont="1" applyBorder="1"/>
    <xf numFmtId="172" fontId="50" fillId="0" borderId="45" xfId="0" applyNumberFormat="1" applyFont="1" applyBorder="1" applyProtection="1">
      <protection locked="0"/>
    </xf>
    <xf numFmtId="194" fontId="68" fillId="0" borderId="0" xfId="1" applyNumberFormat="1" applyFont="1"/>
    <xf numFmtId="164" fontId="50" fillId="0" borderId="15" xfId="0" applyFont="1" applyBorder="1" applyProtection="1">
      <protection locked="0"/>
    </xf>
    <xf numFmtId="166" fontId="63" fillId="0" borderId="45" xfId="1" applyNumberFormat="1" applyFont="1" applyBorder="1" applyAlignment="1">
      <alignment horizontal="center"/>
    </xf>
    <xf numFmtId="170" fontId="63" fillId="0" borderId="45" xfId="1" applyNumberFormat="1" applyFont="1" applyBorder="1"/>
    <xf numFmtId="164" fontId="43" fillId="0" borderId="45" xfId="1" applyNumberFormat="1" applyBorder="1"/>
    <xf numFmtId="0" fontId="66" fillId="0" borderId="0" xfId="833" quotePrefix="1" applyFont="1" applyAlignment="1">
      <alignment horizontal="left"/>
    </xf>
    <xf numFmtId="165" fontId="70" fillId="0" borderId="0" xfId="837" quotePrefix="1" applyNumberFormat="1" applyFont="1"/>
    <xf numFmtId="41" fontId="49" fillId="0" borderId="0" xfId="17915" applyNumberFormat="1" applyFont="1" applyFill="1" applyAlignment="1">
      <alignment horizontal="right"/>
    </xf>
    <xf numFmtId="174" fontId="43" fillId="0" borderId="0" xfId="14" applyNumberFormat="1" applyAlignment="1">
      <alignment horizontal="right"/>
    </xf>
    <xf numFmtId="188" fontId="0" fillId="0" borderId="0" xfId="14" applyNumberFormat="1" applyFont="1" applyAlignment="1">
      <alignment horizontal="right"/>
    </xf>
    <xf numFmtId="177" fontId="0" fillId="0" borderId="0" xfId="14" applyNumberFormat="1" applyFont="1"/>
    <xf numFmtId="179" fontId="43" fillId="0" borderId="0" xfId="14" applyNumberFormat="1" applyAlignment="1">
      <alignment horizontal="right"/>
    </xf>
    <xf numFmtId="181" fontId="43" fillId="0" borderId="0" xfId="737" applyNumberFormat="1" applyFont="1"/>
    <xf numFmtId="165" fontId="43" fillId="0" borderId="0" xfId="837" applyNumberFormat="1" applyFont="1" applyProtection="1">
      <protection locked="0"/>
    </xf>
    <xf numFmtId="165" fontId="50" fillId="0" borderId="0" xfId="837" applyNumberFormat="1" applyFont="1" applyAlignment="1">
      <alignment horizontal="right"/>
    </xf>
    <xf numFmtId="165" fontId="50" fillId="0" borderId="0" xfId="837" applyNumberFormat="1" applyFont="1"/>
    <xf numFmtId="170" fontId="54" fillId="0" borderId="0" xfId="1" applyNumberFormat="1" applyFont="1"/>
    <xf numFmtId="170" fontId="54" fillId="0" borderId="17" xfId="1" applyNumberFormat="1" applyFont="1" applyBorder="1"/>
    <xf numFmtId="170" fontId="0" fillId="0" borderId="0" xfId="0" applyNumberFormat="1"/>
    <xf numFmtId="170" fontId="43" fillId="0" borderId="45" xfId="1" applyNumberFormat="1" applyBorder="1" applyAlignment="1">
      <alignment horizontal="center"/>
    </xf>
    <xf numFmtId="169" fontId="0" fillId="0" borderId="0" xfId="1" applyNumberFormat="1" applyFont="1"/>
    <xf numFmtId="174" fontId="43" fillId="0" borderId="27" xfId="1" applyNumberFormat="1" applyBorder="1"/>
    <xf numFmtId="170" fontId="0" fillId="0" borderId="27" xfId="1" applyNumberFormat="1" applyFont="1" applyBorder="1"/>
    <xf numFmtId="165" fontId="134" fillId="0" borderId="0" xfId="1" applyNumberFormat="1" applyFont="1"/>
    <xf numFmtId="170" fontId="50" fillId="0" borderId="61" xfId="1" quotePrefix="1" applyNumberFormat="1" applyFont="1" applyBorder="1"/>
    <xf numFmtId="41" fontId="48" fillId="0" borderId="0" xfId="0" applyNumberFormat="1" applyFont="1" applyAlignment="1">
      <alignment horizontal="right"/>
    </xf>
    <xf numFmtId="42" fontId="49" fillId="0" borderId="54" xfId="0" applyNumberFormat="1" applyFont="1" applyBorder="1" applyAlignment="1">
      <alignment horizontal="right"/>
    </xf>
    <xf numFmtId="43" fontId="173" fillId="0" borderId="0" xfId="9958" applyNumberFormat="1"/>
    <xf numFmtId="43" fontId="48" fillId="0" borderId="0" xfId="0" quotePrefix="1" applyNumberFormat="1" applyFont="1"/>
    <xf numFmtId="43" fontId="48" fillId="0" borderId="0" xfId="0" applyNumberFormat="1" applyFont="1" applyAlignment="1">
      <alignment horizontal="left" vertical="top"/>
    </xf>
    <xf numFmtId="170" fontId="64" fillId="0" borderId="26" xfId="1" applyNumberFormat="1" applyFont="1" applyBorder="1"/>
    <xf numFmtId="164" fontId="43" fillId="0" borderId="26" xfId="1" applyNumberFormat="1" applyBorder="1"/>
    <xf numFmtId="165" fontId="83" fillId="0" borderId="0" xfId="0" applyNumberFormat="1" applyFont="1" applyProtection="1">
      <protection locked="0"/>
    </xf>
    <xf numFmtId="166" fontId="43" fillId="0" borderId="0" xfId="3" applyNumberFormat="1" applyFont="1"/>
    <xf numFmtId="0" fontId="43" fillId="0" borderId="0" xfId="3" applyFont="1" applyAlignment="1">
      <alignment horizontal="center"/>
    </xf>
    <xf numFmtId="166" fontId="43" fillId="0" borderId="14" xfId="3" applyNumberFormat="1" applyFont="1" applyBorder="1"/>
    <xf numFmtId="164" fontId="110" fillId="0" borderId="10" xfId="0" applyFont="1" applyBorder="1" applyAlignment="1">
      <alignment horizontal="center"/>
    </xf>
    <xf numFmtId="43" fontId="161" fillId="0" borderId="0" xfId="0" applyNumberFormat="1" applyFont="1"/>
    <xf numFmtId="49" fontId="110" fillId="0" borderId="0" xfId="0" applyNumberFormat="1" applyFont="1"/>
    <xf numFmtId="0" fontId="161" fillId="0" borderId="0" xfId="0" applyNumberFormat="1" applyFont="1" applyAlignment="1">
      <alignment horizontal="left"/>
    </xf>
    <xf numFmtId="0" fontId="161" fillId="0" borderId="0" xfId="0" applyNumberFormat="1" applyFont="1" applyAlignment="1">
      <alignment vertical="top"/>
    </xf>
    <xf numFmtId="0" fontId="48" fillId="0" borderId="0" xfId="0" applyNumberFormat="1" applyFont="1" applyAlignment="1">
      <alignment horizontal="left"/>
    </xf>
    <xf numFmtId="43" fontId="161" fillId="0" borderId="0" xfId="17915" applyFont="1"/>
    <xf numFmtId="164" fontId="48" fillId="0" borderId="0" xfId="0" applyFont="1" applyAlignment="1">
      <alignment horizontal="left" indent="1"/>
    </xf>
    <xf numFmtId="49" fontId="161" fillId="0" borderId="0" xfId="0" applyNumberFormat="1" applyFont="1" applyAlignment="1">
      <alignment vertical="top" wrapText="1"/>
    </xf>
    <xf numFmtId="43" fontId="159" fillId="0" borderId="0" xfId="25863" applyFont="1" applyFill="1" applyBorder="1"/>
    <xf numFmtId="43" fontId="50" fillId="0" borderId="0" xfId="25860" applyNumberFormat="1" applyFont="1" applyFill="1" applyBorder="1"/>
    <xf numFmtId="164" fontId="110" fillId="0" borderId="0" xfId="0" applyFont="1" applyAlignment="1">
      <alignment horizontal="left"/>
    </xf>
    <xf numFmtId="43" fontId="110" fillId="0" borderId="0" xfId="0" applyNumberFormat="1" applyFont="1"/>
    <xf numFmtId="43" fontId="43" fillId="0" borderId="0" xfId="17915" applyFont="1" applyFill="1" applyBorder="1" applyAlignment="1" applyProtection="1">
      <alignment horizontal="right"/>
    </xf>
    <xf numFmtId="43" fontId="0" fillId="0" borderId="0" xfId="17915" applyFont="1" applyFill="1" applyAlignment="1" applyProtection="1">
      <alignment horizontal="right"/>
    </xf>
    <xf numFmtId="44" fontId="50" fillId="0" borderId="54" xfId="25864" applyFont="1" applyFill="1" applyBorder="1"/>
    <xf numFmtId="44" fontId="110" fillId="0" borderId="0" xfId="0" applyNumberFormat="1" applyFont="1"/>
    <xf numFmtId="0" fontId="147" fillId="0" borderId="0" xfId="1025" quotePrefix="1" applyFont="1" applyAlignment="1">
      <alignment horizontal="right"/>
    </xf>
    <xf numFmtId="170" fontId="50" fillId="0" borderId="0" xfId="49849" applyNumberFormat="1" applyFont="1" applyFill="1" applyBorder="1" applyAlignment="1" applyProtection="1"/>
    <xf numFmtId="165" fontId="0" fillId="0" borderId="0" xfId="1" quotePrefix="1" applyNumberFormat="1" applyFont="1" applyAlignment="1">
      <alignment horizontal="left"/>
    </xf>
    <xf numFmtId="164" fontId="43" fillId="0" borderId="0" xfId="1933" applyNumberFormat="1" applyFont="1" applyBorder="1" applyAlignment="1"/>
    <xf numFmtId="164" fontId="50" fillId="0" borderId="69" xfId="1" applyNumberFormat="1" applyFont="1" applyBorder="1"/>
    <xf numFmtId="165" fontId="157" fillId="0" borderId="0" xfId="1" applyNumberFormat="1" applyFont="1"/>
    <xf numFmtId="165" fontId="43" fillId="0" borderId="0" xfId="1" quotePrefix="1" applyNumberFormat="1" applyAlignment="1">
      <alignment horizontal="left"/>
    </xf>
    <xf numFmtId="44" fontId="43" fillId="0" borderId="0" xfId="25864" applyFont="1" applyFill="1" applyBorder="1"/>
    <xf numFmtId="44" fontId="50" fillId="0" borderId="0" xfId="25864" applyFont="1" applyFill="1" applyBorder="1"/>
    <xf numFmtId="164" fontId="110" fillId="0" borderId="65" xfId="0" applyFont="1" applyBorder="1" applyAlignment="1">
      <alignment horizontal="left"/>
    </xf>
    <xf numFmtId="4" fontId="110" fillId="0" borderId="0" xfId="0" applyNumberFormat="1" applyFont="1"/>
    <xf numFmtId="43" fontId="110" fillId="0" borderId="65" xfId="0" applyNumberFormat="1" applyFont="1" applyBorder="1"/>
    <xf numFmtId="197" fontId="43" fillId="0" borderId="0" xfId="0" applyNumberFormat="1" applyFont="1"/>
    <xf numFmtId="0" fontId="50" fillId="0" borderId="0" xfId="25855" applyFont="1" applyFill="1"/>
    <xf numFmtId="44" fontId="50" fillId="0" borderId="0" xfId="25858" applyFont="1" applyFill="1" applyBorder="1"/>
    <xf numFmtId="0" fontId="50" fillId="0" borderId="0" xfId="25861" applyFill="1"/>
    <xf numFmtId="44" fontId="50" fillId="0" borderId="0" xfId="25858" applyFont="1" applyFill="1" applyBorder="1" applyAlignment="1">
      <alignment horizontal="right"/>
    </xf>
    <xf numFmtId="44" fontId="50" fillId="0" borderId="54" xfId="25858" applyFont="1" applyFill="1" applyBorder="1"/>
    <xf numFmtId="0" fontId="0" fillId="0" borderId="0" xfId="0" applyNumberFormat="1" applyAlignment="1">
      <alignment horizontal="left"/>
    </xf>
    <xf numFmtId="170" fontId="43" fillId="0" borderId="14" xfId="3" applyNumberFormat="1" applyFont="1" applyBorder="1"/>
    <xf numFmtId="170" fontId="43" fillId="0" borderId="0" xfId="3" applyNumberFormat="1" applyFont="1"/>
    <xf numFmtId="44" fontId="161" fillId="0" borderId="0" xfId="0" applyNumberFormat="1" applyFont="1"/>
    <xf numFmtId="49" fontId="48" fillId="0" borderId="0" xfId="0" applyNumberFormat="1" applyFont="1" applyAlignment="1">
      <alignment horizontal="left" vertical="top"/>
    </xf>
    <xf numFmtId="177" fontId="66" fillId="0" borderId="0" xfId="737" applyNumberFormat="1" applyFont="1"/>
    <xf numFmtId="0" fontId="43" fillId="0" borderId="0" xfId="1025" applyAlignment="1">
      <alignment horizontal="left"/>
    </xf>
    <xf numFmtId="164" fontId="55" fillId="0" borderId="0" xfId="0" applyFont="1"/>
    <xf numFmtId="42" fontId="54" fillId="0" borderId="0" xfId="837" applyNumberFormat="1" applyFont="1"/>
    <xf numFmtId="42" fontId="147" fillId="0" borderId="0" xfId="837" applyNumberFormat="1" applyFont="1"/>
    <xf numFmtId="37" fontId="147" fillId="0" borderId="0" xfId="837" applyNumberFormat="1" applyFont="1"/>
    <xf numFmtId="41" fontId="54" fillId="0" borderId="0" xfId="8" applyNumberFormat="1" applyFont="1" applyFill="1" applyAlignment="1"/>
    <xf numFmtId="166" fontId="55" fillId="0" borderId="0" xfId="5" applyNumberFormat="1" applyFont="1" applyAlignment="1">
      <alignment horizontal="right"/>
    </xf>
    <xf numFmtId="169" fontId="97" fillId="0" borderId="0" xfId="5" applyNumberFormat="1"/>
    <xf numFmtId="166" fontId="69" fillId="0" borderId="0" xfId="1" quotePrefix="1" applyNumberFormat="1" applyFont="1" applyAlignment="1">
      <alignment horizontal="left"/>
    </xf>
    <xf numFmtId="4" fontId="43" fillId="0" borderId="0" xfId="1025" applyNumberFormat="1" applyAlignment="1">
      <alignment horizontal="centerContinuous"/>
    </xf>
    <xf numFmtId="43" fontId="43" fillId="0" borderId="0" xfId="25863" applyFont="1" applyFill="1" applyBorder="1" applyAlignment="1">
      <alignment horizontal="left"/>
    </xf>
    <xf numFmtId="44" fontId="43" fillId="0" borderId="0" xfId="25863" applyNumberFormat="1" applyFont="1" applyFill="1" applyBorder="1" applyAlignment="1">
      <alignment horizontal="left"/>
    </xf>
    <xf numFmtId="43" fontId="43" fillId="0" borderId="0" xfId="25863" applyFont="1" applyFill="1" applyBorder="1"/>
    <xf numFmtId="0" fontId="71" fillId="33" borderId="0" xfId="1" applyFont="1" applyFill="1" applyAlignment="1">
      <alignment horizontal="left" vertical="center"/>
    </xf>
    <xf numFmtId="37" fontId="48" fillId="33" borderId="0" xfId="1" applyNumberFormat="1" applyFont="1" applyFill="1" applyAlignment="1">
      <alignment vertical="center"/>
    </xf>
    <xf numFmtId="37" fontId="48" fillId="0" borderId="0" xfId="1" applyNumberFormat="1" applyFont="1" applyAlignment="1">
      <alignment vertical="center"/>
    </xf>
    <xf numFmtId="0" fontId="71" fillId="0" borderId="0" xfId="1" applyFont="1" applyAlignment="1">
      <alignment horizontal="left" vertical="center"/>
    </xf>
    <xf numFmtId="190" fontId="55" fillId="0" borderId="0" xfId="5" applyNumberFormat="1" applyFont="1" applyAlignment="1">
      <alignment horizontal="right"/>
    </xf>
    <xf numFmtId="164" fontId="137" fillId="0" borderId="0" xfId="0" applyFont="1"/>
    <xf numFmtId="164" fontId="138" fillId="0" borderId="0" xfId="0" applyFont="1"/>
    <xf numFmtId="164" fontId="138" fillId="0" borderId="0" xfId="0" applyFont="1" applyAlignment="1">
      <alignment horizontal="left"/>
    </xf>
    <xf numFmtId="170" fontId="50" fillId="0" borderId="69" xfId="1" applyNumberFormat="1" applyFont="1" applyBorder="1" applyAlignment="1">
      <alignment horizontal="right"/>
    </xf>
    <xf numFmtId="170" fontId="50" fillId="0" borderId="53" xfId="1" applyNumberFormat="1" applyFont="1" applyBorder="1"/>
    <xf numFmtId="4" fontId="0" fillId="0" borderId="0" xfId="0" applyNumberFormat="1" applyAlignment="1">
      <alignment horizontal="right"/>
    </xf>
    <xf numFmtId="43" fontId="129" fillId="0" borderId="0" xfId="1" applyNumberFormat="1" applyFont="1"/>
    <xf numFmtId="43" fontId="0" fillId="0" borderId="0" xfId="1" applyNumberFormat="1" applyFont="1" applyAlignment="1">
      <alignment horizontal="center" vertical="top"/>
    </xf>
    <xf numFmtId="43" fontId="50" fillId="0" borderId="65" xfId="25864" applyNumberFormat="1" applyFont="1" applyFill="1" applyBorder="1" applyAlignment="1">
      <alignment horizontal="right"/>
    </xf>
    <xf numFmtId="43" fontId="50" fillId="0" borderId="0" xfId="25864" applyNumberFormat="1" applyFont="1" applyFill="1" applyBorder="1" applyAlignment="1">
      <alignment horizontal="right"/>
    </xf>
    <xf numFmtId="43" fontId="50" fillId="0" borderId="65" xfId="25858" applyNumberFormat="1" applyFont="1" applyFill="1" applyBorder="1" applyAlignment="1">
      <alignment horizontal="right"/>
    </xf>
    <xf numFmtId="174" fontId="0" fillId="0" borderId="0" xfId="1" quotePrefix="1" applyNumberFormat="1" applyFont="1"/>
    <xf numFmtId="164" fontId="49" fillId="0" borderId="0" xfId="0" quotePrefix="1" applyFont="1" applyAlignment="1">
      <alignment horizontal="right"/>
    </xf>
    <xf numFmtId="172" fontId="50" fillId="0" borderId="15" xfId="0" applyNumberFormat="1" applyFont="1" applyBorder="1"/>
    <xf numFmtId="170" fontId="55" fillId="0" borderId="0" xfId="5" applyNumberFormat="1" applyFont="1"/>
    <xf numFmtId="169" fontId="55" fillId="0" borderId="0" xfId="5" applyNumberFormat="1" applyFont="1"/>
    <xf numFmtId="166" fontId="97" fillId="0" borderId="0" xfId="5" applyNumberFormat="1"/>
    <xf numFmtId="169" fontId="139" fillId="0" borderId="0" xfId="5" applyNumberFormat="1" applyFont="1"/>
    <xf numFmtId="166" fontId="55" fillId="0" borderId="0" xfId="5" quotePrefix="1" applyNumberFormat="1" applyFont="1"/>
    <xf numFmtId="0" fontId="48" fillId="0" borderId="66" xfId="857" applyFont="1" applyBorder="1"/>
    <xf numFmtId="0" fontId="48" fillId="0" borderId="64" xfId="857" applyFont="1" applyBorder="1"/>
    <xf numFmtId="164" fontId="50" fillId="0" borderId="69" xfId="0" applyFont="1" applyBorder="1"/>
    <xf numFmtId="170" fontId="50" fillId="0" borderId="45" xfId="0" applyNumberFormat="1" applyFont="1" applyBorder="1"/>
    <xf numFmtId="170" fontId="50" fillId="0" borderId="45" xfId="1" applyNumberFormat="1" applyFont="1" applyBorder="1" applyAlignment="1">
      <alignment horizontal="right"/>
    </xf>
    <xf numFmtId="170" fontId="43" fillId="0" borderId="45" xfId="0" applyNumberFormat="1" applyFont="1" applyBorder="1" applyAlignment="1">
      <alignment horizontal="right"/>
    </xf>
    <xf numFmtId="165" fontId="43" fillId="0" borderId="0" xfId="1" applyNumberFormat="1" applyAlignment="1">
      <alignment horizontal="center"/>
    </xf>
    <xf numFmtId="0" fontId="43" fillId="0" borderId="64" xfId="1" applyBorder="1"/>
    <xf numFmtId="165" fontId="43" fillId="0" borderId="64" xfId="1" applyNumberFormat="1" applyBorder="1"/>
    <xf numFmtId="166" fontId="50" fillId="0" borderId="45" xfId="1" quotePrefix="1" applyNumberFormat="1" applyFont="1" applyBorder="1" applyAlignment="1">
      <alignment horizontal="center"/>
    </xf>
    <xf numFmtId="170" fontId="43" fillId="0" borderId="49" xfId="1" applyNumberFormat="1" applyBorder="1"/>
    <xf numFmtId="0" fontId="43" fillId="0" borderId="0" xfId="1" quotePrefix="1"/>
    <xf numFmtId="0" fontId="43" fillId="0" borderId="0" xfId="1" quotePrefix="1" applyAlignment="1">
      <alignment horizontal="center"/>
    </xf>
    <xf numFmtId="164" fontId="50" fillId="0" borderId="61" xfId="1" applyNumberFormat="1" applyFont="1" applyBorder="1"/>
    <xf numFmtId="174" fontId="50" fillId="0" borderId="64" xfId="1" applyNumberFormat="1" applyFont="1" applyBorder="1"/>
    <xf numFmtId="172" fontId="50" fillId="0" borderId="54" xfId="1" applyNumberFormat="1" applyFont="1" applyBorder="1"/>
    <xf numFmtId="174" fontId="43" fillId="0" borderId="45" xfId="1" applyNumberFormat="1" applyBorder="1"/>
    <xf numFmtId="170" fontId="50" fillId="0" borderId="61" xfId="1" applyNumberFormat="1" applyFont="1" applyBorder="1" applyAlignment="1">
      <alignment horizontal="right"/>
    </xf>
    <xf numFmtId="170" fontId="50" fillId="0" borderId="61" xfId="1" applyNumberFormat="1" applyFont="1" applyBorder="1" applyProtection="1">
      <protection locked="0"/>
    </xf>
    <xf numFmtId="164" fontId="50" fillId="0" borderId="61" xfId="1" applyNumberFormat="1" applyFont="1" applyBorder="1" applyProtection="1">
      <protection locked="0"/>
    </xf>
    <xf numFmtId="170" fontId="50" fillId="0" borderId="61" xfId="1" applyNumberFormat="1" applyFont="1" applyBorder="1" applyAlignment="1">
      <alignment horizontal="center"/>
    </xf>
    <xf numFmtId="174" fontId="50" fillId="0" borderId="64" xfId="1" applyNumberFormat="1" applyFont="1" applyBorder="1" applyAlignment="1">
      <alignment horizontal="right"/>
    </xf>
    <xf numFmtId="174" fontId="50" fillId="0" borderId="71" xfId="1" applyNumberFormat="1" applyFont="1" applyBorder="1" applyAlignment="1">
      <alignment horizontal="right"/>
    </xf>
    <xf numFmtId="174" fontId="50" fillId="0" borderId="54" xfId="1" quotePrefix="1" applyNumberFormat="1" applyFont="1" applyBorder="1"/>
    <xf numFmtId="0" fontId="43" fillId="33" borderId="45" xfId="1" applyFill="1" applyBorder="1" applyAlignment="1">
      <alignment horizontal="center"/>
    </xf>
    <xf numFmtId="37" fontId="48" fillId="0" borderId="64" xfId="1" applyNumberFormat="1" applyFont="1" applyBorder="1"/>
    <xf numFmtId="37" fontId="43" fillId="0" borderId="45" xfId="1" applyNumberFormat="1" applyBorder="1"/>
    <xf numFmtId="37" fontId="50" fillId="0" borderId="45" xfId="1" applyNumberFormat="1" applyFont="1" applyBorder="1" applyAlignment="1" applyProtection="1">
      <alignment horizontal="centerContinuous"/>
      <protection locked="0"/>
    </xf>
    <xf numFmtId="37" fontId="129" fillId="0" borderId="45" xfId="1" applyNumberFormat="1" applyFont="1" applyBorder="1"/>
    <xf numFmtId="170" fontId="43" fillId="0" borderId="64" xfId="0" quotePrefix="1" applyNumberFormat="1" applyFont="1" applyBorder="1" applyAlignment="1">
      <alignment horizontal="center"/>
    </xf>
    <xf numFmtId="170" fontId="50" fillId="0" borderId="64" xfId="0" applyNumberFormat="1" applyFont="1" applyBorder="1"/>
    <xf numFmtId="166" fontId="64" fillId="0" borderId="64" xfId="1" applyNumberFormat="1" applyFont="1" applyBorder="1"/>
    <xf numFmtId="170" fontId="50" fillId="0" borderId="66" xfId="0" applyNumberFormat="1" applyFont="1" applyBorder="1"/>
    <xf numFmtId="170" fontId="63" fillId="0" borderId="69" xfId="1" applyNumberFormat="1" applyFont="1" applyBorder="1"/>
    <xf numFmtId="164" fontId="50" fillId="0" borderId="69" xfId="0" applyFont="1" applyBorder="1" applyProtection="1">
      <protection locked="0"/>
    </xf>
    <xf numFmtId="170" fontId="50" fillId="0" borderId="45" xfId="4" applyNumberFormat="1" applyFont="1" applyFill="1" applyBorder="1"/>
    <xf numFmtId="166" fontId="64" fillId="0" borderId="65" xfId="1" applyNumberFormat="1" applyFont="1" applyBorder="1"/>
    <xf numFmtId="166" fontId="43" fillId="0" borderId="0" xfId="1" quotePrefix="1" applyNumberFormat="1" applyAlignment="1">
      <alignment horizontal="left"/>
    </xf>
    <xf numFmtId="170" fontId="50" fillId="0" borderId="45" xfId="4" applyNumberFormat="1" applyFont="1" applyFill="1" applyBorder="1" applyProtection="1"/>
    <xf numFmtId="166" fontId="64" fillId="0" borderId="26" xfId="1" applyNumberFormat="1" applyFont="1" applyBorder="1"/>
    <xf numFmtId="170" fontId="63" fillId="0" borderId="25" xfId="1" applyNumberFormat="1" applyFont="1" applyBorder="1"/>
    <xf numFmtId="170" fontId="64" fillId="0" borderId="64" xfId="1" applyNumberFormat="1" applyFont="1" applyBorder="1"/>
    <xf numFmtId="1" fontId="50" fillId="0" borderId="45" xfId="1" quotePrefix="1" applyNumberFormat="1" applyFont="1" applyBorder="1" applyAlignment="1">
      <alignment horizontal="center"/>
    </xf>
    <xf numFmtId="0" fontId="43" fillId="0" borderId="16" xfId="1" applyBorder="1"/>
    <xf numFmtId="172" fontId="43" fillId="0" borderId="45" xfId="1" applyNumberFormat="1" applyBorder="1"/>
    <xf numFmtId="172" fontId="43" fillId="0" borderId="45" xfId="0" applyNumberFormat="1" applyFont="1" applyBorder="1"/>
    <xf numFmtId="170" fontId="43" fillId="0" borderId="26" xfId="1" applyNumberFormat="1" applyBorder="1"/>
    <xf numFmtId="3" fontId="43" fillId="0" borderId="0" xfId="1" applyNumberFormat="1" applyAlignment="1">
      <alignment horizontal="left"/>
    </xf>
    <xf numFmtId="164" fontId="50" fillId="0" borderId="45" xfId="1" quotePrefix="1" applyNumberFormat="1" applyFont="1" applyBorder="1" applyAlignment="1">
      <alignment horizontal="right"/>
    </xf>
    <xf numFmtId="166" fontId="43" fillId="0" borderId="64" xfId="1" applyNumberFormat="1" applyBorder="1"/>
    <xf numFmtId="164" fontId="43" fillId="0" borderId="64" xfId="1" applyNumberFormat="1" applyBorder="1"/>
    <xf numFmtId="165" fontId="43" fillId="0" borderId="14" xfId="1" applyNumberFormat="1" applyBorder="1"/>
    <xf numFmtId="165" fontId="43" fillId="0" borderId="17" xfId="1" applyNumberFormat="1" applyBorder="1"/>
    <xf numFmtId="165" fontId="43" fillId="0" borderId="27" xfId="1" applyNumberFormat="1" applyBorder="1"/>
    <xf numFmtId="170" fontId="43" fillId="0" borderId="27" xfId="1" applyNumberFormat="1" applyBorder="1" applyAlignment="1">
      <alignment horizontal="center"/>
    </xf>
    <xf numFmtId="165" fontId="43" fillId="0" borderId="0" xfId="1" applyNumberFormat="1" applyAlignment="1">
      <alignment horizontal="left"/>
    </xf>
    <xf numFmtId="170" fontId="43" fillId="0" borderId="65" xfId="1" applyNumberFormat="1" applyBorder="1"/>
    <xf numFmtId="164" fontId="43" fillId="0" borderId="65" xfId="1" applyNumberFormat="1" applyBorder="1"/>
    <xf numFmtId="170" fontId="43" fillId="0" borderId="0" xfId="4" applyNumberFormat="1" applyFont="1" applyFill="1" applyProtection="1"/>
    <xf numFmtId="170" fontId="43" fillId="0" borderId="0" xfId="4" applyNumberFormat="1" applyFont="1" applyFill="1" applyBorder="1" applyProtection="1"/>
    <xf numFmtId="168" fontId="43" fillId="0" borderId="20" xfId="1" applyNumberFormat="1" applyBorder="1"/>
    <xf numFmtId="165" fontId="43" fillId="0" borderId="19" xfId="1" applyNumberFormat="1" applyBorder="1"/>
    <xf numFmtId="170" fontId="50" fillId="0" borderId="45" xfId="1043" applyNumberFormat="1" applyFont="1" applyFill="1" applyBorder="1"/>
    <xf numFmtId="164" fontId="50" fillId="0" borderId="45" xfId="1043" applyNumberFormat="1" applyFont="1" applyFill="1" applyBorder="1"/>
    <xf numFmtId="166" fontId="43" fillId="0" borderId="19" xfId="1" applyNumberFormat="1" applyBorder="1"/>
    <xf numFmtId="164" fontId="50" fillId="0" borderId="45" xfId="1" applyNumberFormat="1" applyFont="1" applyBorder="1" applyAlignment="1">
      <alignment horizontal="center"/>
    </xf>
    <xf numFmtId="165" fontId="43" fillId="0" borderId="16" xfId="1" applyNumberFormat="1" applyBorder="1"/>
    <xf numFmtId="166" fontId="43" fillId="0" borderId="16" xfId="1" applyNumberFormat="1" applyBorder="1"/>
    <xf numFmtId="164" fontId="50" fillId="0" borderId="25" xfId="1" applyNumberFormat="1" applyFont="1" applyBorder="1" applyAlignment="1">
      <alignment horizontal="right"/>
    </xf>
    <xf numFmtId="170" fontId="43" fillId="0" borderId="65" xfId="1" applyNumberFormat="1" applyBorder="1" applyAlignment="1">
      <alignment horizontal="right"/>
    </xf>
    <xf numFmtId="172" fontId="50" fillId="0" borderId="45" xfId="1" applyNumberFormat="1" applyFont="1" applyBorder="1" applyAlignment="1">
      <alignment horizontal="right"/>
    </xf>
    <xf numFmtId="164" fontId="43" fillId="0" borderId="65" xfId="1" applyNumberFormat="1" applyBorder="1" applyAlignment="1">
      <alignment horizontal="right"/>
    </xf>
    <xf numFmtId="172" fontId="50" fillId="0" borderId="15" xfId="1" applyNumberFormat="1" applyFont="1" applyBorder="1"/>
    <xf numFmtId="0" fontId="50" fillId="0" borderId="45" xfId="3" applyFont="1" applyBorder="1" applyAlignment="1">
      <alignment horizontal="center"/>
    </xf>
    <xf numFmtId="166" fontId="50" fillId="0" borderId="45" xfId="3" applyNumberFormat="1" applyFont="1" applyBorder="1" applyAlignment="1">
      <alignment horizontal="center"/>
    </xf>
    <xf numFmtId="166" fontId="43" fillId="0" borderId="0" xfId="3" applyNumberFormat="1" applyFont="1" applyAlignment="1">
      <alignment horizontal="center"/>
    </xf>
    <xf numFmtId="0" fontId="43" fillId="0" borderId="0" xfId="3" quotePrefix="1" applyFont="1" applyAlignment="1">
      <alignment horizontal="center"/>
    </xf>
    <xf numFmtId="169" fontId="43" fillId="0" borderId="0" xfId="3" applyNumberFormat="1" applyFont="1" applyAlignment="1">
      <alignment horizontal="center"/>
    </xf>
    <xf numFmtId="170" fontId="43" fillId="0" borderId="0" xfId="3" applyNumberFormat="1" applyFont="1" applyAlignment="1">
      <alignment horizontal="center"/>
    </xf>
    <xf numFmtId="164" fontId="43" fillId="0" borderId="0" xfId="3" applyNumberFormat="1" applyFont="1"/>
    <xf numFmtId="170" fontId="43" fillId="0" borderId="45" xfId="3" quotePrefix="1" applyNumberFormat="1" applyFont="1" applyBorder="1"/>
    <xf numFmtId="170" fontId="50" fillId="0" borderId="45" xfId="3" applyNumberFormat="1" applyFont="1" applyBorder="1"/>
    <xf numFmtId="170" fontId="43" fillId="0" borderId="45" xfId="3" applyNumberFormat="1" applyFont="1" applyBorder="1"/>
    <xf numFmtId="170" fontId="43" fillId="0" borderId="0" xfId="3" applyNumberFormat="1" applyFont="1" applyAlignment="1">
      <alignment horizontal="right"/>
    </xf>
    <xf numFmtId="170" fontId="0" fillId="0" borderId="45" xfId="1" applyNumberFormat="1" applyFont="1" applyBorder="1"/>
    <xf numFmtId="172" fontId="0" fillId="0" borderId="45" xfId="1" applyNumberFormat="1" applyFont="1" applyBorder="1"/>
    <xf numFmtId="170" fontId="43" fillId="0" borderId="0" xfId="1" applyNumberFormat="1" applyAlignment="1">
      <alignment horizontal="right" vertical="center"/>
    </xf>
    <xf numFmtId="170" fontId="43" fillId="0" borderId="17" xfId="1" applyNumberFormat="1" applyBorder="1" applyAlignment="1">
      <alignment horizontal="right" vertical="center"/>
    </xf>
    <xf numFmtId="170" fontId="43" fillId="0" borderId="0" xfId="4" applyNumberFormat="1" applyFont="1" applyFill="1"/>
    <xf numFmtId="170" fontId="50" fillId="0" borderId="45" xfId="17915" applyNumberFormat="1" applyFont="1" applyBorder="1" applyAlignment="1"/>
    <xf numFmtId="170" fontId="50" fillId="0" borderId="45" xfId="17915" applyNumberFormat="1" applyFont="1" applyFill="1" applyBorder="1" applyAlignment="1"/>
    <xf numFmtId="169" fontId="43" fillId="0" borderId="17" xfId="1" applyNumberFormat="1" applyBorder="1"/>
    <xf numFmtId="172" fontId="43" fillId="0" borderId="0" xfId="1933" applyNumberFormat="1" applyFont="1" applyFill="1" applyBorder="1" applyAlignment="1" applyProtection="1"/>
    <xf numFmtId="169" fontId="43" fillId="0" borderId="0" xfId="49849" applyNumberFormat="1" applyFont="1" applyFill="1" applyBorder="1" applyAlignment="1" applyProtection="1"/>
    <xf numFmtId="164" fontId="50" fillId="0" borderId="25" xfId="0" applyFont="1" applyBorder="1" applyProtection="1">
      <protection locked="0"/>
    </xf>
    <xf numFmtId="170" fontId="43" fillId="0" borderId="0" xfId="1" quotePrefix="1" applyNumberFormat="1" applyAlignment="1">
      <alignment horizontal="left"/>
    </xf>
    <xf numFmtId="170" fontId="43" fillId="0" borderId="45" xfId="17915" applyNumberFormat="1" applyFont="1" applyFill="1" applyBorder="1" applyAlignment="1">
      <alignment horizontal="center"/>
    </xf>
    <xf numFmtId="170" fontId="43" fillId="0" borderId="0" xfId="17915" applyNumberFormat="1" applyFont="1" applyFill="1" applyBorder="1" applyAlignment="1">
      <alignment horizontal="center"/>
    </xf>
    <xf numFmtId="0" fontId="66" fillId="0" borderId="64" xfId="833" applyFont="1" applyBorder="1"/>
    <xf numFmtId="177" fontId="71" fillId="0" borderId="61" xfId="833" applyNumberFormat="1" applyFont="1" applyBorder="1" applyAlignment="1">
      <alignment horizontal="right"/>
    </xf>
    <xf numFmtId="177" fontId="66" fillId="0" borderId="64" xfId="833" applyNumberFormat="1" applyFont="1" applyBorder="1"/>
    <xf numFmtId="184" fontId="66" fillId="0" borderId="64" xfId="833" applyNumberFormat="1" applyFont="1" applyBorder="1"/>
    <xf numFmtId="0" fontId="71" fillId="0" borderId="64" xfId="833" applyFont="1" applyBorder="1"/>
    <xf numFmtId="0" fontId="49" fillId="0" borderId="10" xfId="0" applyNumberFormat="1" applyFont="1" applyBorder="1" applyAlignment="1">
      <alignment horizontal="center"/>
    </xf>
    <xf numFmtId="43" fontId="49" fillId="0" borderId="10" xfId="9958" quotePrefix="1" applyNumberFormat="1" applyFont="1" applyBorder="1" applyAlignment="1">
      <alignment horizontal="center"/>
    </xf>
    <xf numFmtId="189" fontId="43" fillId="0" borderId="64" xfId="8" applyNumberFormat="1" applyFont="1" applyFill="1" applyBorder="1" applyAlignment="1"/>
    <xf numFmtId="41" fontId="43" fillId="0" borderId="65" xfId="8" applyNumberFormat="1" applyFont="1" applyFill="1" applyBorder="1" applyAlignment="1"/>
    <xf numFmtId="41" fontId="50" fillId="0" borderId="10" xfId="837" applyNumberFormat="1" applyFont="1" applyBorder="1"/>
    <xf numFmtId="43" fontId="50" fillId="0" borderId="10" xfId="1769" applyNumberFormat="1" applyFont="1" applyBorder="1" applyAlignment="1">
      <alignment horizontal="right"/>
    </xf>
    <xf numFmtId="44" fontId="50" fillId="0" borderId="15" xfId="1769" applyNumberFormat="1" applyFont="1" applyBorder="1" applyAlignment="1">
      <alignment horizontal="right"/>
    </xf>
    <xf numFmtId="164" fontId="71" fillId="0" borderId="10" xfId="0" applyFont="1" applyBorder="1" applyAlignment="1">
      <alignment horizontal="center"/>
    </xf>
    <xf numFmtId="41" fontId="50" fillId="0" borderId="61" xfId="736" applyNumberFormat="1" applyFont="1" applyBorder="1"/>
    <xf numFmtId="42" fontId="96" fillId="0" borderId="15" xfId="736" applyNumberFormat="1" applyFont="1" applyBorder="1"/>
    <xf numFmtId="0" fontId="4" fillId="0" borderId="0" xfId="838" applyFont="1"/>
    <xf numFmtId="41" fontId="43" fillId="0" borderId="65" xfId="8" applyNumberFormat="1" applyFont="1" applyBorder="1" applyAlignment="1"/>
    <xf numFmtId="0" fontId="48" fillId="0" borderId="61" xfId="857" applyFont="1" applyBorder="1"/>
    <xf numFmtId="0" fontId="140" fillId="0" borderId="61" xfId="857" applyFont="1" applyBorder="1"/>
    <xf numFmtId="0" fontId="48" fillId="0" borderId="61" xfId="857" applyFont="1" applyBorder="1" applyAlignment="1">
      <alignment horizontal="left"/>
    </xf>
    <xf numFmtId="170" fontId="50" fillId="0" borderId="25" xfId="3" applyNumberFormat="1" applyFont="1" applyBorder="1"/>
    <xf numFmtId="170" fontId="50" fillId="0" borderId="26" xfId="1" applyNumberFormat="1" applyFont="1" applyBorder="1"/>
    <xf numFmtId="172" fontId="50" fillId="0" borderId="25" xfId="0" applyNumberFormat="1" applyFont="1" applyBorder="1"/>
    <xf numFmtId="170" fontId="43" fillId="0" borderId="26" xfId="5509" applyNumberFormat="1" applyFont="1" applyBorder="1"/>
    <xf numFmtId="170" fontId="43" fillId="0" borderId="26" xfId="3" applyNumberFormat="1" applyFont="1" applyBorder="1"/>
    <xf numFmtId="170" fontId="43" fillId="0" borderId="26" xfId="3" applyNumberFormat="1" applyFont="1" applyBorder="1" applyAlignment="1">
      <alignment horizontal="center"/>
    </xf>
    <xf numFmtId="166" fontId="43" fillId="0" borderId="26" xfId="3" applyNumberFormat="1" applyFont="1" applyBorder="1"/>
    <xf numFmtId="166" fontId="43" fillId="0" borderId="26" xfId="3" applyNumberFormat="1" applyFont="1" applyBorder="1" applyAlignment="1">
      <alignment horizontal="right"/>
    </xf>
    <xf numFmtId="170" fontId="63" fillId="0" borderId="19" xfId="1" applyNumberFormat="1" applyFont="1" applyBorder="1"/>
    <xf numFmtId="170" fontId="204" fillId="0" borderId="0" xfId="0" quotePrefix="1" applyNumberFormat="1" applyFont="1" applyAlignment="1">
      <alignment horizontal="right"/>
    </xf>
    <xf numFmtId="174" fontId="43" fillId="0" borderId="16" xfId="1" applyNumberFormat="1" applyBorder="1"/>
    <xf numFmtId="174" fontId="50" fillId="0" borderId="16" xfId="1" applyNumberFormat="1" applyFont="1" applyBorder="1"/>
    <xf numFmtId="170" fontId="0" fillId="0" borderId="0" xfId="0" applyNumberFormat="1" applyAlignment="1" applyProtection="1">
      <alignment horizontal="right"/>
      <protection locked="0"/>
    </xf>
    <xf numFmtId="0" fontId="205" fillId="0" borderId="0" xfId="1" quotePrefix="1" applyFont="1" applyAlignment="1">
      <alignment horizontal="center"/>
    </xf>
    <xf numFmtId="3" fontId="50" fillId="0" borderId="0" xfId="1" applyNumberFormat="1" applyFont="1" applyAlignment="1">
      <alignment horizontal="center"/>
    </xf>
    <xf numFmtId="3" fontId="43" fillId="0" borderId="64" xfId="1" applyNumberFormat="1" applyBorder="1"/>
    <xf numFmtId="170" fontId="83" fillId="0" borderId="0" xfId="1" applyNumberFormat="1" applyFont="1"/>
    <xf numFmtId="0" fontId="207" fillId="0" borderId="0" xfId="1" applyFont="1"/>
    <xf numFmtId="170" fontId="159" fillId="0" borderId="0" xfId="5509" applyNumberFormat="1" applyFont="1"/>
    <xf numFmtId="165" fontId="159" fillId="0" borderId="0" xfId="1" applyNumberFormat="1" applyFont="1"/>
    <xf numFmtId="165" fontId="208" fillId="0" borderId="0" xfId="1" applyNumberFormat="1" applyFont="1"/>
    <xf numFmtId="164" fontId="159" fillId="0" borderId="0" xfId="0" applyFont="1"/>
    <xf numFmtId="170" fontId="159" fillId="0" borderId="0" xfId="4" applyNumberFormat="1" applyFont="1" applyFill="1" applyProtection="1"/>
    <xf numFmtId="170" fontId="159" fillId="0" borderId="0" xfId="4" applyNumberFormat="1" applyFont="1" applyFill="1" applyBorder="1" applyProtection="1"/>
    <xf numFmtId="170" fontId="159" fillId="0" borderId="0" xfId="1" quotePrefix="1" applyNumberFormat="1" applyFont="1" applyAlignment="1">
      <alignment horizontal="right"/>
    </xf>
    <xf numFmtId="170" fontId="159" fillId="0" borderId="17" xfId="1" applyNumberFormat="1" applyFont="1" applyBorder="1"/>
    <xf numFmtId="170" fontId="159" fillId="0" borderId="0" xfId="1" applyNumberFormat="1" applyFont="1" applyAlignment="1">
      <alignment horizontal="right"/>
    </xf>
    <xf numFmtId="170" fontId="159" fillId="0" borderId="27" xfId="1" applyNumberFormat="1" applyFont="1" applyBorder="1"/>
    <xf numFmtId="170" fontId="209" fillId="0" borderId="0" xfId="1" applyNumberFormat="1" applyFont="1"/>
    <xf numFmtId="165" fontId="85" fillId="0" borderId="0" xfId="1" applyNumberFormat="1" applyFont="1"/>
    <xf numFmtId="170" fontId="204" fillId="0" borderId="0" xfId="1" applyNumberFormat="1" applyFont="1" applyAlignment="1">
      <alignment horizontal="center"/>
    </xf>
    <xf numFmtId="166" fontId="50" fillId="0" borderId="0" xfId="3" applyNumberFormat="1" applyFont="1"/>
    <xf numFmtId="170" fontId="43" fillId="0" borderId="0" xfId="5509" quotePrefix="1" applyNumberFormat="1" applyFont="1" applyAlignment="1">
      <alignment horizontal="right"/>
    </xf>
    <xf numFmtId="166" fontId="159" fillId="0" borderId="0" xfId="1" applyNumberFormat="1" applyFont="1"/>
    <xf numFmtId="165" fontId="88" fillId="0" borderId="0" xfId="1" applyNumberFormat="1" applyFont="1"/>
    <xf numFmtId="169" fontId="43" fillId="0" borderId="0" xfId="1" quotePrefix="1" applyNumberFormat="1" applyAlignment="1">
      <alignment horizontal="right"/>
    </xf>
    <xf numFmtId="170" fontId="88" fillId="0" borderId="0" xfId="1" applyNumberFormat="1" applyFont="1"/>
    <xf numFmtId="170" fontId="50" fillId="0" borderId="23" xfId="1" applyNumberFormat="1" applyFont="1" applyBorder="1"/>
    <xf numFmtId="165" fontId="90" fillId="0" borderId="0" xfId="1" applyNumberFormat="1" applyFont="1" applyAlignment="1">
      <alignment horizontal="left"/>
    </xf>
    <xf numFmtId="177" fontId="50" fillId="0" borderId="23" xfId="737" applyNumberFormat="1" applyFont="1" applyBorder="1" applyAlignment="1">
      <alignment horizontal="center"/>
    </xf>
    <xf numFmtId="177" fontId="50" fillId="0" borderId="10" xfId="737" applyNumberFormat="1" applyFont="1" applyBorder="1" applyAlignment="1">
      <alignment horizontal="center"/>
    </xf>
    <xf numFmtId="180" fontId="43" fillId="0" borderId="0" xfId="737" applyNumberFormat="1" applyFont="1"/>
    <xf numFmtId="177" fontId="43" fillId="0" borderId="0" xfId="737" quotePrefix="1" applyNumberFormat="1" applyFont="1"/>
    <xf numFmtId="180" fontId="97" fillId="0" borderId="0" xfId="737" applyNumberFormat="1" applyFont="1"/>
    <xf numFmtId="0" fontId="58" fillId="0" borderId="0" xfId="833" applyFont="1"/>
    <xf numFmtId="183" fontId="71" fillId="0" borderId="0" xfId="833" quotePrefix="1" applyNumberFormat="1" applyFont="1" applyAlignment="1">
      <alignment horizontal="center"/>
    </xf>
    <xf numFmtId="0" fontId="67" fillId="0" borderId="64" xfId="833" applyFont="1" applyBorder="1"/>
    <xf numFmtId="184" fontId="66" fillId="0" borderId="0" xfId="833" applyNumberFormat="1" applyFont="1" applyAlignment="1">
      <alignment horizontal="right"/>
    </xf>
    <xf numFmtId="39" fontId="80" fillId="0" borderId="0" xfId="833" applyNumberFormat="1" applyFont="1"/>
    <xf numFmtId="180" fontId="80" fillId="0" borderId="0" xfId="833" applyNumberFormat="1" applyFont="1"/>
    <xf numFmtId="180" fontId="80" fillId="0" borderId="0" xfId="833" applyNumberFormat="1" applyFont="1" applyAlignment="1">
      <alignment horizontal="left"/>
    </xf>
    <xf numFmtId="184" fontId="66" fillId="0" borderId="0" xfId="833" quotePrefix="1" applyNumberFormat="1" applyFont="1" applyAlignment="1">
      <alignment horizontal="center"/>
    </xf>
    <xf numFmtId="176" fontId="80" fillId="0" borderId="0" xfId="833" applyNumberFormat="1" applyFont="1"/>
    <xf numFmtId="173" fontId="66" fillId="0" borderId="0" xfId="833" applyNumberFormat="1" applyFont="1" applyProtection="1">
      <protection locked="0"/>
    </xf>
    <xf numFmtId="176" fontId="66" fillId="0" borderId="0" xfId="833" applyNumberFormat="1" applyFont="1" applyProtection="1">
      <protection locked="0"/>
    </xf>
    <xf numFmtId="176" fontId="66" fillId="0" borderId="0" xfId="833" applyNumberFormat="1" applyFont="1" applyAlignment="1" applyProtection="1">
      <alignment horizontal="right"/>
      <protection locked="0"/>
    </xf>
    <xf numFmtId="176" fontId="66" fillId="0" borderId="0" xfId="833" applyNumberFormat="1" applyFont="1" applyAlignment="1">
      <alignment horizontal="center"/>
    </xf>
    <xf numFmtId="0" fontId="48" fillId="0" borderId="0" xfId="9958" applyFont="1" applyAlignment="1">
      <alignment horizontal="center"/>
    </xf>
    <xf numFmtId="0" fontId="49" fillId="0" borderId="10" xfId="9958" applyFont="1" applyBorder="1" applyAlignment="1">
      <alignment horizontal="centerContinuous"/>
    </xf>
    <xf numFmtId="0" fontId="173" fillId="0" borderId="0" xfId="9958"/>
    <xf numFmtId="0" fontId="48" fillId="0" borderId="59" xfId="9958" applyFont="1" applyBorder="1"/>
    <xf numFmtId="0" fontId="49" fillId="0" borderId="0" xfId="9958" applyFont="1" applyAlignment="1">
      <alignment horizontal="centerContinuous" vertical="top"/>
    </xf>
    <xf numFmtId="0" fontId="49" fillId="0" borderId="0" xfId="9958" applyFont="1" applyAlignment="1">
      <alignment horizontal="centerContinuous"/>
    </xf>
    <xf numFmtId="0" fontId="48" fillId="0" borderId="13" xfId="9958" applyFont="1" applyBorder="1"/>
    <xf numFmtId="0" fontId="48" fillId="0" borderId="0" xfId="9958" applyFont="1"/>
    <xf numFmtId="185" fontId="49" fillId="0" borderId="10" xfId="9958" applyNumberFormat="1" applyFont="1" applyBorder="1" applyAlignment="1">
      <alignment horizontal="center"/>
    </xf>
    <xf numFmtId="4" fontId="48" fillId="0" borderId="0" xfId="0" applyNumberFormat="1" applyFont="1" applyAlignment="1">
      <alignment horizontal="right"/>
    </xf>
    <xf numFmtId="0" fontId="48" fillId="0" borderId="13" xfId="0" applyNumberFormat="1" applyFont="1" applyBorder="1"/>
    <xf numFmtId="42" fontId="48" fillId="0" borderId="0" xfId="0" applyNumberFormat="1" applyFont="1"/>
    <xf numFmtId="41" fontId="48" fillId="0" borderId="0" xfId="0" quotePrefix="1" applyNumberFormat="1" applyFont="1" applyAlignment="1">
      <alignment horizontal="right"/>
    </xf>
    <xf numFmtId="3" fontId="48" fillId="0" borderId="0" xfId="0" applyNumberFormat="1" applyFont="1"/>
    <xf numFmtId="186" fontId="48" fillId="0" borderId="0" xfId="0" applyNumberFormat="1" applyFont="1"/>
    <xf numFmtId="0" fontId="48" fillId="0" borderId="0" xfId="0" applyNumberFormat="1" applyFont="1" applyAlignment="1">
      <alignment horizontal="center"/>
    </xf>
    <xf numFmtId="0" fontId="48" fillId="0" borderId="0" xfId="0" applyNumberFormat="1" applyFont="1" applyAlignment="1">
      <alignment horizontal="center" vertical="top"/>
    </xf>
    <xf numFmtId="186" fontId="48" fillId="0" borderId="0" xfId="0" applyNumberFormat="1" applyFont="1" applyAlignment="1">
      <alignment horizontal="right" vertical="top"/>
    </xf>
    <xf numFmtId="41" fontId="43" fillId="0" borderId="65" xfId="837" quotePrefix="1" applyNumberFormat="1" applyFont="1" applyBorder="1" applyAlignment="1">
      <alignment horizontal="right"/>
    </xf>
    <xf numFmtId="39" fontId="50" fillId="0" borderId="0" xfId="0" applyNumberFormat="1" applyFont="1" applyAlignment="1">
      <alignment horizontal="center"/>
    </xf>
    <xf numFmtId="43" fontId="50" fillId="0" borderId="54" xfId="17915" applyFont="1" applyFill="1" applyBorder="1" applyAlignment="1" applyProtection="1">
      <alignment horizontal="right"/>
    </xf>
    <xf numFmtId="164" fontId="43" fillId="0" borderId="0" xfId="737" applyNumberFormat="1" applyFont="1"/>
    <xf numFmtId="164" fontId="98" fillId="0" borderId="0" xfId="737" applyNumberFormat="1"/>
    <xf numFmtId="7" fontId="50" fillId="0" borderId="0" xfId="737" applyNumberFormat="1" applyFont="1" applyAlignment="1">
      <alignment horizontal="right"/>
    </xf>
    <xf numFmtId="4" fontId="101" fillId="0" borderId="0" xfId="0" applyNumberFormat="1" applyFont="1" applyAlignment="1">
      <alignment horizontal="left"/>
    </xf>
    <xf numFmtId="0" fontId="7" fillId="0" borderId="0" xfId="838" applyFont="1"/>
    <xf numFmtId="4" fontId="114" fillId="0" borderId="0" xfId="1025" applyNumberFormat="1" applyFont="1" applyAlignment="1">
      <alignment horizontal="right"/>
    </xf>
    <xf numFmtId="39" fontId="49" fillId="0" borderId="0" xfId="1025" applyNumberFormat="1" applyFont="1"/>
    <xf numFmtId="4" fontId="114" fillId="0" borderId="0" xfId="1025" applyNumberFormat="1" applyFont="1"/>
    <xf numFmtId="39" fontId="114" fillId="0" borderId="0" xfId="1025" applyNumberFormat="1" applyFont="1" applyAlignment="1">
      <alignment horizontal="right"/>
    </xf>
    <xf numFmtId="4" fontId="87" fillId="0" borderId="0" xfId="1025" applyNumberFormat="1" applyFont="1"/>
    <xf numFmtId="39" fontId="114" fillId="0" borderId="0" xfId="1025" applyNumberFormat="1" applyFont="1"/>
    <xf numFmtId="4" fontId="114" fillId="0" borderId="0" xfId="1025" quotePrefix="1" applyNumberFormat="1" applyFont="1" applyAlignment="1">
      <alignment horizontal="left"/>
    </xf>
    <xf numFmtId="39" fontId="114" fillId="0" borderId="0" xfId="1025" quotePrefix="1" applyNumberFormat="1" applyFont="1" applyAlignment="1">
      <alignment horizontal="left"/>
    </xf>
    <xf numFmtId="4" fontId="48" fillId="0" borderId="0" xfId="1025" applyNumberFormat="1" applyFont="1" applyAlignment="1">
      <alignment horizontal="right"/>
    </xf>
    <xf numFmtId="1" fontId="50" fillId="0" borderId="0" xfId="1025" applyNumberFormat="1" applyFont="1"/>
    <xf numFmtId="44" fontId="115" fillId="0" borderId="0" xfId="838" applyNumberFormat="1" applyFont="1"/>
    <xf numFmtId="164" fontId="204" fillId="0" borderId="0" xfId="0" applyFont="1"/>
    <xf numFmtId="170" fontId="204" fillId="0" borderId="0" xfId="0" applyNumberFormat="1" applyFont="1" applyAlignment="1">
      <alignment horizontal="right"/>
    </xf>
    <xf numFmtId="170" fontId="204" fillId="0" borderId="0" xfId="1" applyNumberFormat="1" applyFont="1"/>
    <xf numFmtId="164" fontId="50" fillId="0" borderId="69" xfId="1" quotePrefix="1" applyNumberFormat="1" applyFont="1" applyBorder="1"/>
    <xf numFmtId="170" fontId="204" fillId="0" borderId="0" xfId="1" applyNumberFormat="1" applyFont="1" applyAlignment="1">
      <alignment horizontal="right"/>
    </xf>
    <xf numFmtId="165" fontId="153" fillId="0" borderId="0" xfId="1" applyNumberFormat="1" applyFont="1"/>
    <xf numFmtId="170" fontId="43" fillId="0" borderId="0" xfId="17915" applyNumberFormat="1" applyFont="1" applyFill="1" applyAlignment="1"/>
    <xf numFmtId="41" fontId="205" fillId="0" borderId="61" xfId="837" applyNumberFormat="1" applyFont="1" applyBorder="1"/>
    <xf numFmtId="0" fontId="210" fillId="0" borderId="0" xfId="1" applyFont="1"/>
    <xf numFmtId="165" fontId="204" fillId="0" borderId="0" xfId="0" applyNumberFormat="1" applyFont="1" applyAlignment="1">
      <alignment horizontal="left"/>
    </xf>
    <xf numFmtId="0" fontId="204" fillId="0" borderId="0" xfId="1" applyFont="1"/>
    <xf numFmtId="170" fontId="204" fillId="0" borderId="0" xfId="5509" applyNumberFormat="1" applyFont="1"/>
    <xf numFmtId="170" fontId="204" fillId="0" borderId="0" xfId="1" quotePrefix="1" applyNumberFormat="1" applyFont="1"/>
    <xf numFmtId="170" fontId="204" fillId="0" borderId="16" xfId="1" applyNumberFormat="1" applyFont="1" applyBorder="1"/>
    <xf numFmtId="165" fontId="204" fillId="0" borderId="0" xfId="1" applyNumberFormat="1" applyFont="1"/>
    <xf numFmtId="165" fontId="220" fillId="0" borderId="14" xfId="1" applyNumberFormat="1" applyFont="1" applyBorder="1"/>
    <xf numFmtId="165" fontId="206" fillId="0" borderId="0" xfId="1" applyNumberFormat="1" applyFont="1"/>
    <xf numFmtId="165" fontId="220" fillId="0" borderId="0" xfId="1" applyNumberFormat="1" applyFont="1"/>
    <xf numFmtId="170" fontId="204" fillId="0" borderId="0" xfId="4" applyNumberFormat="1" applyFont="1" applyFill="1" applyProtection="1"/>
    <xf numFmtId="170" fontId="204" fillId="0" borderId="0" xfId="0" applyNumberFormat="1" applyFont="1" applyAlignment="1" applyProtection="1">
      <alignment horizontal="right"/>
      <protection locked="0"/>
    </xf>
    <xf numFmtId="170" fontId="204" fillId="0" borderId="27" xfId="1" applyNumberFormat="1" applyFont="1" applyBorder="1"/>
    <xf numFmtId="166" fontId="50" fillId="0" borderId="74" xfId="1" applyNumberFormat="1" applyFont="1" applyBorder="1"/>
    <xf numFmtId="170" fontId="64" fillId="0" borderId="74" xfId="1" applyNumberFormat="1" applyFont="1" applyBorder="1"/>
    <xf numFmtId="164" fontId="43" fillId="0" borderId="0" xfId="0" applyFont="1" applyAlignment="1">
      <alignment horizontal="center"/>
    </xf>
    <xf numFmtId="0" fontId="50" fillId="0" borderId="0" xfId="1" applyFont="1" applyAlignment="1">
      <alignment horizontal="right"/>
    </xf>
    <xf numFmtId="0" fontId="50" fillId="0" borderId="0" xfId="1" applyFont="1" applyAlignment="1">
      <alignment horizontal="left"/>
    </xf>
    <xf numFmtId="0" fontId="50" fillId="0" borderId="45" xfId="1" applyFont="1" applyBorder="1" applyAlignment="1">
      <alignment horizontal="center"/>
    </xf>
    <xf numFmtId="0" fontId="50" fillId="0" borderId="45" xfId="1" applyFont="1" applyBorder="1" applyAlignment="1" applyProtection="1">
      <alignment horizontal="center"/>
      <protection locked="0"/>
    </xf>
    <xf numFmtId="166" fontId="50" fillId="0" borderId="45" xfId="1" applyNumberFormat="1" applyFont="1" applyBorder="1" applyAlignment="1">
      <alignment horizontal="center"/>
    </xf>
    <xf numFmtId="0" fontId="50" fillId="0" borderId="45" xfId="1" quotePrefix="1" applyFont="1" applyBorder="1" applyAlignment="1">
      <alignment horizontal="center"/>
    </xf>
    <xf numFmtId="0" fontId="86" fillId="0" borderId="0" xfId="3"/>
    <xf numFmtId="0" fontId="50" fillId="0" borderId="45" xfId="3" quotePrefix="1" applyFont="1" applyBorder="1" applyAlignment="1">
      <alignment horizontal="center"/>
    </xf>
    <xf numFmtId="0" fontId="0" fillId="0" borderId="45" xfId="1" applyFont="1" applyBorder="1"/>
    <xf numFmtId="180" fontId="48" fillId="0" borderId="0" xfId="1769" applyNumberFormat="1" applyFont="1" applyAlignment="1">
      <alignment horizontal="left" vertical="top" wrapText="1"/>
    </xf>
    <xf numFmtId="3" fontId="204" fillId="0" borderId="0" xfId="1" applyNumberFormat="1" applyFont="1"/>
    <xf numFmtId="166" fontId="204" fillId="0" borderId="0" xfId="1" applyNumberFormat="1" applyFont="1"/>
    <xf numFmtId="166" fontId="43" fillId="0" borderId="27" xfId="1" applyNumberFormat="1" applyBorder="1" applyAlignment="1">
      <alignment horizontal="center"/>
    </xf>
    <xf numFmtId="166" fontId="43" fillId="0" borderId="27" xfId="1" applyNumberFormat="1" applyBorder="1"/>
    <xf numFmtId="170" fontId="64" fillId="0" borderId="75" xfId="1" applyNumberFormat="1" applyFont="1" applyBorder="1"/>
    <xf numFmtId="170" fontId="63" fillId="0" borderId="75" xfId="1" applyNumberFormat="1" applyFont="1" applyBorder="1"/>
    <xf numFmtId="170" fontId="43" fillId="0" borderId="76" xfId="1" quotePrefix="1" applyNumberFormat="1" applyBorder="1"/>
    <xf numFmtId="170" fontId="43" fillId="0" borderId="76" xfId="1" applyNumberFormat="1" applyBorder="1"/>
    <xf numFmtId="170" fontId="43" fillId="0" borderId="76" xfId="1" applyNumberFormat="1" applyBorder="1" applyAlignment="1">
      <alignment horizontal="right"/>
    </xf>
    <xf numFmtId="170" fontId="50" fillId="0" borderId="76" xfId="1" applyNumberFormat="1" applyFont="1" applyBorder="1"/>
    <xf numFmtId="165" fontId="43" fillId="0" borderId="76" xfId="1" applyNumberFormat="1" applyBorder="1"/>
    <xf numFmtId="174" fontId="50" fillId="0" borderId="76" xfId="3" applyNumberFormat="1" applyFont="1" applyBorder="1"/>
    <xf numFmtId="0" fontId="43" fillId="0" borderId="76" xfId="3" applyFont="1" applyBorder="1"/>
    <xf numFmtId="166" fontId="43" fillId="0" borderId="76" xfId="3" applyNumberFormat="1" applyFont="1" applyBorder="1"/>
    <xf numFmtId="170" fontId="43" fillId="0" borderId="76" xfId="3" applyNumberFormat="1" applyFont="1" applyBorder="1"/>
    <xf numFmtId="170" fontId="50" fillId="0" borderId="76" xfId="3" applyNumberFormat="1" applyFont="1" applyBorder="1"/>
    <xf numFmtId="174" fontId="50" fillId="0" borderId="76" xfId="1" applyNumberFormat="1" applyFont="1" applyBorder="1"/>
    <xf numFmtId="166" fontId="43" fillId="0" borderId="76" xfId="1" applyNumberFormat="1" applyBorder="1"/>
    <xf numFmtId="170" fontId="43" fillId="0" borderId="76" xfId="1" applyNumberFormat="1" applyBorder="1" applyAlignment="1">
      <alignment horizontal="center"/>
    </xf>
    <xf numFmtId="170" fontId="50" fillId="0" borderId="76" xfId="49849" applyNumberFormat="1" applyFont="1" applyFill="1" applyBorder="1" applyAlignment="1" applyProtection="1"/>
    <xf numFmtId="49" fontId="50" fillId="0" borderId="29" xfId="737" quotePrefix="1" applyNumberFormat="1" applyFont="1" applyBorder="1" applyAlignment="1">
      <alignment horizontal="center"/>
    </xf>
    <xf numFmtId="185" fontId="50" fillId="0" borderId="29" xfId="0" applyNumberFormat="1" applyFont="1" applyBorder="1" applyAlignment="1">
      <alignment horizontal="center"/>
    </xf>
    <xf numFmtId="39" fontId="50" fillId="0" borderId="29" xfId="0" applyNumberFormat="1" applyFont="1" applyBorder="1" applyAlignment="1">
      <alignment horizontal="center"/>
    </xf>
    <xf numFmtId="39" fontId="50" fillId="0" borderId="45" xfId="1769" applyNumberFormat="1" applyFont="1" applyBorder="1" applyAlignment="1">
      <alignment horizontal="center"/>
    </xf>
    <xf numFmtId="43" fontId="43" fillId="0" borderId="45" xfId="1769" applyNumberFormat="1" applyBorder="1" applyAlignment="1">
      <alignment horizontal="right"/>
    </xf>
    <xf numFmtId="43" fontId="50" fillId="0" borderId="45" xfId="1769" applyNumberFormat="1" applyFont="1" applyBorder="1"/>
    <xf numFmtId="44" fontId="50" fillId="0" borderId="51" xfId="1769" applyNumberFormat="1" applyFont="1" applyBorder="1"/>
    <xf numFmtId="43" fontId="43" fillId="0" borderId="45" xfId="1769" applyNumberFormat="1" applyBorder="1"/>
    <xf numFmtId="43" fontId="50" fillId="0" borderId="45" xfId="1769" applyNumberFormat="1" applyFont="1" applyBorder="1" applyAlignment="1">
      <alignment horizontal="right"/>
    </xf>
    <xf numFmtId="44" fontId="50" fillId="0" borderId="51" xfId="1769" applyNumberFormat="1" applyFont="1" applyBorder="1" applyAlignment="1">
      <alignment horizontal="right"/>
    </xf>
    <xf numFmtId="41" fontId="43" fillId="0" borderId="45" xfId="837" applyNumberFormat="1" applyFont="1" applyBorder="1"/>
    <xf numFmtId="41" fontId="43" fillId="0" borderId="61" xfId="837" applyNumberFormat="1" applyFont="1" applyBorder="1"/>
    <xf numFmtId="0" fontId="43" fillId="0" borderId="45" xfId="14" applyNumberFormat="1" applyBorder="1" applyAlignment="1">
      <alignment horizontal="center"/>
    </xf>
    <xf numFmtId="44" fontId="43" fillId="0" borderId="0" xfId="25858" applyFont="1" applyFill="1" applyBorder="1"/>
    <xf numFmtId="43" fontId="43" fillId="0" borderId="0" xfId="25859" applyFont="1" applyFill="1" applyBorder="1"/>
    <xf numFmtId="43" fontId="159" fillId="0" borderId="0" xfId="737" applyNumberFormat="1" applyFont="1"/>
    <xf numFmtId="43" fontId="160" fillId="0" borderId="0" xfId="737" applyNumberFormat="1" applyFont="1" applyAlignment="1">
      <alignment horizontal="center"/>
    </xf>
    <xf numFmtId="43" fontId="160" fillId="0" borderId="0" xfId="737" quotePrefix="1" applyNumberFormat="1" applyFont="1" applyAlignment="1">
      <alignment horizontal="center"/>
    </xf>
    <xf numFmtId="43" fontId="159" fillId="0" borderId="0" xfId="737" applyNumberFormat="1" applyFont="1" applyAlignment="1">
      <alignment horizontal="left"/>
    </xf>
    <xf numFmtId="43" fontId="159" fillId="0" borderId="0" xfId="737" quotePrefix="1" applyNumberFormat="1" applyFont="1" applyAlignment="1">
      <alignment horizontal="center"/>
    </xf>
    <xf numFmtId="43" fontId="159" fillId="0" borderId="0" xfId="737" applyNumberFormat="1" applyFont="1" applyAlignment="1">
      <alignment horizontal="center"/>
    </xf>
    <xf numFmtId="43" fontId="160" fillId="0" borderId="0" xfId="737" applyNumberFormat="1" applyFont="1" applyAlignment="1">
      <alignment horizontal="right"/>
    </xf>
    <xf numFmtId="43" fontId="159" fillId="0" borderId="0" xfId="737" applyNumberFormat="1" applyFont="1" applyAlignment="1">
      <alignment horizontal="right"/>
    </xf>
    <xf numFmtId="181" fontId="208" fillId="0" borderId="0" xfId="0" applyNumberFormat="1" applyFont="1"/>
    <xf numFmtId="44" fontId="110" fillId="0" borderId="54" xfId="49849" applyFont="1" applyBorder="1"/>
    <xf numFmtId="164" fontId="110" fillId="0" borderId="45" xfId="0" applyFont="1" applyBorder="1" applyAlignment="1">
      <alignment horizontal="center" wrapText="1"/>
    </xf>
    <xf numFmtId="43" fontId="49" fillId="0" borderId="0" xfId="9958" quotePrefix="1" applyNumberFormat="1" applyFont="1" applyAlignment="1">
      <alignment horizontal="center"/>
    </xf>
    <xf numFmtId="42" fontId="49" fillId="0" borderId="0" xfId="0" applyNumberFormat="1" applyFont="1" applyAlignment="1">
      <alignment horizontal="right"/>
    </xf>
    <xf numFmtId="165" fontId="48" fillId="0" borderId="0" xfId="1" applyNumberFormat="1" applyFont="1" applyAlignment="1">
      <alignment horizontal="centerContinuous"/>
    </xf>
    <xf numFmtId="170" fontId="68" fillId="0" borderId="0" xfId="1" applyNumberFormat="1" applyFont="1" applyAlignment="1">
      <alignment horizontal="right"/>
    </xf>
    <xf numFmtId="43" fontId="43" fillId="0" borderId="0" xfId="17915" applyFont="1" applyFill="1" applyAlignment="1" applyProtection="1">
      <alignment horizontal="center"/>
    </xf>
    <xf numFmtId="189" fontId="3" fillId="0" borderId="64" xfId="8" applyNumberFormat="1" applyFont="1" applyFill="1" applyBorder="1" applyAlignment="1"/>
    <xf numFmtId="0" fontId="176" fillId="0" borderId="0" xfId="25853"/>
    <xf numFmtId="0" fontId="41" fillId="0" borderId="0" xfId="25853" applyFont="1" applyAlignment="1">
      <alignment horizontal="left"/>
    </xf>
    <xf numFmtId="43" fontId="176" fillId="0" borderId="0" xfId="25853" applyNumberFormat="1"/>
    <xf numFmtId="0" fontId="177" fillId="0" borderId="0" xfId="25853" applyFont="1" applyAlignment="1">
      <alignment horizontal="left"/>
    </xf>
    <xf numFmtId="0" fontId="71" fillId="0" borderId="0" xfId="25853" quotePrefix="1" applyFont="1" applyAlignment="1">
      <alignment horizontal="left"/>
    </xf>
    <xf numFmtId="0" fontId="44" fillId="0" borderId="0" xfId="25853" quotePrefix="1" applyFont="1" applyAlignment="1">
      <alignment horizontal="left"/>
    </xf>
    <xf numFmtId="0" fontId="147" fillId="0" borderId="0" xfId="25853" applyFont="1" applyAlignment="1">
      <alignment horizontal="left"/>
    </xf>
    <xf numFmtId="0" fontId="43" fillId="0" borderId="0" xfId="25853" applyFont="1"/>
    <xf numFmtId="0" fontId="182" fillId="0" borderId="0" xfId="25853" applyFont="1" applyAlignment="1">
      <alignment horizontal="center"/>
    </xf>
    <xf numFmtId="0" fontId="48" fillId="0" borderId="0" xfId="25853" applyFont="1"/>
    <xf numFmtId="0" fontId="43" fillId="0" borderId="0" xfId="25854" applyFont="1" applyBorder="1">
      <alignment horizontal="right"/>
    </xf>
    <xf numFmtId="0" fontId="0" fillId="0" borderId="0" xfId="25854" applyFont="1" applyBorder="1">
      <alignment horizontal="right"/>
    </xf>
    <xf numFmtId="0" fontId="54" fillId="0" borderId="0" xfId="25856" applyFont="1" applyBorder="1" applyAlignment="1">
      <alignment horizontal="left"/>
    </xf>
    <xf numFmtId="0" fontId="43" fillId="0" borderId="0" xfId="25856" applyFont="1"/>
    <xf numFmtId="0" fontId="0" fillId="0" borderId="0" xfId="25856" applyFont="1"/>
    <xf numFmtId="0" fontId="43" fillId="0" borderId="0" xfId="25856" applyFont="1" applyBorder="1" applyAlignment="1">
      <alignment horizontal="left"/>
    </xf>
    <xf numFmtId="0" fontId="159" fillId="0" borderId="0" xfId="25856" applyFont="1"/>
    <xf numFmtId="0" fontId="161" fillId="0" borderId="0" xfId="25862" applyFont="1" applyAlignment="1">
      <alignment horizontal="left" wrapText="1"/>
    </xf>
    <xf numFmtId="0" fontId="147" fillId="0" borderId="0" xfId="25862" applyFont="1"/>
    <xf numFmtId="0" fontId="110" fillId="0" borderId="0" xfId="25853" applyFont="1" applyAlignment="1">
      <alignment horizontal="left"/>
    </xf>
    <xf numFmtId="0" fontId="188" fillId="0" borderId="0" xfId="25853" applyFont="1" applyAlignment="1">
      <alignment horizontal="left" vertical="top"/>
    </xf>
    <xf numFmtId="0" fontId="161" fillId="0" borderId="0" xfId="25853" applyFont="1" applyAlignment="1">
      <alignment horizontal="left" vertical="top"/>
    </xf>
    <xf numFmtId="0" fontId="179" fillId="0" borderId="0" xfId="25853" quotePrefix="1" applyFont="1" applyAlignment="1">
      <alignment horizontal="left"/>
    </xf>
    <xf numFmtId="0" fontId="54" fillId="0" borderId="0" xfId="25853" applyFont="1" applyAlignment="1">
      <alignment horizontal="left"/>
    </xf>
    <xf numFmtId="0" fontId="185" fillId="0" borderId="0" xfId="25853" applyFont="1" applyAlignment="1">
      <alignment horizontal="center"/>
    </xf>
    <xf numFmtId="0" fontId="184" fillId="0" borderId="0" xfId="25853" applyFont="1"/>
    <xf numFmtId="0" fontId="161" fillId="0" borderId="0" xfId="25853" applyFont="1" applyAlignment="1">
      <alignment horizontal="left"/>
    </xf>
    <xf numFmtId="0" fontId="161" fillId="0" borderId="0" xfId="25853" applyFont="1" applyAlignment="1">
      <alignment horizontal="left" vertical="top" wrapText="1"/>
    </xf>
    <xf numFmtId="166" fontId="43" fillId="0" borderId="0" xfId="0" applyNumberFormat="1" applyFont="1"/>
    <xf numFmtId="166" fontId="50" fillId="0" borderId="0" xfId="0" applyNumberFormat="1" applyFont="1"/>
    <xf numFmtId="166" fontId="43" fillId="0" borderId="0" xfId="0" applyNumberFormat="1" applyFont="1" applyAlignment="1">
      <alignment horizontal="center"/>
    </xf>
    <xf numFmtId="174" fontId="50" fillId="0" borderId="51" xfId="0" applyNumberFormat="1" applyFont="1" applyBorder="1"/>
    <xf numFmtId="166" fontId="50" fillId="0" borderId="0" xfId="0" quotePrefix="1" applyNumberFormat="1" applyFont="1" applyAlignment="1">
      <alignment horizontal="center"/>
    </xf>
    <xf numFmtId="166" fontId="43" fillId="0" borderId="0" xfId="0" quotePrefix="1" applyNumberFormat="1" applyFont="1" applyAlignment="1">
      <alignment horizontal="center"/>
    </xf>
    <xf numFmtId="166" fontId="43" fillId="0" borderId="0" xfId="0" quotePrefix="1" applyNumberFormat="1" applyFont="1"/>
    <xf numFmtId="174" fontId="50" fillId="0" borderId="0" xfId="0" applyNumberFormat="1" applyFont="1"/>
    <xf numFmtId="0" fontId="70" fillId="0" borderId="0" xfId="1769" applyFont="1"/>
    <xf numFmtId="165" fontId="48" fillId="0" borderId="0" xfId="0" applyNumberFormat="1" applyFont="1" applyAlignment="1">
      <alignment horizontal="left"/>
    </xf>
    <xf numFmtId="165" fontId="48" fillId="0" borderId="0" xfId="0" applyNumberFormat="1" applyFont="1" applyAlignment="1">
      <alignment horizontal="centerContinuous"/>
    </xf>
    <xf numFmtId="0" fontId="70" fillId="0" borderId="0" xfId="0" applyNumberFormat="1" applyFont="1"/>
    <xf numFmtId="165" fontId="71" fillId="0" borderId="0" xfId="0" quotePrefix="1" applyNumberFormat="1" applyFont="1" applyAlignment="1">
      <alignment horizontal="left"/>
    </xf>
    <xf numFmtId="165" fontId="43" fillId="0" borderId="0" xfId="0" applyNumberFormat="1" applyFont="1" applyAlignment="1">
      <alignment horizontal="centerContinuous"/>
    </xf>
    <xf numFmtId="165" fontId="70" fillId="0" borderId="0" xfId="0" applyNumberFormat="1" applyFont="1"/>
    <xf numFmtId="165" fontId="71" fillId="0" borderId="0" xfId="0" applyNumberFormat="1" applyFont="1" applyAlignment="1">
      <alignment horizontal="left"/>
    </xf>
    <xf numFmtId="165" fontId="50" fillId="0" borderId="0" xfId="0" quotePrefix="1" applyNumberFormat="1" applyFont="1" applyAlignment="1">
      <alignment horizontal="centerContinuous"/>
    </xf>
    <xf numFmtId="0" fontId="50" fillId="0" borderId="45" xfId="0" quotePrefix="1" applyNumberFormat="1" applyFont="1" applyBorder="1" applyAlignment="1">
      <alignment horizontal="center"/>
    </xf>
    <xf numFmtId="0" fontId="50" fillId="0" borderId="0" xfId="0" applyNumberFormat="1" applyFont="1"/>
    <xf numFmtId="0" fontId="43" fillId="0" borderId="0" xfId="0" applyNumberFormat="1" applyFont="1"/>
    <xf numFmtId="0" fontId="43" fillId="0" borderId="0" xfId="0" quotePrefix="1" applyNumberFormat="1" applyFont="1" applyAlignment="1">
      <alignment horizontal="left"/>
    </xf>
    <xf numFmtId="165" fontId="78" fillId="0" borderId="0" xfId="0" applyNumberFormat="1" applyFont="1"/>
    <xf numFmtId="0" fontId="50" fillId="0" borderId="0" xfId="0" quotePrefix="1" applyNumberFormat="1" applyFont="1" applyAlignment="1">
      <alignment horizontal="left"/>
    </xf>
    <xf numFmtId="37" fontId="50" fillId="0" borderId="0" xfId="1" quotePrefix="1" applyNumberFormat="1" applyFont="1"/>
    <xf numFmtId="170" fontId="43" fillId="0" borderId="19" xfId="0" applyNumberFormat="1" applyFont="1" applyBorder="1" applyAlignment="1">
      <alignment horizontal="right"/>
    </xf>
    <xf numFmtId="169" fontId="43" fillId="0" borderId="0" xfId="5" applyNumberFormat="1" applyFont="1"/>
    <xf numFmtId="44" fontId="50" fillId="0" borderId="0" xfId="1769" applyNumberFormat="1" applyFont="1" applyAlignment="1">
      <alignment horizontal="right"/>
    </xf>
    <xf numFmtId="43" fontId="43" fillId="0" borderId="76" xfId="1769" applyNumberFormat="1" applyBorder="1"/>
    <xf numFmtId="0" fontId="70" fillId="0" borderId="0" xfId="1" applyFont="1" applyAlignment="1">
      <alignment horizontal="left"/>
    </xf>
    <xf numFmtId="0" fontId="48" fillId="0" borderId="0" xfId="1" applyFont="1" applyAlignment="1">
      <alignment horizontal="left"/>
    </xf>
    <xf numFmtId="170" fontId="204" fillId="0" borderId="0" xfId="0" applyNumberFormat="1" applyFont="1"/>
    <xf numFmtId="165" fontId="50" fillId="0" borderId="64" xfId="0" applyNumberFormat="1" applyFont="1" applyBorder="1" applyAlignment="1">
      <alignment horizontal="center"/>
    </xf>
    <xf numFmtId="174" fontId="43" fillId="0" borderId="0" xfId="0" applyNumberFormat="1" applyFont="1"/>
    <xf numFmtId="170" fontId="43" fillId="0" borderId="64" xfId="0" applyNumberFormat="1" applyFont="1" applyBorder="1"/>
    <xf numFmtId="166" fontId="50" fillId="0" borderId="64" xfId="0" applyNumberFormat="1" applyFont="1" applyBorder="1"/>
    <xf numFmtId="165" fontId="204" fillId="0" borderId="0" xfId="0" applyNumberFormat="1" applyFont="1"/>
    <xf numFmtId="165" fontId="210" fillId="0" borderId="0" xfId="0" applyNumberFormat="1" applyFont="1"/>
    <xf numFmtId="165" fontId="211" fillId="0" borderId="0" xfId="0" applyNumberFormat="1" applyFont="1"/>
    <xf numFmtId="165" fontId="46" fillId="0" borderId="0" xfId="0" applyNumberFormat="1" applyFont="1"/>
    <xf numFmtId="39" fontId="212" fillId="0" borderId="0" xfId="0" applyNumberFormat="1" applyFont="1" applyAlignment="1">
      <alignment horizontal="left"/>
    </xf>
    <xf numFmtId="164" fontId="204" fillId="0" borderId="0" xfId="0" applyFont="1" applyAlignment="1">
      <alignment horizontal="left"/>
    </xf>
    <xf numFmtId="166" fontId="212" fillId="0" borderId="0" xfId="0" applyNumberFormat="1" applyFont="1" applyAlignment="1">
      <alignment horizontal="right"/>
    </xf>
    <xf numFmtId="166" fontId="206" fillId="0" borderId="0" xfId="0" applyNumberFormat="1" applyFont="1"/>
    <xf numFmtId="166" fontId="214" fillId="0" borderId="0" xfId="0" applyNumberFormat="1" applyFont="1"/>
    <xf numFmtId="166" fontId="205" fillId="0" borderId="0" xfId="0" applyNumberFormat="1" applyFont="1" applyAlignment="1">
      <alignment horizontal="right"/>
    </xf>
    <xf numFmtId="166" fontId="205" fillId="0" borderId="0" xfId="0" quotePrefix="1" applyNumberFormat="1" applyFont="1" applyAlignment="1">
      <alignment horizontal="right"/>
    </xf>
    <xf numFmtId="166" fontId="205" fillId="0" borderId="0" xfId="0" applyNumberFormat="1" applyFont="1" applyAlignment="1">
      <alignment horizontal="center"/>
    </xf>
    <xf numFmtId="166" fontId="205" fillId="0" borderId="0" xfId="0" applyNumberFormat="1" applyFont="1"/>
    <xf numFmtId="166" fontId="204" fillId="0" borderId="0" xfId="0" applyNumberFormat="1" applyFont="1"/>
    <xf numFmtId="166" fontId="205" fillId="0" borderId="45" xfId="0" applyNumberFormat="1" applyFont="1" applyBorder="1" applyAlignment="1">
      <alignment horizontal="centerContinuous"/>
    </xf>
    <xf numFmtId="166" fontId="205" fillId="0" borderId="0" xfId="0" quotePrefix="1" applyNumberFormat="1" applyFont="1" applyAlignment="1">
      <alignment horizontal="center"/>
    </xf>
    <xf numFmtId="166" fontId="204" fillId="0" borderId="0" xfId="0" applyNumberFormat="1" applyFont="1" applyAlignment="1">
      <alignment horizontal="center"/>
    </xf>
    <xf numFmtId="166" fontId="205" fillId="0" borderId="45" xfId="0" quotePrefix="1" applyNumberFormat="1" applyFont="1" applyBorder="1" applyAlignment="1">
      <alignment horizontal="center"/>
    </xf>
    <xf numFmtId="166" fontId="205" fillId="0" borderId="45" xfId="0" applyNumberFormat="1" applyFont="1" applyBorder="1" applyAlignment="1">
      <alignment horizontal="center"/>
    </xf>
    <xf numFmtId="166" fontId="204" fillId="0" borderId="74" xfId="0" applyNumberFormat="1" applyFont="1" applyBorder="1"/>
    <xf numFmtId="166" fontId="204" fillId="0" borderId="49" xfId="0" applyNumberFormat="1" applyFont="1" applyBorder="1"/>
    <xf numFmtId="166" fontId="204" fillId="0" borderId="14" xfId="0" applyNumberFormat="1" applyFont="1" applyBorder="1"/>
    <xf numFmtId="37" fontId="204" fillId="0" borderId="0" xfId="0" quotePrefix="1" applyNumberFormat="1" applyFont="1" applyAlignment="1">
      <alignment horizontal="left"/>
    </xf>
    <xf numFmtId="167" fontId="204" fillId="0" borderId="0" xfId="0" applyNumberFormat="1" applyFont="1"/>
    <xf numFmtId="167" fontId="204" fillId="0" borderId="74" xfId="0" applyNumberFormat="1" applyFont="1" applyBorder="1"/>
    <xf numFmtId="167" fontId="204" fillId="0" borderId="49" xfId="0" applyNumberFormat="1" applyFont="1" applyBorder="1"/>
    <xf numFmtId="167" fontId="204" fillId="0" borderId="14" xfId="0" applyNumberFormat="1" applyFont="1" applyBorder="1"/>
    <xf numFmtId="168" fontId="210" fillId="0" borderId="0" xfId="0" applyNumberFormat="1" applyFont="1"/>
    <xf numFmtId="37" fontId="204" fillId="0" borderId="0" xfId="0" applyNumberFormat="1" applyFont="1" applyAlignment="1">
      <alignment horizontal="left"/>
    </xf>
    <xf numFmtId="170" fontId="204" fillId="0" borderId="74" xfId="0" applyNumberFormat="1" applyFont="1" applyBorder="1"/>
    <xf numFmtId="170" fontId="204" fillId="0" borderId="49" xfId="0" applyNumberFormat="1" applyFont="1" applyBorder="1"/>
    <xf numFmtId="170" fontId="204" fillId="0" borderId="14" xfId="0" applyNumberFormat="1" applyFont="1" applyBorder="1"/>
    <xf numFmtId="165" fontId="204" fillId="0" borderId="0" xfId="0" quotePrefix="1" applyNumberFormat="1" applyFont="1" applyAlignment="1">
      <alignment horizontal="left"/>
    </xf>
    <xf numFmtId="170" fontId="205" fillId="0" borderId="61" xfId="0" applyNumberFormat="1" applyFont="1" applyBorder="1" applyAlignment="1">
      <alignment horizontal="right"/>
    </xf>
    <xf numFmtId="170" fontId="205" fillId="0" borderId="0" xfId="0" applyNumberFormat="1" applyFont="1"/>
    <xf numFmtId="170" fontId="205" fillId="0" borderId="61" xfId="0" applyNumberFormat="1" applyFont="1" applyBorder="1"/>
    <xf numFmtId="170" fontId="205" fillId="0" borderId="74" xfId="0" applyNumberFormat="1" applyFont="1" applyBorder="1"/>
    <xf numFmtId="170" fontId="205" fillId="0" borderId="49" xfId="0" applyNumberFormat="1" applyFont="1" applyBorder="1"/>
    <xf numFmtId="170" fontId="205" fillId="0" borderId="14" xfId="0" applyNumberFormat="1" applyFont="1" applyBorder="1"/>
    <xf numFmtId="165" fontId="215" fillId="0" borderId="0" xfId="0" applyNumberFormat="1" applyFont="1"/>
    <xf numFmtId="164" fontId="205" fillId="0" borderId="61" xfId="0" applyFont="1" applyBorder="1"/>
    <xf numFmtId="170" fontId="204" fillId="0" borderId="0" xfId="0" applyNumberFormat="1" applyFont="1" applyAlignment="1">
      <alignment horizontal="center"/>
    </xf>
    <xf numFmtId="170" fontId="204" fillId="0" borderId="0" xfId="0" quotePrefix="1" applyNumberFormat="1" applyFont="1" applyAlignment="1">
      <alignment horizontal="center"/>
    </xf>
    <xf numFmtId="166" fontId="204" fillId="0" borderId="0" xfId="0" quotePrefix="1" applyNumberFormat="1" applyFont="1" applyAlignment="1">
      <alignment horizontal="center"/>
    </xf>
    <xf numFmtId="3" fontId="204" fillId="0" borderId="0" xfId="0" applyNumberFormat="1" applyFont="1"/>
    <xf numFmtId="170" fontId="204" fillId="0" borderId="14" xfId="0" quotePrefix="1" applyNumberFormat="1" applyFont="1" applyBorder="1" applyAlignment="1">
      <alignment horizontal="right"/>
    </xf>
    <xf numFmtId="166" fontId="204" fillId="0" borderId="0" xfId="0" quotePrefix="1" applyNumberFormat="1" applyFont="1" applyAlignment="1">
      <alignment horizontal="left"/>
    </xf>
    <xf numFmtId="172" fontId="204" fillId="0" borderId="0" xfId="0" applyNumberFormat="1" applyFont="1"/>
    <xf numFmtId="166" fontId="204" fillId="0" borderId="0" xfId="0" quotePrefix="1" applyNumberFormat="1" applyFont="1"/>
    <xf numFmtId="3" fontId="204" fillId="0" borderId="0" xfId="0" applyNumberFormat="1" applyFont="1" applyAlignment="1">
      <alignment horizontal="left"/>
    </xf>
    <xf numFmtId="173" fontId="43" fillId="0" borderId="0" xfId="0" applyNumberFormat="1" applyFont="1"/>
    <xf numFmtId="170" fontId="204" fillId="0" borderId="45" xfId="0" applyNumberFormat="1" applyFont="1" applyBorder="1"/>
    <xf numFmtId="170" fontId="205" fillId="0" borderId="45" xfId="0" applyNumberFormat="1" applyFont="1" applyBorder="1"/>
    <xf numFmtId="172" fontId="205" fillId="0" borderId="45" xfId="0" applyNumberFormat="1" applyFont="1" applyBorder="1"/>
    <xf numFmtId="170" fontId="159" fillId="0" borderId="74" xfId="0" applyNumberFormat="1" applyFont="1" applyBorder="1"/>
    <xf numFmtId="170" fontId="159" fillId="0" borderId="49" xfId="0" applyNumberFormat="1" applyFont="1" applyBorder="1"/>
    <xf numFmtId="170" fontId="159" fillId="0" borderId="0" xfId="0" applyNumberFormat="1" applyFont="1"/>
    <xf numFmtId="170" fontId="204" fillId="0" borderId="14" xfId="0" applyNumberFormat="1" applyFont="1" applyBorder="1" applyAlignment="1">
      <alignment horizontal="center"/>
    </xf>
    <xf numFmtId="164" fontId="204" fillId="0" borderId="45" xfId="0" applyFont="1" applyBorder="1"/>
    <xf numFmtId="170" fontId="205" fillId="0" borderId="61" xfId="0" quotePrefix="1" applyNumberFormat="1" applyFont="1" applyBorder="1" applyAlignment="1">
      <alignment horizontal="right"/>
    </xf>
    <xf numFmtId="170" fontId="160" fillId="0" borderId="74" xfId="0" applyNumberFormat="1" applyFont="1" applyBorder="1"/>
    <xf numFmtId="170" fontId="160" fillId="0" borderId="49" xfId="0" applyNumberFormat="1" applyFont="1" applyBorder="1"/>
    <xf numFmtId="170" fontId="160" fillId="0" borderId="0" xfId="0" applyNumberFormat="1" applyFont="1"/>
    <xf numFmtId="170" fontId="205" fillId="0" borderId="0" xfId="0" quotePrefix="1" applyNumberFormat="1" applyFont="1" applyAlignment="1">
      <alignment horizontal="right"/>
    </xf>
    <xf numFmtId="173" fontId="204" fillId="0" borderId="0" xfId="0" applyNumberFormat="1" applyFont="1"/>
    <xf numFmtId="170" fontId="160" fillId="0" borderId="14" xfId="0" applyNumberFormat="1" applyFont="1" applyBorder="1"/>
    <xf numFmtId="172" fontId="205" fillId="0" borderId="0" xfId="0" applyNumberFormat="1" applyFont="1"/>
    <xf numFmtId="170" fontId="159" fillId="0" borderId="14" xfId="0" applyNumberFormat="1" applyFont="1" applyBorder="1"/>
    <xf numFmtId="166" fontId="205" fillId="0" borderId="0" xfId="0" applyNumberFormat="1" applyFont="1" applyAlignment="1">
      <alignment horizontal="left"/>
    </xf>
    <xf numFmtId="164" fontId="205" fillId="0" borderId="45" xfId="0" applyFont="1" applyBorder="1"/>
    <xf numFmtId="174" fontId="205" fillId="0" borderId="51" xfId="0" applyNumberFormat="1" applyFont="1" applyBorder="1"/>
    <xf numFmtId="174" fontId="205" fillId="0" borderId="0" xfId="0" applyNumberFormat="1" applyFont="1"/>
    <xf numFmtId="174" fontId="160" fillId="0" borderId="74" xfId="0" applyNumberFormat="1" applyFont="1" applyBorder="1"/>
    <xf numFmtId="174" fontId="160" fillId="0" borderId="49" xfId="0" applyNumberFormat="1" applyFont="1" applyBorder="1"/>
    <xf numFmtId="174" fontId="160" fillId="0" borderId="0" xfId="0" applyNumberFormat="1" applyFont="1"/>
    <xf numFmtId="174" fontId="160" fillId="0" borderId="14" xfId="0" applyNumberFormat="1" applyFont="1" applyBorder="1"/>
    <xf numFmtId="164" fontId="205" fillId="0" borderId="51" xfId="0" applyFont="1" applyBorder="1"/>
    <xf numFmtId="169" fontId="50" fillId="0" borderId="0" xfId="0" applyNumberFormat="1" applyFont="1"/>
    <xf numFmtId="165" fontId="53" fillId="0" borderId="0" xfId="0" applyNumberFormat="1" applyFont="1"/>
    <xf numFmtId="166" fontId="215" fillId="0" borderId="0" xfId="0" applyNumberFormat="1" applyFont="1"/>
    <xf numFmtId="166" fontId="210" fillId="0" borderId="0" xfId="0" applyNumberFormat="1" applyFont="1"/>
    <xf numFmtId="165" fontId="217" fillId="0" borderId="0" xfId="0" applyNumberFormat="1" applyFont="1"/>
    <xf numFmtId="165" fontId="205" fillId="0" borderId="0" xfId="0" applyNumberFormat="1" applyFont="1"/>
    <xf numFmtId="166" fontId="218" fillId="0" borderId="0" xfId="0" quotePrefix="1" applyNumberFormat="1" applyFont="1" applyAlignment="1">
      <alignment horizontal="left"/>
    </xf>
    <xf numFmtId="166" fontId="218" fillId="0" borderId="0" xfId="0" applyNumberFormat="1" applyFont="1" applyAlignment="1">
      <alignment horizontal="left"/>
    </xf>
    <xf numFmtId="165" fontId="218" fillId="0" borderId="0" xfId="0" applyNumberFormat="1" applyFont="1"/>
    <xf numFmtId="165" fontId="219" fillId="0" borderId="0" xfId="0" applyNumberFormat="1" applyFont="1"/>
    <xf numFmtId="165" fontId="142" fillId="0" borderId="0" xfId="0" applyNumberFormat="1" applyFont="1"/>
    <xf numFmtId="164" fontId="47" fillId="0" borderId="0" xfId="0" applyFont="1" applyAlignment="1">
      <alignment horizontal="left"/>
    </xf>
    <xf numFmtId="166" fontId="44" fillId="0" borderId="0" xfId="0" applyNumberFormat="1" applyFont="1" applyAlignment="1">
      <alignment horizontal="right"/>
    </xf>
    <xf numFmtId="166" fontId="44" fillId="0" borderId="0" xfId="0" applyNumberFormat="1" applyFont="1" applyAlignment="1">
      <alignment horizontal="left"/>
    </xf>
    <xf numFmtId="166" fontId="48" fillId="0" borderId="0" xfId="0" applyNumberFormat="1" applyFont="1"/>
    <xf numFmtId="166" fontId="143" fillId="0" borderId="0" xfId="0" applyNumberFormat="1" applyFont="1"/>
    <xf numFmtId="166" fontId="49" fillId="0" borderId="0" xfId="0" applyNumberFormat="1" applyFont="1"/>
    <xf numFmtId="165" fontId="59" fillId="0" borderId="0" xfId="0" applyNumberFormat="1" applyFont="1"/>
    <xf numFmtId="166" fontId="60" fillId="0" borderId="0" xfId="0" applyNumberFormat="1" applyFont="1" applyAlignment="1">
      <alignment horizontal="right"/>
    </xf>
    <xf numFmtId="166" fontId="50" fillId="0" borderId="0" xfId="0" applyNumberFormat="1" applyFont="1" applyAlignment="1">
      <alignment horizontal="center"/>
    </xf>
    <xf numFmtId="166" fontId="62" fillId="0" borderId="0" xfId="0" applyNumberFormat="1" applyFont="1"/>
    <xf numFmtId="166" fontId="61" fillId="0" borderId="0" xfId="0" applyNumberFormat="1" applyFont="1"/>
    <xf numFmtId="166" fontId="50" fillId="0" borderId="45" xfId="0" applyNumberFormat="1" applyFont="1" applyBorder="1" applyAlignment="1">
      <alignment horizontal="centerContinuous"/>
    </xf>
    <xf numFmtId="166" fontId="147" fillId="0" borderId="45" xfId="0" applyNumberFormat="1" applyFont="1" applyBorder="1" applyAlignment="1">
      <alignment horizontal="centerContinuous"/>
    </xf>
    <xf numFmtId="166" fontId="50" fillId="0" borderId="45" xfId="0" applyNumberFormat="1" applyFont="1" applyBorder="1" applyAlignment="1">
      <alignment horizontal="center"/>
    </xf>
    <xf numFmtId="166" fontId="61" fillId="0" borderId="45" xfId="0" applyNumberFormat="1" applyFont="1" applyBorder="1"/>
    <xf numFmtId="165" fontId="46" fillId="0" borderId="45" xfId="0" applyNumberFormat="1" applyFont="1" applyBorder="1"/>
    <xf numFmtId="166" fontId="63" fillId="0" borderId="0" xfId="0" applyNumberFormat="1" applyFont="1" applyAlignment="1">
      <alignment horizontal="center"/>
    </xf>
    <xf numFmtId="166" fontId="51" fillId="0" borderId="0" xfId="0" applyNumberFormat="1" applyFont="1" applyAlignment="1">
      <alignment horizontal="center"/>
    </xf>
    <xf numFmtId="166" fontId="50" fillId="0" borderId="45" xfId="0" quotePrefix="1" applyNumberFormat="1" applyFont="1" applyBorder="1" applyAlignment="1">
      <alignment horizontal="center"/>
    </xf>
    <xf numFmtId="166" fontId="43" fillId="0" borderId="0" xfId="0" quotePrefix="1" applyNumberFormat="1" applyFont="1" applyAlignment="1">
      <alignment horizontal="left"/>
    </xf>
    <xf numFmtId="166" fontId="43" fillId="0" borderId="19" xfId="0" applyNumberFormat="1" applyFont="1" applyBorder="1"/>
    <xf numFmtId="166" fontId="43" fillId="0" borderId="49" xfId="0" applyNumberFormat="1" applyFont="1" applyBorder="1"/>
    <xf numFmtId="166" fontId="52" fillId="0" borderId="14" xfId="0" applyNumberFormat="1" applyFont="1" applyBorder="1"/>
    <xf numFmtId="37" fontId="43" fillId="0" borderId="0" xfId="0" quotePrefix="1" applyNumberFormat="1" applyFont="1" applyAlignment="1">
      <alignment horizontal="left"/>
    </xf>
    <xf numFmtId="174" fontId="43" fillId="0" borderId="49" xfId="0" applyNumberFormat="1" applyFont="1" applyBorder="1"/>
    <xf numFmtId="169" fontId="43" fillId="0" borderId="0" xfId="0" applyNumberFormat="1" applyFont="1"/>
    <xf numFmtId="169" fontId="52" fillId="0" borderId="14" xfId="0" applyNumberFormat="1" applyFont="1" applyBorder="1"/>
    <xf numFmtId="168" fontId="46" fillId="0" borderId="0" xfId="0" applyNumberFormat="1" applyFont="1"/>
    <xf numFmtId="37" fontId="43" fillId="0" borderId="0" xfId="0" applyNumberFormat="1" applyFont="1" applyAlignment="1">
      <alignment horizontal="left"/>
    </xf>
    <xf numFmtId="170" fontId="43" fillId="0" borderId="49" xfId="0" applyNumberFormat="1" applyFont="1" applyBorder="1"/>
    <xf numFmtId="165" fontId="43" fillId="0" borderId="0" xfId="0" quotePrefix="1" applyNumberFormat="1" applyFont="1" applyAlignment="1">
      <alignment horizontal="left"/>
    </xf>
    <xf numFmtId="170" fontId="43" fillId="0" borderId="0" xfId="0" applyNumberFormat="1" applyFont="1" applyAlignment="1">
      <alignment horizontal="center"/>
    </xf>
    <xf numFmtId="170" fontId="43" fillId="0" borderId="49" xfId="0" applyNumberFormat="1" applyFont="1" applyBorder="1" applyAlignment="1">
      <alignment horizontal="center"/>
    </xf>
    <xf numFmtId="170" fontId="50" fillId="0" borderId="61" xfId="0" applyNumberFormat="1" applyFont="1" applyBorder="1"/>
    <xf numFmtId="170" fontId="63" fillId="0" borderId="0" xfId="0" applyNumberFormat="1" applyFont="1"/>
    <xf numFmtId="170" fontId="50" fillId="0" borderId="49" xfId="0" applyNumberFormat="1" applyFont="1" applyBorder="1"/>
    <xf numFmtId="166" fontId="51" fillId="0" borderId="14" xfId="0" applyNumberFormat="1" applyFont="1" applyBorder="1"/>
    <xf numFmtId="164" fontId="50" fillId="0" borderId="61" xfId="0" applyFont="1" applyBorder="1"/>
    <xf numFmtId="3" fontId="43" fillId="0" borderId="0" xfId="0" applyNumberFormat="1" applyFont="1"/>
    <xf numFmtId="3" fontId="43" fillId="0" borderId="0" xfId="0" applyNumberFormat="1" applyFont="1" applyAlignment="1">
      <alignment horizontal="left"/>
    </xf>
    <xf numFmtId="170" fontId="50" fillId="0" borderId="61" xfId="0" quotePrefix="1" applyNumberFormat="1" applyFont="1" applyBorder="1" applyAlignment="1">
      <alignment horizontal="center"/>
    </xf>
    <xf numFmtId="170" fontId="50" fillId="0" borderId="0" xfId="0" applyNumberFormat="1" applyFont="1" applyAlignment="1">
      <alignment horizontal="center"/>
    </xf>
    <xf numFmtId="170" fontId="50" fillId="0" borderId="49" xfId="0" applyNumberFormat="1" applyFont="1" applyBorder="1" applyAlignment="1">
      <alignment horizontal="center"/>
    </xf>
    <xf numFmtId="170" fontId="50" fillId="0" borderId="61" xfId="0" quotePrefix="1" applyNumberFormat="1" applyFont="1" applyBorder="1" applyAlignment="1">
      <alignment horizontal="right"/>
    </xf>
    <xf numFmtId="170" fontId="63" fillId="0" borderId="49" xfId="0" applyNumberFormat="1" applyFont="1" applyBorder="1"/>
    <xf numFmtId="166" fontId="50" fillId="0" borderId="0" xfId="0" quotePrefix="1" applyNumberFormat="1" applyFont="1" applyAlignment="1">
      <alignment horizontal="left"/>
    </xf>
    <xf numFmtId="174" fontId="63" fillId="0" borderId="0" xfId="0" applyNumberFormat="1" applyFont="1"/>
    <xf numFmtId="174" fontId="63" fillId="0" borderId="49" xfId="0" applyNumberFormat="1" applyFont="1" applyBorder="1"/>
    <xf numFmtId="169" fontId="51" fillId="0" borderId="14" xfId="0" applyNumberFormat="1" applyFont="1" applyBorder="1"/>
    <xf numFmtId="164" fontId="50" fillId="0" borderId="51" xfId="0" applyFont="1" applyBorder="1"/>
    <xf numFmtId="166" fontId="53" fillId="0" borderId="0" xfId="0" applyNumberFormat="1" applyFont="1"/>
    <xf numFmtId="166" fontId="46" fillId="0" borderId="0" xfId="0" applyNumberFormat="1" applyFont="1"/>
    <xf numFmtId="165" fontId="56" fillId="0" borderId="0" xfId="0" applyNumberFormat="1" applyFont="1"/>
    <xf numFmtId="166" fontId="51" fillId="0" borderId="0" xfId="0" applyNumberFormat="1" applyFont="1" applyAlignment="1">
      <alignment horizontal="left"/>
    </xf>
    <xf numFmtId="165" fontId="51" fillId="0" borderId="0" xfId="0" applyNumberFormat="1" applyFont="1"/>
    <xf numFmtId="165" fontId="52" fillId="0" borderId="0" xfId="0" applyNumberFormat="1" applyFont="1"/>
    <xf numFmtId="165" fontId="129" fillId="0" borderId="0" xfId="0" applyNumberFormat="1" applyFont="1"/>
    <xf numFmtId="165" fontId="224" fillId="0" borderId="0" xfId="0" applyNumberFormat="1" applyFont="1"/>
    <xf numFmtId="165" fontId="48" fillId="0" borderId="0" xfId="0" applyNumberFormat="1" applyFont="1"/>
    <xf numFmtId="0" fontId="208" fillId="0" borderId="0" xfId="857" applyFont="1"/>
    <xf numFmtId="0" fontId="159" fillId="0" borderId="0" xfId="5" applyFont="1" applyAlignment="1">
      <alignment horizontal="right"/>
    </xf>
    <xf numFmtId="192" fontId="209" fillId="0" borderId="0" xfId="17915" applyNumberFormat="1" applyFont="1"/>
    <xf numFmtId="192" fontId="225" fillId="0" borderId="0" xfId="17915" applyNumberFormat="1" applyFont="1"/>
    <xf numFmtId="165" fontId="159" fillId="0" borderId="0" xfId="1" applyNumberFormat="1" applyFont="1" applyProtection="1">
      <protection locked="0"/>
    </xf>
    <xf numFmtId="192" fontId="159" fillId="0" borderId="0" xfId="17915" applyNumberFormat="1" applyFont="1" applyProtection="1">
      <protection locked="0"/>
    </xf>
    <xf numFmtId="168" fontId="159" fillId="0" borderId="0" xfId="1" applyNumberFormat="1" applyFont="1" applyProtection="1">
      <protection locked="0"/>
    </xf>
    <xf numFmtId="165" fontId="160" fillId="0" borderId="0" xfId="1" applyNumberFormat="1" applyFont="1" applyProtection="1">
      <protection locked="0"/>
    </xf>
    <xf numFmtId="192" fontId="159" fillId="0" borderId="0" xfId="17915" applyNumberFormat="1" applyFont="1"/>
    <xf numFmtId="192" fontId="160" fillId="0" borderId="0" xfId="17915" applyNumberFormat="1" applyFont="1" applyProtection="1">
      <protection locked="0"/>
    </xf>
    <xf numFmtId="166" fontId="64" fillId="0" borderId="49" xfId="0" applyNumberFormat="1" applyFont="1" applyBorder="1"/>
    <xf numFmtId="165" fontId="43" fillId="0" borderId="49" xfId="1" applyNumberFormat="1" applyBorder="1"/>
    <xf numFmtId="0" fontId="43" fillId="0" borderId="49" xfId="1" applyBorder="1"/>
    <xf numFmtId="174" fontId="43" fillId="0" borderId="49" xfId="1" applyNumberFormat="1" applyBorder="1"/>
    <xf numFmtId="170" fontId="43" fillId="0" borderId="49" xfId="1" quotePrefix="1" applyNumberFormat="1" applyBorder="1" applyAlignment="1">
      <alignment horizontal="center"/>
    </xf>
    <xf numFmtId="170" fontId="50" fillId="0" borderId="49" xfId="1" applyNumberFormat="1" applyFont="1" applyBorder="1"/>
    <xf numFmtId="170" fontId="43" fillId="0" borderId="49" xfId="1" quotePrefix="1" applyNumberFormat="1" applyBorder="1" applyAlignment="1">
      <alignment horizontal="right"/>
    </xf>
    <xf numFmtId="170" fontId="50" fillId="0" borderId="49" xfId="1" quotePrefix="1" applyNumberFormat="1" applyFont="1" applyBorder="1" applyAlignment="1">
      <alignment horizontal="right"/>
    </xf>
    <xf numFmtId="170" fontId="50" fillId="0" borderId="49" xfId="1" applyNumberFormat="1" applyFont="1" applyBorder="1" applyAlignment="1">
      <alignment vertical="center"/>
    </xf>
    <xf numFmtId="170" fontId="43" fillId="0" borderId="45" xfId="1" quotePrefix="1" applyNumberFormat="1" applyBorder="1"/>
    <xf numFmtId="174" fontId="43" fillId="0" borderId="49" xfId="1" applyNumberFormat="1" applyBorder="1" applyAlignment="1">
      <alignment horizontal="right"/>
    </xf>
    <xf numFmtId="170" fontId="50" fillId="0" borderId="49" xfId="1" applyNumberFormat="1" applyFont="1" applyBorder="1" applyAlignment="1">
      <alignment horizontal="right"/>
    </xf>
    <xf numFmtId="170" fontId="43" fillId="0" borderId="49" xfId="1" quotePrefix="1" applyNumberFormat="1" applyBorder="1"/>
    <xf numFmtId="170" fontId="50" fillId="0" borderId="49" xfId="1" applyNumberFormat="1" applyFont="1" applyBorder="1" applyAlignment="1">
      <alignment horizontal="center"/>
    </xf>
    <xf numFmtId="174" fontId="50" fillId="0" borderId="49" xfId="1" applyNumberFormat="1" applyFont="1" applyBorder="1" applyAlignment="1">
      <alignment horizontal="right"/>
    </xf>
    <xf numFmtId="170" fontId="43" fillId="0" borderId="49" xfId="1" applyNumberFormat="1" applyBorder="1" applyAlignment="1">
      <alignment horizontal="right"/>
    </xf>
    <xf numFmtId="43" fontId="159" fillId="0" borderId="0" xfId="17915" applyFont="1"/>
    <xf numFmtId="43" fontId="160" fillId="0" borderId="0" xfId="17915" applyFont="1"/>
    <xf numFmtId="192" fontId="159" fillId="0" borderId="0" xfId="17915" applyNumberFormat="1" applyFont="1" applyAlignment="1">
      <alignment horizontal="right"/>
    </xf>
    <xf numFmtId="192" fontId="159" fillId="0" borderId="0" xfId="17915" applyNumberFormat="1" applyFont="1" applyBorder="1" applyAlignment="1"/>
    <xf numFmtId="192" fontId="159" fillId="0" borderId="0" xfId="17915" quotePrefix="1" applyNumberFormat="1" applyFont="1" applyBorder="1" applyAlignment="1">
      <alignment horizontal="right"/>
    </xf>
    <xf numFmtId="192" fontId="159" fillId="0" borderId="0" xfId="17915" quotePrefix="1" applyNumberFormat="1" applyFont="1" applyAlignment="1">
      <alignment horizontal="center"/>
    </xf>
    <xf numFmtId="192" fontId="159" fillId="0" borderId="0" xfId="17915" quotePrefix="1" applyNumberFormat="1" applyFont="1" applyAlignment="1">
      <alignment horizontal="right"/>
    </xf>
    <xf numFmtId="192" fontId="160" fillId="0" borderId="0" xfId="17915" applyNumberFormat="1" applyFont="1"/>
    <xf numFmtId="192" fontId="160" fillId="0" borderId="0" xfId="17915" applyNumberFormat="1" applyFont="1" applyAlignment="1">
      <alignment horizontal="right"/>
    </xf>
    <xf numFmtId="189" fontId="159" fillId="0" borderId="0" xfId="17915" applyNumberFormat="1" applyFont="1"/>
    <xf numFmtId="0" fontId="50" fillId="0" borderId="49" xfId="1" applyFont="1" applyBorder="1" applyAlignment="1">
      <alignment horizontal="center"/>
    </xf>
    <xf numFmtId="37" fontId="50" fillId="0" borderId="49" xfId="1" applyNumberFormat="1" applyFont="1" applyBorder="1" applyAlignment="1">
      <alignment horizontal="center"/>
    </xf>
    <xf numFmtId="37" fontId="48" fillId="0" borderId="49" xfId="1" applyNumberFormat="1" applyFont="1" applyBorder="1"/>
    <xf numFmtId="37" fontId="43" fillId="0" borderId="49" xfId="1" applyNumberFormat="1" applyBorder="1"/>
    <xf numFmtId="170" fontId="43" fillId="0" borderId="0" xfId="17915" applyNumberFormat="1" applyFont="1" applyFill="1" applyBorder="1" applyAlignment="1"/>
    <xf numFmtId="37" fontId="50" fillId="0" borderId="49" xfId="1" quotePrefix="1" applyNumberFormat="1" applyFont="1" applyBorder="1" applyAlignment="1">
      <alignment horizontal="center"/>
    </xf>
    <xf numFmtId="192" fontId="208" fillId="0" borderId="0" xfId="17915" applyNumberFormat="1" applyFont="1"/>
    <xf numFmtId="165" fontId="226" fillId="0" borderId="0" xfId="1" applyNumberFormat="1" applyFont="1"/>
    <xf numFmtId="192" fontId="48" fillId="0" borderId="0" xfId="17915" applyNumberFormat="1" applyFont="1"/>
    <xf numFmtId="192" fontId="49" fillId="0" borderId="0" xfId="17915" applyNumberFormat="1" applyFont="1"/>
    <xf numFmtId="165" fontId="208" fillId="0" borderId="0" xfId="1" applyNumberFormat="1" applyFont="1" applyAlignment="1">
      <alignment horizontal="right"/>
    </xf>
    <xf numFmtId="174" fontId="50" fillId="0" borderId="51" xfId="1" applyNumberFormat="1" applyFont="1" applyBorder="1"/>
    <xf numFmtId="170" fontId="43" fillId="0" borderId="75" xfId="1" applyNumberFormat="1" applyBorder="1"/>
    <xf numFmtId="170" fontId="50" fillId="0" borderId="75" xfId="1" applyNumberFormat="1" applyFont="1" applyBorder="1"/>
    <xf numFmtId="165" fontId="43" fillId="0" borderId="75" xfId="1" applyNumberFormat="1" applyBorder="1"/>
    <xf numFmtId="174" fontId="50" fillId="0" borderId="75" xfId="1" applyNumberFormat="1" applyFont="1" applyBorder="1"/>
    <xf numFmtId="166" fontId="64" fillId="0" borderId="14" xfId="1" applyNumberFormat="1" applyFont="1" applyBorder="1"/>
    <xf numFmtId="174" fontId="63" fillId="0" borderId="14" xfId="1" applyNumberFormat="1" applyFont="1" applyBorder="1"/>
    <xf numFmtId="170" fontId="64" fillId="0" borderId="14" xfId="1" applyNumberFormat="1" applyFont="1" applyBorder="1"/>
    <xf numFmtId="170" fontId="63" fillId="0" borderId="14" xfId="1" applyNumberFormat="1" applyFont="1" applyBorder="1"/>
    <xf numFmtId="170" fontId="68" fillId="0" borderId="14" xfId="1" applyNumberFormat="1" applyFont="1" applyBorder="1"/>
    <xf numFmtId="166" fontId="68" fillId="0" borderId="14" xfId="1" applyNumberFormat="1" applyFont="1" applyBorder="1"/>
    <xf numFmtId="174" fontId="69" fillId="0" borderId="14" xfId="1" applyNumberFormat="1" applyFont="1" applyBorder="1"/>
    <xf numFmtId="166" fontId="64" fillId="0" borderId="27" xfId="1" applyNumberFormat="1" applyFont="1" applyBorder="1"/>
    <xf numFmtId="174" fontId="63" fillId="0" borderId="27" xfId="1" applyNumberFormat="1" applyFont="1" applyBorder="1"/>
    <xf numFmtId="170" fontId="64" fillId="0" borderId="27" xfId="1" applyNumberFormat="1" applyFont="1" applyBorder="1"/>
    <xf numFmtId="170" fontId="63" fillId="0" borderId="27" xfId="1" applyNumberFormat="1" applyFont="1" applyBorder="1"/>
    <xf numFmtId="170" fontId="68" fillId="0" borderId="27" xfId="1" applyNumberFormat="1" applyFont="1" applyBorder="1"/>
    <xf numFmtId="170" fontId="69" fillId="0" borderId="27" xfId="1" applyNumberFormat="1" applyFont="1" applyBorder="1"/>
    <xf numFmtId="0" fontId="208" fillId="0" borderId="0" xfId="3" applyFont="1"/>
    <xf numFmtId="192" fontId="208" fillId="0" borderId="0" xfId="17915" applyNumberFormat="1" applyFont="1" applyFill="1" applyBorder="1" applyAlignment="1" applyProtection="1">
      <alignment horizontal="right"/>
    </xf>
    <xf numFmtId="192" fontId="208" fillId="0" borderId="0" xfId="17915" applyNumberFormat="1" applyFont="1" applyAlignment="1">
      <alignment horizontal="right"/>
    </xf>
    <xf numFmtId="174" fontId="50" fillId="0" borderId="0" xfId="1" quotePrefix="1" applyNumberFormat="1" applyFont="1" applyAlignment="1">
      <alignment horizontal="right"/>
    </xf>
    <xf numFmtId="169" fontId="50" fillId="0" borderId="0" xfId="1" applyNumberFormat="1" applyFont="1" applyAlignment="1" applyProtection="1">
      <alignment horizontal="right"/>
      <protection locked="0"/>
    </xf>
    <xf numFmtId="0" fontId="43" fillId="0" borderId="0" xfId="1" applyProtection="1">
      <protection locked="0"/>
    </xf>
    <xf numFmtId="174" fontId="63" fillId="0" borderId="0" xfId="1" applyNumberFormat="1" applyFont="1" applyAlignment="1">
      <alignment horizontal="right"/>
    </xf>
    <xf numFmtId="172" fontId="50" fillId="0" borderId="0" xfId="1933" applyNumberFormat="1" applyFont="1" applyAlignment="1"/>
    <xf numFmtId="170" fontId="64" fillId="0" borderId="64" xfId="1" applyNumberFormat="1" applyFont="1" applyBorder="1" applyAlignment="1">
      <alignment horizontal="right"/>
    </xf>
    <xf numFmtId="170" fontId="64" fillId="0" borderId="65" xfId="1" applyNumberFormat="1" applyFont="1" applyBorder="1" applyAlignment="1">
      <alignment horizontal="right"/>
    </xf>
    <xf numFmtId="0" fontId="43" fillId="0" borderId="0" xfId="1" applyAlignment="1">
      <alignment horizontal="center"/>
    </xf>
    <xf numFmtId="170" fontId="64" fillId="0" borderId="0" xfId="1" quotePrefix="1" applyNumberFormat="1" applyFont="1" applyAlignment="1">
      <alignment horizontal="right"/>
    </xf>
    <xf numFmtId="10" fontId="43" fillId="0" borderId="0" xfId="1933" applyNumberFormat="1" applyFont="1" applyFill="1" applyBorder="1" applyAlignment="1"/>
    <xf numFmtId="164" fontId="43" fillId="0" borderId="0" xfId="1933" applyNumberFormat="1" applyFont="1" applyFill="1" applyBorder="1" applyAlignment="1"/>
    <xf numFmtId="164" fontId="43" fillId="0" borderId="45" xfId="1933" applyNumberFormat="1" applyFont="1" applyBorder="1" applyAlignment="1"/>
    <xf numFmtId="170" fontId="63" fillId="0" borderId="0" xfId="1" applyNumberFormat="1" applyFont="1" applyAlignment="1">
      <alignment horizontal="center"/>
    </xf>
    <xf numFmtId="164" fontId="50" fillId="0" borderId="45" xfId="1933" applyNumberFormat="1" applyFont="1" applyFill="1" applyBorder="1" applyAlignment="1"/>
    <xf numFmtId="166" fontId="63" fillId="0" borderId="64" xfId="1" applyNumberFormat="1" applyFont="1" applyBorder="1"/>
    <xf numFmtId="166" fontId="63" fillId="0" borderId="64" xfId="1" applyNumberFormat="1" applyFont="1" applyBorder="1" applyAlignment="1">
      <alignment horizontal="right"/>
    </xf>
    <xf numFmtId="166" fontId="63" fillId="0" borderId="0" xfId="1" applyNumberFormat="1" applyFont="1" applyAlignment="1">
      <alignment horizontal="right"/>
    </xf>
    <xf numFmtId="166" fontId="69" fillId="0" borderId="0" xfId="1" applyNumberFormat="1" applyFont="1" applyAlignment="1">
      <alignment horizontal="right"/>
    </xf>
    <xf numFmtId="166" fontId="63" fillId="0" borderId="17" xfId="1" applyNumberFormat="1" applyFont="1" applyBorder="1"/>
    <xf numFmtId="174" fontId="63" fillId="0" borderId="73" xfId="1" applyNumberFormat="1" applyFont="1" applyBorder="1"/>
    <xf numFmtId="164" fontId="50" fillId="0" borderId="15" xfId="1933" applyNumberFormat="1" applyFont="1" applyBorder="1" applyAlignment="1"/>
    <xf numFmtId="166" fontId="68" fillId="0" borderId="20" xfId="1" applyNumberFormat="1" applyFont="1" applyBorder="1"/>
    <xf numFmtId="0" fontId="63" fillId="0" borderId="0" xfId="1" applyFont="1"/>
    <xf numFmtId="0" fontId="69" fillId="0" borderId="0" xfId="1" applyFont="1"/>
    <xf numFmtId="0" fontId="63" fillId="0" borderId="0" xfId="1" quotePrefix="1" applyFont="1" applyAlignment="1">
      <alignment horizontal="left"/>
    </xf>
    <xf numFmtId="165" fontId="227" fillId="0" borderId="0" xfId="1" applyNumberFormat="1" applyFont="1"/>
    <xf numFmtId="164" fontId="43" fillId="0" borderId="45" xfId="1933" applyNumberFormat="1" applyFont="1" applyFill="1" applyBorder="1" applyAlignment="1"/>
    <xf numFmtId="165" fontId="43" fillId="0" borderId="0" xfId="1" quotePrefix="1" applyNumberFormat="1"/>
    <xf numFmtId="164" fontId="43" fillId="0" borderId="0" xfId="1933" applyNumberFormat="1" applyFont="1" applyFill="1" applyAlignment="1"/>
    <xf numFmtId="0" fontId="50" fillId="0" borderId="10" xfId="1" applyFont="1" applyBorder="1" applyAlignment="1">
      <alignment horizontal="center"/>
    </xf>
    <xf numFmtId="0" fontId="50" fillId="0" borderId="10" xfId="1" quotePrefix="1" applyFont="1" applyBorder="1" applyAlignment="1">
      <alignment horizontal="center"/>
    </xf>
    <xf numFmtId="165" fontId="50" fillId="0" borderId="10" xfId="1" applyNumberFormat="1" applyFont="1" applyBorder="1" applyAlignment="1">
      <alignment horizontal="center"/>
    </xf>
    <xf numFmtId="164" fontId="50" fillId="0" borderId="0" xfId="1933" applyNumberFormat="1" applyFont="1" applyFill="1" applyAlignment="1"/>
    <xf numFmtId="172" fontId="43" fillId="0" borderId="0" xfId="1933" applyNumberFormat="1" applyFont="1" applyFill="1" applyAlignment="1"/>
    <xf numFmtId="189" fontId="43" fillId="0" borderId="0" xfId="5450" applyNumberFormat="1"/>
    <xf numFmtId="0" fontId="43" fillId="0" borderId="0" xfId="5450" applyNumberFormat="1"/>
    <xf numFmtId="0" fontId="50" fillId="0" borderId="0" xfId="5450" applyNumberFormat="1" applyFont="1"/>
    <xf numFmtId="0" fontId="50" fillId="0" borderId="0" xfId="5450" applyNumberFormat="1" applyFont="1" applyAlignment="1">
      <alignment horizontal="right" vertical="top"/>
    </xf>
    <xf numFmtId="0" fontId="50" fillId="0" borderId="0" xfId="5450" applyNumberFormat="1" applyFont="1" applyAlignment="1">
      <alignment horizontal="right"/>
    </xf>
    <xf numFmtId="0" fontId="50" fillId="0" borderId="0" xfId="5450" applyNumberFormat="1" applyFont="1" applyAlignment="1">
      <alignment horizontal="left" vertical="top"/>
    </xf>
    <xf numFmtId="0" fontId="50" fillId="0" borderId="0" xfId="5450" applyNumberFormat="1" applyFont="1" applyAlignment="1">
      <alignment horizontal="left"/>
    </xf>
    <xf numFmtId="0" fontId="43" fillId="0" borderId="0" xfId="5450" quotePrefix="1" applyNumberFormat="1"/>
    <xf numFmtId="0" fontId="50" fillId="0" borderId="0" xfId="5450" applyNumberFormat="1" applyFont="1" applyAlignment="1">
      <alignment horizontal="center" vertical="top"/>
    </xf>
    <xf numFmtId="0" fontId="50" fillId="0" borderId="0" xfId="5450" applyNumberFormat="1" applyFont="1" applyAlignment="1">
      <alignment horizontal="center"/>
    </xf>
    <xf numFmtId="0" fontId="50" fillId="0" borderId="0" xfId="5450" quotePrefix="1" applyNumberFormat="1" applyFont="1" applyAlignment="1">
      <alignment horizontal="center"/>
    </xf>
    <xf numFmtId="0" fontId="50" fillId="0" borderId="0" xfId="5450" applyNumberFormat="1" applyFont="1" applyAlignment="1">
      <alignment horizontal="centerContinuous"/>
    </xf>
    <xf numFmtId="0" fontId="50" fillId="0" borderId="10" xfId="5450" applyNumberFormat="1" applyFont="1" applyBorder="1" applyAlignment="1">
      <alignment horizontal="centerContinuous"/>
    </xf>
    <xf numFmtId="0" fontId="50" fillId="0" borderId="10" xfId="5450" applyNumberFormat="1" applyFont="1" applyBorder="1"/>
    <xf numFmtId="0" fontId="50" fillId="0" borderId="10" xfId="5450" quotePrefix="1" applyNumberFormat="1" applyFont="1" applyBorder="1" applyAlignment="1">
      <alignment horizontal="center"/>
    </xf>
    <xf numFmtId="49" fontId="50" fillId="0" borderId="10" xfId="5450" applyNumberFormat="1" applyFont="1" applyBorder="1" applyAlignment="1">
      <alignment horizontal="center"/>
    </xf>
    <xf numFmtId="49" fontId="50" fillId="0" borderId="10" xfId="5450" quotePrefix="1" applyNumberFormat="1" applyFont="1" applyBorder="1" applyAlignment="1">
      <alignment horizontal="center"/>
    </xf>
    <xf numFmtId="0" fontId="50" fillId="0" borderId="61" xfId="5450" applyNumberFormat="1" applyFont="1" applyBorder="1" applyAlignment="1">
      <alignment horizontal="center"/>
    </xf>
    <xf numFmtId="0" fontId="50" fillId="0" borderId="10" xfId="5450" applyNumberFormat="1" applyFont="1" applyBorder="1" applyAlignment="1">
      <alignment horizontal="center"/>
    </xf>
    <xf numFmtId="39" fontId="43" fillId="0" borderId="0" xfId="5450" quotePrefix="1" applyNumberFormat="1"/>
    <xf numFmtId="39" fontId="64" fillId="0" borderId="0" xfId="5450" quotePrefix="1" applyNumberFormat="1" applyFont="1"/>
    <xf numFmtId="39" fontId="43" fillId="0" borderId="0" xfId="5450" applyNumberFormat="1"/>
    <xf numFmtId="0" fontId="64" fillId="0" borderId="0" xfId="5450" applyNumberFormat="1" applyFont="1"/>
    <xf numFmtId="0" fontId="43" fillId="0" borderId="0" xfId="5500" applyFont="1" applyAlignment="1">
      <alignment horizontal="center"/>
    </xf>
    <xf numFmtId="42" fontId="64" fillId="0" borderId="0" xfId="5450" applyNumberFormat="1" applyFont="1" applyAlignment="1">
      <alignment horizontal="right"/>
    </xf>
    <xf numFmtId="42" fontId="64" fillId="0" borderId="0" xfId="5450" applyNumberFormat="1" applyFont="1" applyAlignment="1">
      <alignment horizontal="right" vertical="top"/>
    </xf>
    <xf numFmtId="41" fontId="64" fillId="0" borderId="0" xfId="5450" applyNumberFormat="1" applyFont="1" applyAlignment="1">
      <alignment horizontal="right"/>
    </xf>
    <xf numFmtId="0" fontId="64" fillId="0" borderId="0" xfId="5450" applyNumberFormat="1" applyFont="1" applyAlignment="1">
      <alignment horizontal="right"/>
    </xf>
    <xf numFmtId="41" fontId="43" fillId="0" borderId="0" xfId="5450" applyNumberFormat="1" applyAlignment="1">
      <alignment horizontal="right"/>
    </xf>
    <xf numFmtId="0" fontId="43" fillId="0" borderId="0" xfId="5450" quotePrefix="1" applyNumberFormat="1" applyAlignment="1">
      <alignment horizontal="left" vertical="top"/>
    </xf>
    <xf numFmtId="0" fontId="43" fillId="0" borderId="0" xfId="5450" applyNumberFormat="1" applyAlignment="1">
      <alignment horizontal="left" vertical="top"/>
    </xf>
    <xf numFmtId="37" fontId="43" fillId="0" borderId="0" xfId="5500" applyNumberFormat="1" applyFont="1"/>
    <xf numFmtId="0" fontId="50" fillId="0" borderId="0" xfId="5450" quotePrefix="1" applyNumberFormat="1" applyFont="1" applyAlignment="1">
      <alignment horizontal="left" vertical="top"/>
    </xf>
    <xf numFmtId="42" fontId="50" fillId="0" borderId="54" xfId="5450" applyNumberFormat="1" applyFont="1" applyBorder="1" applyAlignment="1">
      <alignment horizontal="right" vertical="top"/>
    </xf>
    <xf numFmtId="42" fontId="50" fillId="0" borderId="0" xfId="5450" applyNumberFormat="1" applyFont="1" applyAlignment="1">
      <alignment horizontal="right" vertical="top"/>
    </xf>
    <xf numFmtId="37" fontId="43" fillId="0" borderId="0" xfId="5450" applyNumberFormat="1"/>
    <xf numFmtId="42" fontId="43" fillId="0" borderId="0" xfId="5450" applyNumberFormat="1"/>
    <xf numFmtId="44" fontId="43" fillId="0" borderId="0" xfId="5450" applyNumberFormat="1"/>
    <xf numFmtId="44" fontId="43" fillId="0" borderId="0" xfId="5500" applyNumberFormat="1" applyFont="1"/>
    <xf numFmtId="165" fontId="209" fillId="0" borderId="0" xfId="1" applyNumberFormat="1" applyFont="1"/>
    <xf numFmtId="172" fontId="43" fillId="0" borderId="65" xfId="1933" applyNumberFormat="1" applyFont="1" applyFill="1" applyBorder="1" applyAlignment="1"/>
    <xf numFmtId="192" fontId="159" fillId="0" borderId="0" xfId="17915" applyNumberFormat="1" applyFont="1" applyFill="1"/>
    <xf numFmtId="192" fontId="209" fillId="0" borderId="0" xfId="17915" applyNumberFormat="1" applyFont="1" applyFill="1"/>
    <xf numFmtId="192" fontId="159" fillId="0" borderId="0" xfId="17915" applyNumberFormat="1" applyFont="1" applyBorder="1"/>
    <xf numFmtId="185" fontId="50" fillId="0" borderId="10" xfId="737" quotePrefix="1" applyNumberFormat="1" applyFont="1" applyBorder="1" applyAlignment="1">
      <alignment horizontal="center"/>
    </xf>
    <xf numFmtId="43" fontId="160" fillId="0" borderId="0" xfId="737" quotePrefix="1" applyNumberFormat="1" applyFont="1" applyAlignment="1">
      <alignment horizontal="left"/>
    </xf>
    <xf numFmtId="177" fontId="71" fillId="0" borderId="0" xfId="737" applyNumberFormat="1" applyFont="1" applyAlignment="1">
      <alignment vertical="center"/>
    </xf>
    <xf numFmtId="177" fontId="48" fillId="0" borderId="0" xfId="737" applyNumberFormat="1" applyFont="1" applyAlignment="1">
      <alignment vertical="center"/>
    </xf>
    <xf numFmtId="177" fontId="71" fillId="0" borderId="0" xfId="737" quotePrefix="1" applyNumberFormat="1" applyFont="1" applyAlignment="1">
      <alignment horizontal="right" vertical="center"/>
    </xf>
    <xf numFmtId="43" fontId="208" fillId="0" borderId="0" xfId="737" applyNumberFormat="1" applyFont="1" applyAlignment="1">
      <alignment vertical="center"/>
    </xf>
    <xf numFmtId="0" fontId="97" fillId="0" borderId="0" xfId="737" applyFont="1" applyAlignment="1">
      <alignment vertical="center"/>
    </xf>
    <xf numFmtId="43" fontId="160" fillId="0" borderId="0" xfId="737" quotePrefix="1" applyNumberFormat="1" applyFont="1" applyAlignment="1">
      <alignment horizontal="right" vertical="center"/>
    </xf>
    <xf numFmtId="0" fontId="85" fillId="0" borderId="0" xfId="737" applyFont="1" applyAlignment="1">
      <alignment horizontal="right" vertical="center"/>
    </xf>
    <xf numFmtId="43" fontId="221" fillId="0" borderId="0" xfId="737" applyNumberFormat="1" applyFont="1" applyAlignment="1">
      <alignment horizontal="right" vertical="center"/>
    </xf>
    <xf numFmtId="177" fontId="71" fillId="0" borderId="0" xfId="737" quotePrefix="1" applyNumberFormat="1" applyFont="1" applyAlignment="1">
      <alignment horizontal="left" vertical="center"/>
    </xf>
    <xf numFmtId="177" fontId="201" fillId="0" borderId="0" xfId="737" applyNumberFormat="1" applyFont="1" applyAlignment="1">
      <alignment vertical="center"/>
    </xf>
    <xf numFmtId="165" fontId="99" fillId="0" borderId="0" xfId="737" applyNumberFormat="1" applyFont="1" applyAlignment="1">
      <alignment vertical="center"/>
    </xf>
    <xf numFmtId="177" fontId="43" fillId="0" borderId="0" xfId="737" applyNumberFormat="1" applyFont="1" applyAlignment="1">
      <alignment horizontal="fill" vertical="center"/>
    </xf>
    <xf numFmtId="177" fontId="43" fillId="0" borderId="0" xfId="737" applyNumberFormat="1" applyFont="1" applyAlignment="1">
      <alignment vertical="center"/>
    </xf>
    <xf numFmtId="43" fontId="159" fillId="0" borderId="0" xfId="737" applyNumberFormat="1" applyFont="1" applyAlignment="1">
      <alignment vertical="center"/>
    </xf>
    <xf numFmtId="179" fontId="66" fillId="0" borderId="0" xfId="737" applyNumberFormat="1" applyFont="1" applyAlignment="1">
      <alignment horizontal="right"/>
    </xf>
    <xf numFmtId="0" fontId="49" fillId="0" borderId="10" xfId="9958" applyFont="1" applyBorder="1" applyAlignment="1">
      <alignment horizontal="center"/>
    </xf>
    <xf numFmtId="49" fontId="0" fillId="0" borderId="0" xfId="14" applyNumberFormat="1" applyFont="1"/>
    <xf numFmtId="189" fontId="208" fillId="0" borderId="0" xfId="17915" applyNumberFormat="1" applyFont="1"/>
    <xf numFmtId="189" fontId="208" fillId="0" borderId="0" xfId="17915" applyNumberFormat="1" applyFont="1" applyFill="1" applyAlignment="1"/>
    <xf numFmtId="164" fontId="97" fillId="0" borderId="0" xfId="1025" applyNumberFormat="1" applyFont="1"/>
    <xf numFmtId="165" fontId="226" fillId="0" borderId="0" xfId="837" applyNumberFormat="1" applyFont="1"/>
    <xf numFmtId="164" fontId="110" fillId="0" borderId="45" xfId="0" applyFont="1" applyBorder="1" applyAlignment="1">
      <alignment horizontal="center"/>
    </xf>
    <xf numFmtId="44" fontId="43" fillId="0" borderId="0" xfId="737" applyNumberFormat="1" applyFont="1" applyAlignment="1">
      <alignment horizontal="right"/>
    </xf>
    <xf numFmtId="43" fontId="50" fillId="0" borderId="54" xfId="1025" applyNumberFormat="1" applyFont="1" applyBorder="1" applyAlignment="1">
      <alignment horizontal="right"/>
    </xf>
    <xf numFmtId="43" fontId="50" fillId="0" borderId="0" xfId="1025" applyNumberFormat="1" applyFont="1" applyAlignment="1">
      <alignment horizontal="right"/>
    </xf>
    <xf numFmtId="164" fontId="50" fillId="0" borderId="0" xfId="0" applyFont="1" applyAlignment="1">
      <alignment horizontal="right"/>
    </xf>
    <xf numFmtId="43" fontId="50" fillId="0" borderId="54" xfId="737" applyNumberFormat="1" applyFont="1" applyBorder="1" applyAlignment="1">
      <alignment horizontal="right"/>
    </xf>
    <xf numFmtId="43" fontId="50" fillId="0" borderId="0" xfId="0" applyNumberFormat="1" applyFont="1" applyAlignment="1">
      <alignment horizontal="right"/>
    </xf>
    <xf numFmtId="43" fontId="43" fillId="0" borderId="0" xfId="1025" applyNumberFormat="1" applyAlignment="1">
      <alignment horizontal="right"/>
    </xf>
    <xf numFmtId="43" fontId="0" fillId="0" borderId="0" xfId="0" applyNumberFormat="1" applyAlignment="1">
      <alignment horizontal="right"/>
    </xf>
    <xf numFmtId="43" fontId="50" fillId="0" borderId="0" xfId="737" applyNumberFormat="1" applyFont="1" applyAlignment="1">
      <alignment horizontal="right"/>
    </xf>
    <xf numFmtId="43" fontId="43" fillId="0" borderId="0" xfId="737" applyNumberFormat="1" applyFont="1"/>
    <xf numFmtId="43" fontId="0" fillId="0" borderId="0" xfId="0" applyNumberFormat="1"/>
    <xf numFmtId="43" fontId="50" fillId="0" borderId="54" xfId="0" applyNumberFormat="1" applyFont="1" applyBorder="1" applyAlignment="1">
      <alignment horizontal="right"/>
    </xf>
    <xf numFmtId="43" fontId="43" fillId="0" borderId="0" xfId="0" applyNumberFormat="1" applyFont="1" applyAlignment="1">
      <alignment horizontal="right"/>
    </xf>
    <xf numFmtId="44" fontId="50" fillId="0" borderId="54" xfId="737" applyNumberFormat="1" applyFont="1" applyBorder="1" applyAlignment="1">
      <alignment horizontal="right"/>
    </xf>
    <xf numFmtId="40" fontId="159" fillId="0" borderId="0" xfId="837" quotePrefix="1" applyNumberFormat="1" applyFont="1" applyAlignment="1">
      <alignment horizontal="left"/>
    </xf>
    <xf numFmtId="41" fontId="204" fillId="0" borderId="0" xfId="837" applyNumberFormat="1" applyFont="1"/>
    <xf numFmtId="41" fontId="64" fillId="0" borderId="0" xfId="5450" applyNumberFormat="1" applyFont="1" applyAlignment="1">
      <alignment horizontal="center"/>
    </xf>
    <xf numFmtId="39" fontId="48" fillId="0" borderId="0" xfId="0" applyNumberFormat="1" applyFont="1"/>
    <xf numFmtId="39" fontId="48" fillId="0" borderId="0" xfId="0" applyNumberFormat="1" applyFont="1" applyAlignment="1">
      <alignment horizontal="right"/>
    </xf>
    <xf numFmtId="43" fontId="48" fillId="0" borderId="0" xfId="0" applyNumberFormat="1" applyFont="1" applyAlignment="1">
      <alignment horizontal="right"/>
    </xf>
    <xf numFmtId="43" fontId="48" fillId="0" borderId="0" xfId="0" quotePrefix="1" applyNumberFormat="1" applyFont="1" applyAlignment="1">
      <alignment horizontal="right"/>
    </xf>
    <xf numFmtId="39" fontId="48" fillId="0" borderId="0" xfId="0" quotePrefix="1" applyNumberFormat="1" applyFont="1" applyAlignment="1">
      <alignment horizontal="right"/>
    </xf>
    <xf numFmtId="44" fontId="49" fillId="0" borderId="0" xfId="0" applyNumberFormat="1" applyFont="1" applyAlignment="1">
      <alignment horizontal="right"/>
    </xf>
    <xf numFmtId="0" fontId="49" fillId="0" borderId="28" xfId="0" applyNumberFormat="1" applyFont="1" applyBorder="1"/>
    <xf numFmtId="7" fontId="49" fillId="0" borderId="0" xfId="0" applyNumberFormat="1" applyFont="1"/>
    <xf numFmtId="39" fontId="49" fillId="0" borderId="0" xfId="0" applyNumberFormat="1" applyFont="1" applyAlignment="1">
      <alignment horizontal="center" vertical="top"/>
    </xf>
    <xf numFmtId="7" fontId="49" fillId="0" borderId="0" xfId="0" applyNumberFormat="1" applyFont="1" applyAlignment="1">
      <alignment horizontal="right" vertical="top"/>
    </xf>
    <xf numFmtId="42" fontId="49" fillId="0" borderId="0" xfId="0" applyNumberFormat="1" applyFont="1" applyAlignment="1">
      <alignment horizontal="right" vertical="top"/>
    </xf>
    <xf numFmtId="39" fontId="48" fillId="0" borderId="0" xfId="0" applyNumberFormat="1" applyFont="1" applyAlignment="1">
      <alignment horizontal="right" vertical="top"/>
    </xf>
    <xf numFmtId="186" fontId="48" fillId="0" borderId="0" xfId="0" applyNumberFormat="1" applyFont="1" applyAlignment="1">
      <alignment horizontal="center" vertical="top"/>
    </xf>
    <xf numFmtId="42" fontId="48" fillId="0" borderId="0" xfId="0" applyNumberFormat="1" applyFont="1" applyAlignment="1">
      <alignment horizontal="right"/>
    </xf>
    <xf numFmtId="39" fontId="48" fillId="0" borderId="0" xfId="0" applyNumberFormat="1" applyFont="1" applyAlignment="1">
      <alignment horizontal="center"/>
    </xf>
    <xf numFmtId="43" fontId="48" fillId="0" borderId="0" xfId="0" applyNumberFormat="1" applyFont="1" applyAlignment="1">
      <alignment horizontal="center"/>
    </xf>
    <xf numFmtId="39" fontId="48" fillId="0" borderId="0" xfId="0" quotePrefix="1" applyNumberFormat="1" applyFont="1" applyAlignment="1">
      <alignment horizontal="center"/>
    </xf>
    <xf numFmtId="43" fontId="48" fillId="0" borderId="0" xfId="0" applyNumberFormat="1" applyFont="1" applyAlignment="1">
      <alignment horizontal="center" vertical="top"/>
    </xf>
    <xf numFmtId="39" fontId="48" fillId="0" borderId="0" xfId="0" quotePrefix="1" applyNumberFormat="1" applyFont="1"/>
    <xf numFmtId="39" fontId="49" fillId="0" borderId="0" xfId="0" applyNumberFormat="1" applyFont="1" applyAlignment="1">
      <alignment horizontal="right"/>
    </xf>
    <xf numFmtId="43" fontId="49" fillId="0" borderId="0" xfId="0" applyNumberFormat="1" applyFont="1" applyAlignment="1">
      <alignment horizontal="center" vertical="top"/>
    </xf>
    <xf numFmtId="179" fontId="66" fillId="0" borderId="0" xfId="737" applyNumberFormat="1" applyFont="1" applyAlignment="1">
      <alignment horizontal="left"/>
    </xf>
    <xf numFmtId="177" fontId="66" fillId="0" borderId="10" xfId="737" applyNumberFormat="1" applyFont="1" applyBorder="1" applyAlignment="1">
      <alignment horizontal="left"/>
    </xf>
    <xf numFmtId="177" fontId="66" fillId="0" borderId="10" xfId="737" applyNumberFormat="1" applyFont="1" applyBorder="1" applyAlignment="1">
      <alignment horizontal="center"/>
    </xf>
    <xf numFmtId="177" fontId="71" fillId="0" borderId="10" xfId="833" applyNumberFormat="1" applyFont="1" applyBorder="1" applyAlignment="1">
      <alignment horizontal="right"/>
    </xf>
    <xf numFmtId="177" fontId="71" fillId="0" borderId="10" xfId="833" applyNumberFormat="1" applyFont="1" applyBorder="1"/>
    <xf numFmtId="177" fontId="71" fillId="0" borderId="53" xfId="833" applyNumberFormat="1" applyFont="1" applyBorder="1" applyAlignment="1">
      <alignment horizontal="right"/>
    </xf>
    <xf numFmtId="179" fontId="71" fillId="0" borderId="15" xfId="833" applyNumberFormat="1" applyFont="1" applyBorder="1"/>
    <xf numFmtId="179" fontId="71" fillId="0" borderId="0" xfId="833" applyNumberFormat="1" applyFont="1"/>
    <xf numFmtId="180" fontId="66" fillId="0" borderId="20" xfId="833" applyNumberFormat="1" applyFont="1" applyBorder="1"/>
    <xf numFmtId="181" fontId="226" fillId="0" borderId="0" xfId="833" applyNumberFormat="1" applyFont="1"/>
    <xf numFmtId="177" fontId="66" fillId="0" borderId="0" xfId="833" applyNumberFormat="1" applyFont="1" applyAlignment="1">
      <alignment horizontal="fill"/>
    </xf>
    <xf numFmtId="179" fontId="43" fillId="0" borderId="0" xfId="737" applyNumberFormat="1" applyFont="1" applyAlignment="1">
      <alignment horizontal="left"/>
    </xf>
    <xf numFmtId="179" fontId="43" fillId="0" borderId="0" xfId="737" applyNumberFormat="1" applyFont="1" applyAlignment="1">
      <alignment horizontal="center"/>
    </xf>
    <xf numFmtId="177" fontId="43" fillId="0" borderId="0" xfId="737" applyNumberFormat="1" applyFont="1" applyAlignment="1">
      <alignment horizontal="left"/>
    </xf>
    <xf numFmtId="177" fontId="43" fillId="0" borderId="0" xfId="737" applyNumberFormat="1" applyFont="1" applyAlignment="1">
      <alignment horizontal="center"/>
    </xf>
    <xf numFmtId="177" fontId="50" fillId="0" borderId="61" xfId="737" applyNumberFormat="1" applyFont="1" applyBorder="1" applyAlignment="1">
      <alignment horizontal="right"/>
    </xf>
    <xf numFmtId="177" fontId="100" fillId="0" borderId="0" xfId="737" applyNumberFormat="1" applyFont="1"/>
    <xf numFmtId="177" fontId="172" fillId="0" borderId="0" xfId="737" applyNumberFormat="1" applyFont="1"/>
    <xf numFmtId="177" fontId="43" fillId="0" borderId="0" xfId="737" quotePrefix="1" applyNumberFormat="1" applyFont="1" applyAlignment="1">
      <alignment horizontal="center"/>
    </xf>
    <xf numFmtId="177" fontId="50" fillId="0" borderId="61" xfId="737" applyNumberFormat="1" applyFont="1" applyBorder="1"/>
    <xf numFmtId="177" fontId="50" fillId="0" borderId="10" xfId="737" applyNumberFormat="1" applyFont="1" applyBorder="1"/>
    <xf numFmtId="177" fontId="54" fillId="0" borderId="0" xfId="737" applyNumberFormat="1" applyFont="1" applyAlignment="1">
      <alignment horizontal="center"/>
    </xf>
    <xf numFmtId="179" fontId="50" fillId="0" borderId="15" xfId="737" applyNumberFormat="1" applyFont="1" applyBorder="1"/>
    <xf numFmtId="180" fontId="50" fillId="0" borderId="0" xfId="737" applyNumberFormat="1" applyFont="1" applyAlignment="1">
      <alignment horizontal="right"/>
    </xf>
    <xf numFmtId="192" fontId="159" fillId="0" borderId="0" xfId="17915" applyNumberFormat="1" applyFont="1" applyFill="1" applyBorder="1"/>
    <xf numFmtId="192" fontId="160" fillId="0" borderId="0" xfId="17915" applyNumberFormat="1" applyFont="1" applyFill="1"/>
    <xf numFmtId="174" fontId="50" fillId="0" borderId="0" xfId="1" applyNumberFormat="1" applyFont="1" applyProtection="1">
      <protection locked="0"/>
    </xf>
    <xf numFmtId="174" fontId="50" fillId="0" borderId="75" xfId="1" applyNumberFormat="1" applyFont="1" applyBorder="1" applyProtection="1">
      <protection locked="0"/>
    </xf>
    <xf numFmtId="174" fontId="50" fillId="0" borderId="17" xfId="1" applyNumberFormat="1" applyFont="1" applyBorder="1" applyProtection="1">
      <protection locked="0"/>
    </xf>
    <xf numFmtId="169" fontId="50" fillId="0" borderId="14" xfId="1" applyNumberFormat="1" applyFont="1" applyBorder="1" applyAlignment="1" applyProtection="1">
      <alignment horizontal="right"/>
      <protection locked="0"/>
    </xf>
    <xf numFmtId="0" fontId="43" fillId="0" borderId="75" xfId="1" applyBorder="1" applyProtection="1">
      <protection locked="0"/>
    </xf>
    <xf numFmtId="0" fontId="43" fillId="0" borderId="17" xfId="1" applyBorder="1" applyProtection="1">
      <protection locked="0"/>
    </xf>
    <xf numFmtId="0" fontId="43" fillId="0" borderId="14" xfId="1" applyBorder="1" applyProtection="1">
      <protection locked="0"/>
    </xf>
    <xf numFmtId="170" fontId="43" fillId="0" borderId="10" xfId="1" applyNumberFormat="1" applyBorder="1" applyAlignment="1">
      <alignment horizontal="right"/>
    </xf>
    <xf numFmtId="170" fontId="43" fillId="0" borderId="10" xfId="1" quotePrefix="1" applyNumberFormat="1" applyBorder="1" applyAlignment="1">
      <alignment horizontal="right"/>
    </xf>
    <xf numFmtId="170" fontId="43" fillId="0" borderId="75" xfId="1" applyNumberFormat="1" applyBorder="1" applyProtection="1">
      <protection locked="0"/>
    </xf>
    <xf numFmtId="170" fontId="43" fillId="0" borderId="17" xfId="1" applyNumberFormat="1" applyBorder="1" applyProtection="1">
      <protection locked="0"/>
    </xf>
    <xf numFmtId="166" fontId="43" fillId="0" borderId="14" xfId="1" applyNumberFormat="1" applyBorder="1" applyProtection="1">
      <protection locked="0"/>
    </xf>
    <xf numFmtId="170" fontId="50" fillId="0" borderId="23" xfId="1" quotePrefix="1" applyNumberFormat="1" applyFont="1" applyBorder="1" applyAlignment="1">
      <alignment horizontal="right"/>
    </xf>
    <xf numFmtId="170" fontId="50" fillId="0" borderId="0" xfId="1" applyNumberFormat="1" applyFont="1" applyProtection="1">
      <protection locked="0"/>
    </xf>
    <xf numFmtId="170" fontId="50" fillId="0" borderId="75" xfId="1" applyNumberFormat="1" applyFont="1" applyBorder="1" applyProtection="1">
      <protection locked="0"/>
    </xf>
    <xf numFmtId="170" fontId="50" fillId="0" borderId="17" xfId="1" applyNumberFormat="1" applyFont="1" applyBorder="1" applyProtection="1">
      <protection locked="0"/>
    </xf>
    <xf numFmtId="172" fontId="50" fillId="0" borderId="45" xfId="1933" applyNumberFormat="1" applyFont="1" applyFill="1" applyBorder="1" applyAlignment="1"/>
    <xf numFmtId="170" fontId="43" fillId="0" borderId="64" xfId="1" applyNumberFormat="1" applyBorder="1" applyProtection="1">
      <protection locked="0"/>
    </xf>
    <xf numFmtId="170" fontId="43" fillId="0" borderId="75" xfId="1" applyNumberFormat="1" applyBorder="1" applyAlignment="1" applyProtection="1">
      <alignment horizontal="center"/>
      <protection locked="0"/>
    </xf>
    <xf numFmtId="170" fontId="43" fillId="0" borderId="0" xfId="1" applyNumberFormat="1" applyAlignment="1" applyProtection="1">
      <alignment horizontal="center"/>
      <protection locked="0"/>
    </xf>
    <xf numFmtId="166" fontId="43" fillId="0" borderId="14" xfId="1" applyNumberFormat="1" applyBorder="1" applyAlignment="1" applyProtection="1">
      <alignment horizontal="center"/>
      <protection locked="0"/>
    </xf>
    <xf numFmtId="170" fontId="50" fillId="0" borderId="10" xfId="1" quotePrefix="1" applyNumberFormat="1" applyFont="1" applyBorder="1" applyAlignment="1">
      <alignment horizontal="right"/>
    </xf>
    <xf numFmtId="170" fontId="50" fillId="0" borderId="0" xfId="1" applyNumberFormat="1" applyFont="1" applyAlignment="1" applyProtection="1">
      <alignment horizontal="center"/>
      <protection locked="0"/>
    </xf>
    <xf numFmtId="170" fontId="50" fillId="0" borderId="10" xfId="1" applyNumberFormat="1" applyFont="1" applyBorder="1"/>
    <xf numFmtId="172" fontId="50" fillId="0" borderId="10" xfId="1" applyNumberFormat="1" applyFont="1" applyBorder="1"/>
    <xf numFmtId="166" fontId="43" fillId="0" borderId="14" xfId="1" quotePrefix="1" applyNumberFormat="1" applyBorder="1" applyAlignment="1" applyProtection="1">
      <alignment horizontal="right"/>
      <protection locked="0"/>
    </xf>
    <xf numFmtId="170" fontId="43" fillId="0" borderId="10" xfId="1" applyNumberFormat="1" applyBorder="1"/>
    <xf numFmtId="170" fontId="43" fillId="0" borderId="64" xfId="1" applyNumberFormat="1" applyBorder="1" applyAlignment="1">
      <alignment horizontal="center"/>
    </xf>
    <xf numFmtId="170" fontId="50" fillId="0" borderId="0" xfId="1" applyNumberFormat="1" applyFont="1" applyAlignment="1" applyProtection="1">
      <alignment horizontal="right"/>
      <protection locked="0"/>
    </xf>
    <xf numFmtId="172" fontId="50" fillId="0" borderId="10" xfId="0" applyNumberFormat="1" applyFont="1" applyBorder="1"/>
    <xf numFmtId="174" fontId="50" fillId="0" borderId="51" xfId="3" applyNumberFormat="1" applyFont="1" applyBorder="1"/>
    <xf numFmtId="172" fontId="50" fillId="0" borderId="51" xfId="1933" applyNumberFormat="1" applyFont="1" applyFill="1" applyBorder="1" applyAlignment="1"/>
    <xf numFmtId="166" fontId="43" fillId="0" borderId="20" xfId="1" applyNumberFormat="1" applyBorder="1"/>
    <xf numFmtId="170" fontId="43" fillId="0" borderId="20" xfId="1" applyNumberFormat="1" applyBorder="1"/>
    <xf numFmtId="170" fontId="50" fillId="0" borderId="10" xfId="1" quotePrefix="1" applyNumberFormat="1" applyFont="1" applyBorder="1"/>
    <xf numFmtId="0" fontId="43" fillId="0" borderId="76" xfId="1" applyBorder="1"/>
    <xf numFmtId="192" fontId="43" fillId="0" borderId="45" xfId="1" applyNumberFormat="1" applyBorder="1"/>
    <xf numFmtId="0" fontId="43" fillId="0" borderId="20" xfId="1" applyBorder="1"/>
    <xf numFmtId="172" fontId="50" fillId="0" borderId="0" xfId="1933" applyNumberFormat="1" applyFont="1" applyFill="1" applyAlignment="1"/>
    <xf numFmtId="10" fontId="43" fillId="0" borderId="0" xfId="1" applyNumberFormat="1"/>
    <xf numFmtId="170" fontId="63" fillId="0" borderId="76" xfId="1" applyNumberFormat="1" applyFont="1" applyBorder="1"/>
    <xf numFmtId="164" fontId="50" fillId="0" borderId="15" xfId="1933" applyNumberFormat="1" applyFont="1" applyFill="1" applyBorder="1" applyAlignment="1"/>
    <xf numFmtId="167" fontId="50" fillId="0" borderId="0" xfId="1" applyNumberFormat="1" applyFont="1"/>
    <xf numFmtId="170" fontId="43" fillId="0" borderId="14" xfId="1" applyNumberFormat="1" applyBorder="1" applyAlignment="1">
      <alignment horizontal="right"/>
    </xf>
    <xf numFmtId="172" fontId="43" fillId="0" borderId="45" xfId="0" applyNumberFormat="1" applyFont="1" applyBorder="1" applyProtection="1">
      <protection locked="0"/>
    </xf>
    <xf numFmtId="164" fontId="0" fillId="0" borderId="45" xfId="1" applyNumberFormat="1" applyFont="1" applyBorder="1"/>
    <xf numFmtId="170" fontId="43" fillId="0" borderId="16" xfId="1" applyNumberFormat="1" applyBorder="1" applyAlignment="1">
      <alignment horizontal="right"/>
    </xf>
    <xf numFmtId="170" fontId="0" fillId="0" borderId="65" xfId="1" applyNumberFormat="1" applyFont="1" applyBorder="1" applyAlignment="1">
      <alignment horizontal="center"/>
    </xf>
    <xf numFmtId="0" fontId="0" fillId="0" borderId="0" xfId="1" applyFont="1" applyAlignment="1">
      <alignment horizontal="center"/>
    </xf>
    <xf numFmtId="164" fontId="0" fillId="0" borderId="65" xfId="1" applyNumberFormat="1" applyFont="1" applyBorder="1" applyAlignment="1">
      <alignment horizontal="center"/>
    </xf>
    <xf numFmtId="170" fontId="159" fillId="0" borderId="76" xfId="1" applyNumberFormat="1" applyFont="1" applyBorder="1"/>
    <xf numFmtId="170" fontId="160" fillId="0" borderId="14" xfId="1" applyNumberFormat="1" applyFont="1" applyBorder="1"/>
    <xf numFmtId="174" fontId="159" fillId="0" borderId="0" xfId="1" applyNumberFormat="1" applyFont="1"/>
    <xf numFmtId="174" fontId="159" fillId="0" borderId="16" xfId="1" applyNumberFormat="1" applyFont="1" applyBorder="1"/>
    <xf numFmtId="174" fontId="160" fillId="0" borderId="14" xfId="1" applyNumberFormat="1" applyFont="1" applyBorder="1"/>
    <xf numFmtId="164" fontId="0" fillId="0" borderId="22" xfId="1" applyNumberFormat="1" applyFont="1" applyBorder="1"/>
    <xf numFmtId="164" fontId="43" fillId="0" borderId="26" xfId="0" applyFont="1" applyBorder="1"/>
    <xf numFmtId="170" fontId="50" fillId="0" borderId="76" xfId="1" applyNumberFormat="1" applyFont="1" applyBorder="1" applyAlignment="1">
      <alignment horizontal="center"/>
    </xf>
    <xf numFmtId="0" fontId="0" fillId="0" borderId="19" xfId="1" applyFont="1" applyBorder="1"/>
    <xf numFmtId="0" fontId="0" fillId="0" borderId="14" xfId="1" applyFont="1" applyBorder="1"/>
    <xf numFmtId="174" fontId="43" fillId="0" borderId="16" xfId="1" applyNumberFormat="1" applyBorder="1" applyAlignment="1">
      <alignment horizontal="right"/>
    </xf>
    <xf numFmtId="166" fontId="43" fillId="0" borderId="0" xfId="1" applyNumberFormat="1" applyAlignment="1">
      <alignment horizontal="center"/>
    </xf>
    <xf numFmtId="170" fontId="0" fillId="0" borderId="16" xfId="1" applyNumberFormat="1" applyFont="1" applyBorder="1"/>
    <xf numFmtId="170" fontId="43" fillId="0" borderId="11" xfId="1" applyNumberFormat="1" applyBorder="1"/>
    <xf numFmtId="174" fontId="43" fillId="0" borderId="27" xfId="1" applyNumberFormat="1" applyBorder="1" applyAlignment="1">
      <alignment horizontal="center"/>
    </xf>
    <xf numFmtId="164" fontId="50" fillId="0" borderId="0" xfId="1" applyNumberFormat="1" applyFont="1" applyProtection="1">
      <protection locked="0"/>
    </xf>
    <xf numFmtId="164" fontId="50" fillId="0" borderId="69" xfId="1" applyNumberFormat="1" applyFont="1" applyBorder="1" applyProtection="1">
      <protection locked="0"/>
    </xf>
    <xf numFmtId="164" fontId="43" fillId="0" borderId="0" xfId="1" applyNumberFormat="1" applyProtection="1">
      <protection locked="0"/>
    </xf>
    <xf numFmtId="172" fontId="204" fillId="0" borderId="0" xfId="1" applyNumberFormat="1" applyFont="1"/>
    <xf numFmtId="170" fontId="204" fillId="0" borderId="75" xfId="0" applyNumberFormat="1" applyFont="1" applyBorder="1" applyAlignment="1">
      <alignment horizontal="right"/>
    </xf>
    <xf numFmtId="170" fontId="43" fillId="0" borderId="75" xfId="0" applyNumberFormat="1" applyFont="1" applyBorder="1" applyAlignment="1">
      <alignment horizontal="right"/>
    </xf>
    <xf numFmtId="170" fontId="43" fillId="0" borderId="76" xfId="0" quotePrefix="1" applyNumberFormat="1" applyFont="1" applyBorder="1" applyAlignment="1">
      <alignment horizontal="right"/>
    </xf>
    <xf numFmtId="192" fontId="226" fillId="0" borderId="0" xfId="1" applyNumberFormat="1" applyFont="1"/>
    <xf numFmtId="170" fontId="43" fillId="0" borderId="0" xfId="1" applyNumberFormat="1" applyAlignment="1">
      <alignment horizontal="center" vertical="top"/>
    </xf>
    <xf numFmtId="164" fontId="0" fillId="0" borderId="0" xfId="0" applyAlignment="1">
      <alignment horizontal="center"/>
    </xf>
    <xf numFmtId="192" fontId="43" fillId="0" borderId="0" xfId="17915" applyNumberFormat="1" applyFont="1" applyFill="1"/>
    <xf numFmtId="39" fontId="43" fillId="0" borderId="0" xfId="1" applyNumberFormat="1"/>
    <xf numFmtId="170" fontId="50" fillId="0" borderId="49" xfId="1" quotePrefix="1" applyNumberFormat="1" applyFont="1" applyBorder="1" applyAlignment="1">
      <alignment horizontal="center"/>
    </xf>
    <xf numFmtId="170" fontId="64" fillId="0" borderId="0" xfId="1" quotePrefix="1" applyNumberFormat="1" applyFont="1"/>
    <xf numFmtId="17" fontId="50" fillId="0" borderId="0" xfId="1" quotePrefix="1" applyNumberFormat="1" applyFont="1" applyAlignment="1">
      <alignment horizontal="center"/>
    </xf>
    <xf numFmtId="170" fontId="50" fillId="0" borderId="61" xfId="1" applyNumberFormat="1" applyFont="1" applyBorder="1"/>
    <xf numFmtId="170" fontId="50" fillId="0" borderId="45" xfId="1" quotePrefix="1" applyNumberFormat="1" applyFont="1" applyBorder="1" applyAlignment="1">
      <alignment horizontal="center"/>
    </xf>
    <xf numFmtId="15" fontId="50" fillId="0" borderId="0" xfId="1" quotePrefix="1" applyNumberFormat="1" applyFont="1" applyAlignment="1">
      <alignment horizontal="center"/>
    </xf>
    <xf numFmtId="170" fontId="50" fillId="0" borderId="61" xfId="1" quotePrefix="1" applyNumberFormat="1" applyFont="1" applyBorder="1" applyAlignment="1">
      <alignment horizontal="right"/>
    </xf>
    <xf numFmtId="174" fontId="50" fillId="0" borderId="71" xfId="1" applyNumberFormat="1" applyFont="1" applyBorder="1"/>
    <xf numFmtId="174" fontId="68" fillId="0" borderId="0" xfId="1" applyNumberFormat="1" applyFont="1"/>
    <xf numFmtId="0" fontId="69" fillId="0" borderId="45" xfId="1" applyFont="1" applyBorder="1" applyAlignment="1">
      <alignment horizontal="centerContinuous"/>
    </xf>
    <xf numFmtId="192" fontId="43" fillId="0" borderId="45" xfId="0" applyNumberFormat="1" applyFont="1" applyBorder="1"/>
    <xf numFmtId="172" fontId="50" fillId="0" borderId="61" xfId="1" applyNumberFormat="1" applyFont="1" applyBorder="1"/>
    <xf numFmtId="172" fontId="50" fillId="0" borderId="45" xfId="1933" applyNumberFormat="1" applyFont="1" applyFill="1" applyBorder="1" applyAlignment="1" applyProtection="1"/>
    <xf numFmtId="172" fontId="50" fillId="0" borderId="0" xfId="1" applyNumberFormat="1" applyFont="1"/>
    <xf numFmtId="172" fontId="50" fillId="0" borderId="0" xfId="1933" applyNumberFormat="1" applyFont="1" applyFill="1" applyBorder="1" applyAlignment="1" applyProtection="1"/>
    <xf numFmtId="49" fontId="205" fillId="0" borderId="45" xfId="0" quotePrefix="1" applyNumberFormat="1" applyFont="1" applyBorder="1" applyAlignment="1">
      <alignment horizontal="center"/>
    </xf>
    <xf numFmtId="41" fontId="50" fillId="0" borderId="45" xfId="837" applyNumberFormat="1" applyFont="1" applyBorder="1"/>
    <xf numFmtId="42" fontId="50" fillId="0" borderId="51" xfId="837" applyNumberFormat="1" applyFont="1" applyBorder="1"/>
    <xf numFmtId="199" fontId="205" fillId="0" borderId="45" xfId="0" quotePrefix="1" applyNumberFormat="1" applyFont="1" applyBorder="1" applyAlignment="1">
      <alignment horizontal="center"/>
    </xf>
    <xf numFmtId="172" fontId="43" fillId="0" borderId="45" xfId="1933" applyNumberFormat="1" applyFont="1" applyFill="1" applyBorder="1" applyAlignment="1"/>
    <xf numFmtId="14" fontId="48" fillId="0" borderId="0" xfId="737" applyNumberFormat="1" applyFont="1" applyAlignment="1">
      <alignment vertical="center"/>
    </xf>
    <xf numFmtId="192" fontId="43" fillId="0" borderId="0" xfId="1" applyNumberFormat="1" applyAlignment="1">
      <alignment horizontal="right"/>
    </xf>
    <xf numFmtId="44" fontId="176" fillId="0" borderId="0" xfId="25853" applyNumberFormat="1"/>
    <xf numFmtId="174" fontId="50" fillId="0" borderId="0" xfId="3" applyNumberFormat="1" applyFont="1" applyAlignment="1">
      <alignment horizontal="center"/>
    </xf>
    <xf numFmtId="170" fontId="50" fillId="0" borderId="0" xfId="3" applyNumberFormat="1" applyFont="1" applyAlignment="1">
      <alignment horizontal="center"/>
    </xf>
    <xf numFmtId="174" fontId="50" fillId="0" borderId="27" xfId="3" applyNumberFormat="1" applyFont="1" applyBorder="1" applyAlignment="1">
      <alignment horizontal="center"/>
    </xf>
    <xf numFmtId="43" fontId="0" fillId="0" borderId="0" xfId="25854" applyNumberFormat="1" applyFont="1" applyBorder="1">
      <alignment horizontal="right"/>
    </xf>
    <xf numFmtId="43" fontId="0" fillId="0" borderId="0" xfId="25856" applyNumberFormat="1" applyFont="1"/>
    <xf numFmtId="44" fontId="0" fillId="0" borderId="0" xfId="25856" applyNumberFormat="1" applyFont="1"/>
    <xf numFmtId="165" fontId="50" fillId="0" borderId="0" xfId="0" applyNumberFormat="1" applyFont="1" applyAlignment="1">
      <alignment horizontal="centerContinuous"/>
    </xf>
    <xf numFmtId="165" fontId="68" fillId="0" borderId="0" xfId="0" applyNumberFormat="1" applyFont="1"/>
    <xf numFmtId="165" fontId="50" fillId="0" borderId="0" xfId="0" applyNumberFormat="1" applyFont="1" applyAlignment="1">
      <alignment horizontal="right"/>
    </xf>
    <xf numFmtId="165" fontId="71" fillId="0" borderId="0" xfId="0" quotePrefix="1" applyNumberFormat="1" applyFont="1" applyAlignment="1">
      <alignment horizontal="right"/>
    </xf>
    <xf numFmtId="165" fontId="68" fillId="0" borderId="0" xfId="0" applyNumberFormat="1" applyFont="1" applyAlignment="1">
      <alignment horizontal="centerContinuous"/>
    </xf>
    <xf numFmtId="165" fontId="50" fillId="0" borderId="45" xfId="0" applyNumberFormat="1" applyFont="1" applyBorder="1" applyAlignment="1">
      <alignment horizontal="centerContinuous"/>
    </xf>
    <xf numFmtId="165" fontId="43" fillId="0" borderId="45" xfId="0" applyNumberFormat="1" applyFont="1" applyBorder="1" applyAlignment="1">
      <alignment horizontal="centerContinuous"/>
    </xf>
    <xf numFmtId="165" fontId="50" fillId="0" borderId="45" xfId="0" quotePrefix="1" applyNumberFormat="1" applyFont="1" applyBorder="1"/>
    <xf numFmtId="165" fontId="43" fillId="0" borderId="45" xfId="0" applyNumberFormat="1" applyFont="1" applyBorder="1"/>
    <xf numFmtId="165" fontId="50" fillId="0" borderId="64" xfId="0" quotePrefix="1" applyNumberFormat="1" applyFont="1" applyBorder="1" applyAlignment="1">
      <alignment horizontal="center"/>
    </xf>
    <xf numFmtId="0" fontId="50" fillId="0" borderId="64" xfId="0" applyNumberFormat="1" applyFont="1" applyBorder="1" applyAlignment="1">
      <alignment horizontal="center"/>
    </xf>
    <xf numFmtId="165" fontId="50" fillId="0" borderId="0" xfId="0" applyNumberFormat="1" applyFont="1" applyAlignment="1">
      <alignment horizontal="center"/>
    </xf>
    <xf numFmtId="165" fontId="50" fillId="0" borderId="65" xfId="0" applyNumberFormat="1" applyFont="1" applyBorder="1" applyAlignment="1">
      <alignment horizontal="center"/>
    </xf>
    <xf numFmtId="165" fontId="68" fillId="0" borderId="0" xfId="0" quotePrefix="1" applyNumberFormat="1" applyFont="1" applyAlignment="1">
      <alignment horizontal="center"/>
    </xf>
    <xf numFmtId="0" fontId="50" fillId="0" borderId="0" xfId="0" quotePrefix="1" applyNumberFormat="1" applyFont="1" applyAlignment="1">
      <alignment horizontal="center"/>
    </xf>
    <xf numFmtId="0" fontId="50" fillId="0" borderId="0" xfId="0" applyNumberFormat="1" applyFont="1" applyAlignment="1">
      <alignment horizontal="center"/>
    </xf>
    <xf numFmtId="165" fontId="43" fillId="0" borderId="17" xfId="0" applyNumberFormat="1" applyFont="1" applyBorder="1"/>
    <xf numFmtId="165" fontId="43" fillId="0" borderId="64" xfId="0" applyNumberFormat="1" applyFont="1" applyBorder="1"/>
    <xf numFmtId="165" fontId="43" fillId="0" borderId="13" xfId="0" applyNumberFormat="1" applyFont="1" applyBorder="1"/>
    <xf numFmtId="174" fontId="43" fillId="0" borderId="0" xfId="0" quotePrefix="1" applyNumberFormat="1" applyFont="1" applyAlignment="1">
      <alignment horizontal="left"/>
    </xf>
    <xf numFmtId="174" fontId="43" fillId="0" borderId="0" xfId="0" quotePrefix="1" applyNumberFormat="1" applyFont="1"/>
    <xf numFmtId="174" fontId="43" fillId="0" borderId="13" xfId="0" applyNumberFormat="1" applyFont="1" applyBorder="1"/>
    <xf numFmtId="164" fontId="43" fillId="0" borderId="0" xfId="0" quotePrefix="1" applyFont="1"/>
    <xf numFmtId="164" fontId="68" fillId="0" borderId="0" xfId="0" applyFont="1"/>
    <xf numFmtId="192" fontId="208" fillId="0" borderId="0" xfId="17915" applyNumberFormat="1" applyFont="1" applyFill="1"/>
    <xf numFmtId="170" fontId="43" fillId="0" borderId="0" xfId="0" quotePrefix="1" applyNumberFormat="1" applyFont="1"/>
    <xf numFmtId="170" fontId="43" fillId="0" borderId="0" xfId="0" quotePrefix="1" applyNumberFormat="1" applyFont="1" applyAlignment="1">
      <alignment horizontal="left"/>
    </xf>
    <xf numFmtId="170" fontId="43" fillId="0" borderId="13" xfId="0" applyNumberFormat="1" applyFont="1" applyBorder="1"/>
    <xf numFmtId="164" fontId="68" fillId="0" borderId="0" xfId="0" quotePrefix="1" applyFont="1"/>
    <xf numFmtId="170" fontId="50" fillId="0" borderId="0" xfId="0" quotePrefix="1" applyNumberFormat="1" applyFont="1"/>
    <xf numFmtId="170" fontId="50" fillId="0" borderId="64" xfId="0" quotePrefix="1" applyNumberFormat="1" applyFont="1" applyBorder="1"/>
    <xf numFmtId="170" fontId="50" fillId="0" borderId="0" xfId="0" quotePrefix="1" applyNumberFormat="1" applyFont="1" applyAlignment="1">
      <alignment horizontal="left"/>
    </xf>
    <xf numFmtId="170" fontId="50" fillId="0" borderId="13" xfId="0" applyNumberFormat="1" applyFont="1" applyBorder="1"/>
    <xf numFmtId="170" fontId="50" fillId="0" borderId="25" xfId="0" quotePrefix="1" applyNumberFormat="1" applyFont="1" applyBorder="1"/>
    <xf numFmtId="164" fontId="69" fillId="0" borderId="25" xfId="0" applyFont="1" applyBorder="1"/>
    <xf numFmtId="164" fontId="69" fillId="0" borderId="0" xfId="0" applyFont="1"/>
    <xf numFmtId="165" fontId="69" fillId="0" borderId="0" xfId="0" applyNumberFormat="1" applyFont="1"/>
    <xf numFmtId="192" fontId="222" fillId="0" borderId="0" xfId="17915" applyNumberFormat="1" applyFont="1" applyFill="1"/>
    <xf numFmtId="166" fontId="68" fillId="0" borderId="0" xfId="0" applyNumberFormat="1" applyFont="1"/>
    <xf numFmtId="164" fontId="68" fillId="0" borderId="45" xfId="0" applyFont="1" applyBorder="1"/>
    <xf numFmtId="170" fontId="50" fillId="0" borderId="74" xfId="0" quotePrefix="1" applyNumberFormat="1" applyFont="1" applyBorder="1" applyAlignment="1">
      <alignment horizontal="left"/>
    </xf>
    <xf numFmtId="170" fontId="50" fillId="0" borderId="69" xfId="0" applyNumberFormat="1" applyFont="1" applyBorder="1"/>
    <xf numFmtId="164" fontId="69" fillId="0" borderId="69" xfId="0" applyFont="1" applyBorder="1"/>
    <xf numFmtId="164" fontId="70" fillId="0" borderId="0" xfId="0" applyFont="1"/>
    <xf numFmtId="170" fontId="50" fillId="0" borderId="74" xfId="0" applyNumberFormat="1" applyFont="1" applyBorder="1"/>
    <xf numFmtId="172" fontId="68" fillId="0" borderId="0" xfId="0" applyNumberFormat="1" applyFont="1"/>
    <xf numFmtId="170" fontId="50" fillId="0" borderId="69" xfId="0" quotePrefix="1" applyNumberFormat="1" applyFont="1" applyBorder="1"/>
    <xf numFmtId="166" fontId="43" fillId="0" borderId="0" xfId="0" quotePrefix="1" applyNumberFormat="1" applyFont="1" applyAlignment="1">
      <alignment horizontal="right"/>
    </xf>
    <xf numFmtId="165" fontId="50" fillId="0" borderId="13" xfId="0" applyNumberFormat="1" applyFont="1" applyBorder="1"/>
    <xf numFmtId="166" fontId="50" fillId="0" borderId="65" xfId="0" applyNumberFormat="1" applyFont="1" applyBorder="1"/>
    <xf numFmtId="164" fontId="69" fillId="0" borderId="65" xfId="0" applyFont="1" applyBorder="1"/>
    <xf numFmtId="174" fontId="50" fillId="0" borderId="21" xfId="0" applyNumberFormat="1" applyFont="1" applyBorder="1"/>
    <xf numFmtId="174" fontId="50" fillId="0" borderId="74" xfId="0" applyNumberFormat="1" applyFont="1" applyBorder="1"/>
    <xf numFmtId="174" fontId="50" fillId="0" borderId="13" xfId="0" applyNumberFormat="1" applyFont="1" applyBorder="1"/>
    <xf numFmtId="164" fontId="69" fillId="0" borderId="51" xfId="0" applyFont="1" applyBorder="1"/>
    <xf numFmtId="7" fontId="176" fillId="0" borderId="0" xfId="25853" applyNumberFormat="1"/>
    <xf numFmtId="0" fontId="178" fillId="0" borderId="0" xfId="25853" applyFont="1" applyAlignment="1">
      <alignment horizontal="left"/>
    </xf>
    <xf numFmtId="0" fontId="71" fillId="0" borderId="0" xfId="25853" applyFont="1"/>
    <xf numFmtId="0" fontId="71" fillId="0" borderId="0" xfId="25853" applyFont="1" applyAlignment="1">
      <alignment horizontal="right"/>
    </xf>
    <xf numFmtId="7" fontId="50" fillId="0" borderId="0" xfId="25853" applyNumberFormat="1" applyFont="1" applyAlignment="1">
      <alignment horizontal="center"/>
    </xf>
    <xf numFmtId="7" fontId="43" fillId="0" borderId="0" xfId="25853" applyNumberFormat="1" applyFont="1"/>
    <xf numFmtId="0" fontId="182" fillId="0" borderId="0" xfId="25853" applyFont="1" applyAlignment="1">
      <alignment horizontal="center" wrapText="1"/>
    </xf>
    <xf numFmtId="37" fontId="147" fillId="0" borderId="0" xfId="25854" applyNumberFormat="1" applyFont="1" applyBorder="1">
      <alignment horizontal="right"/>
    </xf>
    <xf numFmtId="43" fontId="43" fillId="0" borderId="0" xfId="0" applyNumberFormat="1" applyFont="1" applyAlignment="1">
      <alignment horizontal="right" wrapText="1"/>
    </xf>
    <xf numFmtId="43" fontId="43" fillId="0" borderId="0" xfId="25862" applyNumberFormat="1" applyFont="1"/>
    <xf numFmtId="44" fontId="43" fillId="0" borderId="0" xfId="25862" applyNumberFormat="1" applyFont="1"/>
    <xf numFmtId="171" fontId="110" fillId="0" borderId="0" xfId="25853" applyNumberFormat="1" applyFont="1" applyAlignment="1">
      <alignment horizontal="left"/>
    </xf>
    <xf numFmtId="171" fontId="48" fillId="0" borderId="0" xfId="25853" applyNumberFormat="1" applyFont="1"/>
    <xf numFmtId="43" fontId="43" fillId="0" borderId="0" xfId="25853" applyNumberFormat="1" applyFont="1" applyAlignment="1">
      <alignment horizontal="right" wrapText="1"/>
    </xf>
    <xf numFmtId="43" fontId="43" fillId="0" borderId="0" xfId="25853" applyNumberFormat="1" applyFont="1"/>
    <xf numFmtId="43" fontId="43" fillId="0" borderId="0" xfId="25853" applyNumberFormat="1" applyFont="1" applyAlignment="1">
      <alignment horizontal="left"/>
    </xf>
    <xf numFmtId="44" fontId="43" fillId="0" borderId="0" xfId="0" applyNumberFormat="1" applyFont="1"/>
    <xf numFmtId="44" fontId="43" fillId="0" borderId="0" xfId="25853" applyNumberFormat="1" applyFont="1" applyAlignment="1">
      <alignment horizontal="left"/>
    </xf>
    <xf numFmtId="43" fontId="41" fillId="0" borderId="0" xfId="25853" applyNumberFormat="1" applyFont="1" applyAlignment="1">
      <alignment horizontal="left"/>
    </xf>
    <xf numFmtId="43" fontId="48" fillId="0" borderId="0" xfId="25853" applyNumberFormat="1" applyFont="1"/>
    <xf numFmtId="44" fontId="48" fillId="0" borderId="0" xfId="25853" applyNumberFormat="1" applyFont="1"/>
    <xf numFmtId="0" fontId="184" fillId="0" borderId="0" xfId="25853" applyFont="1" applyAlignment="1">
      <alignment horizontal="left"/>
    </xf>
    <xf numFmtId="0" fontId="147" fillId="0" borderId="0" xfId="25854" applyFont="1" applyBorder="1">
      <alignment horizontal="right"/>
    </xf>
    <xf numFmtId="7" fontId="43" fillId="0" borderId="0" xfId="25854" applyNumberFormat="1" applyFont="1" applyBorder="1">
      <alignment horizontal="right"/>
    </xf>
    <xf numFmtId="43" fontId="54" fillId="0" borderId="0" xfId="0" applyNumberFormat="1" applyFont="1" applyAlignment="1">
      <alignment horizontal="right" wrapText="1"/>
    </xf>
    <xf numFmtId="43" fontId="54" fillId="0" borderId="0" xfId="25862" applyNumberFormat="1" applyFont="1" applyAlignment="1">
      <alignment horizontal="left"/>
    </xf>
    <xf numFmtId="43" fontId="54" fillId="0" borderId="0" xfId="25866" applyNumberFormat="1" applyFont="1"/>
    <xf numFmtId="43" fontId="54" fillId="0" borderId="0" xfId="25862" applyNumberFormat="1" applyFont="1"/>
    <xf numFmtId="43" fontId="54" fillId="0" borderId="0" xfId="4571" applyNumberFormat="1" applyFont="1" applyAlignment="1">
      <alignment wrapText="1"/>
    </xf>
    <xf numFmtId="0" fontId="203" fillId="0" borderId="0" xfId="25853" applyFont="1" applyAlignment="1">
      <alignment horizontal="left"/>
    </xf>
    <xf numFmtId="7" fontId="48" fillId="0" borderId="0" xfId="25853" applyNumberFormat="1" applyFont="1"/>
    <xf numFmtId="43" fontId="203" fillId="0" borderId="0" xfId="25853" applyNumberFormat="1" applyFont="1" applyAlignment="1">
      <alignment horizontal="left"/>
    </xf>
    <xf numFmtId="44" fontId="203" fillId="0" borderId="0" xfId="25853" applyNumberFormat="1" applyFont="1" applyAlignment="1">
      <alignment horizontal="left"/>
    </xf>
    <xf numFmtId="43" fontId="43" fillId="0" borderId="0" xfId="25862" applyNumberFormat="1" applyFont="1" applyAlignment="1">
      <alignment horizontal="left"/>
    </xf>
    <xf numFmtId="43" fontId="43" fillId="0" borderId="0" xfId="25866" applyNumberFormat="1" applyFont="1" applyAlignment="1">
      <alignment horizontal="right"/>
    </xf>
    <xf numFmtId="43" fontId="43" fillId="0" borderId="0" xfId="25866" applyNumberFormat="1" applyFont="1"/>
    <xf numFmtId="43" fontId="43" fillId="0" borderId="0" xfId="4571" applyNumberFormat="1" applyAlignment="1">
      <alignment wrapText="1"/>
    </xf>
    <xf numFmtId="43" fontId="43" fillId="0" borderId="0" xfId="25853" applyNumberFormat="1" applyFont="1" applyAlignment="1">
      <alignment horizontal="right"/>
    </xf>
    <xf numFmtId="43" fontId="43" fillId="0" borderId="0" xfId="25853" applyNumberFormat="1" applyFont="1" applyAlignment="1">
      <alignment wrapText="1"/>
    </xf>
    <xf numFmtId="43" fontId="54" fillId="0" borderId="0" xfId="25866" applyNumberFormat="1" applyFont="1" applyAlignment="1">
      <alignment horizontal="right"/>
    </xf>
    <xf numFmtId="165" fontId="43" fillId="58" borderId="0" xfId="0" applyNumberFormat="1" applyFont="1" applyFill="1"/>
    <xf numFmtId="170" fontId="43" fillId="58" borderId="0" xfId="0" applyNumberFormat="1" applyFont="1" applyFill="1"/>
    <xf numFmtId="170" fontId="50" fillId="58" borderId="0" xfId="0" applyNumberFormat="1" applyFont="1" applyFill="1"/>
    <xf numFmtId="165" fontId="50" fillId="58" borderId="0" xfId="0" applyNumberFormat="1" applyFont="1" applyFill="1"/>
    <xf numFmtId="174" fontId="50" fillId="58" borderId="0" xfId="0" applyNumberFormat="1" applyFont="1" applyFill="1"/>
    <xf numFmtId="174" fontId="43" fillId="0" borderId="0" xfId="17915" applyNumberFormat="1" applyFont="1" applyFill="1" applyAlignment="1" applyProtection="1"/>
    <xf numFmtId="44" fontId="43" fillId="0" borderId="0" xfId="25856" applyNumberFormat="1" applyFont="1"/>
    <xf numFmtId="43" fontId="97" fillId="0" borderId="0" xfId="737" applyNumberFormat="1" applyFont="1"/>
    <xf numFmtId="170" fontId="54" fillId="0" borderId="0" xfId="1" applyNumberFormat="1" applyFont="1" applyAlignment="1">
      <alignment horizontal="right"/>
    </xf>
    <xf numFmtId="170" fontId="147" fillId="0" borderId="0" xfId="1" applyNumberFormat="1" applyFont="1"/>
    <xf numFmtId="177" fontId="43" fillId="0" borderId="0" xfId="0" applyNumberFormat="1" applyFont="1" applyAlignment="1">
      <alignment horizontal="center"/>
    </xf>
    <xf numFmtId="177" fontId="0" fillId="0" borderId="0" xfId="0" applyNumberFormat="1"/>
    <xf numFmtId="184" fontId="66" fillId="0" borderId="64" xfId="833" applyNumberFormat="1" applyFont="1" applyBorder="1" applyAlignment="1">
      <alignment horizontal="right"/>
    </xf>
    <xf numFmtId="177" fontId="66" fillId="0" borderId="10" xfId="737" applyNumberFormat="1" applyFont="1" applyBorder="1" applyAlignment="1">
      <alignment horizontal="right"/>
    </xf>
    <xf numFmtId="42" fontId="43" fillId="0" borderId="0" xfId="5450" applyNumberFormat="1" applyAlignment="1">
      <alignment horizontal="right"/>
    </xf>
    <xf numFmtId="41" fontId="64" fillId="0" borderId="0" xfId="5480" applyNumberFormat="1" applyFont="1" applyAlignment="1">
      <alignment horizontal="right"/>
    </xf>
    <xf numFmtId="192" fontId="50" fillId="0" borderId="0" xfId="1" applyNumberFormat="1" applyFont="1"/>
    <xf numFmtId="170" fontId="43" fillId="0" borderId="45" xfId="1" quotePrefix="1" applyNumberFormat="1" applyBorder="1" applyAlignment="1">
      <alignment horizontal="right"/>
    </xf>
    <xf numFmtId="170" fontId="50" fillId="0" borderId="45" xfId="1" quotePrefix="1" applyNumberFormat="1" applyFont="1" applyBorder="1" applyAlignment="1">
      <alignment horizontal="right"/>
    </xf>
    <xf numFmtId="192" fontId="43" fillId="0" borderId="0" xfId="17915" applyNumberFormat="1" applyFont="1" applyFill="1" applyAlignment="1">
      <alignment horizontal="right"/>
    </xf>
    <xf numFmtId="192" fontId="50" fillId="0" borderId="61" xfId="17915" applyNumberFormat="1" applyFont="1" applyFill="1" applyBorder="1" applyAlignment="1">
      <alignment horizontal="right"/>
    </xf>
    <xf numFmtId="192" fontId="50" fillId="0" borderId="45" xfId="17915" applyNumberFormat="1" applyFont="1" applyFill="1" applyBorder="1" applyAlignment="1">
      <alignment horizontal="right"/>
    </xf>
    <xf numFmtId="174" fontId="43" fillId="0" borderId="0" xfId="0" quotePrefix="1" applyNumberFormat="1" applyFont="1" applyAlignment="1">
      <alignment horizontal="right"/>
    </xf>
    <xf numFmtId="170" fontId="50" fillId="0" borderId="63" xfId="0" quotePrefix="1" applyNumberFormat="1" applyFont="1" applyBorder="1"/>
    <xf numFmtId="192" fontId="43" fillId="0" borderId="0" xfId="17915" quotePrefix="1" applyNumberFormat="1" applyFont="1" applyFill="1" applyAlignment="1">
      <alignment horizontal="right"/>
    </xf>
    <xf numFmtId="174" fontId="147" fillId="0" borderId="0" xfId="5509" applyNumberFormat="1" applyFont="1"/>
    <xf numFmtId="174" fontId="50" fillId="0" borderId="0" xfId="1" quotePrefix="1" applyNumberFormat="1" applyFont="1" applyAlignment="1">
      <alignment horizontal="center"/>
    </xf>
    <xf numFmtId="0" fontId="50" fillId="0" borderId="16" xfId="1" applyFont="1" applyBorder="1" applyAlignment="1">
      <alignment horizontal="center"/>
    </xf>
    <xf numFmtId="170" fontId="204" fillId="0" borderId="16" xfId="1" applyNumberFormat="1" applyFont="1" applyBorder="1" applyAlignment="1">
      <alignment horizontal="right"/>
    </xf>
    <xf numFmtId="166" fontId="43" fillId="0" borderId="0" xfId="5509" applyNumberFormat="1" applyFont="1"/>
    <xf numFmtId="174" fontId="50" fillId="0" borderId="0" xfId="5509" applyNumberFormat="1" applyFont="1"/>
    <xf numFmtId="170" fontId="43" fillId="0" borderId="0" xfId="17915" quotePrefix="1" applyNumberFormat="1" applyFont="1" applyFill="1" applyAlignment="1"/>
    <xf numFmtId="170" fontId="43" fillId="0" borderId="72" xfId="1" applyNumberFormat="1" applyBorder="1"/>
    <xf numFmtId="0" fontId="228" fillId="0" borderId="0" xfId="25853" applyFont="1" applyAlignment="1">
      <alignment horizontal="left"/>
    </xf>
    <xf numFmtId="0" fontId="229" fillId="0" borderId="0" xfId="25853" applyFont="1" applyAlignment="1">
      <alignment horizontal="left"/>
    </xf>
    <xf numFmtId="43" fontId="50" fillId="0" borderId="0" xfId="0" applyNumberFormat="1" applyFont="1" applyAlignment="1">
      <alignment vertical="top" wrapText="1"/>
    </xf>
    <xf numFmtId="185" fontId="205" fillId="0" borderId="45" xfId="0" quotePrefix="1" applyNumberFormat="1" applyFont="1" applyBorder="1" applyAlignment="1">
      <alignment horizontal="center"/>
    </xf>
    <xf numFmtId="43" fontId="54" fillId="0" borderId="0" xfId="737" applyNumberFormat="1" applyFont="1" applyAlignment="1">
      <alignment horizontal="right"/>
    </xf>
    <xf numFmtId="192" fontId="46" fillId="0" borderId="0" xfId="0" applyNumberFormat="1" applyFont="1"/>
    <xf numFmtId="192" fontId="43" fillId="0" borderId="0" xfId="0" applyNumberFormat="1" applyFont="1"/>
    <xf numFmtId="192" fontId="159" fillId="0" borderId="0" xfId="0" applyNumberFormat="1" applyFont="1"/>
    <xf numFmtId="192" fontId="160" fillId="0" borderId="0" xfId="0" applyNumberFormat="1" applyFont="1" applyAlignment="1">
      <alignment horizontal="right"/>
    </xf>
    <xf numFmtId="192" fontId="160" fillId="0" borderId="0" xfId="0" applyNumberFormat="1" applyFont="1"/>
    <xf numFmtId="192" fontId="159" fillId="0" borderId="0" xfId="0" applyNumberFormat="1" applyFont="1" applyAlignment="1">
      <alignment horizontal="center"/>
    </xf>
    <xf numFmtId="41" fontId="48" fillId="0" borderId="13" xfId="0" applyNumberFormat="1" applyFont="1" applyBorder="1"/>
    <xf numFmtId="170" fontId="159" fillId="0" borderId="0" xfId="1" applyNumberFormat="1" applyFont="1" applyAlignment="1">
      <alignment horizontal="center"/>
    </xf>
    <xf numFmtId="170" fontId="225" fillId="0" borderId="0" xfId="1" applyNumberFormat="1" applyFont="1"/>
    <xf numFmtId="177" fontId="54" fillId="0" borderId="0" xfId="737" applyNumberFormat="1" applyFont="1" applyAlignment="1">
      <alignment horizontal="right"/>
    </xf>
    <xf numFmtId="0" fontId="71" fillId="0" borderId="0" xfId="1" applyFont="1" applyAlignment="1" applyProtection="1">
      <alignment horizontal="left" vertical="center"/>
      <protection locked="0"/>
    </xf>
    <xf numFmtId="170" fontId="204" fillId="0" borderId="76" xfId="0" applyNumberFormat="1" applyFont="1" applyBorder="1"/>
    <xf numFmtId="174" fontId="205" fillId="0" borderId="74" xfId="0" applyNumberFormat="1" applyFont="1" applyBorder="1"/>
    <xf numFmtId="170" fontId="64" fillId="0" borderId="49" xfId="0" applyNumberFormat="1" applyFont="1" applyBorder="1"/>
    <xf numFmtId="170" fontId="43" fillId="0" borderId="19" xfId="0" applyNumberFormat="1" applyFont="1" applyBorder="1"/>
    <xf numFmtId="170" fontId="64" fillId="0" borderId="49" xfId="0" applyNumberFormat="1" applyFont="1" applyBorder="1" applyAlignment="1">
      <alignment horizontal="center"/>
    </xf>
    <xf numFmtId="170" fontId="43" fillId="0" borderId="19" xfId="0" applyNumberFormat="1" applyFont="1" applyBorder="1" applyAlignment="1">
      <alignment horizontal="center"/>
    </xf>
    <xf numFmtId="170" fontId="50" fillId="0" borderId="61" xfId="0" applyNumberFormat="1" applyFont="1" applyBorder="1" applyAlignment="1">
      <alignment horizontal="right"/>
    </xf>
    <xf numFmtId="170" fontId="50" fillId="0" borderId="19" xfId="0" applyNumberFormat="1" applyFont="1" applyBorder="1"/>
    <xf numFmtId="170" fontId="63" fillId="0" borderId="19" xfId="0" applyNumberFormat="1" applyFont="1" applyBorder="1"/>
    <xf numFmtId="170" fontId="50" fillId="0" borderId="45" xfId="0" applyNumberFormat="1" applyFont="1" applyBorder="1" applyAlignment="1">
      <alignment horizontal="center"/>
    </xf>
    <xf numFmtId="174" fontId="63" fillId="0" borderId="51" xfId="0" applyNumberFormat="1" applyFont="1" applyBorder="1"/>
    <xf numFmtId="174" fontId="63" fillId="0" borderId="19" xfId="0" applyNumberFormat="1" applyFont="1" applyBorder="1"/>
    <xf numFmtId="166" fontId="142" fillId="0" borderId="0" xfId="0" applyNumberFormat="1" applyFont="1"/>
    <xf numFmtId="166" fontId="65" fillId="0" borderId="0" xfId="0" applyNumberFormat="1" applyFont="1"/>
    <xf numFmtId="165" fontId="144" fillId="0" borderId="0" xfId="0" applyNumberFormat="1" applyFont="1"/>
    <xf numFmtId="0" fontId="85" fillId="0" borderId="0" xfId="838" applyFont="1" applyAlignment="1">
      <alignment horizontal="right"/>
    </xf>
    <xf numFmtId="0" fontId="83" fillId="0" borderId="0" xfId="1025" applyFont="1" applyAlignment="1">
      <alignment horizontal="right"/>
    </xf>
    <xf numFmtId="172" fontId="230" fillId="0" borderId="0" xfId="0" applyNumberFormat="1" applyFont="1"/>
    <xf numFmtId="43" fontId="43" fillId="0" borderId="0" xfId="49836" applyNumberFormat="1" applyFont="1" applyFill="1" applyBorder="1"/>
    <xf numFmtId="43" fontId="50" fillId="0" borderId="0" xfId="49836" applyNumberFormat="1" applyFont="1" applyFill="1" applyBorder="1"/>
    <xf numFmtId="43" fontId="43" fillId="0" borderId="0" xfId="5500" applyNumberFormat="1" applyFont="1"/>
    <xf numFmtId="172" fontId="50" fillId="0" borderId="25" xfId="0" applyNumberFormat="1" applyFont="1" applyBorder="1" applyProtection="1">
      <protection locked="0"/>
    </xf>
    <xf numFmtId="0" fontId="71" fillId="0" borderId="0" xfId="1" applyFont="1" applyAlignment="1" applyProtection="1">
      <alignment vertical="center"/>
      <protection locked="0"/>
    </xf>
    <xf numFmtId="0" fontId="0" fillId="0" borderId="0" xfId="1" applyFont="1" applyAlignment="1">
      <alignment vertical="center"/>
    </xf>
    <xf numFmtId="181" fontId="48" fillId="0" borderId="0" xfId="0" applyNumberFormat="1" applyFont="1"/>
    <xf numFmtId="44" fontId="43" fillId="0" borderId="0" xfId="25862" applyNumberFormat="1" applyFont="1" applyAlignment="1">
      <alignment horizontal="left"/>
    </xf>
    <xf numFmtId="43" fontId="49" fillId="0" borderId="0" xfId="25853" applyNumberFormat="1" applyFont="1" applyAlignment="1">
      <alignment horizontal="left"/>
    </xf>
    <xf numFmtId="0" fontId="85" fillId="0" borderId="0" xfId="25853" applyFont="1" applyAlignment="1">
      <alignment horizontal="left"/>
    </xf>
    <xf numFmtId="166" fontId="212" fillId="0" borderId="0" xfId="0" applyNumberFormat="1" applyFont="1"/>
    <xf numFmtId="164" fontId="213" fillId="0" borderId="0" xfId="0" applyFont="1"/>
    <xf numFmtId="166" fontId="44" fillId="0" borderId="0" xfId="0" applyNumberFormat="1" applyFont="1"/>
    <xf numFmtId="164" fontId="47" fillId="0" borderId="0" xfId="0" applyFont="1"/>
    <xf numFmtId="0" fontId="71" fillId="0" borderId="0" xfId="1" applyFont="1" applyProtection="1">
      <protection locked="0"/>
    </xf>
    <xf numFmtId="0" fontId="50" fillId="0" borderId="45" xfId="1" quotePrefix="1" applyFont="1" applyBorder="1" applyAlignment="1">
      <alignment horizontal="centerContinuous"/>
    </xf>
    <xf numFmtId="170" fontId="50" fillId="0" borderId="0" xfId="0" quotePrefix="1" applyNumberFormat="1" applyFont="1" applyAlignment="1">
      <alignment horizontal="right"/>
    </xf>
    <xf numFmtId="42" fontId="147" fillId="0" borderId="15" xfId="837" applyNumberFormat="1" applyFont="1" applyBorder="1"/>
    <xf numFmtId="170" fontId="205" fillId="0" borderId="45" xfId="0" applyNumberFormat="1" applyFont="1" applyBorder="1" applyAlignment="1">
      <alignment horizontal="right"/>
    </xf>
    <xf numFmtId="174" fontId="204" fillId="0" borderId="0" xfId="1" applyNumberFormat="1" applyFont="1"/>
    <xf numFmtId="170" fontId="205" fillId="0" borderId="45" xfId="1" applyNumberFormat="1" applyFont="1" applyBorder="1" applyAlignment="1">
      <alignment horizontal="right"/>
    </xf>
    <xf numFmtId="165" fontId="206" fillId="0" borderId="0" xfId="0" applyNumberFormat="1" applyFont="1"/>
    <xf numFmtId="37" fontId="43" fillId="0" borderId="0" xfId="25862" applyNumberFormat="1" applyFont="1" applyAlignment="1">
      <alignment horizontal="left"/>
    </xf>
    <xf numFmtId="37" fontId="43" fillId="0" borderId="0" xfId="25862" applyNumberFormat="1" applyFont="1"/>
    <xf numFmtId="37" fontId="43" fillId="0" borderId="0" xfId="25854" applyNumberFormat="1" applyFont="1" applyBorder="1">
      <alignment horizontal="right"/>
    </xf>
    <xf numFmtId="44" fontId="54" fillId="0" borderId="0" xfId="25862" applyNumberFormat="1" applyFont="1" applyAlignment="1">
      <alignment horizontal="left"/>
    </xf>
    <xf numFmtId="174" fontId="204" fillId="0" borderId="0" xfId="0" applyNumberFormat="1" applyFont="1"/>
    <xf numFmtId="167" fontId="204" fillId="0" borderId="0" xfId="0" applyNumberFormat="1" applyFont="1" applyAlignment="1">
      <alignment horizontal="center"/>
    </xf>
    <xf numFmtId="174" fontId="204" fillId="0" borderId="0" xfId="0" applyNumberFormat="1" applyFont="1" applyAlignment="1">
      <alignment horizontal="right"/>
    </xf>
    <xf numFmtId="174" fontId="204" fillId="0" borderId="0" xfId="0" quotePrefix="1" applyNumberFormat="1" applyFont="1" applyAlignment="1">
      <alignment horizontal="left"/>
    </xf>
    <xf numFmtId="174" fontId="204" fillId="0" borderId="74" xfId="0" applyNumberFormat="1" applyFont="1" applyBorder="1"/>
    <xf numFmtId="170" fontId="205" fillId="0" borderId="0" xfId="0" applyNumberFormat="1" applyFont="1" applyAlignment="1">
      <alignment horizontal="right"/>
    </xf>
    <xf numFmtId="170" fontId="204" fillId="0" borderId="0" xfId="0" quotePrefix="1" applyNumberFormat="1" applyFont="1"/>
    <xf numFmtId="170" fontId="216" fillId="0" borderId="0" xfId="0" applyNumberFormat="1" applyFont="1"/>
    <xf numFmtId="170" fontId="210" fillId="0" borderId="0" xfId="0" applyNumberFormat="1" applyFont="1"/>
    <xf numFmtId="174" fontId="0" fillId="0" borderId="0" xfId="0" applyNumberFormat="1"/>
    <xf numFmtId="174" fontId="43" fillId="0" borderId="0" xfId="0" applyNumberFormat="1" applyFont="1" applyAlignment="1">
      <alignment horizontal="right"/>
    </xf>
    <xf numFmtId="174" fontId="64" fillId="0" borderId="49" xfId="0" applyNumberFormat="1" applyFont="1" applyBorder="1"/>
    <xf numFmtId="174" fontId="43" fillId="0" borderId="19" xfId="0" applyNumberFormat="1" applyFont="1" applyBorder="1"/>
    <xf numFmtId="170" fontId="0" fillId="0" borderId="0" xfId="0" applyNumberFormat="1" applyAlignment="1">
      <alignment horizontal="right"/>
    </xf>
    <xf numFmtId="170" fontId="50" fillId="0" borderId="61" xfId="0" applyNumberFormat="1" applyFont="1" applyBorder="1" applyAlignment="1">
      <alignment horizontal="center"/>
    </xf>
    <xf numFmtId="170" fontId="63" fillId="0" borderId="49" xfId="0" applyNumberFormat="1" applyFont="1" applyBorder="1" applyAlignment="1">
      <alignment horizontal="center"/>
    </xf>
    <xf numFmtId="170" fontId="50" fillId="0" borderId="19" xfId="0" applyNumberFormat="1" applyFont="1" applyBorder="1" applyAlignment="1">
      <alignment horizontal="center"/>
    </xf>
    <xf numFmtId="197" fontId="43" fillId="0" borderId="0" xfId="0" applyNumberFormat="1" applyFont="1" applyProtection="1">
      <protection locked="0"/>
    </xf>
    <xf numFmtId="170" fontId="205" fillId="0" borderId="61" xfId="0" applyNumberFormat="1" applyFont="1" applyBorder="1" applyAlignment="1">
      <alignment horizontal="center"/>
    </xf>
    <xf numFmtId="174" fontId="43" fillId="0" borderId="17" xfId="0" applyNumberFormat="1" applyFont="1" applyBorder="1"/>
    <xf numFmtId="174" fontId="43" fillId="0" borderId="16" xfId="0" applyNumberFormat="1" applyFont="1" applyBorder="1"/>
    <xf numFmtId="170" fontId="43" fillId="0" borderId="17" xfId="0" applyNumberFormat="1" applyFont="1" applyBorder="1"/>
    <xf numFmtId="170" fontId="50" fillId="0" borderId="53" xfId="0" applyNumberFormat="1" applyFont="1" applyBorder="1"/>
    <xf numFmtId="170" fontId="50" fillId="0" borderId="17" xfId="0" applyNumberFormat="1" applyFont="1" applyBorder="1"/>
    <xf numFmtId="170" fontId="43" fillId="0" borderId="65" xfId="0" quotePrefix="1" applyNumberFormat="1" applyFont="1" applyBorder="1"/>
    <xf numFmtId="170" fontId="205" fillId="0" borderId="64" xfId="0" applyNumberFormat="1" applyFont="1" applyBorder="1"/>
    <xf numFmtId="198" fontId="43" fillId="0" borderId="0" xfId="0" applyNumberFormat="1" applyFont="1"/>
    <xf numFmtId="170" fontId="50" fillId="0" borderId="64" xfId="0" quotePrefix="1" applyNumberFormat="1" applyFont="1" applyBorder="1" applyAlignment="1">
      <alignment horizontal="center"/>
    </xf>
    <xf numFmtId="165" fontId="50" fillId="0" borderId="17" xfId="0" applyNumberFormat="1" applyFont="1" applyBorder="1"/>
    <xf numFmtId="174" fontId="50" fillId="0" borderId="0" xfId="0" applyNumberFormat="1" applyFont="1" applyAlignment="1">
      <alignment horizontal="center"/>
    </xf>
    <xf numFmtId="174" fontId="50" fillId="0" borderId="18" xfId="0" applyNumberFormat="1" applyFont="1" applyBorder="1"/>
    <xf numFmtId="44" fontId="147" fillId="0" borderId="0" xfId="25853" applyNumberFormat="1" applyFont="1" applyAlignment="1">
      <alignment horizontal="left"/>
    </xf>
    <xf numFmtId="44" fontId="43" fillId="0" borderId="0" xfId="25853" applyNumberFormat="1" applyFont="1"/>
    <xf numFmtId="43" fontId="147" fillId="0" borderId="0" xfId="25853" applyNumberFormat="1" applyFont="1" applyAlignment="1">
      <alignment horizontal="left"/>
    </xf>
    <xf numFmtId="43" fontId="43" fillId="0" borderId="0" xfId="25860" applyNumberFormat="1" applyFont="1" applyFill="1" applyBorder="1"/>
    <xf numFmtId="166" fontId="205" fillId="0" borderId="45" xfId="0" applyNumberFormat="1" applyFont="1" applyBorder="1" applyAlignment="1">
      <alignment horizontal="left"/>
    </xf>
    <xf numFmtId="164" fontId="204" fillId="0" borderId="45" xfId="0" applyFont="1" applyBorder="1" applyAlignment="1">
      <alignment horizontal="left"/>
    </xf>
    <xf numFmtId="166" fontId="50" fillId="0" borderId="0" xfId="0" applyNumberFormat="1" applyFont="1" applyAlignment="1">
      <alignment horizontal="center"/>
    </xf>
    <xf numFmtId="164" fontId="43" fillId="0" borderId="0" xfId="0" applyFont="1" applyAlignment="1">
      <alignment horizontal="center"/>
    </xf>
    <xf numFmtId="166" fontId="50" fillId="0" borderId="45" xfId="0" applyNumberFormat="1" applyFont="1" applyBorder="1" applyAlignment="1">
      <alignment horizontal="center"/>
    </xf>
    <xf numFmtId="39" fontId="44" fillId="0" borderId="0" xfId="0" applyNumberFormat="1" applyFont="1" applyAlignment="1">
      <alignment horizontal="left"/>
    </xf>
    <xf numFmtId="164" fontId="47" fillId="0" borderId="0" xfId="0" applyFont="1" applyAlignment="1">
      <alignment horizontal="left"/>
    </xf>
    <xf numFmtId="166" fontId="44" fillId="0" borderId="0" xfId="0" applyNumberFormat="1" applyFont="1" applyAlignment="1">
      <alignment horizontal="left"/>
    </xf>
    <xf numFmtId="0" fontId="50" fillId="0" borderId="0" xfId="1" applyFont="1" applyAlignment="1">
      <alignment horizontal="right"/>
    </xf>
    <xf numFmtId="0" fontId="50" fillId="0" borderId="0" xfId="1" applyFont="1" applyAlignment="1">
      <alignment horizontal="left"/>
    </xf>
    <xf numFmtId="0" fontId="50" fillId="0" borderId="45" xfId="1" applyFont="1" applyBorder="1" applyAlignment="1">
      <alignment horizontal="center"/>
    </xf>
    <xf numFmtId="0" fontId="50" fillId="33" borderId="45" xfId="1" applyFont="1" applyFill="1" applyBorder="1" applyAlignment="1">
      <alignment horizontal="center"/>
    </xf>
    <xf numFmtId="166" fontId="77" fillId="0" borderId="0" xfId="1" applyNumberFormat="1" applyFont="1" applyAlignment="1">
      <alignment horizontal="right"/>
    </xf>
    <xf numFmtId="0" fontId="43" fillId="0" borderId="0" xfId="1"/>
    <xf numFmtId="0" fontId="50" fillId="0" borderId="45" xfId="1" quotePrefix="1" applyFont="1" applyBorder="1" applyAlignment="1">
      <alignment horizontal="center"/>
    </xf>
    <xf numFmtId="166" fontId="50" fillId="0" borderId="45" xfId="1" applyNumberFormat="1" applyFont="1" applyBorder="1" applyAlignment="1">
      <alignment horizontal="center"/>
    </xf>
    <xf numFmtId="49" fontId="50" fillId="0" borderId="45" xfId="1" quotePrefix="1" applyNumberFormat="1" applyFont="1" applyBorder="1" applyAlignment="1">
      <alignment horizontal="center"/>
    </xf>
    <xf numFmtId="0" fontId="49" fillId="0" borderId="0" xfId="3" quotePrefix="1" applyFont="1" applyAlignment="1">
      <alignment horizontal="right"/>
    </xf>
    <xf numFmtId="0" fontId="86" fillId="0" borderId="0" xfId="3"/>
    <xf numFmtId="0" fontId="50" fillId="0" borderId="0" xfId="1" quotePrefix="1" applyFont="1" applyAlignment="1">
      <alignment horizontal="center"/>
    </xf>
    <xf numFmtId="180" fontId="83" fillId="0" borderId="0" xfId="1769" quotePrefix="1" applyNumberFormat="1" applyFont="1" applyAlignment="1">
      <alignment horizontal="justify" vertical="top"/>
    </xf>
    <xf numFmtId="180" fontId="83" fillId="0" borderId="0" xfId="1769" quotePrefix="1" applyNumberFormat="1" applyFont="1" applyAlignment="1">
      <alignment horizontal="justify" vertical="top" wrapText="1"/>
    </xf>
    <xf numFmtId="180" fontId="50" fillId="0" borderId="0" xfId="1769" quotePrefix="1" applyNumberFormat="1" applyFont="1" applyAlignment="1">
      <alignment horizontal="left" vertical="distributed" wrapText="1"/>
    </xf>
    <xf numFmtId="0" fontId="49" fillId="0" borderId="45" xfId="9958" applyFont="1" applyBorder="1" applyAlignment="1">
      <alignment horizontal="center"/>
    </xf>
    <xf numFmtId="0" fontId="43" fillId="0" borderId="0" xfId="14" applyNumberFormat="1" applyAlignment="1">
      <alignment horizontal="left" wrapText="1"/>
    </xf>
    <xf numFmtId="0" fontId="66" fillId="0" borderId="30" xfId="736" applyFont="1" applyBorder="1" applyAlignment="1">
      <alignment horizontal="justify" vertical="center" wrapText="1"/>
    </xf>
    <xf numFmtId="0" fontId="66" fillId="0" borderId="31" xfId="736" applyFont="1" applyBorder="1" applyAlignment="1">
      <alignment horizontal="justify" vertical="center" wrapText="1"/>
    </xf>
    <xf numFmtId="0" fontId="66" fillId="0" borderId="32" xfId="736" applyFont="1" applyBorder="1" applyAlignment="1">
      <alignment horizontal="justify" vertical="center" wrapText="1"/>
    </xf>
    <xf numFmtId="0" fontId="66" fillId="0" borderId="33" xfId="736" applyFont="1" applyBorder="1" applyAlignment="1">
      <alignment horizontal="justify" vertical="center" wrapText="1"/>
    </xf>
    <xf numFmtId="0" fontId="66" fillId="0" borderId="0" xfId="736" applyFont="1" applyAlignment="1">
      <alignment horizontal="justify" vertical="center" wrapText="1"/>
    </xf>
    <xf numFmtId="0" fontId="66" fillId="0" borderId="24" xfId="736" applyFont="1" applyBorder="1" applyAlignment="1">
      <alignment horizontal="justify" vertical="center" wrapText="1"/>
    </xf>
    <xf numFmtId="0" fontId="66" fillId="0" borderId="34" xfId="736" applyFont="1" applyBorder="1" applyAlignment="1">
      <alignment horizontal="justify" vertical="center" wrapText="1"/>
    </xf>
    <xf numFmtId="0" fontId="66" fillId="0" borderId="29" xfId="736" applyFont="1" applyBorder="1" applyAlignment="1">
      <alignment horizontal="justify" vertical="center" wrapText="1"/>
    </xf>
    <xf numFmtId="0" fontId="66" fillId="0" borderId="35" xfId="736" applyFont="1" applyBorder="1" applyAlignment="1">
      <alignment horizontal="justify" vertical="center" wrapText="1"/>
    </xf>
    <xf numFmtId="17" fontId="50" fillId="0" borderId="45" xfId="25853" quotePrefix="1" applyNumberFormat="1" applyFont="1" applyBorder="1" applyAlignment="1">
      <alignment horizontal="center"/>
    </xf>
    <xf numFmtId="7" fontId="50" fillId="0" borderId="45" xfId="25853" applyNumberFormat="1" applyFont="1" applyBorder="1" applyAlignment="1">
      <alignment horizontal="center"/>
    </xf>
    <xf numFmtId="17" fontId="50" fillId="0" borderId="10" xfId="25853" quotePrefix="1" applyNumberFormat="1" applyFont="1" applyBorder="1" applyAlignment="1">
      <alignment horizontal="center"/>
    </xf>
    <xf numFmtId="7" fontId="50" fillId="0" borderId="10" xfId="25853" applyNumberFormat="1" applyFont="1" applyBorder="1" applyAlignment="1">
      <alignment horizontal="center"/>
    </xf>
  </cellXfs>
  <cellStyles count="49850">
    <cellStyle name="20% - Accent1" xfId="49685" builtinId="30" customBuiltin="1"/>
    <cellStyle name="20% - Accent1 10" xfId="22" xr:uid="{00000000-0005-0000-0000-000000000000}"/>
    <cellStyle name="20% - Accent1 10 10" xfId="17919" xr:uid="{00000000-0005-0000-0000-000001000000}"/>
    <cellStyle name="20% - Accent1 10 10 2" xfId="41751" xr:uid="{D54AD429-DF24-4D06-A487-245C7A4D476F}"/>
    <cellStyle name="20% - Accent1 10 11" xfId="25871" xr:uid="{B5BD093D-2241-4BFC-809C-B952D4D79907}"/>
    <cellStyle name="20% - Accent1 10 2" xfId="23" xr:uid="{00000000-0005-0000-0000-000002000000}"/>
    <cellStyle name="20% - Accent1 10 2 2" xfId="24" xr:uid="{00000000-0005-0000-0000-000003000000}"/>
    <cellStyle name="20% - Accent1 10 2 2 2" xfId="1050" xr:uid="{00000000-0005-0000-0000-000004000000}"/>
    <cellStyle name="20% - Accent1 10 2 2 2 2" xfId="4577" xr:uid="{00000000-0005-0000-0000-000005000000}"/>
    <cellStyle name="20% - Accent1 10 2 2 2 2 2" xfId="8168" xr:uid="{00000000-0005-0000-0000-000006000000}"/>
    <cellStyle name="20% - Accent1 10 2 2 2 2 2 2" xfId="16138" xr:uid="{00000000-0005-0000-0000-000007000000}"/>
    <cellStyle name="20% - Accent1 10 2 2 2 2 2 2 2" xfId="39980" xr:uid="{3B40D96F-92AA-4A4C-A528-48CD10E2B5CE}"/>
    <cellStyle name="20% - Accent1 10 2 2 2 2 2 3" xfId="24084" xr:uid="{00000000-0005-0000-0000-000008000000}"/>
    <cellStyle name="20% - Accent1 10 2 2 2 2 2 3 2" xfId="47916" xr:uid="{7CEB6BE4-6805-47F9-AD0F-B51186C3951A}"/>
    <cellStyle name="20% - Accent1 10 2 2 2 2 2 4" xfId="32039" xr:uid="{22535533-ED80-473A-A630-BAF68FC28F89}"/>
    <cellStyle name="20% - Accent1 10 2 2 2 2 3" xfId="12600" xr:uid="{00000000-0005-0000-0000-000009000000}"/>
    <cellStyle name="20% - Accent1 10 2 2 2 2 3 2" xfId="36449" xr:uid="{0AC6E630-351F-4D31-9CCA-C3D899124F05}"/>
    <cellStyle name="20% - Accent1 10 2 2 2 2 4" xfId="20555" xr:uid="{00000000-0005-0000-0000-00000A000000}"/>
    <cellStyle name="20% - Accent1 10 2 2 2 2 4 2" xfId="44387" xr:uid="{93072CEE-D451-4091-AEBA-3AB8CFFB8376}"/>
    <cellStyle name="20% - Accent1 10 2 2 2 2 5" xfId="28508" xr:uid="{53000ADD-C283-4963-940A-EEE73EA5A7D5}"/>
    <cellStyle name="20% - Accent1 10 2 2 2 3" xfId="6409" xr:uid="{00000000-0005-0000-0000-00000B000000}"/>
    <cellStyle name="20% - Accent1 10 2 2 2 3 2" xfId="14380" xr:uid="{00000000-0005-0000-0000-00000C000000}"/>
    <cellStyle name="20% - Accent1 10 2 2 2 3 2 2" xfId="38222" xr:uid="{A957E603-81C3-4664-8EA4-5C21060456EF}"/>
    <cellStyle name="20% - Accent1 10 2 2 2 3 3" xfId="22327" xr:uid="{00000000-0005-0000-0000-00000D000000}"/>
    <cellStyle name="20% - Accent1 10 2 2 2 3 3 2" xfId="46159" xr:uid="{6428B369-D4CD-4E9F-91D4-BA6BAFA9BE3F}"/>
    <cellStyle name="20% - Accent1 10 2 2 2 3 4" xfId="30281" xr:uid="{757E17B2-4F2C-4BEA-8068-DC6794200163}"/>
    <cellStyle name="20% - Accent1 10 2 2 2 4" xfId="10844" xr:uid="{00000000-0005-0000-0000-00000E000000}"/>
    <cellStyle name="20% - Accent1 10 2 2 2 4 2" xfId="34693" xr:uid="{DDD12B88-54F7-4FD1-B629-26A2859320B8}"/>
    <cellStyle name="20% - Accent1 10 2 2 2 5" xfId="18799" xr:uid="{00000000-0005-0000-0000-00000F000000}"/>
    <cellStyle name="20% - Accent1 10 2 2 2 5 2" xfId="42631" xr:uid="{ADA83C4F-4476-4E17-B2DE-60BC797F8EA6}"/>
    <cellStyle name="20% - Accent1 10 2 2 2 6" xfId="26751" xr:uid="{BBA91749-A146-478C-9D0F-D12C712EE809}"/>
    <cellStyle name="20% - Accent1 10 2 2 2_Exh G" xfId="1937" xr:uid="{00000000-0005-0000-0000-000010000000}"/>
    <cellStyle name="20% - Accent1 10 2 2 3" xfId="3698" xr:uid="{00000000-0005-0000-0000-000011000000}"/>
    <cellStyle name="20% - Accent1 10 2 2 3 2" xfId="7290" xr:uid="{00000000-0005-0000-0000-000012000000}"/>
    <cellStyle name="20% - Accent1 10 2 2 3 2 2" xfId="15260" xr:uid="{00000000-0005-0000-0000-000013000000}"/>
    <cellStyle name="20% - Accent1 10 2 2 3 2 2 2" xfId="39102" xr:uid="{50EDE723-5D51-4DC9-B42F-C2C6FDC9DE54}"/>
    <cellStyle name="20% - Accent1 10 2 2 3 2 3" xfId="23206" xr:uid="{00000000-0005-0000-0000-000014000000}"/>
    <cellStyle name="20% - Accent1 10 2 2 3 2 3 2" xfId="47038" xr:uid="{A88D0D10-B92C-4F16-9FD1-7B77DA0DDFF2}"/>
    <cellStyle name="20% - Accent1 10 2 2 3 2 4" xfId="31161" xr:uid="{BC22CC1F-CB8C-4355-8F3E-051C63E30232}"/>
    <cellStyle name="20% - Accent1 10 2 2 3 3" xfId="11722" xr:uid="{00000000-0005-0000-0000-000015000000}"/>
    <cellStyle name="20% - Accent1 10 2 2 3 3 2" xfId="35571" xr:uid="{1CFF968D-4AF4-4CCD-8628-E7E9C7CD7EEB}"/>
    <cellStyle name="20% - Accent1 10 2 2 3 4" xfId="19677" xr:uid="{00000000-0005-0000-0000-000016000000}"/>
    <cellStyle name="20% - Accent1 10 2 2 3 4 2" xfId="43509" xr:uid="{32C941E4-0333-457F-871B-D7CF5C8D14B1}"/>
    <cellStyle name="20% - Accent1 10 2 2 3 5" xfId="27630" xr:uid="{1C5ED38D-D56A-4018-98EE-FD965DD90612}"/>
    <cellStyle name="20% - Accent1 10 2 2 4" xfId="5518" xr:uid="{00000000-0005-0000-0000-000017000000}"/>
    <cellStyle name="20% - Accent1 10 2 2 4 2" xfId="13501" xr:uid="{00000000-0005-0000-0000-000018000000}"/>
    <cellStyle name="20% - Accent1 10 2 2 4 2 2" xfId="37344" xr:uid="{91284129-5D02-4B07-8D93-2109066E635C}"/>
    <cellStyle name="20% - Accent1 10 2 2 4 3" xfId="21449" xr:uid="{00000000-0005-0000-0000-000019000000}"/>
    <cellStyle name="20% - Accent1 10 2 2 4 3 2" xfId="45281" xr:uid="{7C5CD11D-A327-484E-86D9-B38C9B510E59}"/>
    <cellStyle name="20% - Accent1 10 2 2 4 4" xfId="29403" xr:uid="{CD1DE642-F2EA-4AA0-B0E4-1B41D860A1BB}"/>
    <cellStyle name="20% - Accent1 10 2 2 5" xfId="9070" xr:uid="{00000000-0005-0000-0000-00001A000000}"/>
    <cellStyle name="20% - Accent1 10 2 2 5 2" xfId="17028" xr:uid="{00000000-0005-0000-0000-00001B000000}"/>
    <cellStyle name="20% - Accent1 10 2 2 5 2 2" xfId="40868" xr:uid="{41AF5449-CF7A-4F03-8043-8C6E890167E0}"/>
    <cellStyle name="20% - Accent1 10 2 2 5 3" xfId="24972" xr:uid="{00000000-0005-0000-0000-00001C000000}"/>
    <cellStyle name="20% - Accent1 10 2 2 5 3 2" xfId="48804" xr:uid="{E4CA491E-0674-4C47-A4F0-399941A0ACD6}"/>
    <cellStyle name="20% - Accent1 10 2 2 5 4" xfId="32927" xr:uid="{297085F4-6AE4-4D11-A335-76517CFB6282}"/>
    <cellStyle name="20% - Accent1 10 2 2 6" xfId="9966" xr:uid="{00000000-0005-0000-0000-00001D000000}"/>
    <cellStyle name="20% - Accent1 10 2 2 6 2" xfId="33815" xr:uid="{3BE356BE-1E12-4E81-906E-77D4D94A6041}"/>
    <cellStyle name="20% - Accent1 10 2 2 7" xfId="17921" xr:uid="{00000000-0005-0000-0000-00001E000000}"/>
    <cellStyle name="20% - Accent1 10 2 2 7 2" xfId="41753" xr:uid="{188EBB27-5B11-4E49-9C78-CB06A81A02A4}"/>
    <cellStyle name="20% - Accent1 10 2 2 8" xfId="25873" xr:uid="{AC6FE465-004E-48CD-AC72-02C478475425}"/>
    <cellStyle name="20% - Accent1 10 2 2_Exh G" xfId="1936" xr:uid="{00000000-0005-0000-0000-00001F000000}"/>
    <cellStyle name="20% - Accent1 10 2 3" xfId="1049" xr:uid="{00000000-0005-0000-0000-000020000000}"/>
    <cellStyle name="20% - Accent1 10 2 3 2" xfId="4576" xr:uid="{00000000-0005-0000-0000-000021000000}"/>
    <cellStyle name="20% - Accent1 10 2 3 2 2" xfId="8167" xr:uid="{00000000-0005-0000-0000-000022000000}"/>
    <cellStyle name="20% - Accent1 10 2 3 2 2 2" xfId="16137" xr:uid="{00000000-0005-0000-0000-000023000000}"/>
    <cellStyle name="20% - Accent1 10 2 3 2 2 2 2" xfId="39979" xr:uid="{E98D46D6-B81B-4F38-91F2-51929E25C46F}"/>
    <cellStyle name="20% - Accent1 10 2 3 2 2 3" xfId="24083" xr:uid="{00000000-0005-0000-0000-000024000000}"/>
    <cellStyle name="20% - Accent1 10 2 3 2 2 3 2" xfId="47915" xr:uid="{D02C99D6-7A77-4581-8C6C-D3EE3177A586}"/>
    <cellStyle name="20% - Accent1 10 2 3 2 2 4" xfId="32038" xr:uid="{80E264E7-5596-4EE8-AEF0-79240CC04E42}"/>
    <cellStyle name="20% - Accent1 10 2 3 2 3" xfId="12599" xr:uid="{00000000-0005-0000-0000-000025000000}"/>
    <cellStyle name="20% - Accent1 10 2 3 2 3 2" xfId="36448" xr:uid="{0B9FC142-B46E-4493-856F-907B07C459C0}"/>
    <cellStyle name="20% - Accent1 10 2 3 2 4" xfId="20554" xr:uid="{00000000-0005-0000-0000-000026000000}"/>
    <cellStyle name="20% - Accent1 10 2 3 2 4 2" xfId="44386" xr:uid="{34F90425-8481-4D5B-A6C6-D3A7E5B39FAE}"/>
    <cellStyle name="20% - Accent1 10 2 3 2 5" xfId="28507" xr:uid="{2EB436C3-C39D-40F7-A3BF-A582CE001CC7}"/>
    <cellStyle name="20% - Accent1 10 2 3 3" xfId="6408" xr:uid="{00000000-0005-0000-0000-000027000000}"/>
    <cellStyle name="20% - Accent1 10 2 3 3 2" xfId="14379" xr:uid="{00000000-0005-0000-0000-000028000000}"/>
    <cellStyle name="20% - Accent1 10 2 3 3 2 2" xfId="38221" xr:uid="{933788A2-587E-458A-97C7-7976A71E555F}"/>
    <cellStyle name="20% - Accent1 10 2 3 3 3" xfId="22326" xr:uid="{00000000-0005-0000-0000-000029000000}"/>
    <cellStyle name="20% - Accent1 10 2 3 3 3 2" xfId="46158" xr:uid="{63C2CAF7-5131-4D3A-8C09-F5C4B7DB27B6}"/>
    <cellStyle name="20% - Accent1 10 2 3 3 4" xfId="30280" xr:uid="{87DB6417-73CE-4573-8A00-1074279BC534}"/>
    <cellStyle name="20% - Accent1 10 2 3 4" xfId="10843" xr:uid="{00000000-0005-0000-0000-00002A000000}"/>
    <cellStyle name="20% - Accent1 10 2 3 4 2" xfId="34692" xr:uid="{C1AE6BBB-87B0-48AF-8BC3-12CB2A91E988}"/>
    <cellStyle name="20% - Accent1 10 2 3 5" xfId="18798" xr:uid="{00000000-0005-0000-0000-00002B000000}"/>
    <cellStyle name="20% - Accent1 10 2 3 5 2" xfId="42630" xr:uid="{1F902941-D8C9-4C1B-9301-BB17F95ACCEE}"/>
    <cellStyle name="20% - Accent1 10 2 3 6" xfId="26750" xr:uid="{73011931-A146-434D-95C5-E9965CBF2D45}"/>
    <cellStyle name="20% - Accent1 10 2 3_Exh G" xfId="1938" xr:uid="{00000000-0005-0000-0000-00002C000000}"/>
    <cellStyle name="20% - Accent1 10 2 4" xfId="3697" xr:uid="{00000000-0005-0000-0000-00002D000000}"/>
    <cellStyle name="20% - Accent1 10 2 4 2" xfId="7289" xr:uid="{00000000-0005-0000-0000-00002E000000}"/>
    <cellStyle name="20% - Accent1 10 2 4 2 2" xfId="15259" xr:uid="{00000000-0005-0000-0000-00002F000000}"/>
    <cellStyle name="20% - Accent1 10 2 4 2 2 2" xfId="39101" xr:uid="{19551634-F9CF-4470-A8EB-7A0DF9AB0A35}"/>
    <cellStyle name="20% - Accent1 10 2 4 2 3" xfId="23205" xr:uid="{00000000-0005-0000-0000-000030000000}"/>
    <cellStyle name="20% - Accent1 10 2 4 2 3 2" xfId="47037" xr:uid="{AC4174CE-53DE-477F-87E8-D5D9295874A1}"/>
    <cellStyle name="20% - Accent1 10 2 4 2 4" xfId="31160" xr:uid="{9E4E3200-F64A-428F-8026-C15774117FE6}"/>
    <cellStyle name="20% - Accent1 10 2 4 3" xfId="11721" xr:uid="{00000000-0005-0000-0000-000031000000}"/>
    <cellStyle name="20% - Accent1 10 2 4 3 2" xfId="35570" xr:uid="{D586C06A-90A5-4CF3-892A-5A3481E46FE6}"/>
    <cellStyle name="20% - Accent1 10 2 4 4" xfId="19676" xr:uid="{00000000-0005-0000-0000-000032000000}"/>
    <cellStyle name="20% - Accent1 10 2 4 4 2" xfId="43508" xr:uid="{5ADABEC2-A0D5-424F-8D3F-E807BD3B52D7}"/>
    <cellStyle name="20% - Accent1 10 2 4 5" xfId="27629" xr:uid="{EEE8D0DF-71BB-42A8-9FD4-015A57239FCE}"/>
    <cellStyle name="20% - Accent1 10 2 5" xfId="5517" xr:uid="{00000000-0005-0000-0000-000033000000}"/>
    <cellStyle name="20% - Accent1 10 2 5 2" xfId="13500" xr:uid="{00000000-0005-0000-0000-000034000000}"/>
    <cellStyle name="20% - Accent1 10 2 5 2 2" xfId="37343" xr:uid="{47B69594-AA43-413E-8195-AD95DC129744}"/>
    <cellStyle name="20% - Accent1 10 2 5 3" xfId="21448" xr:uid="{00000000-0005-0000-0000-000035000000}"/>
    <cellStyle name="20% - Accent1 10 2 5 3 2" xfId="45280" xr:uid="{96CC88C9-5D5B-494E-8587-A571036F4221}"/>
    <cellStyle name="20% - Accent1 10 2 5 4" xfId="29402" xr:uid="{151CABA6-CF3B-49B1-88CE-E275A785EC88}"/>
    <cellStyle name="20% - Accent1 10 2 6" xfId="9069" xr:uid="{00000000-0005-0000-0000-000036000000}"/>
    <cellStyle name="20% - Accent1 10 2 6 2" xfId="17027" xr:uid="{00000000-0005-0000-0000-000037000000}"/>
    <cellStyle name="20% - Accent1 10 2 6 2 2" xfId="40867" xr:uid="{23E2CF90-3E26-4363-8AB8-F626CF916648}"/>
    <cellStyle name="20% - Accent1 10 2 6 3" xfId="24971" xr:uid="{00000000-0005-0000-0000-000038000000}"/>
    <cellStyle name="20% - Accent1 10 2 6 3 2" xfId="48803" xr:uid="{A1C76EC4-1815-45D9-84F3-6ED115D87AD3}"/>
    <cellStyle name="20% - Accent1 10 2 6 4" xfId="32926" xr:uid="{54FFD23E-708F-44B2-90FE-BFF9B301D02D}"/>
    <cellStyle name="20% - Accent1 10 2 7" xfId="9965" xr:uid="{00000000-0005-0000-0000-000039000000}"/>
    <cellStyle name="20% - Accent1 10 2 7 2" xfId="33814" xr:uid="{1CB24C0B-34F2-43BD-A349-DEA314D19A0A}"/>
    <cellStyle name="20% - Accent1 10 2 8" xfId="17920" xr:uid="{00000000-0005-0000-0000-00003A000000}"/>
    <cellStyle name="20% - Accent1 10 2 8 2" xfId="41752" xr:uid="{4580FA3E-32D5-4C7E-AE29-D0044B3E9E37}"/>
    <cellStyle name="20% - Accent1 10 2 9" xfId="25872" xr:uid="{A1A94017-4D7A-413B-8E45-2AA965855EC8}"/>
    <cellStyle name="20% - Accent1 10 2_Exh G" xfId="1935" xr:uid="{00000000-0005-0000-0000-00003B000000}"/>
    <cellStyle name="20% - Accent1 10 3" xfId="25" xr:uid="{00000000-0005-0000-0000-00003C000000}"/>
    <cellStyle name="20% - Accent1 10 3 2" xfId="1051" xr:uid="{00000000-0005-0000-0000-00003D000000}"/>
    <cellStyle name="20% - Accent1 10 3 2 2" xfId="4578" xr:uid="{00000000-0005-0000-0000-00003E000000}"/>
    <cellStyle name="20% - Accent1 10 3 2 2 2" xfId="8169" xr:uid="{00000000-0005-0000-0000-00003F000000}"/>
    <cellStyle name="20% - Accent1 10 3 2 2 2 2" xfId="16139" xr:uid="{00000000-0005-0000-0000-000040000000}"/>
    <cellStyle name="20% - Accent1 10 3 2 2 2 2 2" xfId="39981" xr:uid="{92467DB1-9756-4C44-ADEC-E59C5E3F9F21}"/>
    <cellStyle name="20% - Accent1 10 3 2 2 2 3" xfId="24085" xr:uid="{00000000-0005-0000-0000-000041000000}"/>
    <cellStyle name="20% - Accent1 10 3 2 2 2 3 2" xfId="47917" xr:uid="{200FC925-5749-47D8-B858-B6F7538187F6}"/>
    <cellStyle name="20% - Accent1 10 3 2 2 2 4" xfId="32040" xr:uid="{904DAC14-A69B-4C81-94CA-AF50F8895895}"/>
    <cellStyle name="20% - Accent1 10 3 2 2 3" xfId="12601" xr:uid="{00000000-0005-0000-0000-000042000000}"/>
    <cellStyle name="20% - Accent1 10 3 2 2 3 2" xfId="36450" xr:uid="{F7C61370-615F-4D74-9A2A-8F8561A02FAF}"/>
    <cellStyle name="20% - Accent1 10 3 2 2 4" xfId="20556" xr:uid="{00000000-0005-0000-0000-000043000000}"/>
    <cellStyle name="20% - Accent1 10 3 2 2 4 2" xfId="44388" xr:uid="{B5783020-A021-40A7-81BA-7E7AA9288DF6}"/>
    <cellStyle name="20% - Accent1 10 3 2 2 5" xfId="28509" xr:uid="{82EF0E60-43FD-468F-BDE4-3056375C7D63}"/>
    <cellStyle name="20% - Accent1 10 3 2 3" xfId="6410" xr:uid="{00000000-0005-0000-0000-000044000000}"/>
    <cellStyle name="20% - Accent1 10 3 2 3 2" xfId="14381" xr:uid="{00000000-0005-0000-0000-000045000000}"/>
    <cellStyle name="20% - Accent1 10 3 2 3 2 2" xfId="38223" xr:uid="{1E87A4A6-BCC5-476C-81C0-B9E1E5BB0CB7}"/>
    <cellStyle name="20% - Accent1 10 3 2 3 3" xfId="22328" xr:uid="{00000000-0005-0000-0000-000046000000}"/>
    <cellStyle name="20% - Accent1 10 3 2 3 3 2" xfId="46160" xr:uid="{3973CC81-76FF-4FF4-A2A9-BEDC96CBAEDE}"/>
    <cellStyle name="20% - Accent1 10 3 2 3 4" xfId="30282" xr:uid="{57FB4785-F932-4FFF-BE89-A4F291D13BEC}"/>
    <cellStyle name="20% - Accent1 10 3 2 4" xfId="10845" xr:uid="{00000000-0005-0000-0000-000047000000}"/>
    <cellStyle name="20% - Accent1 10 3 2 4 2" xfId="34694" xr:uid="{6647EDF7-2C15-45B2-B98B-3889C96959AE}"/>
    <cellStyle name="20% - Accent1 10 3 2 5" xfId="18800" xr:uid="{00000000-0005-0000-0000-000048000000}"/>
    <cellStyle name="20% - Accent1 10 3 2 5 2" xfId="42632" xr:uid="{BFE87766-51B7-4C5A-90E1-A6A0732E2F70}"/>
    <cellStyle name="20% - Accent1 10 3 2 6" xfId="26752" xr:uid="{834EA2EA-10E8-411B-9640-7630901F05E0}"/>
    <cellStyle name="20% - Accent1 10 3 2_Exh G" xfId="1940" xr:uid="{00000000-0005-0000-0000-000049000000}"/>
    <cellStyle name="20% - Accent1 10 3 3" xfId="3699" xr:uid="{00000000-0005-0000-0000-00004A000000}"/>
    <cellStyle name="20% - Accent1 10 3 3 2" xfId="7291" xr:uid="{00000000-0005-0000-0000-00004B000000}"/>
    <cellStyle name="20% - Accent1 10 3 3 2 2" xfId="15261" xr:uid="{00000000-0005-0000-0000-00004C000000}"/>
    <cellStyle name="20% - Accent1 10 3 3 2 2 2" xfId="39103" xr:uid="{429B466A-7E67-4705-957E-5677B53290B0}"/>
    <cellStyle name="20% - Accent1 10 3 3 2 3" xfId="23207" xr:uid="{00000000-0005-0000-0000-00004D000000}"/>
    <cellStyle name="20% - Accent1 10 3 3 2 3 2" xfId="47039" xr:uid="{55B41D9F-4892-4994-A4E3-A24D8F3609B0}"/>
    <cellStyle name="20% - Accent1 10 3 3 2 4" xfId="31162" xr:uid="{F25E22E5-AD62-40D8-A3D9-9D103C99EC74}"/>
    <cellStyle name="20% - Accent1 10 3 3 3" xfId="11723" xr:uid="{00000000-0005-0000-0000-00004E000000}"/>
    <cellStyle name="20% - Accent1 10 3 3 3 2" xfId="35572" xr:uid="{D00778BD-799A-4E2B-A1F7-34562B0832D7}"/>
    <cellStyle name="20% - Accent1 10 3 3 4" xfId="19678" xr:uid="{00000000-0005-0000-0000-00004F000000}"/>
    <cellStyle name="20% - Accent1 10 3 3 4 2" xfId="43510" xr:uid="{B30527F2-5841-4F93-BFAB-A716F8CDADB9}"/>
    <cellStyle name="20% - Accent1 10 3 3 5" xfId="27631" xr:uid="{27E38583-DFD0-4D9A-B16F-038531A94A76}"/>
    <cellStyle name="20% - Accent1 10 3 4" xfId="5519" xr:uid="{00000000-0005-0000-0000-000050000000}"/>
    <cellStyle name="20% - Accent1 10 3 4 2" xfId="13502" xr:uid="{00000000-0005-0000-0000-000051000000}"/>
    <cellStyle name="20% - Accent1 10 3 4 2 2" xfId="37345" xr:uid="{5D0E5100-730B-4B88-BE4B-48C4C3291FDE}"/>
    <cellStyle name="20% - Accent1 10 3 4 3" xfId="21450" xr:uid="{00000000-0005-0000-0000-000052000000}"/>
    <cellStyle name="20% - Accent1 10 3 4 3 2" xfId="45282" xr:uid="{B5B362B1-3FF3-49AB-A22D-BA2E80399FDF}"/>
    <cellStyle name="20% - Accent1 10 3 4 4" xfId="29404" xr:uid="{C7BF6480-2FA2-469C-8991-EA94BF71DC82}"/>
    <cellStyle name="20% - Accent1 10 3 5" xfId="9071" xr:uid="{00000000-0005-0000-0000-000053000000}"/>
    <cellStyle name="20% - Accent1 10 3 5 2" xfId="17029" xr:uid="{00000000-0005-0000-0000-000054000000}"/>
    <cellStyle name="20% - Accent1 10 3 5 2 2" xfId="40869" xr:uid="{634083AE-E26E-42E5-850A-C7470663C561}"/>
    <cellStyle name="20% - Accent1 10 3 5 3" xfId="24973" xr:uid="{00000000-0005-0000-0000-000055000000}"/>
    <cellStyle name="20% - Accent1 10 3 5 3 2" xfId="48805" xr:uid="{A81009B6-940B-4DE2-8ABF-9A51A40D1DD0}"/>
    <cellStyle name="20% - Accent1 10 3 5 4" xfId="32928" xr:uid="{180564AC-D675-42D1-8277-587B97A689B3}"/>
    <cellStyle name="20% - Accent1 10 3 6" xfId="9967" xr:uid="{00000000-0005-0000-0000-000056000000}"/>
    <cellStyle name="20% - Accent1 10 3 6 2" xfId="33816" xr:uid="{929EE666-6048-4C87-BE61-8EBFFA54D55D}"/>
    <cellStyle name="20% - Accent1 10 3 7" xfId="17922" xr:uid="{00000000-0005-0000-0000-000057000000}"/>
    <cellStyle name="20% - Accent1 10 3 7 2" xfId="41754" xr:uid="{72A0551D-CFBD-4FF1-A3CF-EB71984227AB}"/>
    <cellStyle name="20% - Accent1 10 3 8" xfId="25874" xr:uid="{7A5BBFD1-5CD2-4816-9809-A1BBA9BF7682}"/>
    <cellStyle name="20% - Accent1 10 3_Exh G" xfId="1939" xr:uid="{00000000-0005-0000-0000-000058000000}"/>
    <cellStyle name="20% - Accent1 10 4" xfId="859" xr:uid="{00000000-0005-0000-0000-000059000000}"/>
    <cellStyle name="20% - Accent1 10 5" xfId="1048" xr:uid="{00000000-0005-0000-0000-00005A000000}"/>
    <cellStyle name="20% - Accent1 10 5 2" xfId="4575" xr:uid="{00000000-0005-0000-0000-00005B000000}"/>
    <cellStyle name="20% - Accent1 10 5 2 2" xfId="8166" xr:uid="{00000000-0005-0000-0000-00005C000000}"/>
    <cellStyle name="20% - Accent1 10 5 2 2 2" xfId="16136" xr:uid="{00000000-0005-0000-0000-00005D000000}"/>
    <cellStyle name="20% - Accent1 10 5 2 2 2 2" xfId="39978" xr:uid="{15A046AD-1820-45E3-9719-FD550E46A474}"/>
    <cellStyle name="20% - Accent1 10 5 2 2 3" xfId="24082" xr:uid="{00000000-0005-0000-0000-00005E000000}"/>
    <cellStyle name="20% - Accent1 10 5 2 2 3 2" xfId="47914" xr:uid="{577F970C-E84F-4573-AFC7-90EFC3CD720E}"/>
    <cellStyle name="20% - Accent1 10 5 2 2 4" xfId="32037" xr:uid="{58ADC68D-96A3-4B9D-9BC1-70210808AE5B}"/>
    <cellStyle name="20% - Accent1 10 5 2 3" xfId="12598" xr:uid="{00000000-0005-0000-0000-00005F000000}"/>
    <cellStyle name="20% - Accent1 10 5 2 3 2" xfId="36447" xr:uid="{4FC65317-95F2-4D3E-BCC6-CF330BD57FFF}"/>
    <cellStyle name="20% - Accent1 10 5 2 4" xfId="20553" xr:uid="{00000000-0005-0000-0000-000060000000}"/>
    <cellStyle name="20% - Accent1 10 5 2 4 2" xfId="44385" xr:uid="{CFC7C107-8F80-4B37-ADF8-1AE2497611D6}"/>
    <cellStyle name="20% - Accent1 10 5 2 5" xfId="28506" xr:uid="{E9402D05-675A-466B-A6D0-95FB2FD6DD54}"/>
    <cellStyle name="20% - Accent1 10 5 3" xfId="6407" xr:uid="{00000000-0005-0000-0000-000061000000}"/>
    <cellStyle name="20% - Accent1 10 5 3 2" xfId="14378" xr:uid="{00000000-0005-0000-0000-000062000000}"/>
    <cellStyle name="20% - Accent1 10 5 3 2 2" xfId="38220" xr:uid="{57FC7362-2CB2-40EA-9A65-DFA8347F44DB}"/>
    <cellStyle name="20% - Accent1 10 5 3 3" xfId="22325" xr:uid="{00000000-0005-0000-0000-000063000000}"/>
    <cellStyle name="20% - Accent1 10 5 3 3 2" xfId="46157" xr:uid="{6ED6C06A-927E-4D74-B53B-9898BDA71C41}"/>
    <cellStyle name="20% - Accent1 10 5 3 4" xfId="30279" xr:uid="{6029595D-00D4-4615-A57D-0DE0A0E6F260}"/>
    <cellStyle name="20% - Accent1 10 5 4" xfId="10842" xr:uid="{00000000-0005-0000-0000-000064000000}"/>
    <cellStyle name="20% - Accent1 10 5 4 2" xfId="34691" xr:uid="{5E1A0A02-D725-40A6-894E-6C9969F5639F}"/>
    <cellStyle name="20% - Accent1 10 5 5" xfId="18797" xr:uid="{00000000-0005-0000-0000-000065000000}"/>
    <cellStyle name="20% - Accent1 10 5 5 2" xfId="42629" xr:uid="{6C9B17F8-D3F5-4F10-9DF5-B80DF397FF59}"/>
    <cellStyle name="20% - Accent1 10 5 6" xfId="26749" xr:uid="{BA8A1039-2EB1-4C29-91BA-2D7205E7BC8A}"/>
    <cellStyle name="20% - Accent1 10 5_Exh G" xfId="1941" xr:uid="{00000000-0005-0000-0000-000066000000}"/>
    <cellStyle name="20% - Accent1 10 6" xfId="3696" xr:uid="{00000000-0005-0000-0000-000067000000}"/>
    <cellStyle name="20% - Accent1 10 6 2" xfId="7288" xr:uid="{00000000-0005-0000-0000-000068000000}"/>
    <cellStyle name="20% - Accent1 10 6 2 2" xfId="15258" xr:uid="{00000000-0005-0000-0000-000069000000}"/>
    <cellStyle name="20% - Accent1 10 6 2 2 2" xfId="39100" xr:uid="{3E8C4DF4-4277-4830-A78E-B665B40B7936}"/>
    <cellStyle name="20% - Accent1 10 6 2 3" xfId="23204" xr:uid="{00000000-0005-0000-0000-00006A000000}"/>
    <cellStyle name="20% - Accent1 10 6 2 3 2" xfId="47036" xr:uid="{F1E78C19-4C23-4C86-AFCA-A8E2C69BE2B6}"/>
    <cellStyle name="20% - Accent1 10 6 2 4" xfId="31159" xr:uid="{AA6BB194-D26D-44CC-AF5D-DF0D983AF546}"/>
    <cellStyle name="20% - Accent1 10 6 3" xfId="11720" xr:uid="{00000000-0005-0000-0000-00006B000000}"/>
    <cellStyle name="20% - Accent1 10 6 3 2" xfId="35569" xr:uid="{5A987C18-EDDA-4363-8B2F-86002A315042}"/>
    <cellStyle name="20% - Accent1 10 6 4" xfId="19675" xr:uid="{00000000-0005-0000-0000-00006C000000}"/>
    <cellStyle name="20% - Accent1 10 6 4 2" xfId="43507" xr:uid="{889A82EC-63C4-48EC-9954-485AC8B0658D}"/>
    <cellStyle name="20% - Accent1 10 6 5" xfId="27628" xr:uid="{5C7526BB-291A-47C5-8350-47B23410B8D2}"/>
    <cellStyle name="20% - Accent1 10 7" xfId="5516" xr:uid="{00000000-0005-0000-0000-00006D000000}"/>
    <cellStyle name="20% - Accent1 10 7 2" xfId="13499" xr:uid="{00000000-0005-0000-0000-00006E000000}"/>
    <cellStyle name="20% - Accent1 10 7 2 2" xfId="37342" xr:uid="{8470E940-7C25-4991-BDA9-F61D92670199}"/>
    <cellStyle name="20% - Accent1 10 7 3" xfId="21447" xr:uid="{00000000-0005-0000-0000-00006F000000}"/>
    <cellStyle name="20% - Accent1 10 7 3 2" xfId="45279" xr:uid="{F5374DE5-7118-46B0-9D3A-5E174F880E1D}"/>
    <cellStyle name="20% - Accent1 10 7 4" xfId="29401" xr:uid="{EF6C6441-5A24-42E7-9415-0C872C54704D}"/>
    <cellStyle name="20% - Accent1 10 8" xfId="9068" xr:uid="{00000000-0005-0000-0000-000070000000}"/>
    <cellStyle name="20% - Accent1 10 8 2" xfId="17026" xr:uid="{00000000-0005-0000-0000-000071000000}"/>
    <cellStyle name="20% - Accent1 10 8 2 2" xfId="40866" xr:uid="{1EAD7DE4-D365-4F06-8797-6B933420CA99}"/>
    <cellStyle name="20% - Accent1 10 8 3" xfId="24970" xr:uid="{00000000-0005-0000-0000-000072000000}"/>
    <cellStyle name="20% - Accent1 10 8 3 2" xfId="48802" xr:uid="{E657A98C-0819-4491-8D67-65B0908816CA}"/>
    <cellStyle name="20% - Accent1 10 8 4" xfId="32925" xr:uid="{361D478C-E597-43D8-B6BD-FFD0B8E527AE}"/>
    <cellStyle name="20% - Accent1 10 9" xfId="9964" xr:uid="{00000000-0005-0000-0000-000073000000}"/>
    <cellStyle name="20% - Accent1 10 9 2" xfId="33813" xr:uid="{13A462B9-8FDF-46FB-8057-74438E9989DC}"/>
    <cellStyle name="20% - Accent1 10_Exh G" xfId="1934" xr:uid="{00000000-0005-0000-0000-000074000000}"/>
    <cellStyle name="20% - Accent1 11" xfId="26" xr:uid="{00000000-0005-0000-0000-000075000000}"/>
    <cellStyle name="20% - Accent1 11 10" xfId="25875" xr:uid="{9D016E12-0214-45A3-BA52-DC0716F9DB5D}"/>
    <cellStyle name="20% - Accent1 11 2" xfId="27" xr:uid="{00000000-0005-0000-0000-000076000000}"/>
    <cellStyle name="20% - Accent1 11 2 2" xfId="28" xr:uid="{00000000-0005-0000-0000-000077000000}"/>
    <cellStyle name="20% - Accent1 11 2 2 2" xfId="1054" xr:uid="{00000000-0005-0000-0000-000078000000}"/>
    <cellStyle name="20% - Accent1 11 2 2 2 2" xfId="4581" xr:uid="{00000000-0005-0000-0000-000079000000}"/>
    <cellStyle name="20% - Accent1 11 2 2 2 2 2" xfId="8172" xr:uid="{00000000-0005-0000-0000-00007A000000}"/>
    <cellStyle name="20% - Accent1 11 2 2 2 2 2 2" xfId="16142" xr:uid="{00000000-0005-0000-0000-00007B000000}"/>
    <cellStyle name="20% - Accent1 11 2 2 2 2 2 2 2" xfId="39984" xr:uid="{7D5F7F14-627A-4764-B00D-B1DA3B70A53B}"/>
    <cellStyle name="20% - Accent1 11 2 2 2 2 2 3" xfId="24088" xr:uid="{00000000-0005-0000-0000-00007C000000}"/>
    <cellStyle name="20% - Accent1 11 2 2 2 2 2 3 2" xfId="47920" xr:uid="{3FC9D4EC-5C6C-4AAA-850D-03E612F8B0FF}"/>
    <cellStyle name="20% - Accent1 11 2 2 2 2 2 4" xfId="32043" xr:uid="{72029543-0E44-445D-87B4-6EC9BF78212D}"/>
    <cellStyle name="20% - Accent1 11 2 2 2 2 3" xfId="12604" xr:uid="{00000000-0005-0000-0000-00007D000000}"/>
    <cellStyle name="20% - Accent1 11 2 2 2 2 3 2" xfId="36453" xr:uid="{0C277474-6D1F-40A9-85CB-DDF3EB214C5E}"/>
    <cellStyle name="20% - Accent1 11 2 2 2 2 4" xfId="20559" xr:uid="{00000000-0005-0000-0000-00007E000000}"/>
    <cellStyle name="20% - Accent1 11 2 2 2 2 4 2" xfId="44391" xr:uid="{8A237A89-C2E7-445C-97AC-2E195B0F544B}"/>
    <cellStyle name="20% - Accent1 11 2 2 2 2 5" xfId="28512" xr:uid="{0AFFA4B5-899B-436B-B642-9FFAFE836D28}"/>
    <cellStyle name="20% - Accent1 11 2 2 2 3" xfId="6413" xr:uid="{00000000-0005-0000-0000-00007F000000}"/>
    <cellStyle name="20% - Accent1 11 2 2 2 3 2" xfId="14384" xr:uid="{00000000-0005-0000-0000-000080000000}"/>
    <cellStyle name="20% - Accent1 11 2 2 2 3 2 2" xfId="38226" xr:uid="{544A32E2-6404-4D6B-8D78-07F08E3532AD}"/>
    <cellStyle name="20% - Accent1 11 2 2 2 3 3" xfId="22331" xr:uid="{00000000-0005-0000-0000-000081000000}"/>
    <cellStyle name="20% - Accent1 11 2 2 2 3 3 2" xfId="46163" xr:uid="{083A4737-CF3E-4CE6-BC3E-820B1DEE895F}"/>
    <cellStyle name="20% - Accent1 11 2 2 2 3 4" xfId="30285" xr:uid="{D02643CF-E598-4B01-9C5E-F1581C0815C9}"/>
    <cellStyle name="20% - Accent1 11 2 2 2 4" xfId="10848" xr:uid="{00000000-0005-0000-0000-000082000000}"/>
    <cellStyle name="20% - Accent1 11 2 2 2 4 2" xfId="34697" xr:uid="{D48A96CF-BF44-4721-8BBD-BD1BEF1BAB1C}"/>
    <cellStyle name="20% - Accent1 11 2 2 2 5" xfId="18803" xr:uid="{00000000-0005-0000-0000-000083000000}"/>
    <cellStyle name="20% - Accent1 11 2 2 2 5 2" xfId="42635" xr:uid="{D548B25C-0DE7-4225-8F55-0AFCEE3553E9}"/>
    <cellStyle name="20% - Accent1 11 2 2 2 6" xfId="26755" xr:uid="{964F29F0-368A-41B9-BD1E-B97BD530C40D}"/>
    <cellStyle name="20% - Accent1 11 2 2 2_Exh G" xfId="1945" xr:uid="{00000000-0005-0000-0000-000084000000}"/>
    <cellStyle name="20% - Accent1 11 2 2 3" xfId="3702" xr:uid="{00000000-0005-0000-0000-000085000000}"/>
    <cellStyle name="20% - Accent1 11 2 2 3 2" xfId="7294" xr:uid="{00000000-0005-0000-0000-000086000000}"/>
    <cellStyle name="20% - Accent1 11 2 2 3 2 2" xfId="15264" xr:uid="{00000000-0005-0000-0000-000087000000}"/>
    <cellStyle name="20% - Accent1 11 2 2 3 2 2 2" xfId="39106" xr:uid="{01F8B3DB-A22D-4ACC-93DA-9AD9FCB7D394}"/>
    <cellStyle name="20% - Accent1 11 2 2 3 2 3" xfId="23210" xr:uid="{00000000-0005-0000-0000-000088000000}"/>
    <cellStyle name="20% - Accent1 11 2 2 3 2 3 2" xfId="47042" xr:uid="{650F60EE-ECCA-4523-B569-55D50733B0F4}"/>
    <cellStyle name="20% - Accent1 11 2 2 3 2 4" xfId="31165" xr:uid="{20266C6B-C6A7-41AD-A750-3E64011C1EAA}"/>
    <cellStyle name="20% - Accent1 11 2 2 3 3" xfId="11726" xr:uid="{00000000-0005-0000-0000-000089000000}"/>
    <cellStyle name="20% - Accent1 11 2 2 3 3 2" xfId="35575" xr:uid="{1B886F49-151C-4514-8615-090CE2D1F2B9}"/>
    <cellStyle name="20% - Accent1 11 2 2 3 4" xfId="19681" xr:uid="{00000000-0005-0000-0000-00008A000000}"/>
    <cellStyle name="20% - Accent1 11 2 2 3 4 2" xfId="43513" xr:uid="{B807B7A0-3F3D-4C07-A24B-FBC3FCC7373A}"/>
    <cellStyle name="20% - Accent1 11 2 2 3 5" xfId="27634" xr:uid="{10A321C6-0ECF-44B1-8CBE-7171828EE9D0}"/>
    <cellStyle name="20% - Accent1 11 2 2 4" xfId="5522" xr:uid="{00000000-0005-0000-0000-00008B000000}"/>
    <cellStyle name="20% - Accent1 11 2 2 4 2" xfId="13505" xr:uid="{00000000-0005-0000-0000-00008C000000}"/>
    <cellStyle name="20% - Accent1 11 2 2 4 2 2" xfId="37348" xr:uid="{FB1B32BB-5A2B-4A95-89A0-E81F363F6A95}"/>
    <cellStyle name="20% - Accent1 11 2 2 4 3" xfId="21453" xr:uid="{00000000-0005-0000-0000-00008D000000}"/>
    <cellStyle name="20% - Accent1 11 2 2 4 3 2" xfId="45285" xr:uid="{808186A3-A3FE-494C-85A1-011B821D2FBB}"/>
    <cellStyle name="20% - Accent1 11 2 2 4 4" xfId="29407" xr:uid="{503419DF-55B7-46AE-8F20-7CCD217EF253}"/>
    <cellStyle name="20% - Accent1 11 2 2 5" xfId="9074" xr:uid="{00000000-0005-0000-0000-00008E000000}"/>
    <cellStyle name="20% - Accent1 11 2 2 5 2" xfId="17032" xr:uid="{00000000-0005-0000-0000-00008F000000}"/>
    <cellStyle name="20% - Accent1 11 2 2 5 2 2" xfId="40872" xr:uid="{F4AFBAEE-357C-4FCE-BF0B-840F491C4DEA}"/>
    <cellStyle name="20% - Accent1 11 2 2 5 3" xfId="24976" xr:uid="{00000000-0005-0000-0000-000090000000}"/>
    <cellStyle name="20% - Accent1 11 2 2 5 3 2" xfId="48808" xr:uid="{5BACCE1A-01CE-4368-B5A4-F54DA2DF78C2}"/>
    <cellStyle name="20% - Accent1 11 2 2 5 4" xfId="32931" xr:uid="{A1D38150-C391-4EDB-A14E-73C6CFA12E42}"/>
    <cellStyle name="20% - Accent1 11 2 2 6" xfId="9970" xr:uid="{00000000-0005-0000-0000-000091000000}"/>
    <cellStyle name="20% - Accent1 11 2 2 6 2" xfId="33819" xr:uid="{CCFD0929-7C3A-4B8D-9526-D822F33AD1E0}"/>
    <cellStyle name="20% - Accent1 11 2 2 7" xfId="17925" xr:uid="{00000000-0005-0000-0000-000092000000}"/>
    <cellStyle name="20% - Accent1 11 2 2 7 2" xfId="41757" xr:uid="{A1F0A6FA-E96E-461E-A055-34119CD1C587}"/>
    <cellStyle name="20% - Accent1 11 2 2 8" xfId="25877" xr:uid="{88027599-2788-4D43-99CF-4CA8FD1F0E46}"/>
    <cellStyle name="20% - Accent1 11 2 2_Exh G" xfId="1944" xr:uid="{00000000-0005-0000-0000-000093000000}"/>
    <cellStyle name="20% - Accent1 11 2 3" xfId="1053" xr:uid="{00000000-0005-0000-0000-000094000000}"/>
    <cellStyle name="20% - Accent1 11 2 3 2" xfId="4580" xr:uid="{00000000-0005-0000-0000-000095000000}"/>
    <cellStyle name="20% - Accent1 11 2 3 2 2" xfId="8171" xr:uid="{00000000-0005-0000-0000-000096000000}"/>
    <cellStyle name="20% - Accent1 11 2 3 2 2 2" xfId="16141" xr:uid="{00000000-0005-0000-0000-000097000000}"/>
    <cellStyle name="20% - Accent1 11 2 3 2 2 2 2" xfId="39983" xr:uid="{61385533-D6B4-4114-93CA-103F34EBE538}"/>
    <cellStyle name="20% - Accent1 11 2 3 2 2 3" xfId="24087" xr:uid="{00000000-0005-0000-0000-000098000000}"/>
    <cellStyle name="20% - Accent1 11 2 3 2 2 3 2" xfId="47919" xr:uid="{350139C7-4249-43AA-8C79-EF009565B4EB}"/>
    <cellStyle name="20% - Accent1 11 2 3 2 2 4" xfId="32042" xr:uid="{E05A2BCA-0594-41B6-83C5-B53A54F4CB89}"/>
    <cellStyle name="20% - Accent1 11 2 3 2 3" xfId="12603" xr:uid="{00000000-0005-0000-0000-000099000000}"/>
    <cellStyle name="20% - Accent1 11 2 3 2 3 2" xfId="36452" xr:uid="{B7D65091-F356-436D-85D5-B91F27986052}"/>
    <cellStyle name="20% - Accent1 11 2 3 2 4" xfId="20558" xr:uid="{00000000-0005-0000-0000-00009A000000}"/>
    <cellStyle name="20% - Accent1 11 2 3 2 4 2" xfId="44390" xr:uid="{75892CFF-6E28-48C4-AB8B-6388ABC8A94F}"/>
    <cellStyle name="20% - Accent1 11 2 3 2 5" xfId="28511" xr:uid="{7C289BF1-3F55-4210-9811-05837FAA6628}"/>
    <cellStyle name="20% - Accent1 11 2 3 3" xfId="6412" xr:uid="{00000000-0005-0000-0000-00009B000000}"/>
    <cellStyle name="20% - Accent1 11 2 3 3 2" xfId="14383" xr:uid="{00000000-0005-0000-0000-00009C000000}"/>
    <cellStyle name="20% - Accent1 11 2 3 3 2 2" xfId="38225" xr:uid="{A76ABB9C-9283-49ED-AFD9-BADA7E2B390D}"/>
    <cellStyle name="20% - Accent1 11 2 3 3 3" xfId="22330" xr:uid="{00000000-0005-0000-0000-00009D000000}"/>
    <cellStyle name="20% - Accent1 11 2 3 3 3 2" xfId="46162" xr:uid="{EE4A4C8A-2600-4965-8D5A-5FF20E715EDE}"/>
    <cellStyle name="20% - Accent1 11 2 3 3 4" xfId="30284" xr:uid="{3B6A7999-ADFA-4AC9-B6B1-790CCC36D26C}"/>
    <cellStyle name="20% - Accent1 11 2 3 4" xfId="10847" xr:uid="{00000000-0005-0000-0000-00009E000000}"/>
    <cellStyle name="20% - Accent1 11 2 3 4 2" xfId="34696" xr:uid="{2628480D-22AF-435C-9326-BEB9FAE6D1FE}"/>
    <cellStyle name="20% - Accent1 11 2 3 5" xfId="18802" xr:uid="{00000000-0005-0000-0000-00009F000000}"/>
    <cellStyle name="20% - Accent1 11 2 3 5 2" xfId="42634" xr:uid="{F2BBCD79-D257-4514-BF97-59736BDDD1EA}"/>
    <cellStyle name="20% - Accent1 11 2 3 6" xfId="26754" xr:uid="{73B3B3C0-A321-4025-8724-486FBF3D73E3}"/>
    <cellStyle name="20% - Accent1 11 2 3_Exh G" xfId="1946" xr:uid="{00000000-0005-0000-0000-0000A0000000}"/>
    <cellStyle name="20% - Accent1 11 2 4" xfId="3701" xr:uid="{00000000-0005-0000-0000-0000A1000000}"/>
    <cellStyle name="20% - Accent1 11 2 4 2" xfId="7293" xr:uid="{00000000-0005-0000-0000-0000A2000000}"/>
    <cellStyle name="20% - Accent1 11 2 4 2 2" xfId="15263" xr:uid="{00000000-0005-0000-0000-0000A3000000}"/>
    <cellStyle name="20% - Accent1 11 2 4 2 2 2" xfId="39105" xr:uid="{8EB240E2-EAAB-4AA4-AD2D-BFCF4FF8E182}"/>
    <cellStyle name="20% - Accent1 11 2 4 2 3" xfId="23209" xr:uid="{00000000-0005-0000-0000-0000A4000000}"/>
    <cellStyle name="20% - Accent1 11 2 4 2 3 2" xfId="47041" xr:uid="{586639B0-C75A-4616-A8A4-5ECC072B50C7}"/>
    <cellStyle name="20% - Accent1 11 2 4 2 4" xfId="31164" xr:uid="{9DEDB03A-030D-4D13-B319-E7DC902630BF}"/>
    <cellStyle name="20% - Accent1 11 2 4 3" xfId="11725" xr:uid="{00000000-0005-0000-0000-0000A5000000}"/>
    <cellStyle name="20% - Accent1 11 2 4 3 2" xfId="35574" xr:uid="{EB82E3F1-26FB-4B28-B52D-24BA9A057ED1}"/>
    <cellStyle name="20% - Accent1 11 2 4 4" xfId="19680" xr:uid="{00000000-0005-0000-0000-0000A6000000}"/>
    <cellStyle name="20% - Accent1 11 2 4 4 2" xfId="43512" xr:uid="{6411BE3C-3336-45F9-B369-4DB900FD04DD}"/>
    <cellStyle name="20% - Accent1 11 2 4 5" xfId="27633" xr:uid="{C21CCF24-C8DC-4918-AD37-654C00F93FC2}"/>
    <cellStyle name="20% - Accent1 11 2 5" xfId="5521" xr:uid="{00000000-0005-0000-0000-0000A7000000}"/>
    <cellStyle name="20% - Accent1 11 2 5 2" xfId="13504" xr:uid="{00000000-0005-0000-0000-0000A8000000}"/>
    <cellStyle name="20% - Accent1 11 2 5 2 2" xfId="37347" xr:uid="{85D6C4B0-F3D1-48BF-A493-1BDF1C593F50}"/>
    <cellStyle name="20% - Accent1 11 2 5 3" xfId="21452" xr:uid="{00000000-0005-0000-0000-0000A9000000}"/>
    <cellStyle name="20% - Accent1 11 2 5 3 2" xfId="45284" xr:uid="{7F9DF758-ED0D-4F13-89D5-4D08805A5738}"/>
    <cellStyle name="20% - Accent1 11 2 5 4" xfId="29406" xr:uid="{2F9CF1C0-1FA0-4FD8-A558-349BEF425E9B}"/>
    <cellStyle name="20% - Accent1 11 2 6" xfId="9073" xr:uid="{00000000-0005-0000-0000-0000AA000000}"/>
    <cellStyle name="20% - Accent1 11 2 6 2" xfId="17031" xr:uid="{00000000-0005-0000-0000-0000AB000000}"/>
    <cellStyle name="20% - Accent1 11 2 6 2 2" xfId="40871" xr:uid="{BCFED2C9-48CB-47AA-B2A9-6A5DC225C92D}"/>
    <cellStyle name="20% - Accent1 11 2 6 3" xfId="24975" xr:uid="{00000000-0005-0000-0000-0000AC000000}"/>
    <cellStyle name="20% - Accent1 11 2 6 3 2" xfId="48807" xr:uid="{F3794D1E-B3AF-49AB-8A80-A2ED5FF4562F}"/>
    <cellStyle name="20% - Accent1 11 2 6 4" xfId="32930" xr:uid="{0C14DFC0-5806-401C-9DFA-E1C7B535A924}"/>
    <cellStyle name="20% - Accent1 11 2 7" xfId="9969" xr:uid="{00000000-0005-0000-0000-0000AD000000}"/>
    <cellStyle name="20% - Accent1 11 2 7 2" xfId="33818" xr:uid="{D376191B-4778-4F76-84AE-24ED3675BB71}"/>
    <cellStyle name="20% - Accent1 11 2 8" xfId="17924" xr:uid="{00000000-0005-0000-0000-0000AE000000}"/>
    <cellStyle name="20% - Accent1 11 2 8 2" xfId="41756" xr:uid="{9DEDF6D3-F8C3-4507-9DB4-4221F897DEF4}"/>
    <cellStyle name="20% - Accent1 11 2 9" xfId="25876" xr:uid="{AE45FDA3-81BF-445C-8613-4E7E219857EC}"/>
    <cellStyle name="20% - Accent1 11 2_Exh G" xfId="1943" xr:uid="{00000000-0005-0000-0000-0000AF000000}"/>
    <cellStyle name="20% - Accent1 11 3" xfId="29" xr:uid="{00000000-0005-0000-0000-0000B0000000}"/>
    <cellStyle name="20% - Accent1 11 3 2" xfId="1055" xr:uid="{00000000-0005-0000-0000-0000B1000000}"/>
    <cellStyle name="20% - Accent1 11 3 2 2" xfId="4582" xr:uid="{00000000-0005-0000-0000-0000B2000000}"/>
    <cellStyle name="20% - Accent1 11 3 2 2 2" xfId="8173" xr:uid="{00000000-0005-0000-0000-0000B3000000}"/>
    <cellStyle name="20% - Accent1 11 3 2 2 2 2" xfId="16143" xr:uid="{00000000-0005-0000-0000-0000B4000000}"/>
    <cellStyle name="20% - Accent1 11 3 2 2 2 2 2" xfId="39985" xr:uid="{BD4817E8-4484-4768-BB2E-008739D9DA29}"/>
    <cellStyle name="20% - Accent1 11 3 2 2 2 3" xfId="24089" xr:uid="{00000000-0005-0000-0000-0000B5000000}"/>
    <cellStyle name="20% - Accent1 11 3 2 2 2 3 2" xfId="47921" xr:uid="{665153B9-19D9-488F-9ACF-8C7D1392B68D}"/>
    <cellStyle name="20% - Accent1 11 3 2 2 2 4" xfId="32044" xr:uid="{880E1339-35EF-4DE2-8DBA-BA5609D93862}"/>
    <cellStyle name="20% - Accent1 11 3 2 2 3" xfId="12605" xr:uid="{00000000-0005-0000-0000-0000B6000000}"/>
    <cellStyle name="20% - Accent1 11 3 2 2 3 2" xfId="36454" xr:uid="{E5B9DC25-0D79-4264-A2AC-0F7F3DDEC210}"/>
    <cellStyle name="20% - Accent1 11 3 2 2 4" xfId="20560" xr:uid="{00000000-0005-0000-0000-0000B7000000}"/>
    <cellStyle name="20% - Accent1 11 3 2 2 4 2" xfId="44392" xr:uid="{36955A7A-C196-47C4-BC16-0F9442419DB0}"/>
    <cellStyle name="20% - Accent1 11 3 2 2 5" xfId="28513" xr:uid="{F00C90F9-51CC-4DAB-8C64-869D87B1E9B4}"/>
    <cellStyle name="20% - Accent1 11 3 2 3" xfId="6414" xr:uid="{00000000-0005-0000-0000-0000B8000000}"/>
    <cellStyle name="20% - Accent1 11 3 2 3 2" xfId="14385" xr:uid="{00000000-0005-0000-0000-0000B9000000}"/>
    <cellStyle name="20% - Accent1 11 3 2 3 2 2" xfId="38227" xr:uid="{BE8C9416-AB9D-4DC7-AFFF-E1CF88DF1B92}"/>
    <cellStyle name="20% - Accent1 11 3 2 3 3" xfId="22332" xr:uid="{00000000-0005-0000-0000-0000BA000000}"/>
    <cellStyle name="20% - Accent1 11 3 2 3 3 2" xfId="46164" xr:uid="{505F3B1C-8EA9-4A3E-AE1F-494E69B07CAF}"/>
    <cellStyle name="20% - Accent1 11 3 2 3 4" xfId="30286" xr:uid="{A982D095-15F4-45BD-9532-19246E39B849}"/>
    <cellStyle name="20% - Accent1 11 3 2 4" xfId="10849" xr:uid="{00000000-0005-0000-0000-0000BB000000}"/>
    <cellStyle name="20% - Accent1 11 3 2 4 2" xfId="34698" xr:uid="{1E0698A4-B3B8-43A5-BBDC-E4DD91D80A52}"/>
    <cellStyle name="20% - Accent1 11 3 2 5" xfId="18804" xr:uid="{00000000-0005-0000-0000-0000BC000000}"/>
    <cellStyle name="20% - Accent1 11 3 2 5 2" xfId="42636" xr:uid="{FD9AF2AA-5A47-47AA-B1FD-2A7D946DDA63}"/>
    <cellStyle name="20% - Accent1 11 3 2 6" xfId="26756" xr:uid="{7BA671AE-3C4D-483C-A68C-E9C03863C60A}"/>
    <cellStyle name="20% - Accent1 11 3 2_Exh G" xfId="1948" xr:uid="{00000000-0005-0000-0000-0000BD000000}"/>
    <cellStyle name="20% - Accent1 11 3 3" xfId="3703" xr:uid="{00000000-0005-0000-0000-0000BE000000}"/>
    <cellStyle name="20% - Accent1 11 3 3 2" xfId="7295" xr:uid="{00000000-0005-0000-0000-0000BF000000}"/>
    <cellStyle name="20% - Accent1 11 3 3 2 2" xfId="15265" xr:uid="{00000000-0005-0000-0000-0000C0000000}"/>
    <cellStyle name="20% - Accent1 11 3 3 2 2 2" xfId="39107" xr:uid="{540419EC-737C-46B8-925D-EFC596503579}"/>
    <cellStyle name="20% - Accent1 11 3 3 2 3" xfId="23211" xr:uid="{00000000-0005-0000-0000-0000C1000000}"/>
    <cellStyle name="20% - Accent1 11 3 3 2 3 2" xfId="47043" xr:uid="{9B0B8263-D578-4503-8D10-07C4D99C621E}"/>
    <cellStyle name="20% - Accent1 11 3 3 2 4" xfId="31166" xr:uid="{867051FB-1E15-450D-A74A-0DE91DF6ADC8}"/>
    <cellStyle name="20% - Accent1 11 3 3 3" xfId="11727" xr:uid="{00000000-0005-0000-0000-0000C2000000}"/>
    <cellStyle name="20% - Accent1 11 3 3 3 2" xfId="35576" xr:uid="{5140F261-D019-454B-B2A1-66A226991E56}"/>
    <cellStyle name="20% - Accent1 11 3 3 4" xfId="19682" xr:uid="{00000000-0005-0000-0000-0000C3000000}"/>
    <cellStyle name="20% - Accent1 11 3 3 4 2" xfId="43514" xr:uid="{611BBEB2-2D22-4694-909A-9FA1D3DB4FCD}"/>
    <cellStyle name="20% - Accent1 11 3 3 5" xfId="27635" xr:uid="{B3061921-57FE-4934-9908-DF61209A3E30}"/>
    <cellStyle name="20% - Accent1 11 3 4" xfId="5523" xr:uid="{00000000-0005-0000-0000-0000C4000000}"/>
    <cellStyle name="20% - Accent1 11 3 4 2" xfId="13506" xr:uid="{00000000-0005-0000-0000-0000C5000000}"/>
    <cellStyle name="20% - Accent1 11 3 4 2 2" xfId="37349" xr:uid="{05D47188-0D9C-4EE6-8556-9C57EE671E14}"/>
    <cellStyle name="20% - Accent1 11 3 4 3" xfId="21454" xr:uid="{00000000-0005-0000-0000-0000C6000000}"/>
    <cellStyle name="20% - Accent1 11 3 4 3 2" xfId="45286" xr:uid="{94897D2F-4526-4395-AD8B-006321987695}"/>
    <cellStyle name="20% - Accent1 11 3 4 4" xfId="29408" xr:uid="{3D7BA088-0747-4B58-884F-D6A36E5D964C}"/>
    <cellStyle name="20% - Accent1 11 3 5" xfId="9075" xr:uid="{00000000-0005-0000-0000-0000C7000000}"/>
    <cellStyle name="20% - Accent1 11 3 5 2" xfId="17033" xr:uid="{00000000-0005-0000-0000-0000C8000000}"/>
    <cellStyle name="20% - Accent1 11 3 5 2 2" xfId="40873" xr:uid="{AF8F702B-7024-4D66-B17F-28B9D6FA79F1}"/>
    <cellStyle name="20% - Accent1 11 3 5 3" xfId="24977" xr:uid="{00000000-0005-0000-0000-0000C9000000}"/>
    <cellStyle name="20% - Accent1 11 3 5 3 2" xfId="48809" xr:uid="{9798F560-85DF-4323-B716-A0D722A09184}"/>
    <cellStyle name="20% - Accent1 11 3 5 4" xfId="32932" xr:uid="{4C3A8EA2-4AA0-420A-A608-4B475F26FF99}"/>
    <cellStyle name="20% - Accent1 11 3 6" xfId="9971" xr:uid="{00000000-0005-0000-0000-0000CA000000}"/>
    <cellStyle name="20% - Accent1 11 3 6 2" xfId="33820" xr:uid="{99CC59F9-0122-4D5D-85E0-7BA09CD5CD47}"/>
    <cellStyle name="20% - Accent1 11 3 7" xfId="17926" xr:uid="{00000000-0005-0000-0000-0000CB000000}"/>
    <cellStyle name="20% - Accent1 11 3 7 2" xfId="41758" xr:uid="{3CD32E5B-036F-48F6-B0F4-ED98B9DA21D2}"/>
    <cellStyle name="20% - Accent1 11 3 8" xfId="25878" xr:uid="{D07C72AC-6972-4795-83B1-56C1395B170C}"/>
    <cellStyle name="20% - Accent1 11 3_Exh G" xfId="1947" xr:uid="{00000000-0005-0000-0000-0000CC000000}"/>
    <cellStyle name="20% - Accent1 11 4" xfId="1052" xr:uid="{00000000-0005-0000-0000-0000CD000000}"/>
    <cellStyle name="20% - Accent1 11 4 2" xfId="4579" xr:uid="{00000000-0005-0000-0000-0000CE000000}"/>
    <cellStyle name="20% - Accent1 11 4 2 2" xfId="8170" xr:uid="{00000000-0005-0000-0000-0000CF000000}"/>
    <cellStyle name="20% - Accent1 11 4 2 2 2" xfId="16140" xr:uid="{00000000-0005-0000-0000-0000D0000000}"/>
    <cellStyle name="20% - Accent1 11 4 2 2 2 2" xfId="39982" xr:uid="{8AD99FBC-EC62-4C20-B6D0-EB988DD9F03D}"/>
    <cellStyle name="20% - Accent1 11 4 2 2 3" xfId="24086" xr:uid="{00000000-0005-0000-0000-0000D1000000}"/>
    <cellStyle name="20% - Accent1 11 4 2 2 3 2" xfId="47918" xr:uid="{4E447B79-C646-47CC-9148-21AE02DAE3BC}"/>
    <cellStyle name="20% - Accent1 11 4 2 2 4" xfId="32041" xr:uid="{95AB6CDA-197C-4397-A3AC-18AC6DA18AE4}"/>
    <cellStyle name="20% - Accent1 11 4 2 3" xfId="12602" xr:uid="{00000000-0005-0000-0000-0000D2000000}"/>
    <cellStyle name="20% - Accent1 11 4 2 3 2" xfId="36451" xr:uid="{A037AC63-9C60-4F04-953B-D7ECB4158E89}"/>
    <cellStyle name="20% - Accent1 11 4 2 4" xfId="20557" xr:uid="{00000000-0005-0000-0000-0000D3000000}"/>
    <cellStyle name="20% - Accent1 11 4 2 4 2" xfId="44389" xr:uid="{CF0FC6EC-20F6-417F-B83A-78998ED7FFAD}"/>
    <cellStyle name="20% - Accent1 11 4 2 5" xfId="28510" xr:uid="{F522EA8A-0A0F-4E04-91D0-5F80E12A25D9}"/>
    <cellStyle name="20% - Accent1 11 4 3" xfId="6411" xr:uid="{00000000-0005-0000-0000-0000D4000000}"/>
    <cellStyle name="20% - Accent1 11 4 3 2" xfId="14382" xr:uid="{00000000-0005-0000-0000-0000D5000000}"/>
    <cellStyle name="20% - Accent1 11 4 3 2 2" xfId="38224" xr:uid="{7BD5B17A-3325-4E0E-AAC0-3E8ABDB6F7DD}"/>
    <cellStyle name="20% - Accent1 11 4 3 3" xfId="22329" xr:uid="{00000000-0005-0000-0000-0000D6000000}"/>
    <cellStyle name="20% - Accent1 11 4 3 3 2" xfId="46161" xr:uid="{BD24290F-523B-476D-8E1B-DCDF1573673C}"/>
    <cellStyle name="20% - Accent1 11 4 3 4" xfId="30283" xr:uid="{3F641833-3C42-45F0-B302-8AFC1C28B6BA}"/>
    <cellStyle name="20% - Accent1 11 4 4" xfId="10846" xr:uid="{00000000-0005-0000-0000-0000D7000000}"/>
    <cellStyle name="20% - Accent1 11 4 4 2" xfId="34695" xr:uid="{BE1ACBB9-F284-4E47-9781-1B545DDD78E3}"/>
    <cellStyle name="20% - Accent1 11 4 5" xfId="18801" xr:uid="{00000000-0005-0000-0000-0000D8000000}"/>
    <cellStyle name="20% - Accent1 11 4 5 2" xfId="42633" xr:uid="{710B58FA-3519-4BCB-8DA3-47B82B10DA11}"/>
    <cellStyle name="20% - Accent1 11 4 6" xfId="26753" xr:uid="{87DBA921-6A46-4AD5-A32A-251FDA7313D2}"/>
    <cellStyle name="20% - Accent1 11 4_Exh G" xfId="1949" xr:uid="{00000000-0005-0000-0000-0000D9000000}"/>
    <cellStyle name="20% - Accent1 11 5" xfId="3700" xr:uid="{00000000-0005-0000-0000-0000DA000000}"/>
    <cellStyle name="20% - Accent1 11 5 2" xfId="7292" xr:uid="{00000000-0005-0000-0000-0000DB000000}"/>
    <cellStyle name="20% - Accent1 11 5 2 2" xfId="15262" xr:uid="{00000000-0005-0000-0000-0000DC000000}"/>
    <cellStyle name="20% - Accent1 11 5 2 2 2" xfId="39104" xr:uid="{98656AE4-76C8-4978-A72D-648F6527F227}"/>
    <cellStyle name="20% - Accent1 11 5 2 3" xfId="23208" xr:uid="{00000000-0005-0000-0000-0000DD000000}"/>
    <cellStyle name="20% - Accent1 11 5 2 3 2" xfId="47040" xr:uid="{7EF4E9E8-A4D3-44E8-8AAE-1C3EB97D0192}"/>
    <cellStyle name="20% - Accent1 11 5 2 4" xfId="31163" xr:uid="{8C0B7F2C-8C3F-4545-9B35-2E1F4744E1E9}"/>
    <cellStyle name="20% - Accent1 11 5 3" xfId="11724" xr:uid="{00000000-0005-0000-0000-0000DE000000}"/>
    <cellStyle name="20% - Accent1 11 5 3 2" xfId="35573" xr:uid="{F6AF4C64-C182-41B4-A967-D82EE6A234FE}"/>
    <cellStyle name="20% - Accent1 11 5 4" xfId="19679" xr:uid="{00000000-0005-0000-0000-0000DF000000}"/>
    <cellStyle name="20% - Accent1 11 5 4 2" xfId="43511" xr:uid="{E9760052-1E98-4239-9953-353C3157D1FF}"/>
    <cellStyle name="20% - Accent1 11 5 5" xfId="27632" xr:uid="{5E748CBD-3AB9-4741-909A-FEA379D24CD1}"/>
    <cellStyle name="20% - Accent1 11 6" xfId="5520" xr:uid="{00000000-0005-0000-0000-0000E0000000}"/>
    <cellStyle name="20% - Accent1 11 6 2" xfId="13503" xr:uid="{00000000-0005-0000-0000-0000E1000000}"/>
    <cellStyle name="20% - Accent1 11 6 2 2" xfId="37346" xr:uid="{51A9C1D4-68D5-40CF-BDF0-23BAE29AC24A}"/>
    <cellStyle name="20% - Accent1 11 6 3" xfId="21451" xr:uid="{00000000-0005-0000-0000-0000E2000000}"/>
    <cellStyle name="20% - Accent1 11 6 3 2" xfId="45283" xr:uid="{C3E20080-9754-4048-B3C7-2F643A08D7AF}"/>
    <cellStyle name="20% - Accent1 11 6 4" xfId="29405" xr:uid="{0883506A-BAE1-4EB0-BD92-4CF8125CEA97}"/>
    <cellStyle name="20% - Accent1 11 7" xfId="9072" xr:uid="{00000000-0005-0000-0000-0000E3000000}"/>
    <cellStyle name="20% - Accent1 11 7 2" xfId="17030" xr:uid="{00000000-0005-0000-0000-0000E4000000}"/>
    <cellStyle name="20% - Accent1 11 7 2 2" xfId="40870" xr:uid="{C3B11A23-F6A1-411D-AA43-0202BB2C7DA5}"/>
    <cellStyle name="20% - Accent1 11 7 3" xfId="24974" xr:uid="{00000000-0005-0000-0000-0000E5000000}"/>
    <cellStyle name="20% - Accent1 11 7 3 2" xfId="48806" xr:uid="{42800AEA-016F-400E-A23A-A0400B9B0AF6}"/>
    <cellStyle name="20% - Accent1 11 7 4" xfId="32929" xr:uid="{5508975B-B46C-4AD1-AFE6-AB80B5BE0EFD}"/>
    <cellStyle name="20% - Accent1 11 8" xfId="9968" xr:uid="{00000000-0005-0000-0000-0000E6000000}"/>
    <cellStyle name="20% - Accent1 11 8 2" xfId="33817" xr:uid="{084BFD42-888F-42A7-9CA4-9110983BFCA1}"/>
    <cellStyle name="20% - Accent1 11 9" xfId="17923" xr:uid="{00000000-0005-0000-0000-0000E7000000}"/>
    <cellStyle name="20% - Accent1 11 9 2" xfId="41755" xr:uid="{FA9C14DC-D8EB-46B1-A759-843F86D19D08}"/>
    <cellStyle name="20% - Accent1 11_Exh G" xfId="1942" xr:uid="{00000000-0005-0000-0000-0000E8000000}"/>
    <cellStyle name="20% - Accent1 12" xfId="30" xr:uid="{00000000-0005-0000-0000-0000E9000000}"/>
    <cellStyle name="20% - Accent1 12 10" xfId="25879" xr:uid="{29852C98-1C95-42FE-8122-4D6793EEBE0B}"/>
    <cellStyle name="20% - Accent1 12 2" xfId="31" xr:uid="{00000000-0005-0000-0000-0000EA000000}"/>
    <cellStyle name="20% - Accent1 12 2 2" xfId="32" xr:uid="{00000000-0005-0000-0000-0000EB000000}"/>
    <cellStyle name="20% - Accent1 12 2 2 2" xfId="1058" xr:uid="{00000000-0005-0000-0000-0000EC000000}"/>
    <cellStyle name="20% - Accent1 12 2 2 2 2" xfId="4585" xr:uid="{00000000-0005-0000-0000-0000ED000000}"/>
    <cellStyle name="20% - Accent1 12 2 2 2 2 2" xfId="8176" xr:uid="{00000000-0005-0000-0000-0000EE000000}"/>
    <cellStyle name="20% - Accent1 12 2 2 2 2 2 2" xfId="16146" xr:uid="{00000000-0005-0000-0000-0000EF000000}"/>
    <cellStyle name="20% - Accent1 12 2 2 2 2 2 2 2" xfId="39988" xr:uid="{336790F4-F0CA-46DE-B031-D953E37F2452}"/>
    <cellStyle name="20% - Accent1 12 2 2 2 2 2 3" xfId="24092" xr:uid="{00000000-0005-0000-0000-0000F0000000}"/>
    <cellStyle name="20% - Accent1 12 2 2 2 2 2 3 2" xfId="47924" xr:uid="{4FC2B80D-4F7F-453E-8F39-26BD0849F231}"/>
    <cellStyle name="20% - Accent1 12 2 2 2 2 2 4" xfId="32047" xr:uid="{53D2F3A1-1162-4433-8389-B91C45E889EE}"/>
    <cellStyle name="20% - Accent1 12 2 2 2 2 3" xfId="12608" xr:uid="{00000000-0005-0000-0000-0000F1000000}"/>
    <cellStyle name="20% - Accent1 12 2 2 2 2 3 2" xfId="36457" xr:uid="{18716E5A-C4A1-47A8-9CEC-D0CBCA281B1D}"/>
    <cellStyle name="20% - Accent1 12 2 2 2 2 4" xfId="20563" xr:uid="{00000000-0005-0000-0000-0000F2000000}"/>
    <cellStyle name="20% - Accent1 12 2 2 2 2 4 2" xfId="44395" xr:uid="{EA2FFFDF-D542-47CA-85F7-27E717AB40E8}"/>
    <cellStyle name="20% - Accent1 12 2 2 2 2 5" xfId="28516" xr:uid="{995FE494-4C97-4CB3-9009-D78B0EF2FAA2}"/>
    <cellStyle name="20% - Accent1 12 2 2 2 3" xfId="6417" xr:uid="{00000000-0005-0000-0000-0000F3000000}"/>
    <cellStyle name="20% - Accent1 12 2 2 2 3 2" xfId="14388" xr:uid="{00000000-0005-0000-0000-0000F4000000}"/>
    <cellStyle name="20% - Accent1 12 2 2 2 3 2 2" xfId="38230" xr:uid="{610D6AE4-7C46-4F37-B7E1-46BBB64BE79E}"/>
    <cellStyle name="20% - Accent1 12 2 2 2 3 3" xfId="22335" xr:uid="{00000000-0005-0000-0000-0000F5000000}"/>
    <cellStyle name="20% - Accent1 12 2 2 2 3 3 2" xfId="46167" xr:uid="{BE1F11A2-B026-4489-8A07-2B7B1A776433}"/>
    <cellStyle name="20% - Accent1 12 2 2 2 3 4" xfId="30289" xr:uid="{6602DCFC-4672-4454-B365-C046AE65DAE8}"/>
    <cellStyle name="20% - Accent1 12 2 2 2 4" xfId="10852" xr:uid="{00000000-0005-0000-0000-0000F6000000}"/>
    <cellStyle name="20% - Accent1 12 2 2 2 4 2" xfId="34701" xr:uid="{FB98596C-A7DF-4935-9FCA-BC5AF6ABBC72}"/>
    <cellStyle name="20% - Accent1 12 2 2 2 5" xfId="18807" xr:uid="{00000000-0005-0000-0000-0000F7000000}"/>
    <cellStyle name="20% - Accent1 12 2 2 2 5 2" xfId="42639" xr:uid="{A9D55ACB-EA93-4A2D-B90B-245F7CECBE27}"/>
    <cellStyle name="20% - Accent1 12 2 2 2 6" xfId="26759" xr:uid="{E57A9EC9-4616-4376-9D32-630F80CB37F9}"/>
    <cellStyle name="20% - Accent1 12 2 2 2_Exh G" xfId="1953" xr:uid="{00000000-0005-0000-0000-0000F8000000}"/>
    <cellStyle name="20% - Accent1 12 2 2 3" xfId="3706" xr:uid="{00000000-0005-0000-0000-0000F9000000}"/>
    <cellStyle name="20% - Accent1 12 2 2 3 2" xfId="7298" xr:uid="{00000000-0005-0000-0000-0000FA000000}"/>
    <cellStyle name="20% - Accent1 12 2 2 3 2 2" xfId="15268" xr:uid="{00000000-0005-0000-0000-0000FB000000}"/>
    <cellStyle name="20% - Accent1 12 2 2 3 2 2 2" xfId="39110" xr:uid="{1B6ACDBE-6065-4125-8A5E-1898393E6B28}"/>
    <cellStyle name="20% - Accent1 12 2 2 3 2 3" xfId="23214" xr:uid="{00000000-0005-0000-0000-0000FC000000}"/>
    <cellStyle name="20% - Accent1 12 2 2 3 2 3 2" xfId="47046" xr:uid="{CA4EFAE2-2CA3-4F98-99A9-DB2EE4C148C1}"/>
    <cellStyle name="20% - Accent1 12 2 2 3 2 4" xfId="31169" xr:uid="{CFA7D174-2847-459C-A9AC-8DD34A87F7E6}"/>
    <cellStyle name="20% - Accent1 12 2 2 3 3" xfId="11730" xr:uid="{00000000-0005-0000-0000-0000FD000000}"/>
    <cellStyle name="20% - Accent1 12 2 2 3 3 2" xfId="35579" xr:uid="{D350C77B-2F29-42F4-8D30-D07D694ADBCA}"/>
    <cellStyle name="20% - Accent1 12 2 2 3 4" xfId="19685" xr:uid="{00000000-0005-0000-0000-0000FE000000}"/>
    <cellStyle name="20% - Accent1 12 2 2 3 4 2" xfId="43517" xr:uid="{367AF1CC-6DE5-44F8-B3CE-1DBA7D580D1F}"/>
    <cellStyle name="20% - Accent1 12 2 2 3 5" xfId="27638" xr:uid="{06E322ED-DCC0-4A8C-B37B-E830011EC382}"/>
    <cellStyle name="20% - Accent1 12 2 2 4" xfId="5526" xr:uid="{00000000-0005-0000-0000-0000FF000000}"/>
    <cellStyle name="20% - Accent1 12 2 2 4 2" xfId="13509" xr:uid="{00000000-0005-0000-0000-000000010000}"/>
    <cellStyle name="20% - Accent1 12 2 2 4 2 2" xfId="37352" xr:uid="{6F7937D2-797D-4EDC-9E5A-EA7E5368E358}"/>
    <cellStyle name="20% - Accent1 12 2 2 4 3" xfId="21457" xr:uid="{00000000-0005-0000-0000-000001010000}"/>
    <cellStyle name="20% - Accent1 12 2 2 4 3 2" xfId="45289" xr:uid="{A58912DF-DF44-476A-BFFE-6623B0077646}"/>
    <cellStyle name="20% - Accent1 12 2 2 4 4" xfId="29411" xr:uid="{4F0C71AD-9C5B-410A-B499-30E0BD70FB02}"/>
    <cellStyle name="20% - Accent1 12 2 2 5" xfId="9078" xr:uid="{00000000-0005-0000-0000-000002010000}"/>
    <cellStyle name="20% - Accent1 12 2 2 5 2" xfId="17036" xr:uid="{00000000-0005-0000-0000-000003010000}"/>
    <cellStyle name="20% - Accent1 12 2 2 5 2 2" xfId="40876" xr:uid="{6F68F345-DA2B-4648-8551-137358269877}"/>
    <cellStyle name="20% - Accent1 12 2 2 5 3" xfId="24980" xr:uid="{00000000-0005-0000-0000-000004010000}"/>
    <cellStyle name="20% - Accent1 12 2 2 5 3 2" xfId="48812" xr:uid="{6A423494-B06F-4B31-8B0C-6DA556448933}"/>
    <cellStyle name="20% - Accent1 12 2 2 5 4" xfId="32935" xr:uid="{975622CD-F0B3-4870-94D5-E758B8E5BCEB}"/>
    <cellStyle name="20% - Accent1 12 2 2 6" xfId="9974" xr:uid="{00000000-0005-0000-0000-000005010000}"/>
    <cellStyle name="20% - Accent1 12 2 2 6 2" xfId="33823" xr:uid="{017DD113-1547-4E37-A506-512E9C0503E7}"/>
    <cellStyle name="20% - Accent1 12 2 2 7" xfId="17929" xr:uid="{00000000-0005-0000-0000-000006010000}"/>
    <cellStyle name="20% - Accent1 12 2 2 7 2" xfId="41761" xr:uid="{F6C7B7EA-D80D-4F98-8BF7-BA8BEA7693E5}"/>
    <cellStyle name="20% - Accent1 12 2 2 8" xfId="25881" xr:uid="{EE694A3A-AD27-40F7-9B3E-978441050ACC}"/>
    <cellStyle name="20% - Accent1 12 2 2_Exh G" xfId="1952" xr:uid="{00000000-0005-0000-0000-000007010000}"/>
    <cellStyle name="20% - Accent1 12 2 3" xfId="1057" xr:uid="{00000000-0005-0000-0000-000008010000}"/>
    <cellStyle name="20% - Accent1 12 2 3 2" xfId="4584" xr:uid="{00000000-0005-0000-0000-000009010000}"/>
    <cellStyle name="20% - Accent1 12 2 3 2 2" xfId="8175" xr:uid="{00000000-0005-0000-0000-00000A010000}"/>
    <cellStyle name="20% - Accent1 12 2 3 2 2 2" xfId="16145" xr:uid="{00000000-0005-0000-0000-00000B010000}"/>
    <cellStyle name="20% - Accent1 12 2 3 2 2 2 2" xfId="39987" xr:uid="{C6E0F24E-5152-4DFC-B88A-E5C3D972F697}"/>
    <cellStyle name="20% - Accent1 12 2 3 2 2 3" xfId="24091" xr:uid="{00000000-0005-0000-0000-00000C010000}"/>
    <cellStyle name="20% - Accent1 12 2 3 2 2 3 2" xfId="47923" xr:uid="{B991E387-DFD1-4C8F-B55A-41A74D86E292}"/>
    <cellStyle name="20% - Accent1 12 2 3 2 2 4" xfId="32046" xr:uid="{7ADAD8A0-1C06-4B6F-92C5-650D3133D2B1}"/>
    <cellStyle name="20% - Accent1 12 2 3 2 3" xfId="12607" xr:uid="{00000000-0005-0000-0000-00000D010000}"/>
    <cellStyle name="20% - Accent1 12 2 3 2 3 2" xfId="36456" xr:uid="{CA3B03D0-DBBE-40C0-AB1F-D5E1F5D38DB1}"/>
    <cellStyle name="20% - Accent1 12 2 3 2 4" xfId="20562" xr:uid="{00000000-0005-0000-0000-00000E010000}"/>
    <cellStyle name="20% - Accent1 12 2 3 2 4 2" xfId="44394" xr:uid="{5ACACAC5-9EA8-4348-87EC-C8EB8A8EBFFA}"/>
    <cellStyle name="20% - Accent1 12 2 3 2 5" xfId="28515" xr:uid="{45EA3ACF-DF2B-4A40-951D-F7ABEDBC17AE}"/>
    <cellStyle name="20% - Accent1 12 2 3 3" xfId="6416" xr:uid="{00000000-0005-0000-0000-00000F010000}"/>
    <cellStyle name="20% - Accent1 12 2 3 3 2" xfId="14387" xr:uid="{00000000-0005-0000-0000-000010010000}"/>
    <cellStyle name="20% - Accent1 12 2 3 3 2 2" xfId="38229" xr:uid="{EA03851A-6F08-441B-8F33-D0C24D83C499}"/>
    <cellStyle name="20% - Accent1 12 2 3 3 3" xfId="22334" xr:uid="{00000000-0005-0000-0000-000011010000}"/>
    <cellStyle name="20% - Accent1 12 2 3 3 3 2" xfId="46166" xr:uid="{1A4B3B16-BB84-4B12-BAF8-9DBFA8492A22}"/>
    <cellStyle name="20% - Accent1 12 2 3 3 4" xfId="30288" xr:uid="{9612D94A-51C9-4ECD-A4DA-045D2031CF7B}"/>
    <cellStyle name="20% - Accent1 12 2 3 4" xfId="10851" xr:uid="{00000000-0005-0000-0000-000012010000}"/>
    <cellStyle name="20% - Accent1 12 2 3 4 2" xfId="34700" xr:uid="{1FD0DF3F-1B6D-4437-8039-ED50DDD1BBDA}"/>
    <cellStyle name="20% - Accent1 12 2 3 5" xfId="18806" xr:uid="{00000000-0005-0000-0000-000013010000}"/>
    <cellStyle name="20% - Accent1 12 2 3 5 2" xfId="42638" xr:uid="{D52DCF90-2911-41FD-A2EC-FE284C340875}"/>
    <cellStyle name="20% - Accent1 12 2 3 6" xfId="26758" xr:uid="{0142C96B-B1FB-433F-AAAB-2BBB0B463926}"/>
    <cellStyle name="20% - Accent1 12 2 3_Exh G" xfId="1954" xr:uid="{00000000-0005-0000-0000-000014010000}"/>
    <cellStyle name="20% - Accent1 12 2 4" xfId="3705" xr:uid="{00000000-0005-0000-0000-000015010000}"/>
    <cellStyle name="20% - Accent1 12 2 4 2" xfId="7297" xr:uid="{00000000-0005-0000-0000-000016010000}"/>
    <cellStyle name="20% - Accent1 12 2 4 2 2" xfId="15267" xr:uid="{00000000-0005-0000-0000-000017010000}"/>
    <cellStyle name="20% - Accent1 12 2 4 2 2 2" xfId="39109" xr:uid="{F1E2F159-A368-40A5-9D4D-74AC49B67F8C}"/>
    <cellStyle name="20% - Accent1 12 2 4 2 3" xfId="23213" xr:uid="{00000000-0005-0000-0000-000018010000}"/>
    <cellStyle name="20% - Accent1 12 2 4 2 3 2" xfId="47045" xr:uid="{DE62C06A-A841-4E53-B9D1-6F03A6FF9DB8}"/>
    <cellStyle name="20% - Accent1 12 2 4 2 4" xfId="31168" xr:uid="{54F1E031-257A-4491-B33E-7C43CE0969CE}"/>
    <cellStyle name="20% - Accent1 12 2 4 3" xfId="11729" xr:uid="{00000000-0005-0000-0000-000019010000}"/>
    <cellStyle name="20% - Accent1 12 2 4 3 2" xfId="35578" xr:uid="{D548C1E9-353E-46A1-9108-B4D8D4BB517F}"/>
    <cellStyle name="20% - Accent1 12 2 4 4" xfId="19684" xr:uid="{00000000-0005-0000-0000-00001A010000}"/>
    <cellStyle name="20% - Accent1 12 2 4 4 2" xfId="43516" xr:uid="{943F2636-7B71-45FF-8D6E-902241826BA1}"/>
    <cellStyle name="20% - Accent1 12 2 4 5" xfId="27637" xr:uid="{3EE24360-C107-4094-A39F-9088963D4FC2}"/>
    <cellStyle name="20% - Accent1 12 2 5" xfId="5525" xr:uid="{00000000-0005-0000-0000-00001B010000}"/>
    <cellStyle name="20% - Accent1 12 2 5 2" xfId="13508" xr:uid="{00000000-0005-0000-0000-00001C010000}"/>
    <cellStyle name="20% - Accent1 12 2 5 2 2" xfId="37351" xr:uid="{DF2C83AA-8174-4AAB-BDDB-4FCF56F07C4F}"/>
    <cellStyle name="20% - Accent1 12 2 5 3" xfId="21456" xr:uid="{00000000-0005-0000-0000-00001D010000}"/>
    <cellStyle name="20% - Accent1 12 2 5 3 2" xfId="45288" xr:uid="{5D188469-B712-43CA-B79C-4A654893F1D8}"/>
    <cellStyle name="20% - Accent1 12 2 5 4" xfId="29410" xr:uid="{9FAB63A6-AE1A-4C9A-86B2-CD07BD394D9A}"/>
    <cellStyle name="20% - Accent1 12 2 6" xfId="9077" xr:uid="{00000000-0005-0000-0000-00001E010000}"/>
    <cellStyle name="20% - Accent1 12 2 6 2" xfId="17035" xr:uid="{00000000-0005-0000-0000-00001F010000}"/>
    <cellStyle name="20% - Accent1 12 2 6 2 2" xfId="40875" xr:uid="{9AAA874B-4EB8-4A6A-A4FB-164E5698577F}"/>
    <cellStyle name="20% - Accent1 12 2 6 3" xfId="24979" xr:uid="{00000000-0005-0000-0000-000020010000}"/>
    <cellStyle name="20% - Accent1 12 2 6 3 2" xfId="48811" xr:uid="{15F658CD-ACAD-4135-A057-10EA01DD4253}"/>
    <cellStyle name="20% - Accent1 12 2 6 4" xfId="32934" xr:uid="{3978589E-A335-467E-BA1D-57818ADF2F1D}"/>
    <cellStyle name="20% - Accent1 12 2 7" xfId="9973" xr:uid="{00000000-0005-0000-0000-000021010000}"/>
    <cellStyle name="20% - Accent1 12 2 7 2" xfId="33822" xr:uid="{98377D6A-8451-4E3A-B259-1418877A8896}"/>
    <cellStyle name="20% - Accent1 12 2 8" xfId="17928" xr:uid="{00000000-0005-0000-0000-000022010000}"/>
    <cellStyle name="20% - Accent1 12 2 8 2" xfId="41760" xr:uid="{9E9F4174-A3D2-4C56-AEAF-044327A9B0ED}"/>
    <cellStyle name="20% - Accent1 12 2 9" xfId="25880" xr:uid="{C2684D3F-36EE-4B04-BEF2-60EB132DDF43}"/>
    <cellStyle name="20% - Accent1 12 2_Exh G" xfId="1951" xr:uid="{00000000-0005-0000-0000-000023010000}"/>
    <cellStyle name="20% - Accent1 12 3" xfId="33" xr:uid="{00000000-0005-0000-0000-000024010000}"/>
    <cellStyle name="20% - Accent1 12 3 2" xfId="1059" xr:uid="{00000000-0005-0000-0000-000025010000}"/>
    <cellStyle name="20% - Accent1 12 3 2 2" xfId="4586" xr:uid="{00000000-0005-0000-0000-000026010000}"/>
    <cellStyle name="20% - Accent1 12 3 2 2 2" xfId="8177" xr:uid="{00000000-0005-0000-0000-000027010000}"/>
    <cellStyle name="20% - Accent1 12 3 2 2 2 2" xfId="16147" xr:uid="{00000000-0005-0000-0000-000028010000}"/>
    <cellStyle name="20% - Accent1 12 3 2 2 2 2 2" xfId="39989" xr:uid="{3DD1967E-40D2-4DEB-9475-B0EA0BCDC196}"/>
    <cellStyle name="20% - Accent1 12 3 2 2 2 3" xfId="24093" xr:uid="{00000000-0005-0000-0000-000029010000}"/>
    <cellStyle name="20% - Accent1 12 3 2 2 2 3 2" xfId="47925" xr:uid="{0A57EE38-354A-422D-A90C-128F9B44781A}"/>
    <cellStyle name="20% - Accent1 12 3 2 2 2 4" xfId="32048" xr:uid="{90D57A72-E38A-43B7-A28B-09267189AC40}"/>
    <cellStyle name="20% - Accent1 12 3 2 2 3" xfId="12609" xr:uid="{00000000-0005-0000-0000-00002A010000}"/>
    <cellStyle name="20% - Accent1 12 3 2 2 3 2" xfId="36458" xr:uid="{7BA863A8-28C8-4280-BEEF-EE4528F31ECF}"/>
    <cellStyle name="20% - Accent1 12 3 2 2 4" xfId="20564" xr:uid="{00000000-0005-0000-0000-00002B010000}"/>
    <cellStyle name="20% - Accent1 12 3 2 2 4 2" xfId="44396" xr:uid="{90946ED2-7D8F-4444-B1A8-BD991F951F71}"/>
    <cellStyle name="20% - Accent1 12 3 2 2 5" xfId="28517" xr:uid="{9C090719-E104-4742-9D74-5C6DC0DCD0C9}"/>
    <cellStyle name="20% - Accent1 12 3 2 3" xfId="6418" xr:uid="{00000000-0005-0000-0000-00002C010000}"/>
    <cellStyle name="20% - Accent1 12 3 2 3 2" xfId="14389" xr:uid="{00000000-0005-0000-0000-00002D010000}"/>
    <cellStyle name="20% - Accent1 12 3 2 3 2 2" xfId="38231" xr:uid="{0D8576D7-032E-4278-828B-C3C9A904F1F6}"/>
    <cellStyle name="20% - Accent1 12 3 2 3 3" xfId="22336" xr:uid="{00000000-0005-0000-0000-00002E010000}"/>
    <cellStyle name="20% - Accent1 12 3 2 3 3 2" xfId="46168" xr:uid="{CF0F46ED-1675-4C48-B3FA-42042F3EF195}"/>
    <cellStyle name="20% - Accent1 12 3 2 3 4" xfId="30290" xr:uid="{26B09D1D-C820-43ED-82C1-76ADDFD83685}"/>
    <cellStyle name="20% - Accent1 12 3 2 4" xfId="10853" xr:uid="{00000000-0005-0000-0000-00002F010000}"/>
    <cellStyle name="20% - Accent1 12 3 2 4 2" xfId="34702" xr:uid="{3CDB5BDF-B49A-45A6-B646-4C2DA7032B8D}"/>
    <cellStyle name="20% - Accent1 12 3 2 5" xfId="18808" xr:uid="{00000000-0005-0000-0000-000030010000}"/>
    <cellStyle name="20% - Accent1 12 3 2 5 2" xfId="42640" xr:uid="{90BCDCD2-33C0-42D4-AB3D-DEF85F3E0CAA}"/>
    <cellStyle name="20% - Accent1 12 3 2 6" xfId="26760" xr:uid="{450D67D6-4AFE-40DD-AB09-B48B1B6E2CBD}"/>
    <cellStyle name="20% - Accent1 12 3 2_Exh G" xfId="1956" xr:uid="{00000000-0005-0000-0000-000031010000}"/>
    <cellStyle name="20% - Accent1 12 3 3" xfId="3707" xr:uid="{00000000-0005-0000-0000-000032010000}"/>
    <cellStyle name="20% - Accent1 12 3 3 2" xfId="7299" xr:uid="{00000000-0005-0000-0000-000033010000}"/>
    <cellStyle name="20% - Accent1 12 3 3 2 2" xfId="15269" xr:uid="{00000000-0005-0000-0000-000034010000}"/>
    <cellStyle name="20% - Accent1 12 3 3 2 2 2" xfId="39111" xr:uid="{649989BA-6BEE-4C4B-8D67-B88C61563B0E}"/>
    <cellStyle name="20% - Accent1 12 3 3 2 3" xfId="23215" xr:uid="{00000000-0005-0000-0000-000035010000}"/>
    <cellStyle name="20% - Accent1 12 3 3 2 3 2" xfId="47047" xr:uid="{1C00F14B-7422-4FE2-BDFB-3A86C0355ACC}"/>
    <cellStyle name="20% - Accent1 12 3 3 2 4" xfId="31170" xr:uid="{0ED338D8-C371-4506-968C-99FF7ECA6076}"/>
    <cellStyle name="20% - Accent1 12 3 3 3" xfId="11731" xr:uid="{00000000-0005-0000-0000-000036010000}"/>
    <cellStyle name="20% - Accent1 12 3 3 3 2" xfId="35580" xr:uid="{3C41810B-D682-4AD2-88D1-75F958E1E08C}"/>
    <cellStyle name="20% - Accent1 12 3 3 4" xfId="19686" xr:uid="{00000000-0005-0000-0000-000037010000}"/>
    <cellStyle name="20% - Accent1 12 3 3 4 2" xfId="43518" xr:uid="{9D5CE3B4-0257-4467-8C41-911D60161523}"/>
    <cellStyle name="20% - Accent1 12 3 3 5" xfId="27639" xr:uid="{603FD1CE-7BDD-4A66-BF9C-1B9855717B4D}"/>
    <cellStyle name="20% - Accent1 12 3 4" xfId="5527" xr:uid="{00000000-0005-0000-0000-000038010000}"/>
    <cellStyle name="20% - Accent1 12 3 4 2" xfId="13510" xr:uid="{00000000-0005-0000-0000-000039010000}"/>
    <cellStyle name="20% - Accent1 12 3 4 2 2" xfId="37353" xr:uid="{CFEF37C5-7A74-4D38-BB80-1F99BDEF4646}"/>
    <cellStyle name="20% - Accent1 12 3 4 3" xfId="21458" xr:uid="{00000000-0005-0000-0000-00003A010000}"/>
    <cellStyle name="20% - Accent1 12 3 4 3 2" xfId="45290" xr:uid="{642B1BC7-43F9-4F1E-9EC5-527285BA2C09}"/>
    <cellStyle name="20% - Accent1 12 3 4 4" xfId="29412" xr:uid="{3C64C0A4-71C7-4995-B018-728C3609222F}"/>
    <cellStyle name="20% - Accent1 12 3 5" xfId="9079" xr:uid="{00000000-0005-0000-0000-00003B010000}"/>
    <cellStyle name="20% - Accent1 12 3 5 2" xfId="17037" xr:uid="{00000000-0005-0000-0000-00003C010000}"/>
    <cellStyle name="20% - Accent1 12 3 5 2 2" xfId="40877" xr:uid="{9C96214D-B5E7-4D1D-A710-8A24BB94699F}"/>
    <cellStyle name="20% - Accent1 12 3 5 3" xfId="24981" xr:uid="{00000000-0005-0000-0000-00003D010000}"/>
    <cellStyle name="20% - Accent1 12 3 5 3 2" xfId="48813" xr:uid="{D8AC2B05-33FF-4347-B73A-2107C8A0E55D}"/>
    <cellStyle name="20% - Accent1 12 3 5 4" xfId="32936" xr:uid="{38AA623C-7C8E-41DF-B50F-001FDB908CEF}"/>
    <cellStyle name="20% - Accent1 12 3 6" xfId="9975" xr:uid="{00000000-0005-0000-0000-00003E010000}"/>
    <cellStyle name="20% - Accent1 12 3 6 2" xfId="33824" xr:uid="{EDEEF180-259A-405E-AAD2-BB5BB873776B}"/>
    <cellStyle name="20% - Accent1 12 3 7" xfId="17930" xr:uid="{00000000-0005-0000-0000-00003F010000}"/>
    <cellStyle name="20% - Accent1 12 3 7 2" xfId="41762" xr:uid="{5EFC08D7-6638-4BB3-855D-3DB0C9CE9ED6}"/>
    <cellStyle name="20% - Accent1 12 3 8" xfId="25882" xr:uid="{ABC47DC3-7643-4D87-8FA8-42ED77067527}"/>
    <cellStyle name="20% - Accent1 12 3_Exh G" xfId="1955" xr:uid="{00000000-0005-0000-0000-000040010000}"/>
    <cellStyle name="20% - Accent1 12 4" xfId="1056" xr:uid="{00000000-0005-0000-0000-000041010000}"/>
    <cellStyle name="20% - Accent1 12 4 2" xfId="4583" xr:uid="{00000000-0005-0000-0000-000042010000}"/>
    <cellStyle name="20% - Accent1 12 4 2 2" xfId="8174" xr:uid="{00000000-0005-0000-0000-000043010000}"/>
    <cellStyle name="20% - Accent1 12 4 2 2 2" xfId="16144" xr:uid="{00000000-0005-0000-0000-000044010000}"/>
    <cellStyle name="20% - Accent1 12 4 2 2 2 2" xfId="39986" xr:uid="{9FF6A678-EBF4-457D-8F49-E13E34E972D0}"/>
    <cellStyle name="20% - Accent1 12 4 2 2 3" xfId="24090" xr:uid="{00000000-0005-0000-0000-000045010000}"/>
    <cellStyle name="20% - Accent1 12 4 2 2 3 2" xfId="47922" xr:uid="{6225E115-0818-4550-A0F7-E39FDF7ED5E0}"/>
    <cellStyle name="20% - Accent1 12 4 2 2 4" xfId="32045" xr:uid="{26E0681C-4028-42C0-BBA6-C3BBF94D5A26}"/>
    <cellStyle name="20% - Accent1 12 4 2 3" xfId="12606" xr:uid="{00000000-0005-0000-0000-000046010000}"/>
    <cellStyle name="20% - Accent1 12 4 2 3 2" xfId="36455" xr:uid="{75F90B0E-C891-4C6E-9E1F-FCC1B8C3A0F8}"/>
    <cellStyle name="20% - Accent1 12 4 2 4" xfId="20561" xr:uid="{00000000-0005-0000-0000-000047010000}"/>
    <cellStyle name="20% - Accent1 12 4 2 4 2" xfId="44393" xr:uid="{2C064F8B-4BC2-4DCD-A142-06418473B2EE}"/>
    <cellStyle name="20% - Accent1 12 4 2 5" xfId="28514" xr:uid="{A25A8AB9-0291-4D21-A0BE-72B5D1F1475A}"/>
    <cellStyle name="20% - Accent1 12 4 3" xfId="6415" xr:uid="{00000000-0005-0000-0000-000048010000}"/>
    <cellStyle name="20% - Accent1 12 4 3 2" xfId="14386" xr:uid="{00000000-0005-0000-0000-000049010000}"/>
    <cellStyle name="20% - Accent1 12 4 3 2 2" xfId="38228" xr:uid="{D74F99B4-ADAF-4667-B9E6-D46F8AE61774}"/>
    <cellStyle name="20% - Accent1 12 4 3 3" xfId="22333" xr:uid="{00000000-0005-0000-0000-00004A010000}"/>
    <cellStyle name="20% - Accent1 12 4 3 3 2" xfId="46165" xr:uid="{6D7D7FF8-1336-4124-AFA1-B3A6DF6036EE}"/>
    <cellStyle name="20% - Accent1 12 4 3 4" xfId="30287" xr:uid="{2B09B89E-77F7-4278-BDFD-7E975B25AEEB}"/>
    <cellStyle name="20% - Accent1 12 4 4" xfId="10850" xr:uid="{00000000-0005-0000-0000-00004B010000}"/>
    <cellStyle name="20% - Accent1 12 4 4 2" xfId="34699" xr:uid="{4649ED57-1A0B-4AF9-BAE5-2D735E750AFF}"/>
    <cellStyle name="20% - Accent1 12 4 5" xfId="18805" xr:uid="{00000000-0005-0000-0000-00004C010000}"/>
    <cellStyle name="20% - Accent1 12 4 5 2" xfId="42637" xr:uid="{4B7C8B56-FAE2-4F68-886E-382C275423C6}"/>
    <cellStyle name="20% - Accent1 12 4 6" xfId="26757" xr:uid="{BF66B095-1BF9-46C4-B294-520140FDA6DB}"/>
    <cellStyle name="20% - Accent1 12 4_Exh G" xfId="1957" xr:uid="{00000000-0005-0000-0000-00004D010000}"/>
    <cellStyle name="20% - Accent1 12 5" xfId="3704" xr:uid="{00000000-0005-0000-0000-00004E010000}"/>
    <cellStyle name="20% - Accent1 12 5 2" xfId="7296" xr:uid="{00000000-0005-0000-0000-00004F010000}"/>
    <cellStyle name="20% - Accent1 12 5 2 2" xfId="15266" xr:uid="{00000000-0005-0000-0000-000050010000}"/>
    <cellStyle name="20% - Accent1 12 5 2 2 2" xfId="39108" xr:uid="{E551DA3D-1EE9-47FE-ABA3-EF348651DE5A}"/>
    <cellStyle name="20% - Accent1 12 5 2 3" xfId="23212" xr:uid="{00000000-0005-0000-0000-000051010000}"/>
    <cellStyle name="20% - Accent1 12 5 2 3 2" xfId="47044" xr:uid="{AFFE9128-36B1-42C7-B4C9-DA20349A0EDE}"/>
    <cellStyle name="20% - Accent1 12 5 2 4" xfId="31167" xr:uid="{7A859D01-264F-4DDF-96EE-3721C7B027D7}"/>
    <cellStyle name="20% - Accent1 12 5 3" xfId="11728" xr:uid="{00000000-0005-0000-0000-000052010000}"/>
    <cellStyle name="20% - Accent1 12 5 3 2" xfId="35577" xr:uid="{3A416ADA-D800-48F7-95D0-A58CAD5A3955}"/>
    <cellStyle name="20% - Accent1 12 5 4" xfId="19683" xr:uid="{00000000-0005-0000-0000-000053010000}"/>
    <cellStyle name="20% - Accent1 12 5 4 2" xfId="43515" xr:uid="{F57D4B84-6155-46B1-85DE-A56CD814674D}"/>
    <cellStyle name="20% - Accent1 12 5 5" xfId="27636" xr:uid="{AAB3FAA5-1D1A-4734-B17B-D89E8D6833AB}"/>
    <cellStyle name="20% - Accent1 12 6" xfId="5524" xr:uid="{00000000-0005-0000-0000-000054010000}"/>
    <cellStyle name="20% - Accent1 12 6 2" xfId="13507" xr:uid="{00000000-0005-0000-0000-000055010000}"/>
    <cellStyle name="20% - Accent1 12 6 2 2" xfId="37350" xr:uid="{9F30532E-4272-4A57-BE92-97321FF74E1E}"/>
    <cellStyle name="20% - Accent1 12 6 3" xfId="21455" xr:uid="{00000000-0005-0000-0000-000056010000}"/>
    <cellStyle name="20% - Accent1 12 6 3 2" xfId="45287" xr:uid="{8CAEB7C9-5B54-4F95-A640-85D295D02BF9}"/>
    <cellStyle name="20% - Accent1 12 6 4" xfId="29409" xr:uid="{BC485048-2063-460C-A3FC-619FD9C2A0B1}"/>
    <cellStyle name="20% - Accent1 12 7" xfId="9076" xr:uid="{00000000-0005-0000-0000-000057010000}"/>
    <cellStyle name="20% - Accent1 12 7 2" xfId="17034" xr:uid="{00000000-0005-0000-0000-000058010000}"/>
    <cellStyle name="20% - Accent1 12 7 2 2" xfId="40874" xr:uid="{12A91051-3EC3-4F49-9B45-754FC884A7BE}"/>
    <cellStyle name="20% - Accent1 12 7 3" xfId="24978" xr:uid="{00000000-0005-0000-0000-000059010000}"/>
    <cellStyle name="20% - Accent1 12 7 3 2" xfId="48810" xr:uid="{4D866ECD-1B1C-407B-97A3-9BEC3A82A2C2}"/>
    <cellStyle name="20% - Accent1 12 7 4" xfId="32933" xr:uid="{ED3145F3-49DA-42D0-8BF4-229054D4D864}"/>
    <cellStyle name="20% - Accent1 12 8" xfId="9972" xr:uid="{00000000-0005-0000-0000-00005A010000}"/>
    <cellStyle name="20% - Accent1 12 8 2" xfId="33821" xr:uid="{F9E392A8-A83D-4F9A-9349-BB6597304D1E}"/>
    <cellStyle name="20% - Accent1 12 9" xfId="17927" xr:uid="{00000000-0005-0000-0000-00005B010000}"/>
    <cellStyle name="20% - Accent1 12 9 2" xfId="41759" xr:uid="{DF5B9D94-9AEF-4344-A512-71970577D7E1}"/>
    <cellStyle name="20% - Accent1 12_Exh G" xfId="1950" xr:uid="{00000000-0005-0000-0000-00005C010000}"/>
    <cellStyle name="20% - Accent1 13" xfId="34" xr:uid="{00000000-0005-0000-0000-00005D010000}"/>
    <cellStyle name="20% - Accent1 13 10" xfId="25883" xr:uid="{346FBD3C-D6BA-4DD0-961B-3F65EC16DFBC}"/>
    <cellStyle name="20% - Accent1 13 2" xfId="35" xr:uid="{00000000-0005-0000-0000-00005E010000}"/>
    <cellStyle name="20% - Accent1 13 2 2" xfId="36" xr:uid="{00000000-0005-0000-0000-00005F010000}"/>
    <cellStyle name="20% - Accent1 13 2 2 2" xfId="1062" xr:uid="{00000000-0005-0000-0000-000060010000}"/>
    <cellStyle name="20% - Accent1 13 2 2 2 2" xfId="4589" xr:uid="{00000000-0005-0000-0000-000061010000}"/>
    <cellStyle name="20% - Accent1 13 2 2 2 2 2" xfId="8180" xr:uid="{00000000-0005-0000-0000-000062010000}"/>
    <cellStyle name="20% - Accent1 13 2 2 2 2 2 2" xfId="16150" xr:uid="{00000000-0005-0000-0000-000063010000}"/>
    <cellStyle name="20% - Accent1 13 2 2 2 2 2 2 2" xfId="39992" xr:uid="{6C5A24FE-5506-4E36-87D9-5253FDB07CE4}"/>
    <cellStyle name="20% - Accent1 13 2 2 2 2 2 3" xfId="24096" xr:uid="{00000000-0005-0000-0000-000064010000}"/>
    <cellStyle name="20% - Accent1 13 2 2 2 2 2 3 2" xfId="47928" xr:uid="{5256D91A-11C1-47C2-A56D-A8D7BF854E25}"/>
    <cellStyle name="20% - Accent1 13 2 2 2 2 2 4" xfId="32051" xr:uid="{D6E48250-68CE-4CCB-8959-4C8F93B35B31}"/>
    <cellStyle name="20% - Accent1 13 2 2 2 2 3" xfId="12612" xr:uid="{00000000-0005-0000-0000-000065010000}"/>
    <cellStyle name="20% - Accent1 13 2 2 2 2 3 2" xfId="36461" xr:uid="{C95E56DD-EC3E-4BED-8750-306351A197CE}"/>
    <cellStyle name="20% - Accent1 13 2 2 2 2 4" xfId="20567" xr:uid="{00000000-0005-0000-0000-000066010000}"/>
    <cellStyle name="20% - Accent1 13 2 2 2 2 4 2" xfId="44399" xr:uid="{B5225973-44F6-4393-B0B4-34EAE2BEB806}"/>
    <cellStyle name="20% - Accent1 13 2 2 2 2 5" xfId="28520" xr:uid="{EC8A5FDC-BA29-4C88-BB39-437FBE8F428C}"/>
    <cellStyle name="20% - Accent1 13 2 2 2 3" xfId="6421" xr:uid="{00000000-0005-0000-0000-000067010000}"/>
    <cellStyle name="20% - Accent1 13 2 2 2 3 2" xfId="14392" xr:uid="{00000000-0005-0000-0000-000068010000}"/>
    <cellStyle name="20% - Accent1 13 2 2 2 3 2 2" xfId="38234" xr:uid="{A545CAC4-C858-44C0-9FA7-FC642AD5B706}"/>
    <cellStyle name="20% - Accent1 13 2 2 2 3 3" xfId="22339" xr:uid="{00000000-0005-0000-0000-000069010000}"/>
    <cellStyle name="20% - Accent1 13 2 2 2 3 3 2" xfId="46171" xr:uid="{DAC695E5-449C-4776-905C-36FA7B455254}"/>
    <cellStyle name="20% - Accent1 13 2 2 2 3 4" xfId="30293" xr:uid="{FC4ABC74-8B4C-4544-BE13-8A7270659C68}"/>
    <cellStyle name="20% - Accent1 13 2 2 2 4" xfId="10856" xr:uid="{00000000-0005-0000-0000-00006A010000}"/>
    <cellStyle name="20% - Accent1 13 2 2 2 4 2" xfId="34705" xr:uid="{3F4CE73C-3140-4849-AF5A-AF3953E68FA1}"/>
    <cellStyle name="20% - Accent1 13 2 2 2 5" xfId="18811" xr:uid="{00000000-0005-0000-0000-00006B010000}"/>
    <cellStyle name="20% - Accent1 13 2 2 2 5 2" xfId="42643" xr:uid="{CF006494-278F-4F3A-81E4-20B61F364D86}"/>
    <cellStyle name="20% - Accent1 13 2 2 2 6" xfId="26763" xr:uid="{CB1495B3-F30E-4A99-94C9-1F0030A05A6B}"/>
    <cellStyle name="20% - Accent1 13 2 2 2_Exh G" xfId="1961" xr:uid="{00000000-0005-0000-0000-00006C010000}"/>
    <cellStyle name="20% - Accent1 13 2 2 3" xfId="3710" xr:uid="{00000000-0005-0000-0000-00006D010000}"/>
    <cellStyle name="20% - Accent1 13 2 2 3 2" xfId="7302" xr:uid="{00000000-0005-0000-0000-00006E010000}"/>
    <cellStyle name="20% - Accent1 13 2 2 3 2 2" xfId="15272" xr:uid="{00000000-0005-0000-0000-00006F010000}"/>
    <cellStyle name="20% - Accent1 13 2 2 3 2 2 2" xfId="39114" xr:uid="{7363EB53-7AF6-4090-946D-345D6AED05FC}"/>
    <cellStyle name="20% - Accent1 13 2 2 3 2 3" xfId="23218" xr:uid="{00000000-0005-0000-0000-000070010000}"/>
    <cellStyle name="20% - Accent1 13 2 2 3 2 3 2" xfId="47050" xr:uid="{FDD6D5E3-2762-4F6A-AA16-6F8DD5D4F7EB}"/>
    <cellStyle name="20% - Accent1 13 2 2 3 2 4" xfId="31173" xr:uid="{43E86B35-0A4F-41D2-B789-085EBF005B30}"/>
    <cellStyle name="20% - Accent1 13 2 2 3 3" xfId="11734" xr:uid="{00000000-0005-0000-0000-000071010000}"/>
    <cellStyle name="20% - Accent1 13 2 2 3 3 2" xfId="35583" xr:uid="{29DA947B-16CB-45AC-A7FD-525B76401039}"/>
    <cellStyle name="20% - Accent1 13 2 2 3 4" xfId="19689" xr:uid="{00000000-0005-0000-0000-000072010000}"/>
    <cellStyle name="20% - Accent1 13 2 2 3 4 2" xfId="43521" xr:uid="{ABE16199-B17C-48A0-AD0E-60440D84C05A}"/>
    <cellStyle name="20% - Accent1 13 2 2 3 5" xfId="27642" xr:uid="{557E9375-77D7-4801-A4D3-E87C64593DB8}"/>
    <cellStyle name="20% - Accent1 13 2 2 4" xfId="5530" xr:uid="{00000000-0005-0000-0000-000073010000}"/>
    <cellStyle name="20% - Accent1 13 2 2 4 2" xfId="13513" xr:uid="{00000000-0005-0000-0000-000074010000}"/>
    <cellStyle name="20% - Accent1 13 2 2 4 2 2" xfId="37356" xr:uid="{9DC20833-76F6-49DB-967A-25B2D58218BF}"/>
    <cellStyle name="20% - Accent1 13 2 2 4 3" xfId="21461" xr:uid="{00000000-0005-0000-0000-000075010000}"/>
    <cellStyle name="20% - Accent1 13 2 2 4 3 2" xfId="45293" xr:uid="{CE1D1943-8F21-4146-8FB5-0C59674E0D3E}"/>
    <cellStyle name="20% - Accent1 13 2 2 4 4" xfId="29415" xr:uid="{1E6F8470-14E8-4F7C-9858-D8A07F9EE28A}"/>
    <cellStyle name="20% - Accent1 13 2 2 5" xfId="9082" xr:uid="{00000000-0005-0000-0000-000076010000}"/>
    <cellStyle name="20% - Accent1 13 2 2 5 2" xfId="17040" xr:uid="{00000000-0005-0000-0000-000077010000}"/>
    <cellStyle name="20% - Accent1 13 2 2 5 2 2" xfId="40880" xr:uid="{9C99ADE1-4857-4AAF-8481-2B7D51CDA792}"/>
    <cellStyle name="20% - Accent1 13 2 2 5 3" xfId="24984" xr:uid="{00000000-0005-0000-0000-000078010000}"/>
    <cellStyle name="20% - Accent1 13 2 2 5 3 2" xfId="48816" xr:uid="{FA27A7CA-92E3-4E0B-8EC8-DF5E22DC546F}"/>
    <cellStyle name="20% - Accent1 13 2 2 5 4" xfId="32939" xr:uid="{B2FCB5B7-E842-4AB4-BBDA-381C9DD001E2}"/>
    <cellStyle name="20% - Accent1 13 2 2 6" xfId="9978" xr:uid="{00000000-0005-0000-0000-000079010000}"/>
    <cellStyle name="20% - Accent1 13 2 2 6 2" xfId="33827" xr:uid="{23539F14-2E30-4509-AAFD-D0831FA82C6B}"/>
    <cellStyle name="20% - Accent1 13 2 2 7" xfId="17933" xr:uid="{00000000-0005-0000-0000-00007A010000}"/>
    <cellStyle name="20% - Accent1 13 2 2 7 2" xfId="41765" xr:uid="{499AE355-32F9-4893-ADAA-D33D41E21C7B}"/>
    <cellStyle name="20% - Accent1 13 2 2 8" xfId="25885" xr:uid="{68A0990B-056D-4EFB-9989-AEEBE44BB978}"/>
    <cellStyle name="20% - Accent1 13 2 2_Exh G" xfId="1960" xr:uid="{00000000-0005-0000-0000-00007B010000}"/>
    <cellStyle name="20% - Accent1 13 2 3" xfId="1061" xr:uid="{00000000-0005-0000-0000-00007C010000}"/>
    <cellStyle name="20% - Accent1 13 2 3 2" xfId="4588" xr:uid="{00000000-0005-0000-0000-00007D010000}"/>
    <cellStyle name="20% - Accent1 13 2 3 2 2" xfId="8179" xr:uid="{00000000-0005-0000-0000-00007E010000}"/>
    <cellStyle name="20% - Accent1 13 2 3 2 2 2" xfId="16149" xr:uid="{00000000-0005-0000-0000-00007F010000}"/>
    <cellStyle name="20% - Accent1 13 2 3 2 2 2 2" xfId="39991" xr:uid="{7746E5E7-E2AD-4CF3-AB49-3C4442C78C5D}"/>
    <cellStyle name="20% - Accent1 13 2 3 2 2 3" xfId="24095" xr:uid="{00000000-0005-0000-0000-000080010000}"/>
    <cellStyle name="20% - Accent1 13 2 3 2 2 3 2" xfId="47927" xr:uid="{5C04F6D4-6C25-44B5-8B01-D1DAA2F99E87}"/>
    <cellStyle name="20% - Accent1 13 2 3 2 2 4" xfId="32050" xr:uid="{22DBDFDD-3BFB-4BB4-8952-B65ADAD9E2AD}"/>
    <cellStyle name="20% - Accent1 13 2 3 2 3" xfId="12611" xr:uid="{00000000-0005-0000-0000-000081010000}"/>
    <cellStyle name="20% - Accent1 13 2 3 2 3 2" xfId="36460" xr:uid="{9BB72BAE-4823-4A73-9A16-1D7A5BF178C6}"/>
    <cellStyle name="20% - Accent1 13 2 3 2 4" xfId="20566" xr:uid="{00000000-0005-0000-0000-000082010000}"/>
    <cellStyle name="20% - Accent1 13 2 3 2 4 2" xfId="44398" xr:uid="{0AFFE4FC-4BB7-48AD-ABE8-47131ECEFA55}"/>
    <cellStyle name="20% - Accent1 13 2 3 2 5" xfId="28519" xr:uid="{8C231EB8-2BFD-4373-916B-3685A52DE30A}"/>
    <cellStyle name="20% - Accent1 13 2 3 3" xfId="6420" xr:uid="{00000000-0005-0000-0000-000083010000}"/>
    <cellStyle name="20% - Accent1 13 2 3 3 2" xfId="14391" xr:uid="{00000000-0005-0000-0000-000084010000}"/>
    <cellStyle name="20% - Accent1 13 2 3 3 2 2" xfId="38233" xr:uid="{4E50564C-F899-445C-B254-9B082D8DAA5E}"/>
    <cellStyle name="20% - Accent1 13 2 3 3 3" xfId="22338" xr:uid="{00000000-0005-0000-0000-000085010000}"/>
    <cellStyle name="20% - Accent1 13 2 3 3 3 2" xfId="46170" xr:uid="{63CB794A-B8C0-40CD-83AB-A9BE134D8310}"/>
    <cellStyle name="20% - Accent1 13 2 3 3 4" xfId="30292" xr:uid="{405BD2E1-E81C-459D-833C-1570CB1CAEC1}"/>
    <cellStyle name="20% - Accent1 13 2 3 4" xfId="10855" xr:uid="{00000000-0005-0000-0000-000086010000}"/>
    <cellStyle name="20% - Accent1 13 2 3 4 2" xfId="34704" xr:uid="{E613DABE-52A5-4817-AE38-86305FC72A16}"/>
    <cellStyle name="20% - Accent1 13 2 3 5" xfId="18810" xr:uid="{00000000-0005-0000-0000-000087010000}"/>
    <cellStyle name="20% - Accent1 13 2 3 5 2" xfId="42642" xr:uid="{0E7B0762-0773-4F8C-8C2D-F25FCF1064C2}"/>
    <cellStyle name="20% - Accent1 13 2 3 6" xfId="26762" xr:uid="{1CE8E5AB-B69A-4298-AAFE-69BDCF1CBD45}"/>
    <cellStyle name="20% - Accent1 13 2 3_Exh G" xfId="1962" xr:uid="{00000000-0005-0000-0000-000088010000}"/>
    <cellStyle name="20% - Accent1 13 2 4" xfId="3709" xr:uid="{00000000-0005-0000-0000-000089010000}"/>
    <cellStyle name="20% - Accent1 13 2 4 2" xfId="7301" xr:uid="{00000000-0005-0000-0000-00008A010000}"/>
    <cellStyle name="20% - Accent1 13 2 4 2 2" xfId="15271" xr:uid="{00000000-0005-0000-0000-00008B010000}"/>
    <cellStyle name="20% - Accent1 13 2 4 2 2 2" xfId="39113" xr:uid="{6B51D5AF-B0ED-4120-8070-4C1EBC89F747}"/>
    <cellStyle name="20% - Accent1 13 2 4 2 3" xfId="23217" xr:uid="{00000000-0005-0000-0000-00008C010000}"/>
    <cellStyle name="20% - Accent1 13 2 4 2 3 2" xfId="47049" xr:uid="{3E58E005-AD57-4F79-8EC0-2CFF73B0FBD5}"/>
    <cellStyle name="20% - Accent1 13 2 4 2 4" xfId="31172" xr:uid="{7A4E93DE-AAA1-40F6-9195-48A61D025FF2}"/>
    <cellStyle name="20% - Accent1 13 2 4 3" xfId="11733" xr:uid="{00000000-0005-0000-0000-00008D010000}"/>
    <cellStyle name="20% - Accent1 13 2 4 3 2" xfId="35582" xr:uid="{3D3E55C7-E5B9-4A17-ADA7-5B208E00F0E8}"/>
    <cellStyle name="20% - Accent1 13 2 4 4" xfId="19688" xr:uid="{00000000-0005-0000-0000-00008E010000}"/>
    <cellStyle name="20% - Accent1 13 2 4 4 2" xfId="43520" xr:uid="{1BCD6507-F750-490F-B350-7E9D5295747C}"/>
    <cellStyle name="20% - Accent1 13 2 4 5" xfId="27641" xr:uid="{36FCFB87-3341-4BBF-A220-65B6659F6DA9}"/>
    <cellStyle name="20% - Accent1 13 2 5" xfId="5529" xr:uid="{00000000-0005-0000-0000-00008F010000}"/>
    <cellStyle name="20% - Accent1 13 2 5 2" xfId="13512" xr:uid="{00000000-0005-0000-0000-000090010000}"/>
    <cellStyle name="20% - Accent1 13 2 5 2 2" xfId="37355" xr:uid="{F386D87D-3C26-447B-8860-DB091C7555B7}"/>
    <cellStyle name="20% - Accent1 13 2 5 3" xfId="21460" xr:uid="{00000000-0005-0000-0000-000091010000}"/>
    <cellStyle name="20% - Accent1 13 2 5 3 2" xfId="45292" xr:uid="{C21621DF-5EAA-40E8-9C46-446226B2331A}"/>
    <cellStyle name="20% - Accent1 13 2 5 4" xfId="29414" xr:uid="{32E5758E-143C-4E43-8C1C-98D133A38730}"/>
    <cellStyle name="20% - Accent1 13 2 6" xfId="9081" xr:uid="{00000000-0005-0000-0000-000092010000}"/>
    <cellStyle name="20% - Accent1 13 2 6 2" xfId="17039" xr:uid="{00000000-0005-0000-0000-000093010000}"/>
    <cellStyle name="20% - Accent1 13 2 6 2 2" xfId="40879" xr:uid="{1D6420DF-6959-4CB6-ACAE-E84D13D28489}"/>
    <cellStyle name="20% - Accent1 13 2 6 3" xfId="24983" xr:uid="{00000000-0005-0000-0000-000094010000}"/>
    <cellStyle name="20% - Accent1 13 2 6 3 2" xfId="48815" xr:uid="{FAF8B2FD-7F00-454D-87CA-EFEF0CE2FE1B}"/>
    <cellStyle name="20% - Accent1 13 2 6 4" xfId="32938" xr:uid="{7DE8F789-14CC-4987-A9E5-3C1960B6D56F}"/>
    <cellStyle name="20% - Accent1 13 2 7" xfId="9977" xr:uid="{00000000-0005-0000-0000-000095010000}"/>
    <cellStyle name="20% - Accent1 13 2 7 2" xfId="33826" xr:uid="{1B9E417D-0AF7-459A-88E1-C845024A9A93}"/>
    <cellStyle name="20% - Accent1 13 2 8" xfId="17932" xr:uid="{00000000-0005-0000-0000-000096010000}"/>
    <cellStyle name="20% - Accent1 13 2 8 2" xfId="41764" xr:uid="{2A9BA080-E4D6-4823-B94A-9748194D203A}"/>
    <cellStyle name="20% - Accent1 13 2 9" xfId="25884" xr:uid="{AC6ED6C5-D1A2-4C75-905A-549E1072DC2A}"/>
    <cellStyle name="20% - Accent1 13 2_Exh G" xfId="1959" xr:uid="{00000000-0005-0000-0000-000097010000}"/>
    <cellStyle name="20% - Accent1 13 3" xfId="37" xr:uid="{00000000-0005-0000-0000-000098010000}"/>
    <cellStyle name="20% - Accent1 13 3 2" xfId="1063" xr:uid="{00000000-0005-0000-0000-000099010000}"/>
    <cellStyle name="20% - Accent1 13 3 2 2" xfId="4590" xr:uid="{00000000-0005-0000-0000-00009A010000}"/>
    <cellStyle name="20% - Accent1 13 3 2 2 2" xfId="8181" xr:uid="{00000000-0005-0000-0000-00009B010000}"/>
    <cellStyle name="20% - Accent1 13 3 2 2 2 2" xfId="16151" xr:uid="{00000000-0005-0000-0000-00009C010000}"/>
    <cellStyle name="20% - Accent1 13 3 2 2 2 2 2" xfId="39993" xr:uid="{EBAA0A34-0263-457F-AAED-7C6E5F4A1D26}"/>
    <cellStyle name="20% - Accent1 13 3 2 2 2 3" xfId="24097" xr:uid="{00000000-0005-0000-0000-00009D010000}"/>
    <cellStyle name="20% - Accent1 13 3 2 2 2 3 2" xfId="47929" xr:uid="{D2925B94-FA4A-4D64-8162-ED22AAC0B282}"/>
    <cellStyle name="20% - Accent1 13 3 2 2 2 4" xfId="32052" xr:uid="{93A93578-E5AE-48DC-BD9D-B71A6CD22491}"/>
    <cellStyle name="20% - Accent1 13 3 2 2 3" xfId="12613" xr:uid="{00000000-0005-0000-0000-00009E010000}"/>
    <cellStyle name="20% - Accent1 13 3 2 2 3 2" xfId="36462" xr:uid="{A688E4B3-5B31-4193-8821-62ED6C41B95C}"/>
    <cellStyle name="20% - Accent1 13 3 2 2 4" xfId="20568" xr:uid="{00000000-0005-0000-0000-00009F010000}"/>
    <cellStyle name="20% - Accent1 13 3 2 2 4 2" xfId="44400" xr:uid="{E46C636D-1F87-456F-89D2-0B0D46BBC53A}"/>
    <cellStyle name="20% - Accent1 13 3 2 2 5" xfId="28521" xr:uid="{491AA467-787B-4D3C-8EC7-090E16A6E117}"/>
    <cellStyle name="20% - Accent1 13 3 2 3" xfId="6422" xr:uid="{00000000-0005-0000-0000-0000A0010000}"/>
    <cellStyle name="20% - Accent1 13 3 2 3 2" xfId="14393" xr:uid="{00000000-0005-0000-0000-0000A1010000}"/>
    <cellStyle name="20% - Accent1 13 3 2 3 2 2" xfId="38235" xr:uid="{5990E574-7346-4D5E-83BC-90854E3DDB23}"/>
    <cellStyle name="20% - Accent1 13 3 2 3 3" xfId="22340" xr:uid="{00000000-0005-0000-0000-0000A2010000}"/>
    <cellStyle name="20% - Accent1 13 3 2 3 3 2" xfId="46172" xr:uid="{DC574399-E08E-4B14-A17D-B593519451D6}"/>
    <cellStyle name="20% - Accent1 13 3 2 3 4" xfId="30294" xr:uid="{83C5C023-FD5F-46AA-80AF-3D1BB3C86095}"/>
    <cellStyle name="20% - Accent1 13 3 2 4" xfId="10857" xr:uid="{00000000-0005-0000-0000-0000A3010000}"/>
    <cellStyle name="20% - Accent1 13 3 2 4 2" xfId="34706" xr:uid="{1DB05A62-AE7A-4E55-A7BD-14D6BB0FA3B0}"/>
    <cellStyle name="20% - Accent1 13 3 2 5" xfId="18812" xr:uid="{00000000-0005-0000-0000-0000A4010000}"/>
    <cellStyle name="20% - Accent1 13 3 2 5 2" xfId="42644" xr:uid="{19DE39F8-01BC-4A8F-97F6-B33A48EAD085}"/>
    <cellStyle name="20% - Accent1 13 3 2 6" xfId="26764" xr:uid="{0DC53AA5-7D8F-435C-9FD8-8FE473FABC91}"/>
    <cellStyle name="20% - Accent1 13 3 2_Exh G" xfId="1964" xr:uid="{00000000-0005-0000-0000-0000A5010000}"/>
    <cellStyle name="20% - Accent1 13 3 3" xfId="3711" xr:uid="{00000000-0005-0000-0000-0000A6010000}"/>
    <cellStyle name="20% - Accent1 13 3 3 2" xfId="7303" xr:uid="{00000000-0005-0000-0000-0000A7010000}"/>
    <cellStyle name="20% - Accent1 13 3 3 2 2" xfId="15273" xr:uid="{00000000-0005-0000-0000-0000A8010000}"/>
    <cellStyle name="20% - Accent1 13 3 3 2 2 2" xfId="39115" xr:uid="{90BBBB3F-A506-41C2-9641-16B06A8B35AB}"/>
    <cellStyle name="20% - Accent1 13 3 3 2 3" xfId="23219" xr:uid="{00000000-0005-0000-0000-0000A9010000}"/>
    <cellStyle name="20% - Accent1 13 3 3 2 3 2" xfId="47051" xr:uid="{7E69005F-F9CD-4ED7-8D77-1D47E3BB5AC1}"/>
    <cellStyle name="20% - Accent1 13 3 3 2 4" xfId="31174" xr:uid="{B60428E5-476A-494B-8487-B4F653FF2650}"/>
    <cellStyle name="20% - Accent1 13 3 3 3" xfId="11735" xr:uid="{00000000-0005-0000-0000-0000AA010000}"/>
    <cellStyle name="20% - Accent1 13 3 3 3 2" xfId="35584" xr:uid="{4BDBB6C1-CF17-433D-8DAB-95CD5FBAB4EF}"/>
    <cellStyle name="20% - Accent1 13 3 3 4" xfId="19690" xr:uid="{00000000-0005-0000-0000-0000AB010000}"/>
    <cellStyle name="20% - Accent1 13 3 3 4 2" xfId="43522" xr:uid="{D2F46593-6026-4074-BAD5-A846E26EE1B8}"/>
    <cellStyle name="20% - Accent1 13 3 3 5" xfId="27643" xr:uid="{514C602F-3D74-4F6B-88C0-C0019CA31D1E}"/>
    <cellStyle name="20% - Accent1 13 3 4" xfId="5531" xr:uid="{00000000-0005-0000-0000-0000AC010000}"/>
    <cellStyle name="20% - Accent1 13 3 4 2" xfId="13514" xr:uid="{00000000-0005-0000-0000-0000AD010000}"/>
    <cellStyle name="20% - Accent1 13 3 4 2 2" xfId="37357" xr:uid="{3FA68A77-8C46-444A-9AA4-4DF960E71475}"/>
    <cellStyle name="20% - Accent1 13 3 4 3" xfId="21462" xr:uid="{00000000-0005-0000-0000-0000AE010000}"/>
    <cellStyle name="20% - Accent1 13 3 4 3 2" xfId="45294" xr:uid="{54432BBE-63E5-4E59-BEC3-0CB72BA724A1}"/>
    <cellStyle name="20% - Accent1 13 3 4 4" xfId="29416" xr:uid="{3547C216-E137-46A8-8F74-E80E0EADE9CD}"/>
    <cellStyle name="20% - Accent1 13 3 5" xfId="9083" xr:uid="{00000000-0005-0000-0000-0000AF010000}"/>
    <cellStyle name="20% - Accent1 13 3 5 2" xfId="17041" xr:uid="{00000000-0005-0000-0000-0000B0010000}"/>
    <cellStyle name="20% - Accent1 13 3 5 2 2" xfId="40881" xr:uid="{4202470E-85E6-48C4-B21B-6B6FC8CA87C3}"/>
    <cellStyle name="20% - Accent1 13 3 5 3" xfId="24985" xr:uid="{00000000-0005-0000-0000-0000B1010000}"/>
    <cellStyle name="20% - Accent1 13 3 5 3 2" xfId="48817" xr:uid="{40BF776C-5CF5-4573-9851-7ADCB7AE0FC0}"/>
    <cellStyle name="20% - Accent1 13 3 5 4" xfId="32940" xr:uid="{4EC6EB8C-D618-4B9C-AF5E-18D7F640FC4C}"/>
    <cellStyle name="20% - Accent1 13 3 6" xfId="9979" xr:uid="{00000000-0005-0000-0000-0000B2010000}"/>
    <cellStyle name="20% - Accent1 13 3 6 2" xfId="33828" xr:uid="{77A58743-D5FF-4149-9D35-2E8C5FEC3E55}"/>
    <cellStyle name="20% - Accent1 13 3 7" xfId="17934" xr:uid="{00000000-0005-0000-0000-0000B3010000}"/>
    <cellStyle name="20% - Accent1 13 3 7 2" xfId="41766" xr:uid="{00183E70-82EA-46AD-92DF-75F50372FBDD}"/>
    <cellStyle name="20% - Accent1 13 3 8" xfId="25886" xr:uid="{EC0A9E63-6EE1-4967-8621-5833BDAE2D1E}"/>
    <cellStyle name="20% - Accent1 13 3_Exh G" xfId="1963" xr:uid="{00000000-0005-0000-0000-0000B4010000}"/>
    <cellStyle name="20% - Accent1 13 4" xfId="1060" xr:uid="{00000000-0005-0000-0000-0000B5010000}"/>
    <cellStyle name="20% - Accent1 13 4 2" xfId="4587" xr:uid="{00000000-0005-0000-0000-0000B6010000}"/>
    <cellStyle name="20% - Accent1 13 4 2 2" xfId="8178" xr:uid="{00000000-0005-0000-0000-0000B7010000}"/>
    <cellStyle name="20% - Accent1 13 4 2 2 2" xfId="16148" xr:uid="{00000000-0005-0000-0000-0000B8010000}"/>
    <cellStyle name="20% - Accent1 13 4 2 2 2 2" xfId="39990" xr:uid="{C78289B8-C98D-476E-878C-5F59354C72B4}"/>
    <cellStyle name="20% - Accent1 13 4 2 2 3" xfId="24094" xr:uid="{00000000-0005-0000-0000-0000B9010000}"/>
    <cellStyle name="20% - Accent1 13 4 2 2 3 2" xfId="47926" xr:uid="{0B6DF766-E531-40B9-AC66-3009605E6780}"/>
    <cellStyle name="20% - Accent1 13 4 2 2 4" xfId="32049" xr:uid="{4979CEF8-6E95-4128-BDE5-4D5D814A9453}"/>
    <cellStyle name="20% - Accent1 13 4 2 3" xfId="12610" xr:uid="{00000000-0005-0000-0000-0000BA010000}"/>
    <cellStyle name="20% - Accent1 13 4 2 3 2" xfId="36459" xr:uid="{F622EE86-F8FC-4848-849D-E30741CC4573}"/>
    <cellStyle name="20% - Accent1 13 4 2 4" xfId="20565" xr:uid="{00000000-0005-0000-0000-0000BB010000}"/>
    <cellStyle name="20% - Accent1 13 4 2 4 2" xfId="44397" xr:uid="{2E65534D-D691-4F1B-8D3F-3F0BD4617DF6}"/>
    <cellStyle name="20% - Accent1 13 4 2 5" xfId="28518" xr:uid="{47C13EF2-CB97-42E9-BDA8-7BCE154F2AC0}"/>
    <cellStyle name="20% - Accent1 13 4 3" xfId="6419" xr:uid="{00000000-0005-0000-0000-0000BC010000}"/>
    <cellStyle name="20% - Accent1 13 4 3 2" xfId="14390" xr:uid="{00000000-0005-0000-0000-0000BD010000}"/>
    <cellStyle name="20% - Accent1 13 4 3 2 2" xfId="38232" xr:uid="{8DEEFBDF-F6A2-4C4B-BAE2-4F063EFA51C8}"/>
    <cellStyle name="20% - Accent1 13 4 3 3" xfId="22337" xr:uid="{00000000-0005-0000-0000-0000BE010000}"/>
    <cellStyle name="20% - Accent1 13 4 3 3 2" xfId="46169" xr:uid="{E94D9754-6AF4-4F91-A616-40562F11D7B7}"/>
    <cellStyle name="20% - Accent1 13 4 3 4" xfId="30291" xr:uid="{2F92AFF6-D088-4C77-A71D-6B63E95780A1}"/>
    <cellStyle name="20% - Accent1 13 4 4" xfId="10854" xr:uid="{00000000-0005-0000-0000-0000BF010000}"/>
    <cellStyle name="20% - Accent1 13 4 4 2" xfId="34703" xr:uid="{3EF90D1A-80DD-4096-897B-D240DEFCD486}"/>
    <cellStyle name="20% - Accent1 13 4 5" xfId="18809" xr:uid="{00000000-0005-0000-0000-0000C0010000}"/>
    <cellStyle name="20% - Accent1 13 4 5 2" xfId="42641" xr:uid="{4356AE0F-F274-476D-903B-124BA0A5673F}"/>
    <cellStyle name="20% - Accent1 13 4 6" xfId="26761" xr:uid="{0569028D-CA25-479D-857B-FFE7C95E9F54}"/>
    <cellStyle name="20% - Accent1 13 4_Exh G" xfId="1965" xr:uid="{00000000-0005-0000-0000-0000C1010000}"/>
    <cellStyle name="20% - Accent1 13 5" xfId="3708" xr:uid="{00000000-0005-0000-0000-0000C2010000}"/>
    <cellStyle name="20% - Accent1 13 5 2" xfId="7300" xr:uid="{00000000-0005-0000-0000-0000C3010000}"/>
    <cellStyle name="20% - Accent1 13 5 2 2" xfId="15270" xr:uid="{00000000-0005-0000-0000-0000C4010000}"/>
    <cellStyle name="20% - Accent1 13 5 2 2 2" xfId="39112" xr:uid="{9DA6A25A-7CFF-4760-B3FD-DE8AA5229A7C}"/>
    <cellStyle name="20% - Accent1 13 5 2 3" xfId="23216" xr:uid="{00000000-0005-0000-0000-0000C5010000}"/>
    <cellStyle name="20% - Accent1 13 5 2 3 2" xfId="47048" xr:uid="{53EC5BFB-CBB2-462A-BC29-4CEF20C63B9F}"/>
    <cellStyle name="20% - Accent1 13 5 2 4" xfId="31171" xr:uid="{170CD6BA-01C9-418B-BE02-09095D4FCBFF}"/>
    <cellStyle name="20% - Accent1 13 5 3" xfId="11732" xr:uid="{00000000-0005-0000-0000-0000C6010000}"/>
    <cellStyle name="20% - Accent1 13 5 3 2" xfId="35581" xr:uid="{9E98916F-C9E4-43BD-827F-9E9E831AD395}"/>
    <cellStyle name="20% - Accent1 13 5 4" xfId="19687" xr:uid="{00000000-0005-0000-0000-0000C7010000}"/>
    <cellStyle name="20% - Accent1 13 5 4 2" xfId="43519" xr:uid="{394BA643-A49A-4777-B05F-C3F338927304}"/>
    <cellStyle name="20% - Accent1 13 5 5" xfId="27640" xr:uid="{6DC7C211-3ABC-40AE-A9CD-CFB216817ECB}"/>
    <cellStyle name="20% - Accent1 13 6" xfId="5528" xr:uid="{00000000-0005-0000-0000-0000C8010000}"/>
    <cellStyle name="20% - Accent1 13 6 2" xfId="13511" xr:uid="{00000000-0005-0000-0000-0000C9010000}"/>
    <cellStyle name="20% - Accent1 13 6 2 2" xfId="37354" xr:uid="{0E65C98C-6C53-47D8-8F29-4C4A012331A8}"/>
    <cellStyle name="20% - Accent1 13 6 3" xfId="21459" xr:uid="{00000000-0005-0000-0000-0000CA010000}"/>
    <cellStyle name="20% - Accent1 13 6 3 2" xfId="45291" xr:uid="{10828D90-3260-4C1B-8261-AF8FA602D6EC}"/>
    <cellStyle name="20% - Accent1 13 6 4" xfId="29413" xr:uid="{0279C8A8-139F-4973-8D7D-11C94CBFCAF2}"/>
    <cellStyle name="20% - Accent1 13 7" xfId="9080" xr:uid="{00000000-0005-0000-0000-0000CB010000}"/>
    <cellStyle name="20% - Accent1 13 7 2" xfId="17038" xr:uid="{00000000-0005-0000-0000-0000CC010000}"/>
    <cellStyle name="20% - Accent1 13 7 2 2" xfId="40878" xr:uid="{FA2E3936-5E0B-410E-8EAE-87909148B08E}"/>
    <cellStyle name="20% - Accent1 13 7 3" xfId="24982" xr:uid="{00000000-0005-0000-0000-0000CD010000}"/>
    <cellStyle name="20% - Accent1 13 7 3 2" xfId="48814" xr:uid="{C8793F1F-F448-45BF-95D1-BD64C9BF4219}"/>
    <cellStyle name="20% - Accent1 13 7 4" xfId="32937" xr:uid="{BBD64D8F-EDE5-4D6B-BD52-7574C3916F27}"/>
    <cellStyle name="20% - Accent1 13 8" xfId="9976" xr:uid="{00000000-0005-0000-0000-0000CE010000}"/>
    <cellStyle name="20% - Accent1 13 8 2" xfId="33825" xr:uid="{0EEA1665-2A20-4B70-BAF0-39E350F7FBB0}"/>
    <cellStyle name="20% - Accent1 13 9" xfId="17931" xr:uid="{00000000-0005-0000-0000-0000CF010000}"/>
    <cellStyle name="20% - Accent1 13 9 2" xfId="41763" xr:uid="{9F86B958-A49E-4B5F-A258-D9419F6A38E1}"/>
    <cellStyle name="20% - Accent1 13_Exh G" xfId="1958" xr:uid="{00000000-0005-0000-0000-0000D0010000}"/>
    <cellStyle name="20% - Accent1 14" xfId="38" xr:uid="{00000000-0005-0000-0000-0000D1010000}"/>
    <cellStyle name="20% - Accent1 14 2" xfId="39" xr:uid="{00000000-0005-0000-0000-0000D2010000}"/>
    <cellStyle name="20% - Accent1 14 2 2" xfId="1065" xr:uid="{00000000-0005-0000-0000-0000D3010000}"/>
    <cellStyle name="20% - Accent1 14 2 2 2" xfId="4592" xr:uid="{00000000-0005-0000-0000-0000D4010000}"/>
    <cellStyle name="20% - Accent1 14 2 2 2 2" xfId="8183" xr:uid="{00000000-0005-0000-0000-0000D5010000}"/>
    <cellStyle name="20% - Accent1 14 2 2 2 2 2" xfId="16153" xr:uid="{00000000-0005-0000-0000-0000D6010000}"/>
    <cellStyle name="20% - Accent1 14 2 2 2 2 2 2" xfId="39995" xr:uid="{63B258E7-6F39-4FA4-AD25-90B686855153}"/>
    <cellStyle name="20% - Accent1 14 2 2 2 2 3" xfId="24099" xr:uid="{00000000-0005-0000-0000-0000D7010000}"/>
    <cellStyle name="20% - Accent1 14 2 2 2 2 3 2" xfId="47931" xr:uid="{D35EE1E9-6F8F-4967-9B00-F7283E099DE6}"/>
    <cellStyle name="20% - Accent1 14 2 2 2 2 4" xfId="32054" xr:uid="{0477E2D5-844F-4267-8791-66C1BA500CEB}"/>
    <cellStyle name="20% - Accent1 14 2 2 2 3" xfId="12615" xr:uid="{00000000-0005-0000-0000-0000D8010000}"/>
    <cellStyle name="20% - Accent1 14 2 2 2 3 2" xfId="36464" xr:uid="{2D421301-B3CE-46AE-984A-8E6D6BF3BE42}"/>
    <cellStyle name="20% - Accent1 14 2 2 2 4" xfId="20570" xr:uid="{00000000-0005-0000-0000-0000D9010000}"/>
    <cellStyle name="20% - Accent1 14 2 2 2 4 2" xfId="44402" xr:uid="{3E552679-9142-4CD1-B67C-C3377A39CEF0}"/>
    <cellStyle name="20% - Accent1 14 2 2 2 5" xfId="28523" xr:uid="{F5536A3B-49CA-4806-AD3D-8378A35D7773}"/>
    <cellStyle name="20% - Accent1 14 2 2 3" xfId="6424" xr:uid="{00000000-0005-0000-0000-0000DA010000}"/>
    <cellStyle name="20% - Accent1 14 2 2 3 2" xfId="14395" xr:uid="{00000000-0005-0000-0000-0000DB010000}"/>
    <cellStyle name="20% - Accent1 14 2 2 3 2 2" xfId="38237" xr:uid="{CA6CB94C-1ACD-4779-8A9E-6AD5E3F9F5AB}"/>
    <cellStyle name="20% - Accent1 14 2 2 3 3" xfId="22342" xr:uid="{00000000-0005-0000-0000-0000DC010000}"/>
    <cellStyle name="20% - Accent1 14 2 2 3 3 2" xfId="46174" xr:uid="{24E2CF0C-00DF-4A72-B162-9F0C83F96204}"/>
    <cellStyle name="20% - Accent1 14 2 2 3 4" xfId="30296" xr:uid="{F5789270-1558-4BF5-8EEF-8EC81F931E5E}"/>
    <cellStyle name="20% - Accent1 14 2 2 4" xfId="10859" xr:uid="{00000000-0005-0000-0000-0000DD010000}"/>
    <cellStyle name="20% - Accent1 14 2 2 4 2" xfId="34708" xr:uid="{B53EECAD-2827-4C72-82C9-D12F5A55474A}"/>
    <cellStyle name="20% - Accent1 14 2 2 5" xfId="18814" xr:uid="{00000000-0005-0000-0000-0000DE010000}"/>
    <cellStyle name="20% - Accent1 14 2 2 5 2" xfId="42646" xr:uid="{ABDBB9ED-1D57-426B-BFC5-E6712DA829EA}"/>
    <cellStyle name="20% - Accent1 14 2 2 6" xfId="26766" xr:uid="{A9D59E41-2C21-4413-A3A9-EC520FAC7F47}"/>
    <cellStyle name="20% - Accent1 14 2 2_Exh G" xfId="1968" xr:uid="{00000000-0005-0000-0000-0000DF010000}"/>
    <cellStyle name="20% - Accent1 14 2 3" xfId="3713" xr:uid="{00000000-0005-0000-0000-0000E0010000}"/>
    <cellStyle name="20% - Accent1 14 2 3 2" xfId="7305" xr:uid="{00000000-0005-0000-0000-0000E1010000}"/>
    <cellStyle name="20% - Accent1 14 2 3 2 2" xfId="15275" xr:uid="{00000000-0005-0000-0000-0000E2010000}"/>
    <cellStyle name="20% - Accent1 14 2 3 2 2 2" xfId="39117" xr:uid="{4844AF5A-DBE1-404A-A189-82E09F7CAD14}"/>
    <cellStyle name="20% - Accent1 14 2 3 2 3" xfId="23221" xr:uid="{00000000-0005-0000-0000-0000E3010000}"/>
    <cellStyle name="20% - Accent1 14 2 3 2 3 2" xfId="47053" xr:uid="{6332D047-EE3D-4022-A651-17DA7C53BBAF}"/>
    <cellStyle name="20% - Accent1 14 2 3 2 4" xfId="31176" xr:uid="{6F854068-810D-4F6C-8D59-B66BAF0D8841}"/>
    <cellStyle name="20% - Accent1 14 2 3 3" xfId="11737" xr:uid="{00000000-0005-0000-0000-0000E4010000}"/>
    <cellStyle name="20% - Accent1 14 2 3 3 2" xfId="35586" xr:uid="{1760DB6B-262C-4859-9680-3BCE13020C1D}"/>
    <cellStyle name="20% - Accent1 14 2 3 4" xfId="19692" xr:uid="{00000000-0005-0000-0000-0000E5010000}"/>
    <cellStyle name="20% - Accent1 14 2 3 4 2" xfId="43524" xr:uid="{8BB25AD0-A007-4ED7-B6C2-7E1C89B12A32}"/>
    <cellStyle name="20% - Accent1 14 2 3 5" xfId="27645" xr:uid="{6E8A35CD-42EF-476B-B510-7E21C66CF189}"/>
    <cellStyle name="20% - Accent1 14 2 4" xfId="5533" xr:uid="{00000000-0005-0000-0000-0000E6010000}"/>
    <cellStyle name="20% - Accent1 14 2 4 2" xfId="13516" xr:uid="{00000000-0005-0000-0000-0000E7010000}"/>
    <cellStyle name="20% - Accent1 14 2 4 2 2" xfId="37359" xr:uid="{3C2C70CA-9721-4893-ADEF-8794D7760C27}"/>
    <cellStyle name="20% - Accent1 14 2 4 3" xfId="21464" xr:uid="{00000000-0005-0000-0000-0000E8010000}"/>
    <cellStyle name="20% - Accent1 14 2 4 3 2" xfId="45296" xr:uid="{0A25BFEE-A7AF-4A8D-BF27-3E0B0AD260E2}"/>
    <cellStyle name="20% - Accent1 14 2 4 4" xfId="29418" xr:uid="{112E17B8-C5E5-4EE5-999D-A06AD7B77BDE}"/>
    <cellStyle name="20% - Accent1 14 2 5" xfId="9085" xr:uid="{00000000-0005-0000-0000-0000E9010000}"/>
    <cellStyle name="20% - Accent1 14 2 5 2" xfId="17043" xr:uid="{00000000-0005-0000-0000-0000EA010000}"/>
    <cellStyle name="20% - Accent1 14 2 5 2 2" xfId="40883" xr:uid="{22AA91E6-E1D7-4FE0-B601-7FD2D9633DD6}"/>
    <cellStyle name="20% - Accent1 14 2 5 3" xfId="24987" xr:uid="{00000000-0005-0000-0000-0000EB010000}"/>
    <cellStyle name="20% - Accent1 14 2 5 3 2" xfId="48819" xr:uid="{2B101F2A-B984-4D45-8E74-1BAC4FF36B73}"/>
    <cellStyle name="20% - Accent1 14 2 5 4" xfId="32942" xr:uid="{A4C85890-9480-4078-956D-DCC70BE39ABB}"/>
    <cellStyle name="20% - Accent1 14 2 6" xfId="9981" xr:uid="{00000000-0005-0000-0000-0000EC010000}"/>
    <cellStyle name="20% - Accent1 14 2 6 2" xfId="33830" xr:uid="{F821BD4A-C0AC-4428-8CA8-7E9E7F046641}"/>
    <cellStyle name="20% - Accent1 14 2 7" xfId="17936" xr:uid="{00000000-0005-0000-0000-0000ED010000}"/>
    <cellStyle name="20% - Accent1 14 2 7 2" xfId="41768" xr:uid="{64F7BE11-8A45-48CA-9940-2116EE6D3C5C}"/>
    <cellStyle name="20% - Accent1 14 2 8" xfId="25888" xr:uid="{69AB07B9-E916-4E29-ABB9-5BF4E1A4B159}"/>
    <cellStyle name="20% - Accent1 14 2_Exh G" xfId="1967" xr:uid="{00000000-0005-0000-0000-0000EE010000}"/>
    <cellStyle name="20% - Accent1 14 3" xfId="1064" xr:uid="{00000000-0005-0000-0000-0000EF010000}"/>
    <cellStyle name="20% - Accent1 14 3 2" xfId="4591" xr:uid="{00000000-0005-0000-0000-0000F0010000}"/>
    <cellStyle name="20% - Accent1 14 3 2 2" xfId="8182" xr:uid="{00000000-0005-0000-0000-0000F1010000}"/>
    <cellStyle name="20% - Accent1 14 3 2 2 2" xfId="16152" xr:uid="{00000000-0005-0000-0000-0000F2010000}"/>
    <cellStyle name="20% - Accent1 14 3 2 2 2 2" xfId="39994" xr:uid="{408829C6-FBB0-44B5-8675-A1A029B5636E}"/>
    <cellStyle name="20% - Accent1 14 3 2 2 3" xfId="24098" xr:uid="{00000000-0005-0000-0000-0000F3010000}"/>
    <cellStyle name="20% - Accent1 14 3 2 2 3 2" xfId="47930" xr:uid="{A602C72B-E222-4B6C-8186-31277F9CF5FB}"/>
    <cellStyle name="20% - Accent1 14 3 2 2 4" xfId="32053" xr:uid="{BD25E93A-D639-48AB-AE50-93A79877F151}"/>
    <cellStyle name="20% - Accent1 14 3 2 3" xfId="12614" xr:uid="{00000000-0005-0000-0000-0000F4010000}"/>
    <cellStyle name="20% - Accent1 14 3 2 3 2" xfId="36463" xr:uid="{C260A66D-870A-44FD-B1BC-BA0275058785}"/>
    <cellStyle name="20% - Accent1 14 3 2 4" xfId="20569" xr:uid="{00000000-0005-0000-0000-0000F5010000}"/>
    <cellStyle name="20% - Accent1 14 3 2 4 2" xfId="44401" xr:uid="{3DAABF01-3CE7-4ADA-9ADD-49831BA5AC87}"/>
    <cellStyle name="20% - Accent1 14 3 2 5" xfId="28522" xr:uid="{9D5F00ED-23FB-4539-A0FF-D4F816BAE497}"/>
    <cellStyle name="20% - Accent1 14 3 3" xfId="6423" xr:uid="{00000000-0005-0000-0000-0000F6010000}"/>
    <cellStyle name="20% - Accent1 14 3 3 2" xfId="14394" xr:uid="{00000000-0005-0000-0000-0000F7010000}"/>
    <cellStyle name="20% - Accent1 14 3 3 2 2" xfId="38236" xr:uid="{E723D2B8-6348-400B-A9AC-83E3E83F9616}"/>
    <cellStyle name="20% - Accent1 14 3 3 3" xfId="22341" xr:uid="{00000000-0005-0000-0000-0000F8010000}"/>
    <cellStyle name="20% - Accent1 14 3 3 3 2" xfId="46173" xr:uid="{A7F7A1B2-EC32-4DCB-BEB0-5A656321AC45}"/>
    <cellStyle name="20% - Accent1 14 3 3 4" xfId="30295" xr:uid="{91D6BD68-A059-4245-A929-BCCF876DD61E}"/>
    <cellStyle name="20% - Accent1 14 3 4" xfId="10858" xr:uid="{00000000-0005-0000-0000-0000F9010000}"/>
    <cellStyle name="20% - Accent1 14 3 4 2" xfId="34707" xr:uid="{A93C9EA2-BAA3-476D-B412-721F27581B24}"/>
    <cellStyle name="20% - Accent1 14 3 5" xfId="18813" xr:uid="{00000000-0005-0000-0000-0000FA010000}"/>
    <cellStyle name="20% - Accent1 14 3 5 2" xfId="42645" xr:uid="{C9EA86E1-8487-469B-9481-B7DAA2DE0313}"/>
    <cellStyle name="20% - Accent1 14 3 6" xfId="26765" xr:uid="{B2727EBB-D8DC-4E9D-A9A8-3AC330508C09}"/>
    <cellStyle name="20% - Accent1 14 3_Exh G" xfId="1969" xr:uid="{00000000-0005-0000-0000-0000FB010000}"/>
    <cellStyle name="20% - Accent1 14 4" xfId="3712" xr:uid="{00000000-0005-0000-0000-0000FC010000}"/>
    <cellStyle name="20% - Accent1 14 4 2" xfId="7304" xr:uid="{00000000-0005-0000-0000-0000FD010000}"/>
    <cellStyle name="20% - Accent1 14 4 2 2" xfId="15274" xr:uid="{00000000-0005-0000-0000-0000FE010000}"/>
    <cellStyle name="20% - Accent1 14 4 2 2 2" xfId="39116" xr:uid="{0EF33A17-386E-47AB-A742-A643F53382CF}"/>
    <cellStyle name="20% - Accent1 14 4 2 3" xfId="23220" xr:uid="{00000000-0005-0000-0000-0000FF010000}"/>
    <cellStyle name="20% - Accent1 14 4 2 3 2" xfId="47052" xr:uid="{F53DC9FB-D6CB-4C59-B062-E5DDA8F1E5E0}"/>
    <cellStyle name="20% - Accent1 14 4 2 4" xfId="31175" xr:uid="{5DEBC7C7-26BD-4B63-84CC-D49565CE726B}"/>
    <cellStyle name="20% - Accent1 14 4 3" xfId="11736" xr:uid="{00000000-0005-0000-0000-000000020000}"/>
    <cellStyle name="20% - Accent1 14 4 3 2" xfId="35585" xr:uid="{7CD6043D-2004-4FD0-817B-2242E8085F48}"/>
    <cellStyle name="20% - Accent1 14 4 4" xfId="19691" xr:uid="{00000000-0005-0000-0000-000001020000}"/>
    <cellStyle name="20% - Accent1 14 4 4 2" xfId="43523" xr:uid="{8D03BDC6-C2C2-412E-9F12-F7AACB161CFC}"/>
    <cellStyle name="20% - Accent1 14 4 5" xfId="27644" xr:uid="{FD1B4D06-FEB5-4A52-8E11-C439B7AEB38A}"/>
    <cellStyle name="20% - Accent1 14 5" xfId="5532" xr:uid="{00000000-0005-0000-0000-000002020000}"/>
    <cellStyle name="20% - Accent1 14 5 2" xfId="13515" xr:uid="{00000000-0005-0000-0000-000003020000}"/>
    <cellStyle name="20% - Accent1 14 5 2 2" xfId="37358" xr:uid="{FEE371DA-30EF-4D88-A157-0054B54A2E5A}"/>
    <cellStyle name="20% - Accent1 14 5 3" xfId="21463" xr:uid="{00000000-0005-0000-0000-000004020000}"/>
    <cellStyle name="20% - Accent1 14 5 3 2" xfId="45295" xr:uid="{FEE3F496-71ED-4131-BA6C-957F217AD0F9}"/>
    <cellStyle name="20% - Accent1 14 5 4" xfId="29417" xr:uid="{7D0EB860-02FC-463C-B170-8EA6CF50F8C4}"/>
    <cellStyle name="20% - Accent1 14 6" xfId="9084" xr:uid="{00000000-0005-0000-0000-000005020000}"/>
    <cellStyle name="20% - Accent1 14 6 2" xfId="17042" xr:uid="{00000000-0005-0000-0000-000006020000}"/>
    <cellStyle name="20% - Accent1 14 6 2 2" xfId="40882" xr:uid="{FF659603-B499-4089-91B7-B32306282EE4}"/>
    <cellStyle name="20% - Accent1 14 6 3" xfId="24986" xr:uid="{00000000-0005-0000-0000-000007020000}"/>
    <cellStyle name="20% - Accent1 14 6 3 2" xfId="48818" xr:uid="{09A7B603-FDD4-4EF2-AB93-5C25FCDC9D99}"/>
    <cellStyle name="20% - Accent1 14 6 4" xfId="32941" xr:uid="{C5C06AFA-9002-4058-B2BD-0B718FCD8F6D}"/>
    <cellStyle name="20% - Accent1 14 7" xfId="9980" xr:uid="{00000000-0005-0000-0000-000008020000}"/>
    <cellStyle name="20% - Accent1 14 7 2" xfId="33829" xr:uid="{7889AE9C-344B-47CB-8741-4B17CEEA9105}"/>
    <cellStyle name="20% - Accent1 14 8" xfId="17935" xr:uid="{00000000-0005-0000-0000-000009020000}"/>
    <cellStyle name="20% - Accent1 14 8 2" xfId="41767" xr:uid="{CB36C1E1-175E-4DBB-AD76-BDD57D526F3B}"/>
    <cellStyle name="20% - Accent1 14 9" xfId="25887" xr:uid="{E4D5918E-50A9-4A05-AACD-99B96491250C}"/>
    <cellStyle name="20% - Accent1 14_Exh G" xfId="1966" xr:uid="{00000000-0005-0000-0000-00000A020000}"/>
    <cellStyle name="20% - Accent1 15" xfId="40" xr:uid="{00000000-0005-0000-0000-00000B020000}"/>
    <cellStyle name="20% - Accent1 15 2" xfId="1066" xr:uid="{00000000-0005-0000-0000-00000C020000}"/>
    <cellStyle name="20% - Accent1 15 2 2" xfId="4593" xr:uid="{00000000-0005-0000-0000-00000D020000}"/>
    <cellStyle name="20% - Accent1 15 2 2 2" xfId="8184" xr:uid="{00000000-0005-0000-0000-00000E020000}"/>
    <cellStyle name="20% - Accent1 15 2 2 2 2" xfId="16154" xr:uid="{00000000-0005-0000-0000-00000F020000}"/>
    <cellStyle name="20% - Accent1 15 2 2 2 2 2" xfId="39996" xr:uid="{0561352F-E290-4CB0-BA44-BF28C8458662}"/>
    <cellStyle name="20% - Accent1 15 2 2 2 3" xfId="24100" xr:uid="{00000000-0005-0000-0000-000010020000}"/>
    <cellStyle name="20% - Accent1 15 2 2 2 3 2" xfId="47932" xr:uid="{1C9FB73F-69AA-45F3-920B-327AE293E6CC}"/>
    <cellStyle name="20% - Accent1 15 2 2 2 4" xfId="32055" xr:uid="{BCA751F8-5725-498F-9F2C-0573A9DF75D2}"/>
    <cellStyle name="20% - Accent1 15 2 2 3" xfId="12616" xr:uid="{00000000-0005-0000-0000-000011020000}"/>
    <cellStyle name="20% - Accent1 15 2 2 3 2" xfId="36465" xr:uid="{DD5306E8-1C5D-4A25-8AA0-914BDF61F19E}"/>
    <cellStyle name="20% - Accent1 15 2 2 4" xfId="20571" xr:uid="{00000000-0005-0000-0000-000012020000}"/>
    <cellStyle name="20% - Accent1 15 2 2 4 2" xfId="44403" xr:uid="{4C079228-E043-4493-A406-659175988E4D}"/>
    <cellStyle name="20% - Accent1 15 2 2 5" xfId="28524" xr:uid="{9A85D0F4-3A7E-4793-84C5-29B96B5CCBE3}"/>
    <cellStyle name="20% - Accent1 15 2 3" xfId="6425" xr:uid="{00000000-0005-0000-0000-000013020000}"/>
    <cellStyle name="20% - Accent1 15 2 3 2" xfId="14396" xr:uid="{00000000-0005-0000-0000-000014020000}"/>
    <cellStyle name="20% - Accent1 15 2 3 2 2" xfId="38238" xr:uid="{E9607425-B7DB-4064-A9F9-FA127FDB0213}"/>
    <cellStyle name="20% - Accent1 15 2 3 3" xfId="22343" xr:uid="{00000000-0005-0000-0000-000015020000}"/>
    <cellStyle name="20% - Accent1 15 2 3 3 2" xfId="46175" xr:uid="{D593C313-F4C8-4B3A-8751-95201F5B2F99}"/>
    <cellStyle name="20% - Accent1 15 2 3 4" xfId="30297" xr:uid="{D8254234-93E7-4E90-9DEC-E9B85259878E}"/>
    <cellStyle name="20% - Accent1 15 2 4" xfId="10860" xr:uid="{00000000-0005-0000-0000-000016020000}"/>
    <cellStyle name="20% - Accent1 15 2 4 2" xfId="34709" xr:uid="{D5970926-36B3-4CBF-8DAF-8B8332C0CB2B}"/>
    <cellStyle name="20% - Accent1 15 2 5" xfId="18815" xr:uid="{00000000-0005-0000-0000-000017020000}"/>
    <cellStyle name="20% - Accent1 15 2 5 2" xfId="42647" xr:uid="{D9E9A004-CB97-4EA1-B848-1260087932D0}"/>
    <cellStyle name="20% - Accent1 15 2 6" xfId="26767" xr:uid="{5BF124DE-C72C-431F-8F6F-CB5061BAC6D0}"/>
    <cellStyle name="20% - Accent1 15 2_Exh G" xfId="1971" xr:uid="{00000000-0005-0000-0000-000018020000}"/>
    <cellStyle name="20% - Accent1 15 3" xfId="3714" xr:uid="{00000000-0005-0000-0000-000019020000}"/>
    <cellStyle name="20% - Accent1 15 3 2" xfId="7306" xr:uid="{00000000-0005-0000-0000-00001A020000}"/>
    <cellStyle name="20% - Accent1 15 3 2 2" xfId="15276" xr:uid="{00000000-0005-0000-0000-00001B020000}"/>
    <cellStyle name="20% - Accent1 15 3 2 2 2" xfId="39118" xr:uid="{F9D2AF6A-A7A8-480C-BB91-107C9696E041}"/>
    <cellStyle name="20% - Accent1 15 3 2 3" xfId="23222" xr:uid="{00000000-0005-0000-0000-00001C020000}"/>
    <cellStyle name="20% - Accent1 15 3 2 3 2" xfId="47054" xr:uid="{BCE2385B-7578-4986-8FB8-1AA6F9286626}"/>
    <cellStyle name="20% - Accent1 15 3 2 4" xfId="31177" xr:uid="{0B286D65-B251-46A7-9E0A-069CD10CAEBD}"/>
    <cellStyle name="20% - Accent1 15 3 3" xfId="11738" xr:uid="{00000000-0005-0000-0000-00001D020000}"/>
    <cellStyle name="20% - Accent1 15 3 3 2" xfId="35587" xr:uid="{7317CB9D-2F63-4749-AD83-D9E37A9C54E0}"/>
    <cellStyle name="20% - Accent1 15 3 4" xfId="19693" xr:uid="{00000000-0005-0000-0000-00001E020000}"/>
    <cellStyle name="20% - Accent1 15 3 4 2" xfId="43525" xr:uid="{A4AAFC53-6CBB-4E80-88F2-11245A3320D9}"/>
    <cellStyle name="20% - Accent1 15 3 5" xfId="27646" xr:uid="{1990E0BA-60D7-404E-BD0A-7982DE44C3AB}"/>
    <cellStyle name="20% - Accent1 15 4" xfId="5534" xr:uid="{00000000-0005-0000-0000-00001F020000}"/>
    <cellStyle name="20% - Accent1 15 4 2" xfId="13517" xr:uid="{00000000-0005-0000-0000-000020020000}"/>
    <cellStyle name="20% - Accent1 15 4 2 2" xfId="37360" xr:uid="{547F32F6-52DD-4CC5-90E8-D21CC3D025BD}"/>
    <cellStyle name="20% - Accent1 15 4 3" xfId="21465" xr:uid="{00000000-0005-0000-0000-000021020000}"/>
    <cellStyle name="20% - Accent1 15 4 3 2" xfId="45297" xr:uid="{C95C60D7-04DA-4B05-8E90-55E18FD87E81}"/>
    <cellStyle name="20% - Accent1 15 4 4" xfId="29419" xr:uid="{4F2990A2-E7E8-45E0-A888-EC88E32E92F5}"/>
    <cellStyle name="20% - Accent1 15 5" xfId="9086" xr:uid="{00000000-0005-0000-0000-000022020000}"/>
    <cellStyle name="20% - Accent1 15 5 2" xfId="17044" xr:uid="{00000000-0005-0000-0000-000023020000}"/>
    <cellStyle name="20% - Accent1 15 5 2 2" xfId="40884" xr:uid="{9FFDA235-3617-4A00-8FD6-05C1BEF9B5BE}"/>
    <cellStyle name="20% - Accent1 15 5 3" xfId="24988" xr:uid="{00000000-0005-0000-0000-000024020000}"/>
    <cellStyle name="20% - Accent1 15 5 3 2" xfId="48820" xr:uid="{852E31FE-79B0-4BBC-856C-DF3C99C4DEFD}"/>
    <cellStyle name="20% - Accent1 15 5 4" xfId="32943" xr:uid="{3F395735-724B-4D34-BAC5-B332E988C3EA}"/>
    <cellStyle name="20% - Accent1 15 6" xfId="9982" xr:uid="{00000000-0005-0000-0000-000025020000}"/>
    <cellStyle name="20% - Accent1 15 6 2" xfId="33831" xr:uid="{244B4B84-F820-44FC-BA7A-51FA36F36682}"/>
    <cellStyle name="20% - Accent1 15 7" xfId="17937" xr:uid="{00000000-0005-0000-0000-000026020000}"/>
    <cellStyle name="20% - Accent1 15 7 2" xfId="41769" xr:uid="{1C275393-9992-4A6E-A9B5-5C7592CB35B8}"/>
    <cellStyle name="20% - Accent1 15 8" xfId="25889" xr:uid="{7D041892-DF89-431A-952F-D1DC8E4E9CA7}"/>
    <cellStyle name="20% - Accent1 15_Exh G" xfId="1970" xr:uid="{00000000-0005-0000-0000-000027020000}"/>
    <cellStyle name="20% - Accent1 16" xfId="840" xr:uid="{00000000-0005-0000-0000-000028020000}"/>
    <cellStyle name="20% - Accent1 16 2" xfId="1775" xr:uid="{00000000-0005-0000-0000-000029020000}"/>
    <cellStyle name="20% - Accent1 16 2 2" xfId="5295" xr:uid="{00000000-0005-0000-0000-00002A020000}"/>
    <cellStyle name="20% - Accent1 16 2 2 2" xfId="8886" xr:uid="{00000000-0005-0000-0000-00002B020000}"/>
    <cellStyle name="20% - Accent1 16 2 2 2 2" xfId="16856" xr:uid="{00000000-0005-0000-0000-00002C020000}"/>
    <cellStyle name="20% - Accent1 16 2 2 2 2 2" xfId="40698" xr:uid="{CAF2F8D2-D213-4019-9924-FD750F45A61D}"/>
    <cellStyle name="20% - Accent1 16 2 2 2 3" xfId="24802" xr:uid="{00000000-0005-0000-0000-00002D020000}"/>
    <cellStyle name="20% - Accent1 16 2 2 2 3 2" xfId="48634" xr:uid="{11B4CB97-FAC7-4A03-AFED-22ECEA78EEEC}"/>
    <cellStyle name="20% - Accent1 16 2 2 2 4" xfId="32757" xr:uid="{3A7F9975-285C-4AF0-BD15-DF24CE592B67}"/>
    <cellStyle name="20% - Accent1 16 2 2 3" xfId="13318" xr:uid="{00000000-0005-0000-0000-00002E020000}"/>
    <cellStyle name="20% - Accent1 16 2 2 3 2" xfId="37167" xr:uid="{AB691D16-71D5-4FA0-9FAF-070E1443ACDA}"/>
    <cellStyle name="20% - Accent1 16 2 2 4" xfId="21273" xr:uid="{00000000-0005-0000-0000-00002F020000}"/>
    <cellStyle name="20% - Accent1 16 2 2 4 2" xfId="45105" xr:uid="{AA355DE6-7E0A-419F-8683-53F5F81601CD}"/>
    <cellStyle name="20% - Accent1 16 2 2 5" xfId="29226" xr:uid="{2F0E8F0B-9439-41E1-A0EE-C18621DC6448}"/>
    <cellStyle name="20% - Accent1 16 2 3" xfId="7127" xr:uid="{00000000-0005-0000-0000-000030020000}"/>
    <cellStyle name="20% - Accent1 16 2 3 2" xfId="15098" xr:uid="{00000000-0005-0000-0000-000031020000}"/>
    <cellStyle name="20% - Accent1 16 2 3 2 2" xfId="38940" xr:uid="{C9BBE60D-7306-4847-B267-5AB7EC703CE5}"/>
    <cellStyle name="20% - Accent1 16 2 3 3" xfId="23045" xr:uid="{00000000-0005-0000-0000-000032020000}"/>
    <cellStyle name="20% - Accent1 16 2 3 3 2" xfId="46877" xr:uid="{57470277-A1CD-4512-8AEF-C2859FE0DC54}"/>
    <cellStyle name="20% - Accent1 16 2 3 4" xfId="30999" xr:uid="{8349CF95-5066-4207-884C-C92C67994A16}"/>
    <cellStyle name="20% - Accent1 16 2 4" xfId="11562" xr:uid="{00000000-0005-0000-0000-000033020000}"/>
    <cellStyle name="20% - Accent1 16 2 4 2" xfId="35411" xr:uid="{1E1A1AFC-48DF-435D-A0C3-6C53D6A0E23D}"/>
    <cellStyle name="20% - Accent1 16 2 5" xfId="19517" xr:uid="{00000000-0005-0000-0000-000034020000}"/>
    <cellStyle name="20% - Accent1 16 2 5 2" xfId="43349" xr:uid="{10482308-1DCA-46E7-BAE6-4288F144C8A1}"/>
    <cellStyle name="20% - Accent1 16 2 6" xfId="27469" xr:uid="{42B76362-6A24-4912-ACA6-F880EA98E925}"/>
    <cellStyle name="20% - Accent1 16 2_Exh G" xfId="1973" xr:uid="{00000000-0005-0000-0000-000035020000}"/>
    <cellStyle name="20% - Accent1 16 3" xfId="4416" xr:uid="{00000000-0005-0000-0000-000036020000}"/>
    <cellStyle name="20% - Accent1 16 3 2" xfId="8008" xr:uid="{00000000-0005-0000-0000-000037020000}"/>
    <cellStyle name="20% - Accent1 16 3 2 2" xfId="15978" xr:uid="{00000000-0005-0000-0000-000038020000}"/>
    <cellStyle name="20% - Accent1 16 3 2 2 2" xfId="39820" xr:uid="{42CBE11A-98C4-43FC-BD36-41AD15B798CA}"/>
    <cellStyle name="20% - Accent1 16 3 2 3" xfId="23924" xr:uid="{00000000-0005-0000-0000-000039020000}"/>
    <cellStyle name="20% - Accent1 16 3 2 3 2" xfId="47756" xr:uid="{EB05A8CD-F87C-41FB-AC6E-5CAAAF861AF7}"/>
    <cellStyle name="20% - Accent1 16 3 2 4" xfId="31879" xr:uid="{8B365CB7-46EB-4B48-933F-4DF6FFF58D9A}"/>
    <cellStyle name="20% - Accent1 16 3 3" xfId="12440" xr:uid="{00000000-0005-0000-0000-00003A020000}"/>
    <cellStyle name="20% - Accent1 16 3 3 2" xfId="36289" xr:uid="{CAEFDB1F-4F4C-44D2-8402-519F6483885D}"/>
    <cellStyle name="20% - Accent1 16 3 4" xfId="20395" xr:uid="{00000000-0005-0000-0000-00003B020000}"/>
    <cellStyle name="20% - Accent1 16 3 4 2" xfId="44227" xr:uid="{5D34ABEB-C6A1-451F-8CC0-311862C30B86}"/>
    <cellStyle name="20% - Accent1 16 3 5" xfId="28348" xr:uid="{53A43361-7098-424A-A7BE-5FEC8C3A00EA}"/>
    <cellStyle name="20% - Accent1 16 4" xfId="6246" xr:uid="{00000000-0005-0000-0000-00003C020000}"/>
    <cellStyle name="20% - Accent1 16 4 2" xfId="14220" xr:uid="{00000000-0005-0000-0000-00003D020000}"/>
    <cellStyle name="20% - Accent1 16 4 2 2" xfId="38062" xr:uid="{CA3958F5-0950-4A29-B649-8CB6E8646107}"/>
    <cellStyle name="20% - Accent1 16 4 3" xfId="22167" xr:uid="{00000000-0005-0000-0000-00003E020000}"/>
    <cellStyle name="20% - Accent1 16 4 3 2" xfId="45999" xr:uid="{AC56C4AE-42E9-4ABD-9418-C12DE2C462A6}"/>
    <cellStyle name="20% - Accent1 16 4 4" xfId="30121" xr:uid="{1396EA3C-B19D-4B04-88BA-8A308474D049}"/>
    <cellStyle name="20% - Accent1 16 5" xfId="9788" xr:uid="{00000000-0005-0000-0000-00003F020000}"/>
    <cellStyle name="20% - Accent1 16 5 2" xfId="17746" xr:uid="{00000000-0005-0000-0000-000040020000}"/>
    <cellStyle name="20% - Accent1 16 5 2 2" xfId="41586" xr:uid="{C96B9731-2BF5-4E36-A30E-952D02DC8EF9}"/>
    <cellStyle name="20% - Accent1 16 5 3" xfId="25690" xr:uid="{00000000-0005-0000-0000-000041020000}"/>
    <cellStyle name="20% - Accent1 16 5 3 2" xfId="49522" xr:uid="{4BCEC7F5-7602-4691-A5FD-8A06CD0385BA}"/>
    <cellStyle name="20% - Accent1 16 5 4" xfId="33645" xr:uid="{5DC57A4D-F942-4B38-A08B-78AA3F40460A}"/>
    <cellStyle name="20% - Accent1 16 6" xfId="10684" xr:uid="{00000000-0005-0000-0000-000042020000}"/>
    <cellStyle name="20% - Accent1 16 6 2" xfId="34533" xr:uid="{8F612CC6-4EFC-4297-A9B7-706E8713764E}"/>
    <cellStyle name="20% - Accent1 16 7" xfId="18639" xr:uid="{00000000-0005-0000-0000-000043020000}"/>
    <cellStyle name="20% - Accent1 16 7 2" xfId="42471" xr:uid="{A0C107D2-300A-4C48-8C9C-192A1A0B746A}"/>
    <cellStyle name="20% - Accent1 16 8" xfId="26591" xr:uid="{3CCACD8C-3A87-4679-BA36-6A31F4879085}"/>
    <cellStyle name="20% - Accent1 16_Exh G" xfId="1972" xr:uid="{00000000-0005-0000-0000-000044020000}"/>
    <cellStyle name="20% - Accent1 17" xfId="49783" xr:uid="{AE8DAC52-152C-4F1E-939B-2959056DA31D}"/>
    <cellStyle name="20% - Accent1 18" xfId="49823" xr:uid="{7D800DB0-F38D-489D-ADC5-85D4954F7D0F}"/>
    <cellStyle name="20% - Accent1 2" xfId="41" xr:uid="{00000000-0005-0000-0000-000045020000}"/>
    <cellStyle name="20% - Accent1 2 10" xfId="17938" xr:uid="{00000000-0005-0000-0000-000046020000}"/>
    <cellStyle name="20% - Accent1 2 10 2" xfId="41770" xr:uid="{56729B5E-3D99-4928-8313-3D835C228C00}"/>
    <cellStyle name="20% - Accent1 2 11" xfId="25890" xr:uid="{07D51114-C68C-4528-9023-40D7EFF626FC}"/>
    <cellStyle name="20% - Accent1 2 12" xfId="49768" xr:uid="{FF70C2F3-BDC1-47F6-A1AA-6640D5C4D4FD}"/>
    <cellStyle name="20% - Accent1 2 13" xfId="49796" xr:uid="{39772119-6921-4D37-AAA4-8EDDC133DFDA}"/>
    <cellStyle name="20% - Accent1 2 14" xfId="49837" xr:uid="{E2981D07-4015-4241-8EA5-F279D23DED83}"/>
    <cellStyle name="20% - Accent1 2 2" xfId="42" xr:uid="{00000000-0005-0000-0000-000047020000}"/>
    <cellStyle name="20% - Accent1 2 2 10" xfId="25891" xr:uid="{8E42666B-8CEB-4195-843F-3E3843721258}"/>
    <cellStyle name="20% - Accent1 2 2 2" xfId="43" xr:uid="{00000000-0005-0000-0000-000048020000}"/>
    <cellStyle name="20% - Accent1 2 2 2 2" xfId="1069" xr:uid="{00000000-0005-0000-0000-000049020000}"/>
    <cellStyle name="20% - Accent1 2 2 2 2 2" xfId="4596" xr:uid="{00000000-0005-0000-0000-00004A020000}"/>
    <cellStyle name="20% - Accent1 2 2 2 2 2 2" xfId="8187" xr:uid="{00000000-0005-0000-0000-00004B020000}"/>
    <cellStyle name="20% - Accent1 2 2 2 2 2 2 2" xfId="16157" xr:uid="{00000000-0005-0000-0000-00004C020000}"/>
    <cellStyle name="20% - Accent1 2 2 2 2 2 2 2 2" xfId="39999" xr:uid="{2443AF04-8F65-466C-863F-03DE652D96D1}"/>
    <cellStyle name="20% - Accent1 2 2 2 2 2 2 3" xfId="24103" xr:uid="{00000000-0005-0000-0000-00004D020000}"/>
    <cellStyle name="20% - Accent1 2 2 2 2 2 2 3 2" xfId="47935" xr:uid="{8A496EFE-71FC-4403-917A-2CC8216502BD}"/>
    <cellStyle name="20% - Accent1 2 2 2 2 2 2 4" xfId="32058" xr:uid="{3E051609-DB7C-4DA2-97E1-6C4846D52A6E}"/>
    <cellStyle name="20% - Accent1 2 2 2 2 2 3" xfId="12619" xr:uid="{00000000-0005-0000-0000-00004E020000}"/>
    <cellStyle name="20% - Accent1 2 2 2 2 2 3 2" xfId="36468" xr:uid="{46A3CBFB-5395-40F8-9BF0-419A8ECC5A62}"/>
    <cellStyle name="20% - Accent1 2 2 2 2 2 4" xfId="20574" xr:uid="{00000000-0005-0000-0000-00004F020000}"/>
    <cellStyle name="20% - Accent1 2 2 2 2 2 4 2" xfId="44406" xr:uid="{A8DA49F4-5C15-4214-BC80-40C6CD3C63BC}"/>
    <cellStyle name="20% - Accent1 2 2 2 2 2 5" xfId="28527" xr:uid="{39C39F65-D574-41A8-808F-C082E3394EC1}"/>
    <cellStyle name="20% - Accent1 2 2 2 2 3" xfId="6428" xr:uid="{00000000-0005-0000-0000-000050020000}"/>
    <cellStyle name="20% - Accent1 2 2 2 2 3 2" xfId="14399" xr:uid="{00000000-0005-0000-0000-000051020000}"/>
    <cellStyle name="20% - Accent1 2 2 2 2 3 2 2" xfId="38241" xr:uid="{C7EEDE9E-6B4D-47D2-B816-5A0F0B2B8AAC}"/>
    <cellStyle name="20% - Accent1 2 2 2 2 3 3" xfId="22346" xr:uid="{00000000-0005-0000-0000-000052020000}"/>
    <cellStyle name="20% - Accent1 2 2 2 2 3 3 2" xfId="46178" xr:uid="{53A0793A-04CD-4291-9C26-82113D47436A}"/>
    <cellStyle name="20% - Accent1 2 2 2 2 3 4" xfId="30300" xr:uid="{38AD3B92-4BBE-43B0-967C-9C19E34D310C}"/>
    <cellStyle name="20% - Accent1 2 2 2 2 4" xfId="10863" xr:uid="{00000000-0005-0000-0000-000053020000}"/>
    <cellStyle name="20% - Accent1 2 2 2 2 4 2" xfId="34712" xr:uid="{0CED5B32-304A-4D8C-9B0B-766AE8C31918}"/>
    <cellStyle name="20% - Accent1 2 2 2 2 5" xfId="18818" xr:uid="{00000000-0005-0000-0000-000054020000}"/>
    <cellStyle name="20% - Accent1 2 2 2 2 5 2" xfId="42650" xr:uid="{1705D161-0F13-446F-A40F-5FE494CFF470}"/>
    <cellStyle name="20% - Accent1 2 2 2 2 6" xfId="26770" xr:uid="{71E04CAF-8DBE-4C3E-8300-C7C42C66952F}"/>
    <cellStyle name="20% - Accent1 2 2 2 2_Exh G" xfId="1977" xr:uid="{00000000-0005-0000-0000-000055020000}"/>
    <cellStyle name="20% - Accent1 2 2 2 3" xfId="3717" xr:uid="{00000000-0005-0000-0000-000056020000}"/>
    <cellStyle name="20% - Accent1 2 2 2 3 2" xfId="7309" xr:uid="{00000000-0005-0000-0000-000057020000}"/>
    <cellStyle name="20% - Accent1 2 2 2 3 2 2" xfId="15279" xr:uid="{00000000-0005-0000-0000-000058020000}"/>
    <cellStyle name="20% - Accent1 2 2 2 3 2 2 2" xfId="39121" xr:uid="{640469E1-E3D8-4F8E-9226-DE771FCFA93C}"/>
    <cellStyle name="20% - Accent1 2 2 2 3 2 3" xfId="23225" xr:uid="{00000000-0005-0000-0000-000059020000}"/>
    <cellStyle name="20% - Accent1 2 2 2 3 2 3 2" xfId="47057" xr:uid="{778474DE-33D5-4BF5-9B03-26E0C0DF299A}"/>
    <cellStyle name="20% - Accent1 2 2 2 3 2 4" xfId="31180" xr:uid="{ACB6F1FD-A07C-40E8-830B-39EC8C65D92A}"/>
    <cellStyle name="20% - Accent1 2 2 2 3 3" xfId="11741" xr:uid="{00000000-0005-0000-0000-00005A020000}"/>
    <cellStyle name="20% - Accent1 2 2 2 3 3 2" xfId="35590" xr:uid="{9A11EDCA-09A9-4F15-B571-93827C14B9A3}"/>
    <cellStyle name="20% - Accent1 2 2 2 3 4" xfId="19696" xr:uid="{00000000-0005-0000-0000-00005B020000}"/>
    <cellStyle name="20% - Accent1 2 2 2 3 4 2" xfId="43528" xr:uid="{9873450A-74E6-4EA0-A417-592CD13F78D8}"/>
    <cellStyle name="20% - Accent1 2 2 2 3 5" xfId="27649" xr:uid="{81AB8952-BF4E-49F4-B5EB-6B82A4BD4FA6}"/>
    <cellStyle name="20% - Accent1 2 2 2 4" xfId="5537" xr:uid="{00000000-0005-0000-0000-00005C020000}"/>
    <cellStyle name="20% - Accent1 2 2 2 4 2" xfId="13520" xr:uid="{00000000-0005-0000-0000-00005D020000}"/>
    <cellStyle name="20% - Accent1 2 2 2 4 2 2" xfId="37363" xr:uid="{92C61999-4654-41B9-8C38-58B66D4622E2}"/>
    <cellStyle name="20% - Accent1 2 2 2 4 3" xfId="21468" xr:uid="{00000000-0005-0000-0000-00005E020000}"/>
    <cellStyle name="20% - Accent1 2 2 2 4 3 2" xfId="45300" xr:uid="{AB26DDA3-BCA7-4C44-8A3E-A0A42117A04C}"/>
    <cellStyle name="20% - Accent1 2 2 2 4 4" xfId="29422" xr:uid="{E22098B4-1BF1-47F8-8B50-647FBF65D647}"/>
    <cellStyle name="20% - Accent1 2 2 2 5" xfId="9089" xr:uid="{00000000-0005-0000-0000-00005F020000}"/>
    <cellStyle name="20% - Accent1 2 2 2 5 2" xfId="17047" xr:uid="{00000000-0005-0000-0000-000060020000}"/>
    <cellStyle name="20% - Accent1 2 2 2 5 2 2" xfId="40887" xr:uid="{B3FAADC5-14B4-40D5-B532-E4ECF22872A7}"/>
    <cellStyle name="20% - Accent1 2 2 2 5 3" xfId="24991" xr:uid="{00000000-0005-0000-0000-000061020000}"/>
    <cellStyle name="20% - Accent1 2 2 2 5 3 2" xfId="48823" xr:uid="{EB87E675-6E6A-4211-85CC-077CDE8A7466}"/>
    <cellStyle name="20% - Accent1 2 2 2 5 4" xfId="32946" xr:uid="{810CDA2B-CD33-4890-95E4-DA86F1A58E89}"/>
    <cellStyle name="20% - Accent1 2 2 2 6" xfId="9985" xr:uid="{00000000-0005-0000-0000-000062020000}"/>
    <cellStyle name="20% - Accent1 2 2 2 6 2" xfId="33834" xr:uid="{CB900341-D4A9-49FB-900E-2BB35F73C5AB}"/>
    <cellStyle name="20% - Accent1 2 2 2 7" xfId="17940" xr:uid="{00000000-0005-0000-0000-000063020000}"/>
    <cellStyle name="20% - Accent1 2 2 2 7 2" xfId="41772" xr:uid="{5BB59EDA-ABDB-430A-A57F-AD380684EE85}"/>
    <cellStyle name="20% - Accent1 2 2 2 8" xfId="25892" xr:uid="{471FB39E-7136-4C6D-B311-9FACA6AC9C9C}"/>
    <cellStyle name="20% - Accent1 2 2 2_Exh G" xfId="1976" xr:uid="{00000000-0005-0000-0000-000064020000}"/>
    <cellStyle name="20% - Accent1 2 2 3" xfId="861" xr:uid="{00000000-0005-0000-0000-000065020000}"/>
    <cellStyle name="20% - Accent1 2 2 3 2" xfId="1793" xr:uid="{00000000-0005-0000-0000-000066020000}"/>
    <cellStyle name="20% - Accent1 2 2 3 2 2" xfId="5310" xr:uid="{00000000-0005-0000-0000-000067020000}"/>
    <cellStyle name="20% - Accent1 2 2 3 2 2 2" xfId="8901" xr:uid="{00000000-0005-0000-0000-000068020000}"/>
    <cellStyle name="20% - Accent1 2 2 3 2 2 2 2" xfId="16871" xr:uid="{00000000-0005-0000-0000-000069020000}"/>
    <cellStyle name="20% - Accent1 2 2 3 2 2 2 2 2" xfId="40713" xr:uid="{F4C9C23A-1A5B-4229-9AEA-70F4F6AE046E}"/>
    <cellStyle name="20% - Accent1 2 2 3 2 2 2 3" xfId="24817" xr:uid="{00000000-0005-0000-0000-00006A020000}"/>
    <cellStyle name="20% - Accent1 2 2 3 2 2 2 3 2" xfId="48649" xr:uid="{5C83A77D-49F3-47C6-8E92-12428105BE59}"/>
    <cellStyle name="20% - Accent1 2 2 3 2 2 2 4" xfId="32772" xr:uid="{1DF26FE2-326C-4219-B617-3ADC9D2CFA9F}"/>
    <cellStyle name="20% - Accent1 2 2 3 2 2 3" xfId="13333" xr:uid="{00000000-0005-0000-0000-00006B020000}"/>
    <cellStyle name="20% - Accent1 2 2 3 2 2 3 2" xfId="37182" xr:uid="{87F09399-C860-4A41-B0C4-8E1674BE9B57}"/>
    <cellStyle name="20% - Accent1 2 2 3 2 2 4" xfId="21288" xr:uid="{00000000-0005-0000-0000-00006C020000}"/>
    <cellStyle name="20% - Accent1 2 2 3 2 2 4 2" xfId="45120" xr:uid="{916C2E8F-2C0C-4E80-8AD1-BF020572A66B}"/>
    <cellStyle name="20% - Accent1 2 2 3 2 2 5" xfId="29241" xr:uid="{3B31136F-CFB0-475C-8EEC-8620203E9CFE}"/>
    <cellStyle name="20% - Accent1 2 2 3 2 3" xfId="7142" xr:uid="{00000000-0005-0000-0000-00006D020000}"/>
    <cellStyle name="20% - Accent1 2 2 3 2 3 2" xfId="15113" xr:uid="{00000000-0005-0000-0000-00006E020000}"/>
    <cellStyle name="20% - Accent1 2 2 3 2 3 2 2" xfId="38955" xr:uid="{CEDFFB8F-46C6-4EC4-B6B2-A5DA8A01682F}"/>
    <cellStyle name="20% - Accent1 2 2 3 2 3 3" xfId="23060" xr:uid="{00000000-0005-0000-0000-00006F020000}"/>
    <cellStyle name="20% - Accent1 2 2 3 2 3 3 2" xfId="46892" xr:uid="{F52CB931-F58E-4982-9131-FEC500F9A340}"/>
    <cellStyle name="20% - Accent1 2 2 3 2 3 4" xfId="31014" xr:uid="{C3421BAF-AEEB-4EF8-9E28-3E24A2E4BB07}"/>
    <cellStyle name="20% - Accent1 2 2 3 2 4" xfId="11577" xr:uid="{00000000-0005-0000-0000-000070020000}"/>
    <cellStyle name="20% - Accent1 2 2 3 2 4 2" xfId="35426" xr:uid="{C996AEA1-D842-44AB-9FE6-A8BF02E55C1A}"/>
    <cellStyle name="20% - Accent1 2 2 3 2 5" xfId="19532" xr:uid="{00000000-0005-0000-0000-000071020000}"/>
    <cellStyle name="20% - Accent1 2 2 3 2 5 2" xfId="43364" xr:uid="{F06514B5-1013-4B3B-A7BA-5CE5D916579F}"/>
    <cellStyle name="20% - Accent1 2 2 3 2 6" xfId="27484" xr:uid="{B9A73804-45E3-46FB-8376-2DA91ECD5437}"/>
    <cellStyle name="20% - Accent1 2 2 3 2_Exh G" xfId="1979" xr:uid="{00000000-0005-0000-0000-000072020000}"/>
    <cellStyle name="20% - Accent1 2 2 3 3" xfId="4431" xr:uid="{00000000-0005-0000-0000-000073020000}"/>
    <cellStyle name="20% - Accent1 2 2 3 3 2" xfId="8023" xr:uid="{00000000-0005-0000-0000-000074020000}"/>
    <cellStyle name="20% - Accent1 2 2 3 3 2 2" xfId="15993" xr:uid="{00000000-0005-0000-0000-000075020000}"/>
    <cellStyle name="20% - Accent1 2 2 3 3 2 2 2" xfId="39835" xr:uid="{0615C7D8-C6E8-4C7C-9C7C-2D8A67FC6E72}"/>
    <cellStyle name="20% - Accent1 2 2 3 3 2 3" xfId="23939" xr:uid="{00000000-0005-0000-0000-000076020000}"/>
    <cellStyle name="20% - Accent1 2 2 3 3 2 3 2" xfId="47771" xr:uid="{BDFFAF9D-DA86-43DD-8371-8C33D1769AC0}"/>
    <cellStyle name="20% - Accent1 2 2 3 3 2 4" xfId="31894" xr:uid="{C55BB0E8-75D5-4A3C-BD5E-1A2C5E393AF0}"/>
    <cellStyle name="20% - Accent1 2 2 3 3 3" xfId="12455" xr:uid="{00000000-0005-0000-0000-000077020000}"/>
    <cellStyle name="20% - Accent1 2 2 3 3 3 2" xfId="36304" xr:uid="{6FB0B7CF-72B1-4210-893F-C2F0814F1830}"/>
    <cellStyle name="20% - Accent1 2 2 3 3 4" xfId="20410" xr:uid="{00000000-0005-0000-0000-000078020000}"/>
    <cellStyle name="20% - Accent1 2 2 3 3 4 2" xfId="44242" xr:uid="{55A23472-A1F2-4A99-AE97-DA5142E3C55D}"/>
    <cellStyle name="20% - Accent1 2 2 3 3 5" xfId="28363" xr:uid="{7BF4E506-24BD-4CE4-A3B4-0AF733951881}"/>
    <cellStyle name="20% - Accent1 2 2 3 4" xfId="6261" xr:uid="{00000000-0005-0000-0000-000079020000}"/>
    <cellStyle name="20% - Accent1 2 2 3 4 2" xfId="14235" xr:uid="{00000000-0005-0000-0000-00007A020000}"/>
    <cellStyle name="20% - Accent1 2 2 3 4 2 2" xfId="38077" xr:uid="{94B03627-6184-46C1-8D3F-79E039230C68}"/>
    <cellStyle name="20% - Accent1 2 2 3 4 3" xfId="22182" xr:uid="{00000000-0005-0000-0000-00007B020000}"/>
    <cellStyle name="20% - Accent1 2 2 3 4 3 2" xfId="46014" xr:uid="{9CC9A2A4-3D31-4F79-AD44-BDA0F25A0323}"/>
    <cellStyle name="20% - Accent1 2 2 3 4 4" xfId="30136" xr:uid="{4198BAD2-9A02-40D3-8BD6-261878E135DA}"/>
    <cellStyle name="20% - Accent1 2 2 3 5" xfId="9803" xr:uid="{00000000-0005-0000-0000-00007C020000}"/>
    <cellStyle name="20% - Accent1 2 2 3 5 2" xfId="17761" xr:uid="{00000000-0005-0000-0000-00007D020000}"/>
    <cellStyle name="20% - Accent1 2 2 3 5 2 2" xfId="41601" xr:uid="{D052C9B7-D65F-4730-B295-20DF08E277A2}"/>
    <cellStyle name="20% - Accent1 2 2 3 5 3" xfId="25705" xr:uid="{00000000-0005-0000-0000-00007E020000}"/>
    <cellStyle name="20% - Accent1 2 2 3 5 3 2" xfId="49537" xr:uid="{0595CB6B-63DF-4EB3-ABA0-34EE40813F2A}"/>
    <cellStyle name="20% - Accent1 2 2 3 5 4" xfId="33660" xr:uid="{2EAFAEAF-5DF3-4DDC-AA16-21AF10D97BBD}"/>
    <cellStyle name="20% - Accent1 2 2 3 6" xfId="10699" xr:uid="{00000000-0005-0000-0000-00007F020000}"/>
    <cellStyle name="20% - Accent1 2 2 3 6 2" xfId="34548" xr:uid="{35845E77-6A64-4BED-BAA7-B666634A3AE2}"/>
    <cellStyle name="20% - Accent1 2 2 3 7" xfId="18654" xr:uid="{00000000-0005-0000-0000-000080020000}"/>
    <cellStyle name="20% - Accent1 2 2 3 7 2" xfId="42486" xr:uid="{92AAA4D1-EB2B-45F7-8A72-9B253B12EACC}"/>
    <cellStyle name="20% - Accent1 2 2 3 8" xfId="26606" xr:uid="{E405425B-C469-4253-BA52-24466E0F8912}"/>
    <cellStyle name="20% - Accent1 2 2 3_Exh G" xfId="1978" xr:uid="{00000000-0005-0000-0000-000081020000}"/>
    <cellStyle name="20% - Accent1 2 2 4" xfId="1068" xr:uid="{00000000-0005-0000-0000-000082020000}"/>
    <cellStyle name="20% - Accent1 2 2 4 2" xfId="4595" xr:uid="{00000000-0005-0000-0000-000083020000}"/>
    <cellStyle name="20% - Accent1 2 2 4 2 2" xfId="8186" xr:uid="{00000000-0005-0000-0000-000084020000}"/>
    <cellStyle name="20% - Accent1 2 2 4 2 2 2" xfId="16156" xr:uid="{00000000-0005-0000-0000-000085020000}"/>
    <cellStyle name="20% - Accent1 2 2 4 2 2 2 2" xfId="39998" xr:uid="{22C69A89-0DC3-4603-9773-F2F9A973DBF0}"/>
    <cellStyle name="20% - Accent1 2 2 4 2 2 3" xfId="24102" xr:uid="{00000000-0005-0000-0000-000086020000}"/>
    <cellStyle name="20% - Accent1 2 2 4 2 2 3 2" xfId="47934" xr:uid="{2C2B932B-8A06-462D-A138-72640E22AD2D}"/>
    <cellStyle name="20% - Accent1 2 2 4 2 2 4" xfId="32057" xr:uid="{E3FA3D25-FDDF-4452-A46A-71F55D88AEA0}"/>
    <cellStyle name="20% - Accent1 2 2 4 2 3" xfId="12618" xr:uid="{00000000-0005-0000-0000-000087020000}"/>
    <cellStyle name="20% - Accent1 2 2 4 2 3 2" xfId="36467" xr:uid="{2D80276F-9810-406C-82B8-76EA017F62F9}"/>
    <cellStyle name="20% - Accent1 2 2 4 2 4" xfId="20573" xr:uid="{00000000-0005-0000-0000-000088020000}"/>
    <cellStyle name="20% - Accent1 2 2 4 2 4 2" xfId="44405" xr:uid="{69E7CEAE-AF2B-4A93-A7B4-60809DD97F34}"/>
    <cellStyle name="20% - Accent1 2 2 4 2 5" xfId="28526" xr:uid="{33F12CE8-FAF6-47C7-B47A-CB3340D071F5}"/>
    <cellStyle name="20% - Accent1 2 2 4 3" xfId="6427" xr:uid="{00000000-0005-0000-0000-000089020000}"/>
    <cellStyle name="20% - Accent1 2 2 4 3 2" xfId="14398" xr:uid="{00000000-0005-0000-0000-00008A020000}"/>
    <cellStyle name="20% - Accent1 2 2 4 3 2 2" xfId="38240" xr:uid="{E6D25903-EA6E-4F4C-92A6-34B8DE6ED900}"/>
    <cellStyle name="20% - Accent1 2 2 4 3 3" xfId="22345" xr:uid="{00000000-0005-0000-0000-00008B020000}"/>
    <cellStyle name="20% - Accent1 2 2 4 3 3 2" xfId="46177" xr:uid="{EDEBD2DA-6F5F-4AAC-872F-BF9EC92E1892}"/>
    <cellStyle name="20% - Accent1 2 2 4 3 4" xfId="30299" xr:uid="{42BBE778-2D67-43F0-BF07-1B9932CE5C69}"/>
    <cellStyle name="20% - Accent1 2 2 4 4" xfId="10862" xr:uid="{00000000-0005-0000-0000-00008C020000}"/>
    <cellStyle name="20% - Accent1 2 2 4 4 2" xfId="34711" xr:uid="{A376D356-80A5-4466-A279-F1B46B03D336}"/>
    <cellStyle name="20% - Accent1 2 2 4 5" xfId="18817" xr:uid="{00000000-0005-0000-0000-00008D020000}"/>
    <cellStyle name="20% - Accent1 2 2 4 5 2" xfId="42649" xr:uid="{2F2DB540-62DF-4537-B060-062971D7AD2E}"/>
    <cellStyle name="20% - Accent1 2 2 4 6" xfId="26769" xr:uid="{818C7D91-F61A-424A-AEDD-D5A7C5D44DB4}"/>
    <cellStyle name="20% - Accent1 2 2 4_Exh G" xfId="1980" xr:uid="{00000000-0005-0000-0000-00008E020000}"/>
    <cellStyle name="20% - Accent1 2 2 5" xfId="3716" xr:uid="{00000000-0005-0000-0000-00008F020000}"/>
    <cellStyle name="20% - Accent1 2 2 5 2" xfId="7308" xr:uid="{00000000-0005-0000-0000-000090020000}"/>
    <cellStyle name="20% - Accent1 2 2 5 2 2" xfId="15278" xr:uid="{00000000-0005-0000-0000-000091020000}"/>
    <cellStyle name="20% - Accent1 2 2 5 2 2 2" xfId="39120" xr:uid="{15B4D57B-9C4A-4CAF-9E6A-1B5025D678C9}"/>
    <cellStyle name="20% - Accent1 2 2 5 2 3" xfId="23224" xr:uid="{00000000-0005-0000-0000-000092020000}"/>
    <cellStyle name="20% - Accent1 2 2 5 2 3 2" xfId="47056" xr:uid="{20450E56-E7DD-451D-A0B0-EA07DC99567D}"/>
    <cellStyle name="20% - Accent1 2 2 5 2 4" xfId="31179" xr:uid="{4A261871-B02F-4D7F-99D6-5711A621020C}"/>
    <cellStyle name="20% - Accent1 2 2 5 3" xfId="11740" xr:uid="{00000000-0005-0000-0000-000093020000}"/>
    <cellStyle name="20% - Accent1 2 2 5 3 2" xfId="35589" xr:uid="{7037EBB8-8AE7-441A-B844-3B558FD73017}"/>
    <cellStyle name="20% - Accent1 2 2 5 4" xfId="19695" xr:uid="{00000000-0005-0000-0000-000094020000}"/>
    <cellStyle name="20% - Accent1 2 2 5 4 2" xfId="43527" xr:uid="{F7E608CD-09B1-46E1-8E99-A5A8BF58AD79}"/>
    <cellStyle name="20% - Accent1 2 2 5 5" xfId="27648" xr:uid="{B84E62D3-D50C-4C74-BB25-58D9A00DD9F7}"/>
    <cellStyle name="20% - Accent1 2 2 6" xfId="5536" xr:uid="{00000000-0005-0000-0000-000095020000}"/>
    <cellStyle name="20% - Accent1 2 2 6 2" xfId="13519" xr:uid="{00000000-0005-0000-0000-000096020000}"/>
    <cellStyle name="20% - Accent1 2 2 6 2 2" xfId="37362" xr:uid="{7F0EA88D-84EC-41E4-90A4-C6E5989D069C}"/>
    <cellStyle name="20% - Accent1 2 2 6 3" xfId="21467" xr:uid="{00000000-0005-0000-0000-000097020000}"/>
    <cellStyle name="20% - Accent1 2 2 6 3 2" xfId="45299" xr:uid="{8EDE4D3D-3C9A-440E-9901-0A6C3091879F}"/>
    <cellStyle name="20% - Accent1 2 2 6 4" xfId="29421" xr:uid="{481077E8-6F2E-48EF-B127-8F819A96A065}"/>
    <cellStyle name="20% - Accent1 2 2 7" xfId="9088" xr:uid="{00000000-0005-0000-0000-000098020000}"/>
    <cellStyle name="20% - Accent1 2 2 7 2" xfId="17046" xr:uid="{00000000-0005-0000-0000-000099020000}"/>
    <cellStyle name="20% - Accent1 2 2 7 2 2" xfId="40886" xr:uid="{A6FDD678-6B19-40AA-84E1-A22A45CF0FC5}"/>
    <cellStyle name="20% - Accent1 2 2 7 3" xfId="24990" xr:uid="{00000000-0005-0000-0000-00009A020000}"/>
    <cellStyle name="20% - Accent1 2 2 7 3 2" xfId="48822" xr:uid="{631052CF-E2E7-499A-A58D-81BF4A3D4A5E}"/>
    <cellStyle name="20% - Accent1 2 2 7 4" xfId="32945" xr:uid="{4A48308B-BA87-4BB2-A5F1-EDA488140093}"/>
    <cellStyle name="20% - Accent1 2 2 8" xfId="9984" xr:uid="{00000000-0005-0000-0000-00009B020000}"/>
    <cellStyle name="20% - Accent1 2 2 8 2" xfId="33833" xr:uid="{5892DE27-472D-4EC2-94AF-4ECEA0046D4B}"/>
    <cellStyle name="20% - Accent1 2 2 9" xfId="17939" xr:uid="{00000000-0005-0000-0000-00009C020000}"/>
    <cellStyle name="20% - Accent1 2 2 9 2" xfId="41771" xr:uid="{2782596F-474F-45F2-BACF-4239183FB443}"/>
    <cellStyle name="20% - Accent1 2 2_Exh G" xfId="1975" xr:uid="{00000000-0005-0000-0000-00009D020000}"/>
    <cellStyle name="20% - Accent1 2 3" xfId="44" xr:uid="{00000000-0005-0000-0000-00009E020000}"/>
    <cellStyle name="20% - Accent1 2 3 2" xfId="1070" xr:uid="{00000000-0005-0000-0000-00009F020000}"/>
    <cellStyle name="20% - Accent1 2 3 2 2" xfId="4597" xr:uid="{00000000-0005-0000-0000-0000A0020000}"/>
    <cellStyle name="20% - Accent1 2 3 2 2 2" xfId="8188" xr:uid="{00000000-0005-0000-0000-0000A1020000}"/>
    <cellStyle name="20% - Accent1 2 3 2 2 2 2" xfId="16158" xr:uid="{00000000-0005-0000-0000-0000A2020000}"/>
    <cellStyle name="20% - Accent1 2 3 2 2 2 2 2" xfId="40000" xr:uid="{BA245A86-4AC0-46CC-A7CD-3A1C477D0F5A}"/>
    <cellStyle name="20% - Accent1 2 3 2 2 2 3" xfId="24104" xr:uid="{00000000-0005-0000-0000-0000A3020000}"/>
    <cellStyle name="20% - Accent1 2 3 2 2 2 3 2" xfId="47936" xr:uid="{A3B37C28-0EAD-4CFF-9C80-25F3B7C6C862}"/>
    <cellStyle name="20% - Accent1 2 3 2 2 2 4" xfId="32059" xr:uid="{2D262A3A-466A-4A0A-8625-A8306736105D}"/>
    <cellStyle name="20% - Accent1 2 3 2 2 3" xfId="12620" xr:uid="{00000000-0005-0000-0000-0000A4020000}"/>
    <cellStyle name="20% - Accent1 2 3 2 2 3 2" xfId="36469" xr:uid="{0026FE54-D2BE-4FFB-802A-4D1F0DC07E65}"/>
    <cellStyle name="20% - Accent1 2 3 2 2 4" xfId="20575" xr:uid="{00000000-0005-0000-0000-0000A5020000}"/>
    <cellStyle name="20% - Accent1 2 3 2 2 4 2" xfId="44407" xr:uid="{2549491A-09F0-47E8-B2AE-A862243B18C3}"/>
    <cellStyle name="20% - Accent1 2 3 2 2 5" xfId="28528" xr:uid="{95895334-E061-44A8-8F7C-9D68D5DBAF10}"/>
    <cellStyle name="20% - Accent1 2 3 2 3" xfId="6429" xr:uid="{00000000-0005-0000-0000-0000A6020000}"/>
    <cellStyle name="20% - Accent1 2 3 2 3 2" xfId="14400" xr:uid="{00000000-0005-0000-0000-0000A7020000}"/>
    <cellStyle name="20% - Accent1 2 3 2 3 2 2" xfId="38242" xr:uid="{9EADF9EE-EF9A-4E49-9B0A-A3C4F78528E6}"/>
    <cellStyle name="20% - Accent1 2 3 2 3 3" xfId="22347" xr:uid="{00000000-0005-0000-0000-0000A8020000}"/>
    <cellStyle name="20% - Accent1 2 3 2 3 3 2" xfId="46179" xr:uid="{1A56D0B0-2E9C-41B6-853F-BD9AF9503711}"/>
    <cellStyle name="20% - Accent1 2 3 2 3 4" xfId="30301" xr:uid="{D2B762C2-F8EB-4CA0-BEF5-1719373AFC12}"/>
    <cellStyle name="20% - Accent1 2 3 2 4" xfId="10864" xr:uid="{00000000-0005-0000-0000-0000A9020000}"/>
    <cellStyle name="20% - Accent1 2 3 2 4 2" xfId="34713" xr:uid="{999DA8ED-8EA4-4E83-ADAD-EA53C47E27DA}"/>
    <cellStyle name="20% - Accent1 2 3 2 5" xfId="18819" xr:uid="{00000000-0005-0000-0000-0000AA020000}"/>
    <cellStyle name="20% - Accent1 2 3 2 5 2" xfId="42651" xr:uid="{B7DC34B2-83C9-4C77-95C4-E23713407B66}"/>
    <cellStyle name="20% - Accent1 2 3 2 6" xfId="26771" xr:uid="{44EF94E2-3AF6-4662-BD47-5E70C9423917}"/>
    <cellStyle name="20% - Accent1 2 3 2_Exh G" xfId="1982" xr:uid="{00000000-0005-0000-0000-0000AB020000}"/>
    <cellStyle name="20% - Accent1 2 3 3" xfId="3718" xr:uid="{00000000-0005-0000-0000-0000AC020000}"/>
    <cellStyle name="20% - Accent1 2 3 3 2" xfId="7310" xr:uid="{00000000-0005-0000-0000-0000AD020000}"/>
    <cellStyle name="20% - Accent1 2 3 3 2 2" xfId="15280" xr:uid="{00000000-0005-0000-0000-0000AE020000}"/>
    <cellStyle name="20% - Accent1 2 3 3 2 2 2" xfId="39122" xr:uid="{3DE7C923-2D58-4950-A072-7B7822C06699}"/>
    <cellStyle name="20% - Accent1 2 3 3 2 3" xfId="23226" xr:uid="{00000000-0005-0000-0000-0000AF020000}"/>
    <cellStyle name="20% - Accent1 2 3 3 2 3 2" xfId="47058" xr:uid="{7AB07568-D398-48FE-B5F3-E5BD7387F369}"/>
    <cellStyle name="20% - Accent1 2 3 3 2 4" xfId="31181" xr:uid="{B5FAC521-EF8B-41F9-8B16-F73EA227D7B7}"/>
    <cellStyle name="20% - Accent1 2 3 3 3" xfId="11742" xr:uid="{00000000-0005-0000-0000-0000B0020000}"/>
    <cellStyle name="20% - Accent1 2 3 3 3 2" xfId="35591" xr:uid="{E610BCC7-14F7-4CB6-9D56-586F7B7DEA48}"/>
    <cellStyle name="20% - Accent1 2 3 3 4" xfId="19697" xr:uid="{00000000-0005-0000-0000-0000B1020000}"/>
    <cellStyle name="20% - Accent1 2 3 3 4 2" xfId="43529" xr:uid="{18D3281A-D0B6-47FD-884E-A489A2FEB265}"/>
    <cellStyle name="20% - Accent1 2 3 3 5" xfId="27650" xr:uid="{8B05ECA6-81CD-468F-8629-EE5CBD2B89AA}"/>
    <cellStyle name="20% - Accent1 2 3 4" xfId="5538" xr:uid="{00000000-0005-0000-0000-0000B2020000}"/>
    <cellStyle name="20% - Accent1 2 3 4 2" xfId="13521" xr:uid="{00000000-0005-0000-0000-0000B3020000}"/>
    <cellStyle name="20% - Accent1 2 3 4 2 2" xfId="37364" xr:uid="{CB8CCD43-EEFD-431A-993F-6EB593EF6A77}"/>
    <cellStyle name="20% - Accent1 2 3 4 3" xfId="21469" xr:uid="{00000000-0005-0000-0000-0000B4020000}"/>
    <cellStyle name="20% - Accent1 2 3 4 3 2" xfId="45301" xr:uid="{4A178F7D-186D-491B-9D39-0ABBD8124DDC}"/>
    <cellStyle name="20% - Accent1 2 3 4 4" xfId="29423" xr:uid="{C8735762-FC33-4E5B-BB9E-E6A106C9F28B}"/>
    <cellStyle name="20% - Accent1 2 3 5" xfId="9090" xr:uid="{00000000-0005-0000-0000-0000B5020000}"/>
    <cellStyle name="20% - Accent1 2 3 5 2" xfId="17048" xr:uid="{00000000-0005-0000-0000-0000B6020000}"/>
    <cellStyle name="20% - Accent1 2 3 5 2 2" xfId="40888" xr:uid="{03108B5C-A292-435E-BA33-7E7E148DC0C6}"/>
    <cellStyle name="20% - Accent1 2 3 5 3" xfId="24992" xr:uid="{00000000-0005-0000-0000-0000B7020000}"/>
    <cellStyle name="20% - Accent1 2 3 5 3 2" xfId="48824" xr:uid="{26C773B8-BBA1-48A2-9935-7E654779554D}"/>
    <cellStyle name="20% - Accent1 2 3 5 4" xfId="32947" xr:uid="{3D819E9E-00AC-4B00-A348-DCFE0B5F3F33}"/>
    <cellStyle name="20% - Accent1 2 3 6" xfId="9986" xr:uid="{00000000-0005-0000-0000-0000B8020000}"/>
    <cellStyle name="20% - Accent1 2 3 6 2" xfId="33835" xr:uid="{14CAF471-A079-4C26-84DD-AFD6969EF922}"/>
    <cellStyle name="20% - Accent1 2 3 7" xfId="17941" xr:uid="{00000000-0005-0000-0000-0000B9020000}"/>
    <cellStyle name="20% - Accent1 2 3 7 2" xfId="41773" xr:uid="{CF14FDE7-28A9-4314-96EF-A64FB78B6078}"/>
    <cellStyle name="20% - Accent1 2 3 8" xfId="25893" xr:uid="{6E002C5F-3EF9-4D4E-A6F2-F5700F4F1CDC}"/>
    <cellStyle name="20% - Accent1 2 3_Exh G" xfId="1981" xr:uid="{00000000-0005-0000-0000-0000BA020000}"/>
    <cellStyle name="20% - Accent1 2 4" xfId="860" xr:uid="{00000000-0005-0000-0000-0000BB020000}"/>
    <cellStyle name="20% - Accent1 2 4 2" xfId="1792" xr:uid="{00000000-0005-0000-0000-0000BC020000}"/>
    <cellStyle name="20% - Accent1 2 4 2 2" xfId="5309" xr:uid="{00000000-0005-0000-0000-0000BD020000}"/>
    <cellStyle name="20% - Accent1 2 4 2 2 2" xfId="8900" xr:uid="{00000000-0005-0000-0000-0000BE020000}"/>
    <cellStyle name="20% - Accent1 2 4 2 2 2 2" xfId="16870" xr:uid="{00000000-0005-0000-0000-0000BF020000}"/>
    <cellStyle name="20% - Accent1 2 4 2 2 2 2 2" xfId="40712" xr:uid="{33C3AB96-3509-40FF-BEB9-A19A1C433C27}"/>
    <cellStyle name="20% - Accent1 2 4 2 2 2 3" xfId="24816" xr:uid="{00000000-0005-0000-0000-0000C0020000}"/>
    <cellStyle name="20% - Accent1 2 4 2 2 2 3 2" xfId="48648" xr:uid="{778B0082-770B-4E0F-8A9E-6BB66BB06BE6}"/>
    <cellStyle name="20% - Accent1 2 4 2 2 2 4" xfId="32771" xr:uid="{20D6BDA8-74B3-4601-82F3-FB974ECC36C9}"/>
    <cellStyle name="20% - Accent1 2 4 2 2 3" xfId="13332" xr:uid="{00000000-0005-0000-0000-0000C1020000}"/>
    <cellStyle name="20% - Accent1 2 4 2 2 3 2" xfId="37181" xr:uid="{C0CD4829-CED1-4E2C-910F-EF85BDBB3DC9}"/>
    <cellStyle name="20% - Accent1 2 4 2 2 4" xfId="21287" xr:uid="{00000000-0005-0000-0000-0000C2020000}"/>
    <cellStyle name="20% - Accent1 2 4 2 2 4 2" xfId="45119" xr:uid="{EEB8D2A6-F1EF-49D5-A4AD-271E2A8FA451}"/>
    <cellStyle name="20% - Accent1 2 4 2 2 5" xfId="29240" xr:uid="{17CA2D3C-5F65-4957-9E1C-2D732172DDD3}"/>
    <cellStyle name="20% - Accent1 2 4 2 3" xfId="7141" xr:uid="{00000000-0005-0000-0000-0000C3020000}"/>
    <cellStyle name="20% - Accent1 2 4 2 3 2" xfId="15112" xr:uid="{00000000-0005-0000-0000-0000C4020000}"/>
    <cellStyle name="20% - Accent1 2 4 2 3 2 2" xfId="38954" xr:uid="{11BF2B0D-FDF5-49B5-9480-1968CF54EF4C}"/>
    <cellStyle name="20% - Accent1 2 4 2 3 3" xfId="23059" xr:uid="{00000000-0005-0000-0000-0000C5020000}"/>
    <cellStyle name="20% - Accent1 2 4 2 3 3 2" xfId="46891" xr:uid="{5F7AFB7E-9778-4076-BFF1-8D7B359B8D10}"/>
    <cellStyle name="20% - Accent1 2 4 2 3 4" xfId="31013" xr:uid="{BC0E4EE4-DF61-4265-BFF9-922A8C4217F5}"/>
    <cellStyle name="20% - Accent1 2 4 2 4" xfId="11576" xr:uid="{00000000-0005-0000-0000-0000C6020000}"/>
    <cellStyle name="20% - Accent1 2 4 2 4 2" xfId="35425" xr:uid="{8729A58D-AC98-4CF4-AE6D-96749EB904BF}"/>
    <cellStyle name="20% - Accent1 2 4 2 5" xfId="19531" xr:uid="{00000000-0005-0000-0000-0000C7020000}"/>
    <cellStyle name="20% - Accent1 2 4 2 5 2" xfId="43363" xr:uid="{E75214FF-91C6-4D2B-B7DF-E7343DACAE65}"/>
    <cellStyle name="20% - Accent1 2 4 2 6" xfId="27483" xr:uid="{FBD33532-6DCC-4EFC-BBCC-AAFDB25A7C06}"/>
    <cellStyle name="20% - Accent1 2 4 2_Exh G" xfId="1984" xr:uid="{00000000-0005-0000-0000-0000C8020000}"/>
    <cellStyle name="20% - Accent1 2 4 3" xfId="4430" xr:uid="{00000000-0005-0000-0000-0000C9020000}"/>
    <cellStyle name="20% - Accent1 2 4 3 2" xfId="8022" xr:uid="{00000000-0005-0000-0000-0000CA020000}"/>
    <cellStyle name="20% - Accent1 2 4 3 2 2" xfId="15992" xr:uid="{00000000-0005-0000-0000-0000CB020000}"/>
    <cellStyle name="20% - Accent1 2 4 3 2 2 2" xfId="39834" xr:uid="{278DDA07-6B16-420B-A1B3-67CC7D76C4E0}"/>
    <cellStyle name="20% - Accent1 2 4 3 2 3" xfId="23938" xr:uid="{00000000-0005-0000-0000-0000CC020000}"/>
    <cellStyle name="20% - Accent1 2 4 3 2 3 2" xfId="47770" xr:uid="{85A9A1E6-745C-4DA8-A97B-0B59C38D0F77}"/>
    <cellStyle name="20% - Accent1 2 4 3 2 4" xfId="31893" xr:uid="{E42BDF17-866E-4243-916B-D73C20A89EF2}"/>
    <cellStyle name="20% - Accent1 2 4 3 3" xfId="12454" xr:uid="{00000000-0005-0000-0000-0000CD020000}"/>
    <cellStyle name="20% - Accent1 2 4 3 3 2" xfId="36303" xr:uid="{5C931B25-3D80-48FB-A2DA-73825717362A}"/>
    <cellStyle name="20% - Accent1 2 4 3 4" xfId="20409" xr:uid="{00000000-0005-0000-0000-0000CE020000}"/>
    <cellStyle name="20% - Accent1 2 4 3 4 2" xfId="44241" xr:uid="{D0E51DDC-365B-4E8E-9D22-835E47270867}"/>
    <cellStyle name="20% - Accent1 2 4 3 5" xfId="28362" xr:uid="{A3FA1D4B-1E4F-42F2-95E6-9B81F163964E}"/>
    <cellStyle name="20% - Accent1 2 4 4" xfId="6260" xr:uid="{00000000-0005-0000-0000-0000CF020000}"/>
    <cellStyle name="20% - Accent1 2 4 4 2" xfId="14234" xr:uid="{00000000-0005-0000-0000-0000D0020000}"/>
    <cellStyle name="20% - Accent1 2 4 4 2 2" xfId="38076" xr:uid="{F29C027F-6F39-4B97-A6D7-D7CB9C349B3D}"/>
    <cellStyle name="20% - Accent1 2 4 4 3" xfId="22181" xr:uid="{00000000-0005-0000-0000-0000D1020000}"/>
    <cellStyle name="20% - Accent1 2 4 4 3 2" xfId="46013" xr:uid="{D7F3C2CF-53DA-497F-9497-9D05312FF6A9}"/>
    <cellStyle name="20% - Accent1 2 4 4 4" xfId="30135" xr:uid="{A2A50F1A-C270-4628-8B60-09C57CDA8E7B}"/>
    <cellStyle name="20% - Accent1 2 4 5" xfId="9802" xr:uid="{00000000-0005-0000-0000-0000D2020000}"/>
    <cellStyle name="20% - Accent1 2 4 5 2" xfId="17760" xr:uid="{00000000-0005-0000-0000-0000D3020000}"/>
    <cellStyle name="20% - Accent1 2 4 5 2 2" xfId="41600" xr:uid="{C445DF1E-670B-4933-9204-930D9D961DEC}"/>
    <cellStyle name="20% - Accent1 2 4 5 3" xfId="25704" xr:uid="{00000000-0005-0000-0000-0000D4020000}"/>
    <cellStyle name="20% - Accent1 2 4 5 3 2" xfId="49536" xr:uid="{53745085-0FCB-45A7-90C2-0D6EB7B17769}"/>
    <cellStyle name="20% - Accent1 2 4 5 4" xfId="33659" xr:uid="{2C5022A3-E2F9-4036-B7E2-4E82153D827C}"/>
    <cellStyle name="20% - Accent1 2 4 6" xfId="10698" xr:uid="{00000000-0005-0000-0000-0000D5020000}"/>
    <cellStyle name="20% - Accent1 2 4 6 2" xfId="34547" xr:uid="{8126EFF5-84A9-40D8-8084-E8A98A1B28E1}"/>
    <cellStyle name="20% - Accent1 2 4 7" xfId="18653" xr:uid="{00000000-0005-0000-0000-0000D6020000}"/>
    <cellStyle name="20% - Accent1 2 4 7 2" xfId="42485" xr:uid="{5BBBF56D-8BAC-4656-8D16-435EEC29BA5A}"/>
    <cellStyle name="20% - Accent1 2 4 8" xfId="26605" xr:uid="{5EEBB7FD-ABC9-467D-82A3-DD8452764A57}"/>
    <cellStyle name="20% - Accent1 2 4_Exh G" xfId="1983" xr:uid="{00000000-0005-0000-0000-0000D7020000}"/>
    <cellStyle name="20% - Accent1 2 5" xfId="1067" xr:uid="{00000000-0005-0000-0000-0000D8020000}"/>
    <cellStyle name="20% - Accent1 2 5 2" xfId="4594" xr:uid="{00000000-0005-0000-0000-0000D9020000}"/>
    <cellStyle name="20% - Accent1 2 5 2 2" xfId="8185" xr:uid="{00000000-0005-0000-0000-0000DA020000}"/>
    <cellStyle name="20% - Accent1 2 5 2 2 2" xfId="16155" xr:uid="{00000000-0005-0000-0000-0000DB020000}"/>
    <cellStyle name="20% - Accent1 2 5 2 2 2 2" xfId="39997" xr:uid="{39B74557-77FB-410C-84FE-0E3D50DBF8BD}"/>
    <cellStyle name="20% - Accent1 2 5 2 2 3" xfId="24101" xr:uid="{00000000-0005-0000-0000-0000DC020000}"/>
    <cellStyle name="20% - Accent1 2 5 2 2 3 2" xfId="47933" xr:uid="{DCAD052C-1481-4739-B70D-B2F54E110AEE}"/>
    <cellStyle name="20% - Accent1 2 5 2 2 4" xfId="32056" xr:uid="{0030D369-0B42-4C01-99FD-86F65961362D}"/>
    <cellStyle name="20% - Accent1 2 5 2 3" xfId="12617" xr:uid="{00000000-0005-0000-0000-0000DD020000}"/>
    <cellStyle name="20% - Accent1 2 5 2 3 2" xfId="36466" xr:uid="{1217F21F-C231-4B4F-9722-B3C0E2BB1484}"/>
    <cellStyle name="20% - Accent1 2 5 2 4" xfId="20572" xr:uid="{00000000-0005-0000-0000-0000DE020000}"/>
    <cellStyle name="20% - Accent1 2 5 2 4 2" xfId="44404" xr:uid="{7A04B83C-8C7C-48A1-84FC-92185428FF1B}"/>
    <cellStyle name="20% - Accent1 2 5 2 5" xfId="28525" xr:uid="{FD304F4B-74DD-4410-99EA-02D288976B33}"/>
    <cellStyle name="20% - Accent1 2 5 3" xfId="6426" xr:uid="{00000000-0005-0000-0000-0000DF020000}"/>
    <cellStyle name="20% - Accent1 2 5 3 2" xfId="14397" xr:uid="{00000000-0005-0000-0000-0000E0020000}"/>
    <cellStyle name="20% - Accent1 2 5 3 2 2" xfId="38239" xr:uid="{E6C23100-2B35-4D35-9040-5D91A2C787C3}"/>
    <cellStyle name="20% - Accent1 2 5 3 3" xfId="22344" xr:uid="{00000000-0005-0000-0000-0000E1020000}"/>
    <cellStyle name="20% - Accent1 2 5 3 3 2" xfId="46176" xr:uid="{5488F361-2421-407F-BE9A-9ECF8DDA8653}"/>
    <cellStyle name="20% - Accent1 2 5 3 4" xfId="30298" xr:uid="{6FC88290-1917-43EB-84C4-3985D7A307D4}"/>
    <cellStyle name="20% - Accent1 2 5 4" xfId="10861" xr:uid="{00000000-0005-0000-0000-0000E2020000}"/>
    <cellStyle name="20% - Accent1 2 5 4 2" xfId="34710" xr:uid="{505C7FA4-B8FA-432F-B45D-131B41BAE01C}"/>
    <cellStyle name="20% - Accent1 2 5 5" xfId="18816" xr:uid="{00000000-0005-0000-0000-0000E3020000}"/>
    <cellStyle name="20% - Accent1 2 5 5 2" xfId="42648" xr:uid="{A26401AE-36F9-4FD8-8157-F8CA0AD02053}"/>
    <cellStyle name="20% - Accent1 2 5 6" xfId="26768" xr:uid="{7B45C0F9-8BD5-424E-8FA3-58084867BCF1}"/>
    <cellStyle name="20% - Accent1 2 5_Exh G" xfId="1985" xr:uid="{00000000-0005-0000-0000-0000E4020000}"/>
    <cellStyle name="20% - Accent1 2 6" xfId="3715" xr:uid="{00000000-0005-0000-0000-0000E5020000}"/>
    <cellStyle name="20% - Accent1 2 6 2" xfId="7307" xr:uid="{00000000-0005-0000-0000-0000E6020000}"/>
    <cellStyle name="20% - Accent1 2 6 2 2" xfId="15277" xr:uid="{00000000-0005-0000-0000-0000E7020000}"/>
    <cellStyle name="20% - Accent1 2 6 2 2 2" xfId="39119" xr:uid="{9C201D7A-2C97-44C6-BF01-509AC654C8E6}"/>
    <cellStyle name="20% - Accent1 2 6 2 3" xfId="23223" xr:uid="{00000000-0005-0000-0000-0000E8020000}"/>
    <cellStyle name="20% - Accent1 2 6 2 3 2" xfId="47055" xr:uid="{1E68B599-8F0C-49D7-A958-36903E9B66A3}"/>
    <cellStyle name="20% - Accent1 2 6 2 4" xfId="31178" xr:uid="{6A45200E-813A-425B-8F8C-2B789A3AC849}"/>
    <cellStyle name="20% - Accent1 2 6 3" xfId="11739" xr:uid="{00000000-0005-0000-0000-0000E9020000}"/>
    <cellStyle name="20% - Accent1 2 6 3 2" xfId="35588" xr:uid="{E51E56B7-2A98-4C8E-92D5-8B1F8EA4B63E}"/>
    <cellStyle name="20% - Accent1 2 6 4" xfId="19694" xr:uid="{00000000-0005-0000-0000-0000EA020000}"/>
    <cellStyle name="20% - Accent1 2 6 4 2" xfId="43526" xr:uid="{27D4FF7A-E122-4DAC-B04D-8A2D740212F3}"/>
    <cellStyle name="20% - Accent1 2 6 5" xfId="27647" xr:uid="{1EBD0B7B-F1A2-482E-BB4B-796221A56C47}"/>
    <cellStyle name="20% - Accent1 2 7" xfId="5535" xr:uid="{00000000-0005-0000-0000-0000EB020000}"/>
    <cellStyle name="20% - Accent1 2 7 2" xfId="13518" xr:uid="{00000000-0005-0000-0000-0000EC020000}"/>
    <cellStyle name="20% - Accent1 2 7 2 2" xfId="37361" xr:uid="{5EC949F4-D716-442F-BE08-C2A61275D5D6}"/>
    <cellStyle name="20% - Accent1 2 7 3" xfId="21466" xr:uid="{00000000-0005-0000-0000-0000ED020000}"/>
    <cellStyle name="20% - Accent1 2 7 3 2" xfId="45298" xr:uid="{9D9C2156-B166-475D-AA86-54D0315AD337}"/>
    <cellStyle name="20% - Accent1 2 7 4" xfId="29420" xr:uid="{C3DBCD18-0D08-4175-9612-5F463E5F6F4C}"/>
    <cellStyle name="20% - Accent1 2 8" xfId="9087" xr:uid="{00000000-0005-0000-0000-0000EE020000}"/>
    <cellStyle name="20% - Accent1 2 8 2" xfId="17045" xr:uid="{00000000-0005-0000-0000-0000EF020000}"/>
    <cellStyle name="20% - Accent1 2 8 2 2" xfId="40885" xr:uid="{3C45378C-72A5-4056-AA9F-BEB633D5E816}"/>
    <cellStyle name="20% - Accent1 2 8 3" xfId="24989" xr:uid="{00000000-0005-0000-0000-0000F0020000}"/>
    <cellStyle name="20% - Accent1 2 8 3 2" xfId="48821" xr:uid="{D4EC156A-78EC-49CB-A3BC-2BCDC0C5CA5F}"/>
    <cellStyle name="20% - Accent1 2 8 4" xfId="32944" xr:uid="{CEEE65CC-02E3-4794-B251-5DFAF51BB848}"/>
    <cellStyle name="20% - Accent1 2 9" xfId="9983" xr:uid="{00000000-0005-0000-0000-0000F1020000}"/>
    <cellStyle name="20% - Accent1 2 9 2" xfId="33832" xr:uid="{9F195934-0532-4543-AB69-F08A109FD910}"/>
    <cellStyle name="20% - Accent1 2_Exh G" xfId="1974" xr:uid="{00000000-0005-0000-0000-0000F2020000}"/>
    <cellStyle name="20% - Accent1 3" xfId="45" xr:uid="{00000000-0005-0000-0000-0000F3020000}"/>
    <cellStyle name="20% - Accent1 3 10" xfId="17942" xr:uid="{00000000-0005-0000-0000-0000F4020000}"/>
    <cellStyle name="20% - Accent1 3 10 2" xfId="41774" xr:uid="{A056336D-DEAE-43E7-9C75-461FDDA21EBD}"/>
    <cellStyle name="20% - Accent1 3 11" xfId="25894" xr:uid="{6B4DABFA-604E-43F2-9801-294D85B086B5}"/>
    <cellStyle name="20% - Accent1 3 12" xfId="49754" xr:uid="{FB93CA43-A575-46C0-86E2-2B60FD799D0C}"/>
    <cellStyle name="20% - Accent1 3 13" xfId="49808" xr:uid="{F8B71A7A-8B90-450A-A611-30C9E3FA662B}"/>
    <cellStyle name="20% - Accent1 3 2" xfId="46" xr:uid="{00000000-0005-0000-0000-0000F5020000}"/>
    <cellStyle name="20% - Accent1 3 2 10" xfId="25895" xr:uid="{2CC8ABA4-2F93-44DF-B2CB-19723CBAF2A4}"/>
    <cellStyle name="20% - Accent1 3 2 2" xfId="47" xr:uid="{00000000-0005-0000-0000-0000F6020000}"/>
    <cellStyle name="20% - Accent1 3 2 2 2" xfId="1073" xr:uid="{00000000-0005-0000-0000-0000F7020000}"/>
    <cellStyle name="20% - Accent1 3 2 2 2 2" xfId="4600" xr:uid="{00000000-0005-0000-0000-0000F8020000}"/>
    <cellStyle name="20% - Accent1 3 2 2 2 2 2" xfId="8191" xr:uid="{00000000-0005-0000-0000-0000F9020000}"/>
    <cellStyle name="20% - Accent1 3 2 2 2 2 2 2" xfId="16161" xr:uid="{00000000-0005-0000-0000-0000FA020000}"/>
    <cellStyle name="20% - Accent1 3 2 2 2 2 2 2 2" xfId="40003" xr:uid="{DDF0B7EC-4FE2-4457-AB1C-A4E795AD744E}"/>
    <cellStyle name="20% - Accent1 3 2 2 2 2 2 3" xfId="24107" xr:uid="{00000000-0005-0000-0000-0000FB020000}"/>
    <cellStyle name="20% - Accent1 3 2 2 2 2 2 3 2" xfId="47939" xr:uid="{B39D1A32-EB31-4818-89BF-372A9F63F7C6}"/>
    <cellStyle name="20% - Accent1 3 2 2 2 2 2 4" xfId="32062" xr:uid="{736F6BD6-197D-43C0-9D5B-ED1AEFD17426}"/>
    <cellStyle name="20% - Accent1 3 2 2 2 2 3" xfId="12623" xr:uid="{00000000-0005-0000-0000-0000FC020000}"/>
    <cellStyle name="20% - Accent1 3 2 2 2 2 3 2" xfId="36472" xr:uid="{73E32DF7-B159-4395-955B-6B7E6DB51935}"/>
    <cellStyle name="20% - Accent1 3 2 2 2 2 4" xfId="20578" xr:uid="{00000000-0005-0000-0000-0000FD020000}"/>
    <cellStyle name="20% - Accent1 3 2 2 2 2 4 2" xfId="44410" xr:uid="{5CAF81A9-033B-48C2-BAC4-0C9CCA05E6D3}"/>
    <cellStyle name="20% - Accent1 3 2 2 2 2 5" xfId="28531" xr:uid="{B1D0646D-E4F9-4360-BEB3-EDD7E5F5888E}"/>
    <cellStyle name="20% - Accent1 3 2 2 2 3" xfId="6432" xr:uid="{00000000-0005-0000-0000-0000FE020000}"/>
    <cellStyle name="20% - Accent1 3 2 2 2 3 2" xfId="14403" xr:uid="{00000000-0005-0000-0000-0000FF020000}"/>
    <cellStyle name="20% - Accent1 3 2 2 2 3 2 2" xfId="38245" xr:uid="{7E754C21-95F8-4A03-8BEB-C2DCB1714E1C}"/>
    <cellStyle name="20% - Accent1 3 2 2 2 3 3" xfId="22350" xr:uid="{00000000-0005-0000-0000-000000030000}"/>
    <cellStyle name="20% - Accent1 3 2 2 2 3 3 2" xfId="46182" xr:uid="{4EEE3774-5653-4342-A93C-34686EAA43B6}"/>
    <cellStyle name="20% - Accent1 3 2 2 2 3 4" xfId="30304" xr:uid="{3837BECC-E830-4610-927C-DE9226F66027}"/>
    <cellStyle name="20% - Accent1 3 2 2 2 4" xfId="10867" xr:uid="{00000000-0005-0000-0000-000001030000}"/>
    <cellStyle name="20% - Accent1 3 2 2 2 4 2" xfId="34716" xr:uid="{1FE569FB-493B-4DFD-B920-801E7DE3D8D1}"/>
    <cellStyle name="20% - Accent1 3 2 2 2 5" xfId="18822" xr:uid="{00000000-0005-0000-0000-000002030000}"/>
    <cellStyle name="20% - Accent1 3 2 2 2 5 2" xfId="42654" xr:uid="{BA2E93B4-14E7-47CA-B46B-D76A3FBFA882}"/>
    <cellStyle name="20% - Accent1 3 2 2 2 6" xfId="26774" xr:uid="{6D131696-DA7F-43B9-BD05-9CF1CC6A3D8B}"/>
    <cellStyle name="20% - Accent1 3 2 2 2_Exh G" xfId="1989" xr:uid="{00000000-0005-0000-0000-000003030000}"/>
    <cellStyle name="20% - Accent1 3 2 2 3" xfId="3721" xr:uid="{00000000-0005-0000-0000-000004030000}"/>
    <cellStyle name="20% - Accent1 3 2 2 3 2" xfId="7313" xr:uid="{00000000-0005-0000-0000-000005030000}"/>
    <cellStyle name="20% - Accent1 3 2 2 3 2 2" xfId="15283" xr:uid="{00000000-0005-0000-0000-000006030000}"/>
    <cellStyle name="20% - Accent1 3 2 2 3 2 2 2" xfId="39125" xr:uid="{E72B5854-6866-4E65-89FC-664708ED5029}"/>
    <cellStyle name="20% - Accent1 3 2 2 3 2 3" xfId="23229" xr:uid="{00000000-0005-0000-0000-000007030000}"/>
    <cellStyle name="20% - Accent1 3 2 2 3 2 3 2" xfId="47061" xr:uid="{1C759FBC-32DC-4176-8CB4-6CBFC6587D64}"/>
    <cellStyle name="20% - Accent1 3 2 2 3 2 4" xfId="31184" xr:uid="{B50B04A8-0177-417E-93EC-DB8D692D3EA1}"/>
    <cellStyle name="20% - Accent1 3 2 2 3 3" xfId="11745" xr:uid="{00000000-0005-0000-0000-000008030000}"/>
    <cellStyle name="20% - Accent1 3 2 2 3 3 2" xfId="35594" xr:uid="{95ACA89E-753C-4536-8B9B-CD0E0A204AFA}"/>
    <cellStyle name="20% - Accent1 3 2 2 3 4" xfId="19700" xr:uid="{00000000-0005-0000-0000-000009030000}"/>
    <cellStyle name="20% - Accent1 3 2 2 3 4 2" xfId="43532" xr:uid="{6802160A-2E3E-4207-9CDA-5D71485B0317}"/>
    <cellStyle name="20% - Accent1 3 2 2 3 5" xfId="27653" xr:uid="{43D382DC-4FB5-4C6A-9814-4F16008CFCEA}"/>
    <cellStyle name="20% - Accent1 3 2 2 4" xfId="5541" xr:uid="{00000000-0005-0000-0000-00000A030000}"/>
    <cellStyle name="20% - Accent1 3 2 2 4 2" xfId="13524" xr:uid="{00000000-0005-0000-0000-00000B030000}"/>
    <cellStyle name="20% - Accent1 3 2 2 4 2 2" xfId="37367" xr:uid="{AFB332D3-C571-4A4E-B960-58E668215B8B}"/>
    <cellStyle name="20% - Accent1 3 2 2 4 3" xfId="21472" xr:uid="{00000000-0005-0000-0000-00000C030000}"/>
    <cellStyle name="20% - Accent1 3 2 2 4 3 2" xfId="45304" xr:uid="{F764FBE7-129E-4119-94FC-6ADB195FA2F3}"/>
    <cellStyle name="20% - Accent1 3 2 2 4 4" xfId="29426" xr:uid="{EF4CD56C-5440-4A8E-B1DE-DE4B4FC84E85}"/>
    <cellStyle name="20% - Accent1 3 2 2 5" xfId="9093" xr:uid="{00000000-0005-0000-0000-00000D030000}"/>
    <cellStyle name="20% - Accent1 3 2 2 5 2" xfId="17051" xr:uid="{00000000-0005-0000-0000-00000E030000}"/>
    <cellStyle name="20% - Accent1 3 2 2 5 2 2" xfId="40891" xr:uid="{0FB1C3BB-E1A9-463E-9D49-975787E17FB8}"/>
    <cellStyle name="20% - Accent1 3 2 2 5 3" xfId="24995" xr:uid="{00000000-0005-0000-0000-00000F030000}"/>
    <cellStyle name="20% - Accent1 3 2 2 5 3 2" xfId="48827" xr:uid="{DA2E88E2-8E2F-41BF-807C-D6B1D309F8B3}"/>
    <cellStyle name="20% - Accent1 3 2 2 5 4" xfId="32950" xr:uid="{7E8A5F91-0552-45CE-8175-1C1E27DF243E}"/>
    <cellStyle name="20% - Accent1 3 2 2 6" xfId="9989" xr:uid="{00000000-0005-0000-0000-000010030000}"/>
    <cellStyle name="20% - Accent1 3 2 2 6 2" xfId="33838" xr:uid="{F031D342-768B-49B8-8CC8-77D9316F9D4C}"/>
    <cellStyle name="20% - Accent1 3 2 2 7" xfId="17944" xr:uid="{00000000-0005-0000-0000-000011030000}"/>
    <cellStyle name="20% - Accent1 3 2 2 7 2" xfId="41776" xr:uid="{B9EE3C47-3B83-45D8-8A48-F86762E488F6}"/>
    <cellStyle name="20% - Accent1 3 2 2 8" xfId="25896" xr:uid="{40FF164E-749C-4C94-9EBA-C0E55A40346E}"/>
    <cellStyle name="20% - Accent1 3 2 2_Exh G" xfId="1988" xr:uid="{00000000-0005-0000-0000-000012030000}"/>
    <cellStyle name="20% - Accent1 3 2 3" xfId="863" xr:uid="{00000000-0005-0000-0000-000013030000}"/>
    <cellStyle name="20% - Accent1 3 2 3 2" xfId="1795" xr:uid="{00000000-0005-0000-0000-000014030000}"/>
    <cellStyle name="20% - Accent1 3 2 3 2 2" xfId="5312" xr:uid="{00000000-0005-0000-0000-000015030000}"/>
    <cellStyle name="20% - Accent1 3 2 3 2 2 2" xfId="8903" xr:uid="{00000000-0005-0000-0000-000016030000}"/>
    <cellStyle name="20% - Accent1 3 2 3 2 2 2 2" xfId="16873" xr:uid="{00000000-0005-0000-0000-000017030000}"/>
    <cellStyle name="20% - Accent1 3 2 3 2 2 2 2 2" xfId="40715" xr:uid="{67B1E185-5460-459D-86DF-62883779DD23}"/>
    <cellStyle name="20% - Accent1 3 2 3 2 2 2 3" xfId="24819" xr:uid="{00000000-0005-0000-0000-000018030000}"/>
    <cellStyle name="20% - Accent1 3 2 3 2 2 2 3 2" xfId="48651" xr:uid="{D8B2A5DC-D219-4B05-BD4E-8DA5A8622DED}"/>
    <cellStyle name="20% - Accent1 3 2 3 2 2 2 4" xfId="32774" xr:uid="{BDFF8876-DD1A-415D-8B2B-69DC6F6C5D2D}"/>
    <cellStyle name="20% - Accent1 3 2 3 2 2 3" xfId="13335" xr:uid="{00000000-0005-0000-0000-000019030000}"/>
    <cellStyle name="20% - Accent1 3 2 3 2 2 3 2" xfId="37184" xr:uid="{DCDE4EDE-64C2-4094-B2B9-DC72F05A718E}"/>
    <cellStyle name="20% - Accent1 3 2 3 2 2 4" xfId="21290" xr:uid="{00000000-0005-0000-0000-00001A030000}"/>
    <cellStyle name="20% - Accent1 3 2 3 2 2 4 2" xfId="45122" xr:uid="{03BF04AC-26D5-4299-8B59-040B5CC890A3}"/>
    <cellStyle name="20% - Accent1 3 2 3 2 2 5" xfId="29243" xr:uid="{F44CF2D9-260A-4D29-A670-05B8D3169DBB}"/>
    <cellStyle name="20% - Accent1 3 2 3 2 3" xfId="7144" xr:uid="{00000000-0005-0000-0000-00001B030000}"/>
    <cellStyle name="20% - Accent1 3 2 3 2 3 2" xfId="15115" xr:uid="{00000000-0005-0000-0000-00001C030000}"/>
    <cellStyle name="20% - Accent1 3 2 3 2 3 2 2" xfId="38957" xr:uid="{822EE2E8-4AEB-4AFE-8948-513DE7BAFA18}"/>
    <cellStyle name="20% - Accent1 3 2 3 2 3 3" xfId="23062" xr:uid="{00000000-0005-0000-0000-00001D030000}"/>
    <cellStyle name="20% - Accent1 3 2 3 2 3 3 2" xfId="46894" xr:uid="{626687C3-1394-4D5F-81FA-4B1E2D9D8FB6}"/>
    <cellStyle name="20% - Accent1 3 2 3 2 3 4" xfId="31016" xr:uid="{C1054553-15A1-4143-8549-890329A8AF9B}"/>
    <cellStyle name="20% - Accent1 3 2 3 2 4" xfId="11579" xr:uid="{00000000-0005-0000-0000-00001E030000}"/>
    <cellStyle name="20% - Accent1 3 2 3 2 4 2" xfId="35428" xr:uid="{2C3E7A88-BB3B-4244-A154-F1938AAEA76B}"/>
    <cellStyle name="20% - Accent1 3 2 3 2 5" xfId="19534" xr:uid="{00000000-0005-0000-0000-00001F030000}"/>
    <cellStyle name="20% - Accent1 3 2 3 2 5 2" xfId="43366" xr:uid="{D35F715B-E661-4F59-827A-BF321ED18A9B}"/>
    <cellStyle name="20% - Accent1 3 2 3 2 6" xfId="27486" xr:uid="{BD8E14C9-0996-4CD1-87EC-9BD7CBE11DE6}"/>
    <cellStyle name="20% - Accent1 3 2 3 2_Exh G" xfId="1991" xr:uid="{00000000-0005-0000-0000-000020030000}"/>
    <cellStyle name="20% - Accent1 3 2 3 3" xfId="4433" xr:uid="{00000000-0005-0000-0000-000021030000}"/>
    <cellStyle name="20% - Accent1 3 2 3 3 2" xfId="8025" xr:uid="{00000000-0005-0000-0000-000022030000}"/>
    <cellStyle name="20% - Accent1 3 2 3 3 2 2" xfId="15995" xr:uid="{00000000-0005-0000-0000-000023030000}"/>
    <cellStyle name="20% - Accent1 3 2 3 3 2 2 2" xfId="39837" xr:uid="{E21EAC8B-201F-4977-B9A4-CC9800AF4C48}"/>
    <cellStyle name="20% - Accent1 3 2 3 3 2 3" xfId="23941" xr:uid="{00000000-0005-0000-0000-000024030000}"/>
    <cellStyle name="20% - Accent1 3 2 3 3 2 3 2" xfId="47773" xr:uid="{9FAE633A-B04E-41E1-9604-A3A3AF0B7E16}"/>
    <cellStyle name="20% - Accent1 3 2 3 3 2 4" xfId="31896" xr:uid="{48CEEA84-5049-4E22-9457-81A91795970E}"/>
    <cellStyle name="20% - Accent1 3 2 3 3 3" xfId="12457" xr:uid="{00000000-0005-0000-0000-000025030000}"/>
    <cellStyle name="20% - Accent1 3 2 3 3 3 2" xfId="36306" xr:uid="{13A5C4A6-DF66-4C28-8E10-26CECC0C93F9}"/>
    <cellStyle name="20% - Accent1 3 2 3 3 4" xfId="20412" xr:uid="{00000000-0005-0000-0000-000026030000}"/>
    <cellStyle name="20% - Accent1 3 2 3 3 4 2" xfId="44244" xr:uid="{BC54DB91-1627-4EC6-B465-668FF69BAF27}"/>
    <cellStyle name="20% - Accent1 3 2 3 3 5" xfId="28365" xr:uid="{5D9A4122-FC6E-4ECC-9C33-7B00295B6350}"/>
    <cellStyle name="20% - Accent1 3 2 3 4" xfId="6263" xr:uid="{00000000-0005-0000-0000-000027030000}"/>
    <cellStyle name="20% - Accent1 3 2 3 4 2" xfId="14237" xr:uid="{00000000-0005-0000-0000-000028030000}"/>
    <cellStyle name="20% - Accent1 3 2 3 4 2 2" xfId="38079" xr:uid="{2E87B51F-15C1-4976-93CB-173D814DAC68}"/>
    <cellStyle name="20% - Accent1 3 2 3 4 3" xfId="22184" xr:uid="{00000000-0005-0000-0000-000029030000}"/>
    <cellStyle name="20% - Accent1 3 2 3 4 3 2" xfId="46016" xr:uid="{25CD438D-284D-46B1-AF7A-0E2A2641AF3B}"/>
    <cellStyle name="20% - Accent1 3 2 3 4 4" xfId="30138" xr:uid="{8C99B714-849B-4E85-BC70-717C0C67856C}"/>
    <cellStyle name="20% - Accent1 3 2 3 5" xfId="9805" xr:uid="{00000000-0005-0000-0000-00002A030000}"/>
    <cellStyle name="20% - Accent1 3 2 3 5 2" xfId="17763" xr:uid="{00000000-0005-0000-0000-00002B030000}"/>
    <cellStyle name="20% - Accent1 3 2 3 5 2 2" xfId="41603" xr:uid="{F17511E5-14EA-4BB3-BFB6-0244B104DAFD}"/>
    <cellStyle name="20% - Accent1 3 2 3 5 3" xfId="25707" xr:uid="{00000000-0005-0000-0000-00002C030000}"/>
    <cellStyle name="20% - Accent1 3 2 3 5 3 2" xfId="49539" xr:uid="{83F65EF5-BB24-4F26-89E9-36BAD404F0A1}"/>
    <cellStyle name="20% - Accent1 3 2 3 5 4" xfId="33662" xr:uid="{AFAD3F78-89E3-4E54-975E-FA988A76A392}"/>
    <cellStyle name="20% - Accent1 3 2 3 6" xfId="10701" xr:uid="{00000000-0005-0000-0000-00002D030000}"/>
    <cellStyle name="20% - Accent1 3 2 3 6 2" xfId="34550" xr:uid="{3BE68DEC-CEDF-4D07-95BB-6D5E564583B8}"/>
    <cellStyle name="20% - Accent1 3 2 3 7" xfId="18656" xr:uid="{00000000-0005-0000-0000-00002E030000}"/>
    <cellStyle name="20% - Accent1 3 2 3 7 2" xfId="42488" xr:uid="{331B546B-92EF-4503-832C-74CD8EF56C51}"/>
    <cellStyle name="20% - Accent1 3 2 3 8" xfId="26608" xr:uid="{8603772E-384B-430D-9FFE-84259A8EFE35}"/>
    <cellStyle name="20% - Accent1 3 2 3_Exh G" xfId="1990" xr:uid="{00000000-0005-0000-0000-00002F030000}"/>
    <cellStyle name="20% - Accent1 3 2 4" xfId="1072" xr:uid="{00000000-0005-0000-0000-000030030000}"/>
    <cellStyle name="20% - Accent1 3 2 4 2" xfId="4599" xr:uid="{00000000-0005-0000-0000-000031030000}"/>
    <cellStyle name="20% - Accent1 3 2 4 2 2" xfId="8190" xr:uid="{00000000-0005-0000-0000-000032030000}"/>
    <cellStyle name="20% - Accent1 3 2 4 2 2 2" xfId="16160" xr:uid="{00000000-0005-0000-0000-000033030000}"/>
    <cellStyle name="20% - Accent1 3 2 4 2 2 2 2" xfId="40002" xr:uid="{633803C5-A110-4435-9861-F2C974937B4D}"/>
    <cellStyle name="20% - Accent1 3 2 4 2 2 3" xfId="24106" xr:uid="{00000000-0005-0000-0000-000034030000}"/>
    <cellStyle name="20% - Accent1 3 2 4 2 2 3 2" xfId="47938" xr:uid="{12EB254B-F478-4CCA-9E5C-26EE055E4CB3}"/>
    <cellStyle name="20% - Accent1 3 2 4 2 2 4" xfId="32061" xr:uid="{E582E74D-DA99-4D86-833F-9E649384CC50}"/>
    <cellStyle name="20% - Accent1 3 2 4 2 3" xfId="12622" xr:uid="{00000000-0005-0000-0000-000035030000}"/>
    <cellStyle name="20% - Accent1 3 2 4 2 3 2" xfId="36471" xr:uid="{9E2D6CE8-6B8B-4A62-BB96-27039226267A}"/>
    <cellStyle name="20% - Accent1 3 2 4 2 4" xfId="20577" xr:uid="{00000000-0005-0000-0000-000036030000}"/>
    <cellStyle name="20% - Accent1 3 2 4 2 4 2" xfId="44409" xr:uid="{02FB2866-F218-43BE-BB9C-CF90F28E1C2B}"/>
    <cellStyle name="20% - Accent1 3 2 4 2 5" xfId="28530" xr:uid="{12204707-0A4B-4625-913E-AF59BD0E68D1}"/>
    <cellStyle name="20% - Accent1 3 2 4 3" xfId="6431" xr:uid="{00000000-0005-0000-0000-000037030000}"/>
    <cellStyle name="20% - Accent1 3 2 4 3 2" xfId="14402" xr:uid="{00000000-0005-0000-0000-000038030000}"/>
    <cellStyle name="20% - Accent1 3 2 4 3 2 2" xfId="38244" xr:uid="{D6E1490C-755B-4911-A3F1-61BF21E74D00}"/>
    <cellStyle name="20% - Accent1 3 2 4 3 3" xfId="22349" xr:uid="{00000000-0005-0000-0000-000039030000}"/>
    <cellStyle name="20% - Accent1 3 2 4 3 3 2" xfId="46181" xr:uid="{6457D5A3-85F0-4541-9B6E-86DC7DB500D7}"/>
    <cellStyle name="20% - Accent1 3 2 4 3 4" xfId="30303" xr:uid="{E3F3017B-870A-4A20-B478-3DECD9D86D6B}"/>
    <cellStyle name="20% - Accent1 3 2 4 4" xfId="10866" xr:uid="{00000000-0005-0000-0000-00003A030000}"/>
    <cellStyle name="20% - Accent1 3 2 4 4 2" xfId="34715" xr:uid="{95BAFC76-D16A-4489-A00C-A157A752197E}"/>
    <cellStyle name="20% - Accent1 3 2 4 5" xfId="18821" xr:uid="{00000000-0005-0000-0000-00003B030000}"/>
    <cellStyle name="20% - Accent1 3 2 4 5 2" xfId="42653" xr:uid="{10ABF765-1363-477F-B124-51D1E310DAB1}"/>
    <cellStyle name="20% - Accent1 3 2 4 6" xfId="26773" xr:uid="{6BC5B850-2EF6-4426-B295-5AE78416162E}"/>
    <cellStyle name="20% - Accent1 3 2 4_Exh G" xfId="1992" xr:uid="{00000000-0005-0000-0000-00003C030000}"/>
    <cellStyle name="20% - Accent1 3 2 5" xfId="3720" xr:uid="{00000000-0005-0000-0000-00003D030000}"/>
    <cellStyle name="20% - Accent1 3 2 5 2" xfId="7312" xr:uid="{00000000-0005-0000-0000-00003E030000}"/>
    <cellStyle name="20% - Accent1 3 2 5 2 2" xfId="15282" xr:uid="{00000000-0005-0000-0000-00003F030000}"/>
    <cellStyle name="20% - Accent1 3 2 5 2 2 2" xfId="39124" xr:uid="{496298E5-02E4-45F0-92C0-D07B3F47933A}"/>
    <cellStyle name="20% - Accent1 3 2 5 2 3" xfId="23228" xr:uid="{00000000-0005-0000-0000-000040030000}"/>
    <cellStyle name="20% - Accent1 3 2 5 2 3 2" xfId="47060" xr:uid="{B446F124-6369-4EE0-ABCF-F85E56E31D19}"/>
    <cellStyle name="20% - Accent1 3 2 5 2 4" xfId="31183" xr:uid="{B9736FBF-3E1B-46FB-94A5-0FA651193A24}"/>
    <cellStyle name="20% - Accent1 3 2 5 3" xfId="11744" xr:uid="{00000000-0005-0000-0000-000041030000}"/>
    <cellStyle name="20% - Accent1 3 2 5 3 2" xfId="35593" xr:uid="{0B6693F7-3BE6-4F03-A87A-29ED2DAFDC92}"/>
    <cellStyle name="20% - Accent1 3 2 5 4" xfId="19699" xr:uid="{00000000-0005-0000-0000-000042030000}"/>
    <cellStyle name="20% - Accent1 3 2 5 4 2" xfId="43531" xr:uid="{F81795ED-41D8-4163-B882-5E44A888E95B}"/>
    <cellStyle name="20% - Accent1 3 2 5 5" xfId="27652" xr:uid="{C3CB35A4-4246-4242-BC8C-3EBE7C2A7BCC}"/>
    <cellStyle name="20% - Accent1 3 2 6" xfId="5540" xr:uid="{00000000-0005-0000-0000-000043030000}"/>
    <cellStyle name="20% - Accent1 3 2 6 2" xfId="13523" xr:uid="{00000000-0005-0000-0000-000044030000}"/>
    <cellStyle name="20% - Accent1 3 2 6 2 2" xfId="37366" xr:uid="{CBD0B8A5-4DFB-4DAD-A1D2-5587919E7EDC}"/>
    <cellStyle name="20% - Accent1 3 2 6 3" xfId="21471" xr:uid="{00000000-0005-0000-0000-000045030000}"/>
    <cellStyle name="20% - Accent1 3 2 6 3 2" xfId="45303" xr:uid="{E637523B-9B23-4227-9586-640E9E5E20BF}"/>
    <cellStyle name="20% - Accent1 3 2 6 4" xfId="29425" xr:uid="{344814D3-D6EC-472A-9A99-7B74BD443BDA}"/>
    <cellStyle name="20% - Accent1 3 2 7" xfId="9092" xr:uid="{00000000-0005-0000-0000-000046030000}"/>
    <cellStyle name="20% - Accent1 3 2 7 2" xfId="17050" xr:uid="{00000000-0005-0000-0000-000047030000}"/>
    <cellStyle name="20% - Accent1 3 2 7 2 2" xfId="40890" xr:uid="{5F39B459-44D8-4743-B15E-0D9D14EC2DBF}"/>
    <cellStyle name="20% - Accent1 3 2 7 3" xfId="24994" xr:uid="{00000000-0005-0000-0000-000048030000}"/>
    <cellStyle name="20% - Accent1 3 2 7 3 2" xfId="48826" xr:uid="{813516E8-5808-41C4-B85C-F4AF4B5EF30E}"/>
    <cellStyle name="20% - Accent1 3 2 7 4" xfId="32949" xr:uid="{9798C23F-AC05-4BF7-B098-897B21D75005}"/>
    <cellStyle name="20% - Accent1 3 2 8" xfId="9988" xr:uid="{00000000-0005-0000-0000-000049030000}"/>
    <cellStyle name="20% - Accent1 3 2 8 2" xfId="33837" xr:uid="{1640A51F-7E0F-443B-92A8-140F12658ADA}"/>
    <cellStyle name="20% - Accent1 3 2 9" xfId="17943" xr:uid="{00000000-0005-0000-0000-00004A030000}"/>
    <cellStyle name="20% - Accent1 3 2 9 2" xfId="41775" xr:uid="{05962407-27B6-4971-B0E3-878DF7D5C379}"/>
    <cellStyle name="20% - Accent1 3 2_Exh G" xfId="1987" xr:uid="{00000000-0005-0000-0000-00004B030000}"/>
    <cellStyle name="20% - Accent1 3 3" xfId="48" xr:uid="{00000000-0005-0000-0000-00004C030000}"/>
    <cellStyle name="20% - Accent1 3 3 2" xfId="1074" xr:uid="{00000000-0005-0000-0000-00004D030000}"/>
    <cellStyle name="20% - Accent1 3 3 2 2" xfId="4601" xr:uid="{00000000-0005-0000-0000-00004E030000}"/>
    <cellStyle name="20% - Accent1 3 3 2 2 2" xfId="8192" xr:uid="{00000000-0005-0000-0000-00004F030000}"/>
    <cellStyle name="20% - Accent1 3 3 2 2 2 2" xfId="16162" xr:uid="{00000000-0005-0000-0000-000050030000}"/>
    <cellStyle name="20% - Accent1 3 3 2 2 2 2 2" xfId="40004" xr:uid="{FE6F678C-1B37-4C84-9E25-F484F06FF2F6}"/>
    <cellStyle name="20% - Accent1 3 3 2 2 2 3" xfId="24108" xr:uid="{00000000-0005-0000-0000-000051030000}"/>
    <cellStyle name="20% - Accent1 3 3 2 2 2 3 2" xfId="47940" xr:uid="{123D0EEC-6D3F-4D56-8CFD-113965130263}"/>
    <cellStyle name="20% - Accent1 3 3 2 2 2 4" xfId="32063" xr:uid="{920938C5-B870-46EA-A314-66363BDEBEF8}"/>
    <cellStyle name="20% - Accent1 3 3 2 2 3" xfId="12624" xr:uid="{00000000-0005-0000-0000-000052030000}"/>
    <cellStyle name="20% - Accent1 3 3 2 2 3 2" xfId="36473" xr:uid="{575B56E6-94AD-4E79-9B4F-F7E7A758CA6A}"/>
    <cellStyle name="20% - Accent1 3 3 2 2 4" xfId="20579" xr:uid="{00000000-0005-0000-0000-000053030000}"/>
    <cellStyle name="20% - Accent1 3 3 2 2 4 2" xfId="44411" xr:uid="{6C2767DD-3C0E-46CE-8347-23F34F4F987F}"/>
    <cellStyle name="20% - Accent1 3 3 2 2 5" xfId="28532" xr:uid="{5630F704-A09A-49E4-BDAF-5B9BFB35E8A2}"/>
    <cellStyle name="20% - Accent1 3 3 2 3" xfId="6433" xr:uid="{00000000-0005-0000-0000-000054030000}"/>
    <cellStyle name="20% - Accent1 3 3 2 3 2" xfId="14404" xr:uid="{00000000-0005-0000-0000-000055030000}"/>
    <cellStyle name="20% - Accent1 3 3 2 3 2 2" xfId="38246" xr:uid="{E7BFAE93-5C09-438D-A118-897926B9636F}"/>
    <cellStyle name="20% - Accent1 3 3 2 3 3" xfId="22351" xr:uid="{00000000-0005-0000-0000-000056030000}"/>
    <cellStyle name="20% - Accent1 3 3 2 3 3 2" xfId="46183" xr:uid="{4A4AD866-57FB-4E03-BE74-3699982B3927}"/>
    <cellStyle name="20% - Accent1 3 3 2 3 4" xfId="30305" xr:uid="{3C1B6161-8B21-49A4-A179-3DF901C0D51F}"/>
    <cellStyle name="20% - Accent1 3 3 2 4" xfId="10868" xr:uid="{00000000-0005-0000-0000-000057030000}"/>
    <cellStyle name="20% - Accent1 3 3 2 4 2" xfId="34717" xr:uid="{A604D1A5-0823-40CC-B4C1-11AF50BDD0A8}"/>
    <cellStyle name="20% - Accent1 3 3 2 5" xfId="18823" xr:uid="{00000000-0005-0000-0000-000058030000}"/>
    <cellStyle name="20% - Accent1 3 3 2 5 2" xfId="42655" xr:uid="{59FB7DE5-AAE9-48FD-8A58-AFFCBD8602BA}"/>
    <cellStyle name="20% - Accent1 3 3 2 6" xfId="26775" xr:uid="{47922B23-8E51-4EBA-9F4C-D88A8D35978A}"/>
    <cellStyle name="20% - Accent1 3 3 2_Exh G" xfId="1994" xr:uid="{00000000-0005-0000-0000-000059030000}"/>
    <cellStyle name="20% - Accent1 3 3 3" xfId="3722" xr:uid="{00000000-0005-0000-0000-00005A030000}"/>
    <cellStyle name="20% - Accent1 3 3 3 2" xfId="7314" xr:uid="{00000000-0005-0000-0000-00005B030000}"/>
    <cellStyle name="20% - Accent1 3 3 3 2 2" xfId="15284" xr:uid="{00000000-0005-0000-0000-00005C030000}"/>
    <cellStyle name="20% - Accent1 3 3 3 2 2 2" xfId="39126" xr:uid="{42A9873E-6151-4A12-B7D1-A9EB66DCF49F}"/>
    <cellStyle name="20% - Accent1 3 3 3 2 3" xfId="23230" xr:uid="{00000000-0005-0000-0000-00005D030000}"/>
    <cellStyle name="20% - Accent1 3 3 3 2 3 2" xfId="47062" xr:uid="{352A87FC-8821-4A79-9877-C4C95878E973}"/>
    <cellStyle name="20% - Accent1 3 3 3 2 4" xfId="31185" xr:uid="{FE7B89F1-35B3-44A3-9171-70DA7D7B385A}"/>
    <cellStyle name="20% - Accent1 3 3 3 3" xfId="11746" xr:uid="{00000000-0005-0000-0000-00005E030000}"/>
    <cellStyle name="20% - Accent1 3 3 3 3 2" xfId="35595" xr:uid="{4DB9AC98-E67D-401D-B4D8-EB2324AF2280}"/>
    <cellStyle name="20% - Accent1 3 3 3 4" xfId="19701" xr:uid="{00000000-0005-0000-0000-00005F030000}"/>
    <cellStyle name="20% - Accent1 3 3 3 4 2" xfId="43533" xr:uid="{2564F5D2-5AEF-44DB-B33F-BC61C91A782E}"/>
    <cellStyle name="20% - Accent1 3 3 3 5" xfId="27654" xr:uid="{F2D0163F-2D88-412C-80F4-25F5006641F7}"/>
    <cellStyle name="20% - Accent1 3 3 4" xfId="5542" xr:uid="{00000000-0005-0000-0000-000060030000}"/>
    <cellStyle name="20% - Accent1 3 3 4 2" xfId="13525" xr:uid="{00000000-0005-0000-0000-000061030000}"/>
    <cellStyle name="20% - Accent1 3 3 4 2 2" xfId="37368" xr:uid="{6C849FF0-6D5A-47BA-8F05-5590AF9EFFB3}"/>
    <cellStyle name="20% - Accent1 3 3 4 3" xfId="21473" xr:uid="{00000000-0005-0000-0000-000062030000}"/>
    <cellStyle name="20% - Accent1 3 3 4 3 2" xfId="45305" xr:uid="{369E3A3A-AE9B-4478-BACC-F77C38033C5B}"/>
    <cellStyle name="20% - Accent1 3 3 4 4" xfId="29427" xr:uid="{51264BFC-B93E-4874-AA52-B1AB27DB6287}"/>
    <cellStyle name="20% - Accent1 3 3 5" xfId="9094" xr:uid="{00000000-0005-0000-0000-000063030000}"/>
    <cellStyle name="20% - Accent1 3 3 5 2" xfId="17052" xr:uid="{00000000-0005-0000-0000-000064030000}"/>
    <cellStyle name="20% - Accent1 3 3 5 2 2" xfId="40892" xr:uid="{C1AE7132-6636-4106-A0E1-023167E538C4}"/>
    <cellStyle name="20% - Accent1 3 3 5 3" xfId="24996" xr:uid="{00000000-0005-0000-0000-000065030000}"/>
    <cellStyle name="20% - Accent1 3 3 5 3 2" xfId="48828" xr:uid="{FB6A2B99-E51F-4FC9-B72B-3B9B85CBBF77}"/>
    <cellStyle name="20% - Accent1 3 3 5 4" xfId="32951" xr:uid="{E823B44B-C436-40E7-BABF-42C2677A8DCB}"/>
    <cellStyle name="20% - Accent1 3 3 6" xfId="9990" xr:uid="{00000000-0005-0000-0000-000066030000}"/>
    <cellStyle name="20% - Accent1 3 3 6 2" xfId="33839" xr:uid="{34C6A005-368A-4427-8E15-309143AEFA9C}"/>
    <cellStyle name="20% - Accent1 3 3 7" xfId="17945" xr:uid="{00000000-0005-0000-0000-000067030000}"/>
    <cellStyle name="20% - Accent1 3 3 7 2" xfId="41777" xr:uid="{9F2DE6F1-DFA6-49B7-A31F-AD26D4B30F69}"/>
    <cellStyle name="20% - Accent1 3 3 8" xfId="25897" xr:uid="{4F521252-EAE8-415F-AEB5-DCE6521748AD}"/>
    <cellStyle name="20% - Accent1 3 3_Exh G" xfId="1993" xr:uid="{00000000-0005-0000-0000-000068030000}"/>
    <cellStyle name="20% - Accent1 3 4" xfId="862" xr:uid="{00000000-0005-0000-0000-000069030000}"/>
    <cellStyle name="20% - Accent1 3 4 2" xfId="1794" xr:uid="{00000000-0005-0000-0000-00006A030000}"/>
    <cellStyle name="20% - Accent1 3 4 2 2" xfId="5311" xr:uid="{00000000-0005-0000-0000-00006B030000}"/>
    <cellStyle name="20% - Accent1 3 4 2 2 2" xfId="8902" xr:uid="{00000000-0005-0000-0000-00006C030000}"/>
    <cellStyle name="20% - Accent1 3 4 2 2 2 2" xfId="16872" xr:uid="{00000000-0005-0000-0000-00006D030000}"/>
    <cellStyle name="20% - Accent1 3 4 2 2 2 2 2" xfId="40714" xr:uid="{82568373-FD4D-40E4-8287-BECC31F7F4AD}"/>
    <cellStyle name="20% - Accent1 3 4 2 2 2 3" xfId="24818" xr:uid="{00000000-0005-0000-0000-00006E030000}"/>
    <cellStyle name="20% - Accent1 3 4 2 2 2 3 2" xfId="48650" xr:uid="{936ED19B-CD0D-4509-9509-E635E58AB2F7}"/>
    <cellStyle name="20% - Accent1 3 4 2 2 2 4" xfId="32773" xr:uid="{2CF3650F-AACA-4795-B851-D618A881C930}"/>
    <cellStyle name="20% - Accent1 3 4 2 2 3" xfId="13334" xr:uid="{00000000-0005-0000-0000-00006F030000}"/>
    <cellStyle name="20% - Accent1 3 4 2 2 3 2" xfId="37183" xr:uid="{1A029131-B7C5-4AB1-A2A8-323778768D37}"/>
    <cellStyle name="20% - Accent1 3 4 2 2 4" xfId="21289" xr:uid="{00000000-0005-0000-0000-000070030000}"/>
    <cellStyle name="20% - Accent1 3 4 2 2 4 2" xfId="45121" xr:uid="{9C996FF3-F7A7-4158-9F73-7FF93BC5C5C9}"/>
    <cellStyle name="20% - Accent1 3 4 2 2 5" xfId="29242" xr:uid="{3C1AE5C2-8C7C-4D92-BB0C-DFFB7D62A0B1}"/>
    <cellStyle name="20% - Accent1 3 4 2 3" xfId="7143" xr:uid="{00000000-0005-0000-0000-000071030000}"/>
    <cellStyle name="20% - Accent1 3 4 2 3 2" xfId="15114" xr:uid="{00000000-0005-0000-0000-000072030000}"/>
    <cellStyle name="20% - Accent1 3 4 2 3 2 2" xfId="38956" xr:uid="{94BC1028-94FF-4C31-97D4-3E5FFE475D2F}"/>
    <cellStyle name="20% - Accent1 3 4 2 3 3" xfId="23061" xr:uid="{00000000-0005-0000-0000-000073030000}"/>
    <cellStyle name="20% - Accent1 3 4 2 3 3 2" xfId="46893" xr:uid="{E4C133D9-C0E7-4B4F-837C-361CF3DB2140}"/>
    <cellStyle name="20% - Accent1 3 4 2 3 4" xfId="31015" xr:uid="{370B7866-A4BE-44A1-8C10-7F9052AF0D4E}"/>
    <cellStyle name="20% - Accent1 3 4 2 4" xfId="11578" xr:uid="{00000000-0005-0000-0000-000074030000}"/>
    <cellStyle name="20% - Accent1 3 4 2 4 2" xfId="35427" xr:uid="{C107BA50-FA8A-43E3-9A79-8FD240ABFF62}"/>
    <cellStyle name="20% - Accent1 3 4 2 5" xfId="19533" xr:uid="{00000000-0005-0000-0000-000075030000}"/>
    <cellStyle name="20% - Accent1 3 4 2 5 2" xfId="43365" xr:uid="{EDE4A9F5-82D0-4628-BAF0-1A4CF6CE7157}"/>
    <cellStyle name="20% - Accent1 3 4 2 6" xfId="27485" xr:uid="{5AD7E9DC-C614-4C45-BFE5-2BFA683FF96A}"/>
    <cellStyle name="20% - Accent1 3 4 2_Exh G" xfId="1996" xr:uid="{00000000-0005-0000-0000-000076030000}"/>
    <cellStyle name="20% - Accent1 3 4 3" xfId="4432" xr:uid="{00000000-0005-0000-0000-000077030000}"/>
    <cellStyle name="20% - Accent1 3 4 3 2" xfId="8024" xr:uid="{00000000-0005-0000-0000-000078030000}"/>
    <cellStyle name="20% - Accent1 3 4 3 2 2" xfId="15994" xr:uid="{00000000-0005-0000-0000-000079030000}"/>
    <cellStyle name="20% - Accent1 3 4 3 2 2 2" xfId="39836" xr:uid="{A7D10070-2F67-4FE9-B59D-BF070A25E871}"/>
    <cellStyle name="20% - Accent1 3 4 3 2 3" xfId="23940" xr:uid="{00000000-0005-0000-0000-00007A030000}"/>
    <cellStyle name="20% - Accent1 3 4 3 2 3 2" xfId="47772" xr:uid="{90B73580-1642-426C-934C-D7B07C13B7C9}"/>
    <cellStyle name="20% - Accent1 3 4 3 2 4" xfId="31895" xr:uid="{EA2E5E2E-1458-4CC4-B644-06A0D7357ADA}"/>
    <cellStyle name="20% - Accent1 3 4 3 3" xfId="12456" xr:uid="{00000000-0005-0000-0000-00007B030000}"/>
    <cellStyle name="20% - Accent1 3 4 3 3 2" xfId="36305" xr:uid="{C44E4FA9-59A6-4887-8313-4D6E18FD893A}"/>
    <cellStyle name="20% - Accent1 3 4 3 4" xfId="20411" xr:uid="{00000000-0005-0000-0000-00007C030000}"/>
    <cellStyle name="20% - Accent1 3 4 3 4 2" xfId="44243" xr:uid="{87E99DA0-1713-4E19-B0F2-CBF4A4D87AB8}"/>
    <cellStyle name="20% - Accent1 3 4 3 5" xfId="28364" xr:uid="{9F1845D7-B851-4DFF-AD3B-39FC7E101451}"/>
    <cellStyle name="20% - Accent1 3 4 4" xfId="6262" xr:uid="{00000000-0005-0000-0000-00007D030000}"/>
    <cellStyle name="20% - Accent1 3 4 4 2" xfId="14236" xr:uid="{00000000-0005-0000-0000-00007E030000}"/>
    <cellStyle name="20% - Accent1 3 4 4 2 2" xfId="38078" xr:uid="{4C87F9BA-058B-4AF7-9F36-E0E2E381EFD6}"/>
    <cellStyle name="20% - Accent1 3 4 4 3" xfId="22183" xr:uid="{00000000-0005-0000-0000-00007F030000}"/>
    <cellStyle name="20% - Accent1 3 4 4 3 2" xfId="46015" xr:uid="{8CF89948-87B5-4196-99C8-B92538A445C7}"/>
    <cellStyle name="20% - Accent1 3 4 4 4" xfId="30137" xr:uid="{058CD8D6-3FB2-427C-A787-893DA130168E}"/>
    <cellStyle name="20% - Accent1 3 4 5" xfId="9804" xr:uid="{00000000-0005-0000-0000-000080030000}"/>
    <cellStyle name="20% - Accent1 3 4 5 2" xfId="17762" xr:uid="{00000000-0005-0000-0000-000081030000}"/>
    <cellStyle name="20% - Accent1 3 4 5 2 2" xfId="41602" xr:uid="{1B137F58-687A-4F01-9FC4-4BE9035FFF58}"/>
    <cellStyle name="20% - Accent1 3 4 5 3" xfId="25706" xr:uid="{00000000-0005-0000-0000-000082030000}"/>
    <cellStyle name="20% - Accent1 3 4 5 3 2" xfId="49538" xr:uid="{8082B193-A201-4A42-9237-4828BB49A153}"/>
    <cellStyle name="20% - Accent1 3 4 5 4" xfId="33661" xr:uid="{F527021F-48A7-417E-882D-2389894EFC6D}"/>
    <cellStyle name="20% - Accent1 3 4 6" xfId="10700" xr:uid="{00000000-0005-0000-0000-000083030000}"/>
    <cellStyle name="20% - Accent1 3 4 6 2" xfId="34549" xr:uid="{57990274-EFC2-48F2-8AA1-D83457CAA165}"/>
    <cellStyle name="20% - Accent1 3 4 7" xfId="18655" xr:uid="{00000000-0005-0000-0000-000084030000}"/>
    <cellStyle name="20% - Accent1 3 4 7 2" xfId="42487" xr:uid="{4560CE5B-3002-4E49-9108-AC2851612EB8}"/>
    <cellStyle name="20% - Accent1 3 4 8" xfId="26607" xr:uid="{CA8A3890-557F-4CB7-9EB6-39620EB10EA5}"/>
    <cellStyle name="20% - Accent1 3 4_Exh G" xfId="1995" xr:uid="{00000000-0005-0000-0000-000085030000}"/>
    <cellStyle name="20% - Accent1 3 5" xfId="1071" xr:uid="{00000000-0005-0000-0000-000086030000}"/>
    <cellStyle name="20% - Accent1 3 5 2" xfId="4598" xr:uid="{00000000-0005-0000-0000-000087030000}"/>
    <cellStyle name="20% - Accent1 3 5 2 2" xfId="8189" xr:uid="{00000000-0005-0000-0000-000088030000}"/>
    <cellStyle name="20% - Accent1 3 5 2 2 2" xfId="16159" xr:uid="{00000000-0005-0000-0000-000089030000}"/>
    <cellStyle name="20% - Accent1 3 5 2 2 2 2" xfId="40001" xr:uid="{C4A3DD61-8A47-4DDF-9A30-5F26C0D6BB2E}"/>
    <cellStyle name="20% - Accent1 3 5 2 2 3" xfId="24105" xr:uid="{00000000-0005-0000-0000-00008A030000}"/>
    <cellStyle name="20% - Accent1 3 5 2 2 3 2" xfId="47937" xr:uid="{240A5A90-EECD-42E2-AF6A-259D10ABB822}"/>
    <cellStyle name="20% - Accent1 3 5 2 2 4" xfId="32060" xr:uid="{F9C29D44-C6AC-45ED-91DC-D47577060D4C}"/>
    <cellStyle name="20% - Accent1 3 5 2 3" xfId="12621" xr:uid="{00000000-0005-0000-0000-00008B030000}"/>
    <cellStyle name="20% - Accent1 3 5 2 3 2" xfId="36470" xr:uid="{A55847CC-805E-4C8C-8CBD-35D5ACF98414}"/>
    <cellStyle name="20% - Accent1 3 5 2 4" xfId="20576" xr:uid="{00000000-0005-0000-0000-00008C030000}"/>
    <cellStyle name="20% - Accent1 3 5 2 4 2" xfId="44408" xr:uid="{7B4BB26D-21B3-4B19-AB90-EEB35529DA22}"/>
    <cellStyle name="20% - Accent1 3 5 2 5" xfId="28529" xr:uid="{36A49B07-3AC3-45AC-8A26-682E36CD95B3}"/>
    <cellStyle name="20% - Accent1 3 5 3" xfId="6430" xr:uid="{00000000-0005-0000-0000-00008D030000}"/>
    <cellStyle name="20% - Accent1 3 5 3 2" xfId="14401" xr:uid="{00000000-0005-0000-0000-00008E030000}"/>
    <cellStyle name="20% - Accent1 3 5 3 2 2" xfId="38243" xr:uid="{96000349-024A-40BA-916D-891C63280F7F}"/>
    <cellStyle name="20% - Accent1 3 5 3 3" xfId="22348" xr:uid="{00000000-0005-0000-0000-00008F030000}"/>
    <cellStyle name="20% - Accent1 3 5 3 3 2" xfId="46180" xr:uid="{BF24D46B-30B2-4896-B37A-3DA11823FB6E}"/>
    <cellStyle name="20% - Accent1 3 5 3 4" xfId="30302" xr:uid="{FB6AE52E-5EBF-4E8A-83C8-8E86F2897E6B}"/>
    <cellStyle name="20% - Accent1 3 5 4" xfId="10865" xr:uid="{00000000-0005-0000-0000-000090030000}"/>
    <cellStyle name="20% - Accent1 3 5 4 2" xfId="34714" xr:uid="{89B0F98F-0733-4134-B791-B3E8B3AB8039}"/>
    <cellStyle name="20% - Accent1 3 5 5" xfId="18820" xr:uid="{00000000-0005-0000-0000-000091030000}"/>
    <cellStyle name="20% - Accent1 3 5 5 2" xfId="42652" xr:uid="{0CD7BCE3-6A30-4503-8951-EE026D2F9168}"/>
    <cellStyle name="20% - Accent1 3 5 6" xfId="26772" xr:uid="{41AEBF55-621C-42A1-99D0-BFA2CD999ED0}"/>
    <cellStyle name="20% - Accent1 3 5_Exh G" xfId="1997" xr:uid="{00000000-0005-0000-0000-000092030000}"/>
    <cellStyle name="20% - Accent1 3 6" xfId="3719" xr:uid="{00000000-0005-0000-0000-000093030000}"/>
    <cellStyle name="20% - Accent1 3 6 2" xfId="7311" xr:uid="{00000000-0005-0000-0000-000094030000}"/>
    <cellStyle name="20% - Accent1 3 6 2 2" xfId="15281" xr:uid="{00000000-0005-0000-0000-000095030000}"/>
    <cellStyle name="20% - Accent1 3 6 2 2 2" xfId="39123" xr:uid="{43BE012F-9D47-4067-AAC4-BF9DEBDD4EB9}"/>
    <cellStyle name="20% - Accent1 3 6 2 3" xfId="23227" xr:uid="{00000000-0005-0000-0000-000096030000}"/>
    <cellStyle name="20% - Accent1 3 6 2 3 2" xfId="47059" xr:uid="{65716E94-4048-4C62-A29A-6D6E9442AE6A}"/>
    <cellStyle name="20% - Accent1 3 6 2 4" xfId="31182" xr:uid="{8043F50C-C9EF-4B7D-9C31-31C1A21D910A}"/>
    <cellStyle name="20% - Accent1 3 6 3" xfId="11743" xr:uid="{00000000-0005-0000-0000-000097030000}"/>
    <cellStyle name="20% - Accent1 3 6 3 2" xfId="35592" xr:uid="{0336CB12-A169-402E-AD59-19DF495C50B2}"/>
    <cellStyle name="20% - Accent1 3 6 4" xfId="19698" xr:uid="{00000000-0005-0000-0000-000098030000}"/>
    <cellStyle name="20% - Accent1 3 6 4 2" xfId="43530" xr:uid="{5339C064-48CB-48FC-ACF1-CF18A6729E0B}"/>
    <cellStyle name="20% - Accent1 3 6 5" xfId="27651" xr:uid="{9E5FF1E5-4E66-41CF-96EE-882B99DF70B2}"/>
    <cellStyle name="20% - Accent1 3 7" xfId="5539" xr:uid="{00000000-0005-0000-0000-000099030000}"/>
    <cellStyle name="20% - Accent1 3 7 2" xfId="13522" xr:uid="{00000000-0005-0000-0000-00009A030000}"/>
    <cellStyle name="20% - Accent1 3 7 2 2" xfId="37365" xr:uid="{AB5ECCD7-D020-4935-A4E1-CD19B355CA8C}"/>
    <cellStyle name="20% - Accent1 3 7 3" xfId="21470" xr:uid="{00000000-0005-0000-0000-00009B030000}"/>
    <cellStyle name="20% - Accent1 3 7 3 2" xfId="45302" xr:uid="{71164AB0-2BC7-4CEC-A445-64B2931850F9}"/>
    <cellStyle name="20% - Accent1 3 7 4" xfId="29424" xr:uid="{70ED2111-C423-43ED-967C-4A106C55886B}"/>
    <cellStyle name="20% - Accent1 3 8" xfId="9091" xr:uid="{00000000-0005-0000-0000-00009C030000}"/>
    <cellStyle name="20% - Accent1 3 8 2" xfId="17049" xr:uid="{00000000-0005-0000-0000-00009D030000}"/>
    <cellStyle name="20% - Accent1 3 8 2 2" xfId="40889" xr:uid="{A1E52D98-DAD0-4BB9-91B7-3BE85016004E}"/>
    <cellStyle name="20% - Accent1 3 8 3" xfId="24993" xr:uid="{00000000-0005-0000-0000-00009E030000}"/>
    <cellStyle name="20% - Accent1 3 8 3 2" xfId="48825" xr:uid="{B784C314-F880-487E-A062-79232B052F9C}"/>
    <cellStyle name="20% - Accent1 3 8 4" xfId="32948" xr:uid="{154302D5-6512-43A9-B997-6F7EE9D965E9}"/>
    <cellStyle name="20% - Accent1 3 9" xfId="9987" xr:uid="{00000000-0005-0000-0000-00009F030000}"/>
    <cellStyle name="20% - Accent1 3 9 2" xfId="33836" xr:uid="{D25C04AA-E2A9-4220-8523-8380E905D897}"/>
    <cellStyle name="20% - Accent1 3_Exh G" xfId="1986" xr:uid="{00000000-0005-0000-0000-0000A0030000}"/>
    <cellStyle name="20% - Accent1 4" xfId="49" xr:uid="{00000000-0005-0000-0000-0000A1030000}"/>
    <cellStyle name="20% - Accent1 4 10" xfId="17946" xr:uid="{00000000-0005-0000-0000-0000A2030000}"/>
    <cellStyle name="20% - Accent1 4 10 2" xfId="41778" xr:uid="{6474D9C7-A57B-4DBB-807F-D3D80F064553}"/>
    <cellStyle name="20% - Accent1 4 11" xfId="25898" xr:uid="{6505CDA7-8076-493B-AEAA-6BBB17C582B3}"/>
    <cellStyle name="20% - Accent1 4 2" xfId="50" xr:uid="{00000000-0005-0000-0000-0000A3030000}"/>
    <cellStyle name="20% - Accent1 4 2 10" xfId="25899" xr:uid="{03B5FE28-20CF-492B-A896-AF4DD4996885}"/>
    <cellStyle name="20% - Accent1 4 2 2" xfId="51" xr:uid="{00000000-0005-0000-0000-0000A4030000}"/>
    <cellStyle name="20% - Accent1 4 2 2 2" xfId="1077" xr:uid="{00000000-0005-0000-0000-0000A5030000}"/>
    <cellStyle name="20% - Accent1 4 2 2 2 2" xfId="4604" xr:uid="{00000000-0005-0000-0000-0000A6030000}"/>
    <cellStyle name="20% - Accent1 4 2 2 2 2 2" xfId="8195" xr:uid="{00000000-0005-0000-0000-0000A7030000}"/>
    <cellStyle name="20% - Accent1 4 2 2 2 2 2 2" xfId="16165" xr:uid="{00000000-0005-0000-0000-0000A8030000}"/>
    <cellStyle name="20% - Accent1 4 2 2 2 2 2 2 2" xfId="40007" xr:uid="{434BB06B-155E-46D3-9015-035604A8D82A}"/>
    <cellStyle name="20% - Accent1 4 2 2 2 2 2 3" xfId="24111" xr:uid="{00000000-0005-0000-0000-0000A9030000}"/>
    <cellStyle name="20% - Accent1 4 2 2 2 2 2 3 2" xfId="47943" xr:uid="{709969E9-3CA0-4307-AA94-D15498B44F9B}"/>
    <cellStyle name="20% - Accent1 4 2 2 2 2 2 4" xfId="32066" xr:uid="{2A3DC031-7E71-411A-846A-AA542113EF52}"/>
    <cellStyle name="20% - Accent1 4 2 2 2 2 3" xfId="12627" xr:uid="{00000000-0005-0000-0000-0000AA030000}"/>
    <cellStyle name="20% - Accent1 4 2 2 2 2 3 2" xfId="36476" xr:uid="{3AD94DC9-CCE8-4E9E-9702-4B71625B4C29}"/>
    <cellStyle name="20% - Accent1 4 2 2 2 2 4" xfId="20582" xr:uid="{00000000-0005-0000-0000-0000AB030000}"/>
    <cellStyle name="20% - Accent1 4 2 2 2 2 4 2" xfId="44414" xr:uid="{F1BE4CEA-64D9-4551-A6FB-302FE70AF8F2}"/>
    <cellStyle name="20% - Accent1 4 2 2 2 2 5" xfId="28535" xr:uid="{989575C5-FF98-4DD6-AEED-1412A8A2C193}"/>
    <cellStyle name="20% - Accent1 4 2 2 2 3" xfId="6436" xr:uid="{00000000-0005-0000-0000-0000AC030000}"/>
    <cellStyle name="20% - Accent1 4 2 2 2 3 2" xfId="14407" xr:uid="{00000000-0005-0000-0000-0000AD030000}"/>
    <cellStyle name="20% - Accent1 4 2 2 2 3 2 2" xfId="38249" xr:uid="{DEF48242-607E-4F2C-864C-440CB37C8A5E}"/>
    <cellStyle name="20% - Accent1 4 2 2 2 3 3" xfId="22354" xr:uid="{00000000-0005-0000-0000-0000AE030000}"/>
    <cellStyle name="20% - Accent1 4 2 2 2 3 3 2" xfId="46186" xr:uid="{DC2D59DF-DCAC-48A7-A14A-2BD8A1D5987B}"/>
    <cellStyle name="20% - Accent1 4 2 2 2 3 4" xfId="30308" xr:uid="{5D306287-9376-4A78-B3E0-D347942EB46C}"/>
    <cellStyle name="20% - Accent1 4 2 2 2 4" xfId="10871" xr:uid="{00000000-0005-0000-0000-0000AF030000}"/>
    <cellStyle name="20% - Accent1 4 2 2 2 4 2" xfId="34720" xr:uid="{B35E978C-19A6-49F0-8C38-6042356D3332}"/>
    <cellStyle name="20% - Accent1 4 2 2 2 5" xfId="18826" xr:uid="{00000000-0005-0000-0000-0000B0030000}"/>
    <cellStyle name="20% - Accent1 4 2 2 2 5 2" xfId="42658" xr:uid="{9511EF87-9127-4CEA-AA9E-5764BF85DC68}"/>
    <cellStyle name="20% - Accent1 4 2 2 2 6" xfId="26778" xr:uid="{836D1EC6-012E-4164-89BE-733A8172572C}"/>
    <cellStyle name="20% - Accent1 4 2 2 2_Exh G" xfId="2001" xr:uid="{00000000-0005-0000-0000-0000B1030000}"/>
    <cellStyle name="20% - Accent1 4 2 2 3" xfId="3725" xr:uid="{00000000-0005-0000-0000-0000B2030000}"/>
    <cellStyle name="20% - Accent1 4 2 2 3 2" xfId="7317" xr:uid="{00000000-0005-0000-0000-0000B3030000}"/>
    <cellStyle name="20% - Accent1 4 2 2 3 2 2" xfId="15287" xr:uid="{00000000-0005-0000-0000-0000B4030000}"/>
    <cellStyle name="20% - Accent1 4 2 2 3 2 2 2" xfId="39129" xr:uid="{4E375514-7858-47EB-BD38-62268F95F480}"/>
    <cellStyle name="20% - Accent1 4 2 2 3 2 3" xfId="23233" xr:uid="{00000000-0005-0000-0000-0000B5030000}"/>
    <cellStyle name="20% - Accent1 4 2 2 3 2 3 2" xfId="47065" xr:uid="{110C621D-A965-4196-8D93-26993072A081}"/>
    <cellStyle name="20% - Accent1 4 2 2 3 2 4" xfId="31188" xr:uid="{C5FAD9D7-58BD-47FF-9858-492745777D3A}"/>
    <cellStyle name="20% - Accent1 4 2 2 3 3" xfId="11749" xr:uid="{00000000-0005-0000-0000-0000B6030000}"/>
    <cellStyle name="20% - Accent1 4 2 2 3 3 2" xfId="35598" xr:uid="{5290E820-DF0E-4472-B666-FA283E557D6A}"/>
    <cellStyle name="20% - Accent1 4 2 2 3 4" xfId="19704" xr:uid="{00000000-0005-0000-0000-0000B7030000}"/>
    <cellStyle name="20% - Accent1 4 2 2 3 4 2" xfId="43536" xr:uid="{AF91B6D1-BF9D-4717-A8D5-1EC850B1AD75}"/>
    <cellStyle name="20% - Accent1 4 2 2 3 5" xfId="27657" xr:uid="{FF9BEA9E-9200-4D8C-A9FE-4905326B63E5}"/>
    <cellStyle name="20% - Accent1 4 2 2 4" xfId="5545" xr:uid="{00000000-0005-0000-0000-0000B8030000}"/>
    <cellStyle name="20% - Accent1 4 2 2 4 2" xfId="13528" xr:uid="{00000000-0005-0000-0000-0000B9030000}"/>
    <cellStyle name="20% - Accent1 4 2 2 4 2 2" xfId="37371" xr:uid="{B9902AA7-1E11-4FBC-9F1C-5EB4A356BB55}"/>
    <cellStyle name="20% - Accent1 4 2 2 4 3" xfId="21476" xr:uid="{00000000-0005-0000-0000-0000BA030000}"/>
    <cellStyle name="20% - Accent1 4 2 2 4 3 2" xfId="45308" xr:uid="{1086C3C2-43E8-436F-BA5D-4C1166ADF0DF}"/>
    <cellStyle name="20% - Accent1 4 2 2 4 4" xfId="29430" xr:uid="{7515FD4C-99FE-431E-B93F-368465638750}"/>
    <cellStyle name="20% - Accent1 4 2 2 5" xfId="9097" xr:uid="{00000000-0005-0000-0000-0000BB030000}"/>
    <cellStyle name="20% - Accent1 4 2 2 5 2" xfId="17055" xr:uid="{00000000-0005-0000-0000-0000BC030000}"/>
    <cellStyle name="20% - Accent1 4 2 2 5 2 2" xfId="40895" xr:uid="{116A595A-D9A9-4150-9E26-98406C9D3321}"/>
    <cellStyle name="20% - Accent1 4 2 2 5 3" xfId="24999" xr:uid="{00000000-0005-0000-0000-0000BD030000}"/>
    <cellStyle name="20% - Accent1 4 2 2 5 3 2" xfId="48831" xr:uid="{E644AFF8-C00E-4287-A781-95FC4D20EFA1}"/>
    <cellStyle name="20% - Accent1 4 2 2 5 4" xfId="32954" xr:uid="{EBCB41DD-B01F-4B9C-84F6-FD69D685AEB7}"/>
    <cellStyle name="20% - Accent1 4 2 2 6" xfId="9993" xr:uid="{00000000-0005-0000-0000-0000BE030000}"/>
    <cellStyle name="20% - Accent1 4 2 2 6 2" xfId="33842" xr:uid="{4D44CD4D-2C3D-4889-A423-96638CF983A7}"/>
    <cellStyle name="20% - Accent1 4 2 2 7" xfId="17948" xr:uid="{00000000-0005-0000-0000-0000BF030000}"/>
    <cellStyle name="20% - Accent1 4 2 2 7 2" xfId="41780" xr:uid="{B4E087BD-AD59-46C9-B9CC-2413D79ED809}"/>
    <cellStyle name="20% - Accent1 4 2 2 8" xfId="25900" xr:uid="{8F632A79-B66A-4FF8-8301-4BE636A9AFEE}"/>
    <cellStyle name="20% - Accent1 4 2 2_Exh G" xfId="2000" xr:uid="{00000000-0005-0000-0000-0000C0030000}"/>
    <cellStyle name="20% - Accent1 4 2 3" xfId="865" xr:uid="{00000000-0005-0000-0000-0000C1030000}"/>
    <cellStyle name="20% - Accent1 4 2 3 2" xfId="1797" xr:uid="{00000000-0005-0000-0000-0000C2030000}"/>
    <cellStyle name="20% - Accent1 4 2 3 2 2" xfId="5314" xr:uid="{00000000-0005-0000-0000-0000C3030000}"/>
    <cellStyle name="20% - Accent1 4 2 3 2 2 2" xfId="8905" xr:uid="{00000000-0005-0000-0000-0000C4030000}"/>
    <cellStyle name="20% - Accent1 4 2 3 2 2 2 2" xfId="16875" xr:uid="{00000000-0005-0000-0000-0000C5030000}"/>
    <cellStyle name="20% - Accent1 4 2 3 2 2 2 2 2" xfId="40717" xr:uid="{5DE7EBD1-2AE7-4CDF-916A-834256ABEBB2}"/>
    <cellStyle name="20% - Accent1 4 2 3 2 2 2 3" xfId="24821" xr:uid="{00000000-0005-0000-0000-0000C6030000}"/>
    <cellStyle name="20% - Accent1 4 2 3 2 2 2 3 2" xfId="48653" xr:uid="{F0E8241A-BBD8-4CB3-AC18-CC36817E97A9}"/>
    <cellStyle name="20% - Accent1 4 2 3 2 2 2 4" xfId="32776" xr:uid="{57BFB0A4-C31C-42FC-9746-25BBB8D30B2E}"/>
    <cellStyle name="20% - Accent1 4 2 3 2 2 3" xfId="13337" xr:uid="{00000000-0005-0000-0000-0000C7030000}"/>
    <cellStyle name="20% - Accent1 4 2 3 2 2 3 2" xfId="37186" xr:uid="{6FFD4340-6352-4305-8DED-26DC4768D71C}"/>
    <cellStyle name="20% - Accent1 4 2 3 2 2 4" xfId="21292" xr:uid="{00000000-0005-0000-0000-0000C8030000}"/>
    <cellStyle name="20% - Accent1 4 2 3 2 2 4 2" xfId="45124" xr:uid="{56F6F6D8-3527-46E1-874A-9BBCE140CF23}"/>
    <cellStyle name="20% - Accent1 4 2 3 2 2 5" xfId="29245" xr:uid="{A47957DE-AAD2-474D-8AEA-E5D40FCCF915}"/>
    <cellStyle name="20% - Accent1 4 2 3 2 3" xfId="7146" xr:uid="{00000000-0005-0000-0000-0000C9030000}"/>
    <cellStyle name="20% - Accent1 4 2 3 2 3 2" xfId="15117" xr:uid="{00000000-0005-0000-0000-0000CA030000}"/>
    <cellStyle name="20% - Accent1 4 2 3 2 3 2 2" xfId="38959" xr:uid="{83AF8898-7CFC-4C5F-98FF-9914D4588920}"/>
    <cellStyle name="20% - Accent1 4 2 3 2 3 3" xfId="23064" xr:uid="{00000000-0005-0000-0000-0000CB030000}"/>
    <cellStyle name="20% - Accent1 4 2 3 2 3 3 2" xfId="46896" xr:uid="{DB95B0FE-6D66-467F-A0D5-B55B4F4492A4}"/>
    <cellStyle name="20% - Accent1 4 2 3 2 3 4" xfId="31018" xr:uid="{4EBCE8D7-D24E-485D-843C-2BC7C72452E8}"/>
    <cellStyle name="20% - Accent1 4 2 3 2 4" xfId="11581" xr:uid="{00000000-0005-0000-0000-0000CC030000}"/>
    <cellStyle name="20% - Accent1 4 2 3 2 4 2" xfId="35430" xr:uid="{068BEE01-713B-45A2-92FA-60D1D1D45B6F}"/>
    <cellStyle name="20% - Accent1 4 2 3 2 5" xfId="19536" xr:uid="{00000000-0005-0000-0000-0000CD030000}"/>
    <cellStyle name="20% - Accent1 4 2 3 2 5 2" xfId="43368" xr:uid="{4003E3DC-E1EF-4CE0-A5F4-F611F86F211E}"/>
    <cellStyle name="20% - Accent1 4 2 3 2 6" xfId="27488" xr:uid="{F8338F6E-60CB-489B-AFA0-76FF97892083}"/>
    <cellStyle name="20% - Accent1 4 2 3 2_Exh G" xfId="2003" xr:uid="{00000000-0005-0000-0000-0000CE030000}"/>
    <cellStyle name="20% - Accent1 4 2 3 3" xfId="4435" xr:uid="{00000000-0005-0000-0000-0000CF030000}"/>
    <cellStyle name="20% - Accent1 4 2 3 3 2" xfId="8027" xr:uid="{00000000-0005-0000-0000-0000D0030000}"/>
    <cellStyle name="20% - Accent1 4 2 3 3 2 2" xfId="15997" xr:uid="{00000000-0005-0000-0000-0000D1030000}"/>
    <cellStyle name="20% - Accent1 4 2 3 3 2 2 2" xfId="39839" xr:uid="{F21CBCA6-B622-4F9E-8992-2E17DF01A579}"/>
    <cellStyle name="20% - Accent1 4 2 3 3 2 3" xfId="23943" xr:uid="{00000000-0005-0000-0000-0000D2030000}"/>
    <cellStyle name="20% - Accent1 4 2 3 3 2 3 2" xfId="47775" xr:uid="{6D45D4FA-F619-4BD3-9406-AC7F1B47CA57}"/>
    <cellStyle name="20% - Accent1 4 2 3 3 2 4" xfId="31898" xr:uid="{A48A2EFC-9CB5-4E63-A896-49C3441C1535}"/>
    <cellStyle name="20% - Accent1 4 2 3 3 3" xfId="12459" xr:uid="{00000000-0005-0000-0000-0000D3030000}"/>
    <cellStyle name="20% - Accent1 4 2 3 3 3 2" xfId="36308" xr:uid="{7E73E070-E62A-466D-9283-14E70149DB57}"/>
    <cellStyle name="20% - Accent1 4 2 3 3 4" xfId="20414" xr:uid="{00000000-0005-0000-0000-0000D4030000}"/>
    <cellStyle name="20% - Accent1 4 2 3 3 4 2" xfId="44246" xr:uid="{8C8EF353-0901-4E04-A73E-D18DCA196736}"/>
    <cellStyle name="20% - Accent1 4 2 3 3 5" xfId="28367" xr:uid="{B519550D-2B38-47CF-A1DF-80013510DF10}"/>
    <cellStyle name="20% - Accent1 4 2 3 4" xfId="6265" xr:uid="{00000000-0005-0000-0000-0000D5030000}"/>
    <cellStyle name="20% - Accent1 4 2 3 4 2" xfId="14239" xr:uid="{00000000-0005-0000-0000-0000D6030000}"/>
    <cellStyle name="20% - Accent1 4 2 3 4 2 2" xfId="38081" xr:uid="{67B4CCDB-410C-446A-AC47-7D9C035A0457}"/>
    <cellStyle name="20% - Accent1 4 2 3 4 3" xfId="22186" xr:uid="{00000000-0005-0000-0000-0000D7030000}"/>
    <cellStyle name="20% - Accent1 4 2 3 4 3 2" xfId="46018" xr:uid="{1523FF43-7719-4892-9869-DC24E156F345}"/>
    <cellStyle name="20% - Accent1 4 2 3 4 4" xfId="30140" xr:uid="{578CB307-35DF-4A5B-9A87-270B6128A203}"/>
    <cellStyle name="20% - Accent1 4 2 3 5" xfId="9807" xr:uid="{00000000-0005-0000-0000-0000D8030000}"/>
    <cellStyle name="20% - Accent1 4 2 3 5 2" xfId="17765" xr:uid="{00000000-0005-0000-0000-0000D9030000}"/>
    <cellStyle name="20% - Accent1 4 2 3 5 2 2" xfId="41605" xr:uid="{43378DD5-697B-43A3-B939-0F5EAD439649}"/>
    <cellStyle name="20% - Accent1 4 2 3 5 3" xfId="25709" xr:uid="{00000000-0005-0000-0000-0000DA030000}"/>
    <cellStyle name="20% - Accent1 4 2 3 5 3 2" xfId="49541" xr:uid="{DCD32F15-1520-4471-A6C0-EE93ED5F8574}"/>
    <cellStyle name="20% - Accent1 4 2 3 5 4" xfId="33664" xr:uid="{6FB684EA-9ECE-42ED-8A75-69ADC57625A7}"/>
    <cellStyle name="20% - Accent1 4 2 3 6" xfId="10703" xr:uid="{00000000-0005-0000-0000-0000DB030000}"/>
    <cellStyle name="20% - Accent1 4 2 3 6 2" xfId="34552" xr:uid="{DAE6ED8E-CCA8-444A-8D76-DF70A3E8B0D8}"/>
    <cellStyle name="20% - Accent1 4 2 3 7" xfId="18658" xr:uid="{00000000-0005-0000-0000-0000DC030000}"/>
    <cellStyle name="20% - Accent1 4 2 3 7 2" xfId="42490" xr:uid="{FA121EF6-A47A-4E1A-9025-375BC38BF689}"/>
    <cellStyle name="20% - Accent1 4 2 3 8" xfId="26610" xr:uid="{7572C061-BB22-4105-807E-D4771002F20E}"/>
    <cellStyle name="20% - Accent1 4 2 3_Exh G" xfId="2002" xr:uid="{00000000-0005-0000-0000-0000DD030000}"/>
    <cellStyle name="20% - Accent1 4 2 4" xfId="1076" xr:uid="{00000000-0005-0000-0000-0000DE030000}"/>
    <cellStyle name="20% - Accent1 4 2 4 2" xfId="4603" xr:uid="{00000000-0005-0000-0000-0000DF030000}"/>
    <cellStyle name="20% - Accent1 4 2 4 2 2" xfId="8194" xr:uid="{00000000-0005-0000-0000-0000E0030000}"/>
    <cellStyle name="20% - Accent1 4 2 4 2 2 2" xfId="16164" xr:uid="{00000000-0005-0000-0000-0000E1030000}"/>
    <cellStyle name="20% - Accent1 4 2 4 2 2 2 2" xfId="40006" xr:uid="{0DD6E7A0-29EA-4696-A66A-9A79C58D526D}"/>
    <cellStyle name="20% - Accent1 4 2 4 2 2 3" xfId="24110" xr:uid="{00000000-0005-0000-0000-0000E2030000}"/>
    <cellStyle name="20% - Accent1 4 2 4 2 2 3 2" xfId="47942" xr:uid="{BA6817B0-F2AF-4C1B-BEB1-5FA0A7045C90}"/>
    <cellStyle name="20% - Accent1 4 2 4 2 2 4" xfId="32065" xr:uid="{7EB90C30-60DD-456B-AB84-3F8457B27041}"/>
    <cellStyle name="20% - Accent1 4 2 4 2 3" xfId="12626" xr:uid="{00000000-0005-0000-0000-0000E3030000}"/>
    <cellStyle name="20% - Accent1 4 2 4 2 3 2" xfId="36475" xr:uid="{42B3F5B0-10B9-4D9A-97A9-D79E40D96735}"/>
    <cellStyle name="20% - Accent1 4 2 4 2 4" xfId="20581" xr:uid="{00000000-0005-0000-0000-0000E4030000}"/>
    <cellStyle name="20% - Accent1 4 2 4 2 4 2" xfId="44413" xr:uid="{558E351C-7FE2-4C29-B727-68A0535B2120}"/>
    <cellStyle name="20% - Accent1 4 2 4 2 5" xfId="28534" xr:uid="{9AA03507-9CFD-4B95-BAD4-A2D71268334A}"/>
    <cellStyle name="20% - Accent1 4 2 4 3" xfId="6435" xr:uid="{00000000-0005-0000-0000-0000E5030000}"/>
    <cellStyle name="20% - Accent1 4 2 4 3 2" xfId="14406" xr:uid="{00000000-0005-0000-0000-0000E6030000}"/>
    <cellStyle name="20% - Accent1 4 2 4 3 2 2" xfId="38248" xr:uid="{B8282176-DA0B-484E-8F20-FD67A8750795}"/>
    <cellStyle name="20% - Accent1 4 2 4 3 3" xfId="22353" xr:uid="{00000000-0005-0000-0000-0000E7030000}"/>
    <cellStyle name="20% - Accent1 4 2 4 3 3 2" xfId="46185" xr:uid="{1DCD6FA9-5C17-4CA4-ACAE-AF09FAA2D8D6}"/>
    <cellStyle name="20% - Accent1 4 2 4 3 4" xfId="30307" xr:uid="{47D7D536-65F7-46E8-B3FD-3EF823F66010}"/>
    <cellStyle name="20% - Accent1 4 2 4 4" xfId="10870" xr:uid="{00000000-0005-0000-0000-0000E8030000}"/>
    <cellStyle name="20% - Accent1 4 2 4 4 2" xfId="34719" xr:uid="{D22ED052-8AD5-412F-96B1-9A7188F48510}"/>
    <cellStyle name="20% - Accent1 4 2 4 5" xfId="18825" xr:uid="{00000000-0005-0000-0000-0000E9030000}"/>
    <cellStyle name="20% - Accent1 4 2 4 5 2" xfId="42657" xr:uid="{75DF9A58-927D-4964-BB26-76A98D4322DF}"/>
    <cellStyle name="20% - Accent1 4 2 4 6" xfId="26777" xr:uid="{08B123D4-C346-4235-8FC2-09B5132479EA}"/>
    <cellStyle name="20% - Accent1 4 2 4_Exh G" xfId="2004" xr:uid="{00000000-0005-0000-0000-0000EA030000}"/>
    <cellStyle name="20% - Accent1 4 2 5" xfId="3724" xr:uid="{00000000-0005-0000-0000-0000EB030000}"/>
    <cellStyle name="20% - Accent1 4 2 5 2" xfId="7316" xr:uid="{00000000-0005-0000-0000-0000EC030000}"/>
    <cellStyle name="20% - Accent1 4 2 5 2 2" xfId="15286" xr:uid="{00000000-0005-0000-0000-0000ED030000}"/>
    <cellStyle name="20% - Accent1 4 2 5 2 2 2" xfId="39128" xr:uid="{66F82BF7-3980-44E2-9DDD-1D69B8FBF8D0}"/>
    <cellStyle name="20% - Accent1 4 2 5 2 3" xfId="23232" xr:uid="{00000000-0005-0000-0000-0000EE030000}"/>
    <cellStyle name="20% - Accent1 4 2 5 2 3 2" xfId="47064" xr:uid="{DC24C7F2-7727-41F3-B86D-DD9FA0F919ED}"/>
    <cellStyle name="20% - Accent1 4 2 5 2 4" xfId="31187" xr:uid="{7E3B676E-712E-4AC9-9107-C53BB8380238}"/>
    <cellStyle name="20% - Accent1 4 2 5 3" xfId="11748" xr:uid="{00000000-0005-0000-0000-0000EF030000}"/>
    <cellStyle name="20% - Accent1 4 2 5 3 2" xfId="35597" xr:uid="{21847302-C405-4684-B133-B3F02D2AE54D}"/>
    <cellStyle name="20% - Accent1 4 2 5 4" xfId="19703" xr:uid="{00000000-0005-0000-0000-0000F0030000}"/>
    <cellStyle name="20% - Accent1 4 2 5 4 2" xfId="43535" xr:uid="{7C048FEC-8DF1-4DC9-BE78-81C523FB85F0}"/>
    <cellStyle name="20% - Accent1 4 2 5 5" xfId="27656" xr:uid="{5E43CC61-2271-4CB9-9005-18FD54A625A9}"/>
    <cellStyle name="20% - Accent1 4 2 6" xfId="5544" xr:uid="{00000000-0005-0000-0000-0000F1030000}"/>
    <cellStyle name="20% - Accent1 4 2 6 2" xfId="13527" xr:uid="{00000000-0005-0000-0000-0000F2030000}"/>
    <cellStyle name="20% - Accent1 4 2 6 2 2" xfId="37370" xr:uid="{ACA0B41F-0B1F-4265-B3C3-58C0711EEF4A}"/>
    <cellStyle name="20% - Accent1 4 2 6 3" xfId="21475" xr:uid="{00000000-0005-0000-0000-0000F3030000}"/>
    <cellStyle name="20% - Accent1 4 2 6 3 2" xfId="45307" xr:uid="{BD842D7A-2E2E-40DC-824A-75463B25F1E3}"/>
    <cellStyle name="20% - Accent1 4 2 6 4" xfId="29429" xr:uid="{0222D965-44BC-491B-AF10-8A56718B4BF4}"/>
    <cellStyle name="20% - Accent1 4 2 7" xfId="9096" xr:uid="{00000000-0005-0000-0000-0000F4030000}"/>
    <cellStyle name="20% - Accent1 4 2 7 2" xfId="17054" xr:uid="{00000000-0005-0000-0000-0000F5030000}"/>
    <cellStyle name="20% - Accent1 4 2 7 2 2" xfId="40894" xr:uid="{BEC9A633-1C6F-458A-9382-AA2DD861798C}"/>
    <cellStyle name="20% - Accent1 4 2 7 3" xfId="24998" xr:uid="{00000000-0005-0000-0000-0000F6030000}"/>
    <cellStyle name="20% - Accent1 4 2 7 3 2" xfId="48830" xr:uid="{74C00115-41FE-4AA5-8C0A-9AD8CCF192F7}"/>
    <cellStyle name="20% - Accent1 4 2 7 4" xfId="32953" xr:uid="{1D311224-7DAE-4656-B917-4934E6A00C61}"/>
    <cellStyle name="20% - Accent1 4 2 8" xfId="9992" xr:uid="{00000000-0005-0000-0000-0000F7030000}"/>
    <cellStyle name="20% - Accent1 4 2 8 2" xfId="33841" xr:uid="{0F8F12E4-BDB7-4038-AD1C-F71222E06839}"/>
    <cellStyle name="20% - Accent1 4 2 9" xfId="17947" xr:uid="{00000000-0005-0000-0000-0000F8030000}"/>
    <cellStyle name="20% - Accent1 4 2 9 2" xfId="41779" xr:uid="{4F03407B-C9BE-4D73-A01E-62E802F75AE0}"/>
    <cellStyle name="20% - Accent1 4 2_Exh G" xfId="1999" xr:uid="{00000000-0005-0000-0000-0000F9030000}"/>
    <cellStyle name="20% - Accent1 4 3" xfId="52" xr:uid="{00000000-0005-0000-0000-0000FA030000}"/>
    <cellStyle name="20% - Accent1 4 3 2" xfId="1078" xr:uid="{00000000-0005-0000-0000-0000FB030000}"/>
    <cellStyle name="20% - Accent1 4 3 2 2" xfId="4605" xr:uid="{00000000-0005-0000-0000-0000FC030000}"/>
    <cellStyle name="20% - Accent1 4 3 2 2 2" xfId="8196" xr:uid="{00000000-0005-0000-0000-0000FD030000}"/>
    <cellStyle name="20% - Accent1 4 3 2 2 2 2" xfId="16166" xr:uid="{00000000-0005-0000-0000-0000FE030000}"/>
    <cellStyle name="20% - Accent1 4 3 2 2 2 2 2" xfId="40008" xr:uid="{4B35221E-18FF-48C9-A356-72821DDE7E11}"/>
    <cellStyle name="20% - Accent1 4 3 2 2 2 3" xfId="24112" xr:uid="{00000000-0005-0000-0000-0000FF030000}"/>
    <cellStyle name="20% - Accent1 4 3 2 2 2 3 2" xfId="47944" xr:uid="{4B9F2669-A985-4055-B91C-B44BA48EFB68}"/>
    <cellStyle name="20% - Accent1 4 3 2 2 2 4" xfId="32067" xr:uid="{751FB8FB-5C45-4459-9DB4-57E001210681}"/>
    <cellStyle name="20% - Accent1 4 3 2 2 3" xfId="12628" xr:uid="{00000000-0005-0000-0000-000000040000}"/>
    <cellStyle name="20% - Accent1 4 3 2 2 3 2" xfId="36477" xr:uid="{D344EA7F-2561-42FE-B7BF-DE14E546A3C7}"/>
    <cellStyle name="20% - Accent1 4 3 2 2 4" xfId="20583" xr:uid="{00000000-0005-0000-0000-000001040000}"/>
    <cellStyle name="20% - Accent1 4 3 2 2 4 2" xfId="44415" xr:uid="{6968D1A0-9747-43C7-B7F5-92D6C6756EFE}"/>
    <cellStyle name="20% - Accent1 4 3 2 2 5" xfId="28536" xr:uid="{D238D41C-3C64-4026-8FC3-7A37018194E3}"/>
    <cellStyle name="20% - Accent1 4 3 2 3" xfId="6437" xr:uid="{00000000-0005-0000-0000-000002040000}"/>
    <cellStyle name="20% - Accent1 4 3 2 3 2" xfId="14408" xr:uid="{00000000-0005-0000-0000-000003040000}"/>
    <cellStyle name="20% - Accent1 4 3 2 3 2 2" xfId="38250" xr:uid="{C0BEB7A6-8255-4F6E-9624-127057087968}"/>
    <cellStyle name="20% - Accent1 4 3 2 3 3" xfId="22355" xr:uid="{00000000-0005-0000-0000-000004040000}"/>
    <cellStyle name="20% - Accent1 4 3 2 3 3 2" xfId="46187" xr:uid="{2652E3C1-ABA8-4DA2-957F-11AAA47C0D10}"/>
    <cellStyle name="20% - Accent1 4 3 2 3 4" xfId="30309" xr:uid="{CC4854DD-DF1E-4167-B8BA-A86BECD75146}"/>
    <cellStyle name="20% - Accent1 4 3 2 4" xfId="10872" xr:uid="{00000000-0005-0000-0000-000005040000}"/>
    <cellStyle name="20% - Accent1 4 3 2 4 2" xfId="34721" xr:uid="{8C5EDF61-EF4C-48FE-9EE9-5148798CFE89}"/>
    <cellStyle name="20% - Accent1 4 3 2 5" xfId="18827" xr:uid="{00000000-0005-0000-0000-000006040000}"/>
    <cellStyle name="20% - Accent1 4 3 2 5 2" xfId="42659" xr:uid="{F9FD81D9-243E-4985-A0D1-58BC7B1F4608}"/>
    <cellStyle name="20% - Accent1 4 3 2 6" xfId="26779" xr:uid="{7184779F-37A0-4C01-873D-661BCA92BC1E}"/>
    <cellStyle name="20% - Accent1 4 3 2_Exh G" xfId="2006" xr:uid="{00000000-0005-0000-0000-000007040000}"/>
    <cellStyle name="20% - Accent1 4 3 3" xfId="3726" xr:uid="{00000000-0005-0000-0000-000008040000}"/>
    <cellStyle name="20% - Accent1 4 3 3 2" xfId="7318" xr:uid="{00000000-0005-0000-0000-000009040000}"/>
    <cellStyle name="20% - Accent1 4 3 3 2 2" xfId="15288" xr:uid="{00000000-0005-0000-0000-00000A040000}"/>
    <cellStyle name="20% - Accent1 4 3 3 2 2 2" xfId="39130" xr:uid="{DD57C441-0D21-47EE-93AC-852B29E6DD4F}"/>
    <cellStyle name="20% - Accent1 4 3 3 2 3" xfId="23234" xr:uid="{00000000-0005-0000-0000-00000B040000}"/>
    <cellStyle name="20% - Accent1 4 3 3 2 3 2" xfId="47066" xr:uid="{7EA61BA7-BF23-490C-ACCA-31501932CDF9}"/>
    <cellStyle name="20% - Accent1 4 3 3 2 4" xfId="31189" xr:uid="{BA5DC846-33C3-4ADB-8B14-28187B2F9442}"/>
    <cellStyle name="20% - Accent1 4 3 3 3" xfId="11750" xr:uid="{00000000-0005-0000-0000-00000C040000}"/>
    <cellStyle name="20% - Accent1 4 3 3 3 2" xfId="35599" xr:uid="{9A1FBE60-C93C-4E3D-89C0-A746626CA683}"/>
    <cellStyle name="20% - Accent1 4 3 3 4" xfId="19705" xr:uid="{00000000-0005-0000-0000-00000D040000}"/>
    <cellStyle name="20% - Accent1 4 3 3 4 2" xfId="43537" xr:uid="{3A15A7FB-4FB8-44B3-8582-F666E2F46FCE}"/>
    <cellStyle name="20% - Accent1 4 3 3 5" xfId="27658" xr:uid="{7B94CC94-B40C-49DA-970A-551840235A4A}"/>
    <cellStyle name="20% - Accent1 4 3 4" xfId="5546" xr:uid="{00000000-0005-0000-0000-00000E040000}"/>
    <cellStyle name="20% - Accent1 4 3 4 2" xfId="13529" xr:uid="{00000000-0005-0000-0000-00000F040000}"/>
    <cellStyle name="20% - Accent1 4 3 4 2 2" xfId="37372" xr:uid="{6C77DA09-3ABF-4914-B8D1-EC91D53D65DD}"/>
    <cellStyle name="20% - Accent1 4 3 4 3" xfId="21477" xr:uid="{00000000-0005-0000-0000-000010040000}"/>
    <cellStyle name="20% - Accent1 4 3 4 3 2" xfId="45309" xr:uid="{2C8EE6F1-C93A-465D-AAF7-485C36CE0492}"/>
    <cellStyle name="20% - Accent1 4 3 4 4" xfId="29431" xr:uid="{FEC49EAD-2DC4-4B79-94E0-79DD5D664403}"/>
    <cellStyle name="20% - Accent1 4 3 5" xfId="9098" xr:uid="{00000000-0005-0000-0000-000011040000}"/>
    <cellStyle name="20% - Accent1 4 3 5 2" xfId="17056" xr:uid="{00000000-0005-0000-0000-000012040000}"/>
    <cellStyle name="20% - Accent1 4 3 5 2 2" xfId="40896" xr:uid="{E85541FB-483F-47E6-A755-C430FB755A2E}"/>
    <cellStyle name="20% - Accent1 4 3 5 3" xfId="25000" xr:uid="{00000000-0005-0000-0000-000013040000}"/>
    <cellStyle name="20% - Accent1 4 3 5 3 2" xfId="48832" xr:uid="{C2F8B4FE-A4C3-46A9-8D95-F10857D126B9}"/>
    <cellStyle name="20% - Accent1 4 3 5 4" xfId="32955" xr:uid="{788052F5-4F8E-4969-818C-5F57E32C5592}"/>
    <cellStyle name="20% - Accent1 4 3 6" xfId="9994" xr:uid="{00000000-0005-0000-0000-000014040000}"/>
    <cellStyle name="20% - Accent1 4 3 6 2" xfId="33843" xr:uid="{1BE74164-E081-4E6A-B3E6-57BCF3C14B07}"/>
    <cellStyle name="20% - Accent1 4 3 7" xfId="17949" xr:uid="{00000000-0005-0000-0000-000015040000}"/>
    <cellStyle name="20% - Accent1 4 3 7 2" xfId="41781" xr:uid="{0F57D90F-1ED8-4FA9-BB4F-D06440EE7E0C}"/>
    <cellStyle name="20% - Accent1 4 3 8" xfId="25901" xr:uid="{0A740EE4-3BBB-45EA-937D-19928EA17374}"/>
    <cellStyle name="20% - Accent1 4 3_Exh G" xfId="2005" xr:uid="{00000000-0005-0000-0000-000016040000}"/>
    <cellStyle name="20% - Accent1 4 4" xfId="864" xr:uid="{00000000-0005-0000-0000-000017040000}"/>
    <cellStyle name="20% - Accent1 4 4 2" xfId="1796" xr:uid="{00000000-0005-0000-0000-000018040000}"/>
    <cellStyle name="20% - Accent1 4 4 2 2" xfId="5313" xr:uid="{00000000-0005-0000-0000-000019040000}"/>
    <cellStyle name="20% - Accent1 4 4 2 2 2" xfId="8904" xr:uid="{00000000-0005-0000-0000-00001A040000}"/>
    <cellStyle name="20% - Accent1 4 4 2 2 2 2" xfId="16874" xr:uid="{00000000-0005-0000-0000-00001B040000}"/>
    <cellStyle name="20% - Accent1 4 4 2 2 2 2 2" xfId="40716" xr:uid="{A4EA2F53-CB07-4257-AB7E-8C9E793B4B92}"/>
    <cellStyle name="20% - Accent1 4 4 2 2 2 3" xfId="24820" xr:uid="{00000000-0005-0000-0000-00001C040000}"/>
    <cellStyle name="20% - Accent1 4 4 2 2 2 3 2" xfId="48652" xr:uid="{ACD7910A-5E97-4653-8407-9731304196DC}"/>
    <cellStyle name="20% - Accent1 4 4 2 2 2 4" xfId="32775" xr:uid="{FF7D5ED6-2F93-4C85-883E-42D19BDDD9CC}"/>
    <cellStyle name="20% - Accent1 4 4 2 2 3" xfId="13336" xr:uid="{00000000-0005-0000-0000-00001D040000}"/>
    <cellStyle name="20% - Accent1 4 4 2 2 3 2" xfId="37185" xr:uid="{F82781A6-475E-4A65-B037-53D7E9270657}"/>
    <cellStyle name="20% - Accent1 4 4 2 2 4" xfId="21291" xr:uid="{00000000-0005-0000-0000-00001E040000}"/>
    <cellStyle name="20% - Accent1 4 4 2 2 4 2" xfId="45123" xr:uid="{C95A775E-B376-4F44-A1A6-3BAAC0FFB31D}"/>
    <cellStyle name="20% - Accent1 4 4 2 2 5" xfId="29244" xr:uid="{92FE9F6A-AF2E-4948-B69D-7C3D3C501A1B}"/>
    <cellStyle name="20% - Accent1 4 4 2 3" xfId="7145" xr:uid="{00000000-0005-0000-0000-00001F040000}"/>
    <cellStyle name="20% - Accent1 4 4 2 3 2" xfId="15116" xr:uid="{00000000-0005-0000-0000-000020040000}"/>
    <cellStyle name="20% - Accent1 4 4 2 3 2 2" xfId="38958" xr:uid="{8FB92D08-8529-48A4-94A0-63BCC4EBE9EA}"/>
    <cellStyle name="20% - Accent1 4 4 2 3 3" xfId="23063" xr:uid="{00000000-0005-0000-0000-000021040000}"/>
    <cellStyle name="20% - Accent1 4 4 2 3 3 2" xfId="46895" xr:uid="{2A2E222B-0F3A-419B-A4E6-40BB92D72C05}"/>
    <cellStyle name="20% - Accent1 4 4 2 3 4" xfId="31017" xr:uid="{164C706C-83E4-4A64-A8CB-46CBA3B356A7}"/>
    <cellStyle name="20% - Accent1 4 4 2 4" xfId="11580" xr:uid="{00000000-0005-0000-0000-000022040000}"/>
    <cellStyle name="20% - Accent1 4 4 2 4 2" xfId="35429" xr:uid="{4C7D6264-DAD6-4806-BFC7-09AA5B109A9F}"/>
    <cellStyle name="20% - Accent1 4 4 2 5" xfId="19535" xr:uid="{00000000-0005-0000-0000-000023040000}"/>
    <cellStyle name="20% - Accent1 4 4 2 5 2" xfId="43367" xr:uid="{17F1A6E6-03BF-474B-BCA3-9504E8150F59}"/>
    <cellStyle name="20% - Accent1 4 4 2 6" xfId="27487" xr:uid="{C6FB96C4-FB43-45EA-B4BD-5DA82F1DCA25}"/>
    <cellStyle name="20% - Accent1 4 4 2_Exh G" xfId="2008" xr:uid="{00000000-0005-0000-0000-000024040000}"/>
    <cellStyle name="20% - Accent1 4 4 3" xfId="4434" xr:uid="{00000000-0005-0000-0000-000025040000}"/>
    <cellStyle name="20% - Accent1 4 4 3 2" xfId="8026" xr:uid="{00000000-0005-0000-0000-000026040000}"/>
    <cellStyle name="20% - Accent1 4 4 3 2 2" xfId="15996" xr:uid="{00000000-0005-0000-0000-000027040000}"/>
    <cellStyle name="20% - Accent1 4 4 3 2 2 2" xfId="39838" xr:uid="{C686B233-6AFA-498F-B7FC-AB778C956C63}"/>
    <cellStyle name="20% - Accent1 4 4 3 2 3" xfId="23942" xr:uid="{00000000-0005-0000-0000-000028040000}"/>
    <cellStyle name="20% - Accent1 4 4 3 2 3 2" xfId="47774" xr:uid="{7F1374F2-1547-4A52-B15B-E3C1B2E29177}"/>
    <cellStyle name="20% - Accent1 4 4 3 2 4" xfId="31897" xr:uid="{8BBB225E-6D9A-41E9-B163-830A2CC00924}"/>
    <cellStyle name="20% - Accent1 4 4 3 3" xfId="12458" xr:uid="{00000000-0005-0000-0000-000029040000}"/>
    <cellStyle name="20% - Accent1 4 4 3 3 2" xfId="36307" xr:uid="{74ABB6C5-E49E-4DDF-B8F5-B12B4CDD8A0B}"/>
    <cellStyle name="20% - Accent1 4 4 3 4" xfId="20413" xr:uid="{00000000-0005-0000-0000-00002A040000}"/>
    <cellStyle name="20% - Accent1 4 4 3 4 2" xfId="44245" xr:uid="{E3C8C4E0-7756-47ED-B8C7-290D79E53B1C}"/>
    <cellStyle name="20% - Accent1 4 4 3 5" xfId="28366" xr:uid="{8A59B48F-630B-4141-849B-ABB13CE7D271}"/>
    <cellStyle name="20% - Accent1 4 4 4" xfId="6264" xr:uid="{00000000-0005-0000-0000-00002B040000}"/>
    <cellStyle name="20% - Accent1 4 4 4 2" xfId="14238" xr:uid="{00000000-0005-0000-0000-00002C040000}"/>
    <cellStyle name="20% - Accent1 4 4 4 2 2" xfId="38080" xr:uid="{C63D9412-6B60-403F-B906-281DB053BDAE}"/>
    <cellStyle name="20% - Accent1 4 4 4 3" xfId="22185" xr:uid="{00000000-0005-0000-0000-00002D040000}"/>
    <cellStyle name="20% - Accent1 4 4 4 3 2" xfId="46017" xr:uid="{557E8482-4643-4339-8C1F-7802E62D11E3}"/>
    <cellStyle name="20% - Accent1 4 4 4 4" xfId="30139" xr:uid="{75BF4FB5-4DD1-4241-95E7-03D76DFB4B4F}"/>
    <cellStyle name="20% - Accent1 4 4 5" xfId="9806" xr:uid="{00000000-0005-0000-0000-00002E040000}"/>
    <cellStyle name="20% - Accent1 4 4 5 2" xfId="17764" xr:uid="{00000000-0005-0000-0000-00002F040000}"/>
    <cellStyle name="20% - Accent1 4 4 5 2 2" xfId="41604" xr:uid="{4A3B72E9-63C0-4B27-BB6D-D3594FD24ACB}"/>
    <cellStyle name="20% - Accent1 4 4 5 3" xfId="25708" xr:uid="{00000000-0005-0000-0000-000030040000}"/>
    <cellStyle name="20% - Accent1 4 4 5 3 2" xfId="49540" xr:uid="{D590A902-E8DF-4EA2-9AF5-9C69469AB362}"/>
    <cellStyle name="20% - Accent1 4 4 5 4" xfId="33663" xr:uid="{0A7C5558-4DA6-4570-B662-D669E8C29708}"/>
    <cellStyle name="20% - Accent1 4 4 6" xfId="10702" xr:uid="{00000000-0005-0000-0000-000031040000}"/>
    <cellStyle name="20% - Accent1 4 4 6 2" xfId="34551" xr:uid="{D6FE8200-5AE9-47F5-A8EF-D2B269C6F3F4}"/>
    <cellStyle name="20% - Accent1 4 4 7" xfId="18657" xr:uid="{00000000-0005-0000-0000-000032040000}"/>
    <cellStyle name="20% - Accent1 4 4 7 2" xfId="42489" xr:uid="{0E8ADED1-77C5-4F14-9747-EADA5C7E92C7}"/>
    <cellStyle name="20% - Accent1 4 4 8" xfId="26609" xr:uid="{8BB50315-1772-4D5C-A624-C07CB520282B}"/>
    <cellStyle name="20% - Accent1 4 4_Exh G" xfId="2007" xr:uid="{00000000-0005-0000-0000-000033040000}"/>
    <cellStyle name="20% - Accent1 4 5" xfId="1075" xr:uid="{00000000-0005-0000-0000-000034040000}"/>
    <cellStyle name="20% - Accent1 4 5 2" xfId="4602" xr:uid="{00000000-0005-0000-0000-000035040000}"/>
    <cellStyle name="20% - Accent1 4 5 2 2" xfId="8193" xr:uid="{00000000-0005-0000-0000-000036040000}"/>
    <cellStyle name="20% - Accent1 4 5 2 2 2" xfId="16163" xr:uid="{00000000-0005-0000-0000-000037040000}"/>
    <cellStyle name="20% - Accent1 4 5 2 2 2 2" xfId="40005" xr:uid="{EF797894-35EF-4CB4-9752-ECD673772F25}"/>
    <cellStyle name="20% - Accent1 4 5 2 2 3" xfId="24109" xr:uid="{00000000-0005-0000-0000-000038040000}"/>
    <cellStyle name="20% - Accent1 4 5 2 2 3 2" xfId="47941" xr:uid="{A9A41AD2-F2CB-4593-A51C-E8A6CB3ECDB8}"/>
    <cellStyle name="20% - Accent1 4 5 2 2 4" xfId="32064" xr:uid="{43A2305E-C7EE-4FF7-81F1-351FAA39104E}"/>
    <cellStyle name="20% - Accent1 4 5 2 3" xfId="12625" xr:uid="{00000000-0005-0000-0000-000039040000}"/>
    <cellStyle name="20% - Accent1 4 5 2 3 2" xfId="36474" xr:uid="{EE5BE65E-9AEB-4455-A26D-5B31B72DB7C5}"/>
    <cellStyle name="20% - Accent1 4 5 2 4" xfId="20580" xr:uid="{00000000-0005-0000-0000-00003A040000}"/>
    <cellStyle name="20% - Accent1 4 5 2 4 2" xfId="44412" xr:uid="{5FBBA7AD-D715-4DBA-B926-71DD30BA26F2}"/>
    <cellStyle name="20% - Accent1 4 5 2 5" xfId="28533" xr:uid="{2F81118D-6E8A-4221-9FBB-64F4B9503E5E}"/>
    <cellStyle name="20% - Accent1 4 5 3" xfId="6434" xr:uid="{00000000-0005-0000-0000-00003B040000}"/>
    <cellStyle name="20% - Accent1 4 5 3 2" xfId="14405" xr:uid="{00000000-0005-0000-0000-00003C040000}"/>
    <cellStyle name="20% - Accent1 4 5 3 2 2" xfId="38247" xr:uid="{FE8A58FF-5D16-44B7-825D-4434D8826D39}"/>
    <cellStyle name="20% - Accent1 4 5 3 3" xfId="22352" xr:uid="{00000000-0005-0000-0000-00003D040000}"/>
    <cellStyle name="20% - Accent1 4 5 3 3 2" xfId="46184" xr:uid="{14B9AB73-55B7-4200-A986-26ABA898CAAC}"/>
    <cellStyle name="20% - Accent1 4 5 3 4" xfId="30306" xr:uid="{A532B539-7475-44CF-985C-BF4A844A7485}"/>
    <cellStyle name="20% - Accent1 4 5 4" xfId="10869" xr:uid="{00000000-0005-0000-0000-00003E040000}"/>
    <cellStyle name="20% - Accent1 4 5 4 2" xfId="34718" xr:uid="{EE0CB0CB-4927-420A-BDBA-6E8C0F87D508}"/>
    <cellStyle name="20% - Accent1 4 5 5" xfId="18824" xr:uid="{00000000-0005-0000-0000-00003F040000}"/>
    <cellStyle name="20% - Accent1 4 5 5 2" xfId="42656" xr:uid="{AFBBFA4F-A579-46A7-A4F9-E049B462BC5F}"/>
    <cellStyle name="20% - Accent1 4 5 6" xfId="26776" xr:uid="{76DAB1AD-91C6-4DD5-AA9D-43E08F2E6848}"/>
    <cellStyle name="20% - Accent1 4 5_Exh G" xfId="2009" xr:uid="{00000000-0005-0000-0000-000040040000}"/>
    <cellStyle name="20% - Accent1 4 6" xfId="3723" xr:uid="{00000000-0005-0000-0000-000041040000}"/>
    <cellStyle name="20% - Accent1 4 6 2" xfId="7315" xr:uid="{00000000-0005-0000-0000-000042040000}"/>
    <cellStyle name="20% - Accent1 4 6 2 2" xfId="15285" xr:uid="{00000000-0005-0000-0000-000043040000}"/>
    <cellStyle name="20% - Accent1 4 6 2 2 2" xfId="39127" xr:uid="{A98B7972-EB65-4BA5-83E8-A54786183883}"/>
    <cellStyle name="20% - Accent1 4 6 2 3" xfId="23231" xr:uid="{00000000-0005-0000-0000-000044040000}"/>
    <cellStyle name="20% - Accent1 4 6 2 3 2" xfId="47063" xr:uid="{6AB90CB8-1FC2-4F03-AA70-901FF503B8EB}"/>
    <cellStyle name="20% - Accent1 4 6 2 4" xfId="31186" xr:uid="{C677D359-EA44-4DDC-88B6-12D5233EF3F7}"/>
    <cellStyle name="20% - Accent1 4 6 3" xfId="11747" xr:uid="{00000000-0005-0000-0000-000045040000}"/>
    <cellStyle name="20% - Accent1 4 6 3 2" xfId="35596" xr:uid="{E6147067-EBC3-4F82-B5F1-28EBE49649C7}"/>
    <cellStyle name="20% - Accent1 4 6 4" xfId="19702" xr:uid="{00000000-0005-0000-0000-000046040000}"/>
    <cellStyle name="20% - Accent1 4 6 4 2" xfId="43534" xr:uid="{631A4D3B-C008-4B41-A86F-10D10E5E27E8}"/>
    <cellStyle name="20% - Accent1 4 6 5" xfId="27655" xr:uid="{44E11D0D-7C43-4231-9FE8-8EFBE8855C22}"/>
    <cellStyle name="20% - Accent1 4 7" xfId="5543" xr:uid="{00000000-0005-0000-0000-000047040000}"/>
    <cellStyle name="20% - Accent1 4 7 2" xfId="13526" xr:uid="{00000000-0005-0000-0000-000048040000}"/>
    <cellStyle name="20% - Accent1 4 7 2 2" xfId="37369" xr:uid="{3C48896D-6769-44F1-844B-2C0C59DDACD3}"/>
    <cellStyle name="20% - Accent1 4 7 3" xfId="21474" xr:uid="{00000000-0005-0000-0000-000049040000}"/>
    <cellStyle name="20% - Accent1 4 7 3 2" xfId="45306" xr:uid="{87D9B8A1-D41C-4CCD-B87A-ED7772C67576}"/>
    <cellStyle name="20% - Accent1 4 7 4" xfId="29428" xr:uid="{D36DFFAE-04EA-4675-9831-34BD46488403}"/>
    <cellStyle name="20% - Accent1 4 8" xfId="9095" xr:uid="{00000000-0005-0000-0000-00004A040000}"/>
    <cellStyle name="20% - Accent1 4 8 2" xfId="17053" xr:uid="{00000000-0005-0000-0000-00004B040000}"/>
    <cellStyle name="20% - Accent1 4 8 2 2" xfId="40893" xr:uid="{92B7D993-03D9-4162-B7DB-7F2A5AA3A2CA}"/>
    <cellStyle name="20% - Accent1 4 8 3" xfId="24997" xr:uid="{00000000-0005-0000-0000-00004C040000}"/>
    <cellStyle name="20% - Accent1 4 8 3 2" xfId="48829" xr:uid="{476F9066-AB1B-49E2-BABD-1C02954C0966}"/>
    <cellStyle name="20% - Accent1 4 8 4" xfId="32952" xr:uid="{3E603D4C-63DE-4C67-9DC8-1FE090B64EB6}"/>
    <cellStyle name="20% - Accent1 4 9" xfId="9991" xr:uid="{00000000-0005-0000-0000-00004D040000}"/>
    <cellStyle name="20% - Accent1 4 9 2" xfId="33840" xr:uid="{0043F419-0471-4E1F-8E0C-828DECF4F1C5}"/>
    <cellStyle name="20% - Accent1 4_Exh G" xfId="1998" xr:uid="{00000000-0005-0000-0000-00004E040000}"/>
    <cellStyle name="20% - Accent1 5" xfId="53" xr:uid="{00000000-0005-0000-0000-00004F040000}"/>
    <cellStyle name="20% - Accent1 5 10" xfId="17950" xr:uid="{00000000-0005-0000-0000-000050040000}"/>
    <cellStyle name="20% - Accent1 5 10 2" xfId="41782" xr:uid="{482C0A4E-2DD6-40D1-9CA8-A7356F021B69}"/>
    <cellStyle name="20% - Accent1 5 11" xfId="25902" xr:uid="{3210EE92-A1F8-4DE1-8060-34C3AC16DF62}"/>
    <cellStyle name="20% - Accent1 5 2" xfId="54" xr:uid="{00000000-0005-0000-0000-000051040000}"/>
    <cellStyle name="20% - Accent1 5 2 2" xfId="55" xr:uid="{00000000-0005-0000-0000-000052040000}"/>
    <cellStyle name="20% - Accent1 5 2 2 2" xfId="1081" xr:uid="{00000000-0005-0000-0000-000053040000}"/>
    <cellStyle name="20% - Accent1 5 2 2 2 2" xfId="4608" xr:uid="{00000000-0005-0000-0000-000054040000}"/>
    <cellStyle name="20% - Accent1 5 2 2 2 2 2" xfId="8199" xr:uid="{00000000-0005-0000-0000-000055040000}"/>
    <cellStyle name="20% - Accent1 5 2 2 2 2 2 2" xfId="16169" xr:uid="{00000000-0005-0000-0000-000056040000}"/>
    <cellStyle name="20% - Accent1 5 2 2 2 2 2 2 2" xfId="40011" xr:uid="{1FB30947-ACCD-4B0B-A5B4-D23017804AC3}"/>
    <cellStyle name="20% - Accent1 5 2 2 2 2 2 3" xfId="24115" xr:uid="{00000000-0005-0000-0000-000057040000}"/>
    <cellStyle name="20% - Accent1 5 2 2 2 2 2 3 2" xfId="47947" xr:uid="{E0086609-7F53-49F3-95A7-A8C83BAEDA40}"/>
    <cellStyle name="20% - Accent1 5 2 2 2 2 2 4" xfId="32070" xr:uid="{2A361906-8B62-4902-9130-E55FEFEF6CA0}"/>
    <cellStyle name="20% - Accent1 5 2 2 2 2 3" xfId="12631" xr:uid="{00000000-0005-0000-0000-000058040000}"/>
    <cellStyle name="20% - Accent1 5 2 2 2 2 3 2" xfId="36480" xr:uid="{ACC01F26-04E8-48CF-81A2-EC1D48CA2074}"/>
    <cellStyle name="20% - Accent1 5 2 2 2 2 4" xfId="20586" xr:uid="{00000000-0005-0000-0000-000059040000}"/>
    <cellStyle name="20% - Accent1 5 2 2 2 2 4 2" xfId="44418" xr:uid="{58221819-88ED-4F66-BCB1-0DD7BB3C2541}"/>
    <cellStyle name="20% - Accent1 5 2 2 2 2 5" xfId="28539" xr:uid="{4F6F1C1E-E350-4864-8F03-12D0342DDE12}"/>
    <cellStyle name="20% - Accent1 5 2 2 2 3" xfId="6440" xr:uid="{00000000-0005-0000-0000-00005A040000}"/>
    <cellStyle name="20% - Accent1 5 2 2 2 3 2" xfId="14411" xr:uid="{00000000-0005-0000-0000-00005B040000}"/>
    <cellStyle name="20% - Accent1 5 2 2 2 3 2 2" xfId="38253" xr:uid="{77A8F44A-38B6-45D5-9203-49BC830997B6}"/>
    <cellStyle name="20% - Accent1 5 2 2 2 3 3" xfId="22358" xr:uid="{00000000-0005-0000-0000-00005C040000}"/>
    <cellStyle name="20% - Accent1 5 2 2 2 3 3 2" xfId="46190" xr:uid="{C2597512-B8D7-4DA7-AC00-58344ED85D3E}"/>
    <cellStyle name="20% - Accent1 5 2 2 2 3 4" xfId="30312" xr:uid="{A895C421-9E6D-4A67-AFEC-F4F8063D6584}"/>
    <cellStyle name="20% - Accent1 5 2 2 2 4" xfId="10875" xr:uid="{00000000-0005-0000-0000-00005D040000}"/>
    <cellStyle name="20% - Accent1 5 2 2 2 4 2" xfId="34724" xr:uid="{46915221-AD7C-4383-81A8-7A3DDA374B7D}"/>
    <cellStyle name="20% - Accent1 5 2 2 2 5" xfId="18830" xr:uid="{00000000-0005-0000-0000-00005E040000}"/>
    <cellStyle name="20% - Accent1 5 2 2 2 5 2" xfId="42662" xr:uid="{058634F8-F554-4ADF-BA24-4445BBC5F6F0}"/>
    <cellStyle name="20% - Accent1 5 2 2 2 6" xfId="26782" xr:uid="{3CACD9F9-7933-4BD0-ACAE-B448E89AB0BF}"/>
    <cellStyle name="20% - Accent1 5 2 2 2_Exh G" xfId="2013" xr:uid="{00000000-0005-0000-0000-00005F040000}"/>
    <cellStyle name="20% - Accent1 5 2 2 3" xfId="3729" xr:uid="{00000000-0005-0000-0000-000060040000}"/>
    <cellStyle name="20% - Accent1 5 2 2 3 2" xfId="7321" xr:uid="{00000000-0005-0000-0000-000061040000}"/>
    <cellStyle name="20% - Accent1 5 2 2 3 2 2" xfId="15291" xr:uid="{00000000-0005-0000-0000-000062040000}"/>
    <cellStyle name="20% - Accent1 5 2 2 3 2 2 2" xfId="39133" xr:uid="{1EC2EA25-17FE-42AE-A6BD-71AE4710A111}"/>
    <cellStyle name="20% - Accent1 5 2 2 3 2 3" xfId="23237" xr:uid="{00000000-0005-0000-0000-000063040000}"/>
    <cellStyle name="20% - Accent1 5 2 2 3 2 3 2" xfId="47069" xr:uid="{488C076A-82F4-4DE6-B32E-6BEA4C19EF5E}"/>
    <cellStyle name="20% - Accent1 5 2 2 3 2 4" xfId="31192" xr:uid="{93860A2C-B692-4D67-9EA2-98663B6D2DD7}"/>
    <cellStyle name="20% - Accent1 5 2 2 3 3" xfId="11753" xr:uid="{00000000-0005-0000-0000-000064040000}"/>
    <cellStyle name="20% - Accent1 5 2 2 3 3 2" xfId="35602" xr:uid="{584D8AB0-0D87-4F64-B124-0D3271776C99}"/>
    <cellStyle name="20% - Accent1 5 2 2 3 4" xfId="19708" xr:uid="{00000000-0005-0000-0000-000065040000}"/>
    <cellStyle name="20% - Accent1 5 2 2 3 4 2" xfId="43540" xr:uid="{8F420DC6-F8DF-4A1C-A732-818539A97966}"/>
    <cellStyle name="20% - Accent1 5 2 2 3 5" xfId="27661" xr:uid="{DFFD3B46-A1A1-4655-A0B7-819AAA89AFCA}"/>
    <cellStyle name="20% - Accent1 5 2 2 4" xfId="5549" xr:uid="{00000000-0005-0000-0000-000066040000}"/>
    <cellStyle name="20% - Accent1 5 2 2 4 2" xfId="13532" xr:uid="{00000000-0005-0000-0000-000067040000}"/>
    <cellStyle name="20% - Accent1 5 2 2 4 2 2" xfId="37375" xr:uid="{8C502D8A-1C46-4579-A11A-9DB87AD8EF3C}"/>
    <cellStyle name="20% - Accent1 5 2 2 4 3" xfId="21480" xr:uid="{00000000-0005-0000-0000-000068040000}"/>
    <cellStyle name="20% - Accent1 5 2 2 4 3 2" xfId="45312" xr:uid="{CFE0F8B5-9194-40F8-BF33-FEB7AD1CA08E}"/>
    <cellStyle name="20% - Accent1 5 2 2 4 4" xfId="29434" xr:uid="{717F3129-A991-4A4A-ABAE-730DC6F68BFB}"/>
    <cellStyle name="20% - Accent1 5 2 2 5" xfId="9101" xr:uid="{00000000-0005-0000-0000-000069040000}"/>
    <cellStyle name="20% - Accent1 5 2 2 5 2" xfId="17059" xr:uid="{00000000-0005-0000-0000-00006A040000}"/>
    <cellStyle name="20% - Accent1 5 2 2 5 2 2" xfId="40899" xr:uid="{69F0E454-ECF3-4893-9554-BD3D2B6CB9EF}"/>
    <cellStyle name="20% - Accent1 5 2 2 5 3" xfId="25003" xr:uid="{00000000-0005-0000-0000-00006B040000}"/>
    <cellStyle name="20% - Accent1 5 2 2 5 3 2" xfId="48835" xr:uid="{D79431BB-F9B8-4A65-8C2A-CE3EDC777008}"/>
    <cellStyle name="20% - Accent1 5 2 2 5 4" xfId="32958" xr:uid="{0CE1D041-1E4F-49C8-8C9C-79AB698D22AA}"/>
    <cellStyle name="20% - Accent1 5 2 2 6" xfId="9997" xr:uid="{00000000-0005-0000-0000-00006C040000}"/>
    <cellStyle name="20% - Accent1 5 2 2 6 2" xfId="33846" xr:uid="{08D86ED4-D693-4951-B40C-90D8D2AD0D9E}"/>
    <cellStyle name="20% - Accent1 5 2 2 7" xfId="17952" xr:uid="{00000000-0005-0000-0000-00006D040000}"/>
    <cellStyle name="20% - Accent1 5 2 2 7 2" xfId="41784" xr:uid="{DA54AF9E-D116-4CEC-9F24-1AB6564235B1}"/>
    <cellStyle name="20% - Accent1 5 2 2 8" xfId="25904" xr:uid="{85E892EC-259A-4254-89C0-CDF845046C95}"/>
    <cellStyle name="20% - Accent1 5 2 2_Exh G" xfId="2012" xr:uid="{00000000-0005-0000-0000-00006E040000}"/>
    <cellStyle name="20% - Accent1 5 2 3" xfId="1080" xr:uid="{00000000-0005-0000-0000-00006F040000}"/>
    <cellStyle name="20% - Accent1 5 2 3 2" xfId="4607" xr:uid="{00000000-0005-0000-0000-000070040000}"/>
    <cellStyle name="20% - Accent1 5 2 3 2 2" xfId="8198" xr:uid="{00000000-0005-0000-0000-000071040000}"/>
    <cellStyle name="20% - Accent1 5 2 3 2 2 2" xfId="16168" xr:uid="{00000000-0005-0000-0000-000072040000}"/>
    <cellStyle name="20% - Accent1 5 2 3 2 2 2 2" xfId="40010" xr:uid="{5011183F-A816-4673-AC9A-27E57665D756}"/>
    <cellStyle name="20% - Accent1 5 2 3 2 2 3" xfId="24114" xr:uid="{00000000-0005-0000-0000-000073040000}"/>
    <cellStyle name="20% - Accent1 5 2 3 2 2 3 2" xfId="47946" xr:uid="{19944F0D-DEE3-461F-A77D-FBF0E7BDE5CD}"/>
    <cellStyle name="20% - Accent1 5 2 3 2 2 4" xfId="32069" xr:uid="{75588D5B-B339-4804-9169-C6BE9405FFAF}"/>
    <cellStyle name="20% - Accent1 5 2 3 2 3" xfId="12630" xr:uid="{00000000-0005-0000-0000-000074040000}"/>
    <cellStyle name="20% - Accent1 5 2 3 2 3 2" xfId="36479" xr:uid="{FE301CAB-C2B0-49B2-8DC0-E0ADBD569008}"/>
    <cellStyle name="20% - Accent1 5 2 3 2 4" xfId="20585" xr:uid="{00000000-0005-0000-0000-000075040000}"/>
    <cellStyle name="20% - Accent1 5 2 3 2 4 2" xfId="44417" xr:uid="{239E496B-B782-40F3-AB21-AF3C00629864}"/>
    <cellStyle name="20% - Accent1 5 2 3 2 5" xfId="28538" xr:uid="{FF1DA90B-0F77-4824-A426-7B97A774D578}"/>
    <cellStyle name="20% - Accent1 5 2 3 3" xfId="6439" xr:uid="{00000000-0005-0000-0000-000076040000}"/>
    <cellStyle name="20% - Accent1 5 2 3 3 2" xfId="14410" xr:uid="{00000000-0005-0000-0000-000077040000}"/>
    <cellStyle name="20% - Accent1 5 2 3 3 2 2" xfId="38252" xr:uid="{3D4F392D-E9AA-4589-B66F-5AE7C7AD1F92}"/>
    <cellStyle name="20% - Accent1 5 2 3 3 3" xfId="22357" xr:uid="{00000000-0005-0000-0000-000078040000}"/>
    <cellStyle name="20% - Accent1 5 2 3 3 3 2" xfId="46189" xr:uid="{FFC8F70F-B89E-4C45-92A4-0DAA92D88E4A}"/>
    <cellStyle name="20% - Accent1 5 2 3 3 4" xfId="30311" xr:uid="{DFAE93FE-986A-48DD-83EC-DC80AB79A5D1}"/>
    <cellStyle name="20% - Accent1 5 2 3 4" xfId="10874" xr:uid="{00000000-0005-0000-0000-000079040000}"/>
    <cellStyle name="20% - Accent1 5 2 3 4 2" xfId="34723" xr:uid="{75F2A41F-F511-4831-9077-3117CFBCEBF7}"/>
    <cellStyle name="20% - Accent1 5 2 3 5" xfId="18829" xr:uid="{00000000-0005-0000-0000-00007A040000}"/>
    <cellStyle name="20% - Accent1 5 2 3 5 2" xfId="42661" xr:uid="{FAB342FF-FD40-4930-9177-165F64F5C2AC}"/>
    <cellStyle name="20% - Accent1 5 2 3 6" xfId="26781" xr:uid="{B7DA0558-04F5-4605-8D4C-80454413585F}"/>
    <cellStyle name="20% - Accent1 5 2 3_Exh G" xfId="2014" xr:uid="{00000000-0005-0000-0000-00007B040000}"/>
    <cellStyle name="20% - Accent1 5 2 4" xfId="3728" xr:uid="{00000000-0005-0000-0000-00007C040000}"/>
    <cellStyle name="20% - Accent1 5 2 4 2" xfId="7320" xr:uid="{00000000-0005-0000-0000-00007D040000}"/>
    <cellStyle name="20% - Accent1 5 2 4 2 2" xfId="15290" xr:uid="{00000000-0005-0000-0000-00007E040000}"/>
    <cellStyle name="20% - Accent1 5 2 4 2 2 2" xfId="39132" xr:uid="{9E867F34-8816-496E-A47B-6CB6F27AC0CB}"/>
    <cellStyle name="20% - Accent1 5 2 4 2 3" xfId="23236" xr:uid="{00000000-0005-0000-0000-00007F040000}"/>
    <cellStyle name="20% - Accent1 5 2 4 2 3 2" xfId="47068" xr:uid="{7FC43C44-F82C-4400-BE97-3632D26B2179}"/>
    <cellStyle name="20% - Accent1 5 2 4 2 4" xfId="31191" xr:uid="{9B7CA664-25FA-4FE8-B572-2748D066C207}"/>
    <cellStyle name="20% - Accent1 5 2 4 3" xfId="11752" xr:uid="{00000000-0005-0000-0000-000080040000}"/>
    <cellStyle name="20% - Accent1 5 2 4 3 2" xfId="35601" xr:uid="{3EA91033-21A2-43A6-93E4-F1BFF12909D4}"/>
    <cellStyle name="20% - Accent1 5 2 4 4" xfId="19707" xr:uid="{00000000-0005-0000-0000-000081040000}"/>
    <cellStyle name="20% - Accent1 5 2 4 4 2" xfId="43539" xr:uid="{AD15A1B1-5445-43BE-B237-C3E34C29BF47}"/>
    <cellStyle name="20% - Accent1 5 2 4 5" xfId="27660" xr:uid="{BB5CE6EE-FB98-462B-8BEF-E61FEC3D8649}"/>
    <cellStyle name="20% - Accent1 5 2 5" xfId="5548" xr:uid="{00000000-0005-0000-0000-000082040000}"/>
    <cellStyle name="20% - Accent1 5 2 5 2" xfId="13531" xr:uid="{00000000-0005-0000-0000-000083040000}"/>
    <cellStyle name="20% - Accent1 5 2 5 2 2" xfId="37374" xr:uid="{8E58A7AE-04A0-4A04-B6D4-5AE999C3534F}"/>
    <cellStyle name="20% - Accent1 5 2 5 3" xfId="21479" xr:uid="{00000000-0005-0000-0000-000084040000}"/>
    <cellStyle name="20% - Accent1 5 2 5 3 2" xfId="45311" xr:uid="{288E22A7-B26C-4939-A9BD-C4F7D1ABD3BA}"/>
    <cellStyle name="20% - Accent1 5 2 5 4" xfId="29433" xr:uid="{206D1D88-05D3-4FE4-9FFC-2787DA8F0A88}"/>
    <cellStyle name="20% - Accent1 5 2 6" xfId="9100" xr:uid="{00000000-0005-0000-0000-000085040000}"/>
    <cellStyle name="20% - Accent1 5 2 6 2" xfId="17058" xr:uid="{00000000-0005-0000-0000-000086040000}"/>
    <cellStyle name="20% - Accent1 5 2 6 2 2" xfId="40898" xr:uid="{67473E6E-C9FA-4DC8-98FD-1002F29A9075}"/>
    <cellStyle name="20% - Accent1 5 2 6 3" xfId="25002" xr:uid="{00000000-0005-0000-0000-000087040000}"/>
    <cellStyle name="20% - Accent1 5 2 6 3 2" xfId="48834" xr:uid="{9480A8E2-C409-4333-91F3-9D6292929C0C}"/>
    <cellStyle name="20% - Accent1 5 2 6 4" xfId="32957" xr:uid="{F85D86F2-E1AD-4446-835D-4DF3BE9F1E6F}"/>
    <cellStyle name="20% - Accent1 5 2 7" xfId="9996" xr:uid="{00000000-0005-0000-0000-000088040000}"/>
    <cellStyle name="20% - Accent1 5 2 7 2" xfId="33845" xr:uid="{8135C8D2-C9C9-4287-999B-5019851DDB5D}"/>
    <cellStyle name="20% - Accent1 5 2 8" xfId="17951" xr:uid="{00000000-0005-0000-0000-000089040000}"/>
    <cellStyle name="20% - Accent1 5 2 8 2" xfId="41783" xr:uid="{CC3E2841-2C6C-4800-8D91-432021ED1EDD}"/>
    <cellStyle name="20% - Accent1 5 2 9" xfId="25903" xr:uid="{4B0E7E89-D3E8-4BA4-870F-74B69C25783E}"/>
    <cellStyle name="20% - Accent1 5 2_Exh G" xfId="2011" xr:uid="{00000000-0005-0000-0000-00008A040000}"/>
    <cellStyle name="20% - Accent1 5 3" xfId="56" xr:uid="{00000000-0005-0000-0000-00008B040000}"/>
    <cellStyle name="20% - Accent1 5 3 2" xfId="1082" xr:uid="{00000000-0005-0000-0000-00008C040000}"/>
    <cellStyle name="20% - Accent1 5 3 2 2" xfId="4609" xr:uid="{00000000-0005-0000-0000-00008D040000}"/>
    <cellStyle name="20% - Accent1 5 3 2 2 2" xfId="8200" xr:uid="{00000000-0005-0000-0000-00008E040000}"/>
    <cellStyle name="20% - Accent1 5 3 2 2 2 2" xfId="16170" xr:uid="{00000000-0005-0000-0000-00008F040000}"/>
    <cellStyle name="20% - Accent1 5 3 2 2 2 2 2" xfId="40012" xr:uid="{F08CCDD5-56A5-4549-ABAE-2689106B4792}"/>
    <cellStyle name="20% - Accent1 5 3 2 2 2 3" xfId="24116" xr:uid="{00000000-0005-0000-0000-000090040000}"/>
    <cellStyle name="20% - Accent1 5 3 2 2 2 3 2" xfId="47948" xr:uid="{4BDB2B27-536E-48E2-B528-A5A3F180330E}"/>
    <cellStyle name="20% - Accent1 5 3 2 2 2 4" xfId="32071" xr:uid="{E55E2DAC-9E7D-4D81-9692-BAE59E933B9C}"/>
    <cellStyle name="20% - Accent1 5 3 2 2 3" xfId="12632" xr:uid="{00000000-0005-0000-0000-000091040000}"/>
    <cellStyle name="20% - Accent1 5 3 2 2 3 2" xfId="36481" xr:uid="{A7D6E4F3-E84E-4955-80D8-FC1BE5ED56EF}"/>
    <cellStyle name="20% - Accent1 5 3 2 2 4" xfId="20587" xr:uid="{00000000-0005-0000-0000-000092040000}"/>
    <cellStyle name="20% - Accent1 5 3 2 2 4 2" xfId="44419" xr:uid="{0AFF52CD-95A7-4204-957E-F4E29242505F}"/>
    <cellStyle name="20% - Accent1 5 3 2 2 5" xfId="28540" xr:uid="{82C759B6-640B-4A58-B2E8-55265F7ED425}"/>
    <cellStyle name="20% - Accent1 5 3 2 3" xfId="6441" xr:uid="{00000000-0005-0000-0000-000093040000}"/>
    <cellStyle name="20% - Accent1 5 3 2 3 2" xfId="14412" xr:uid="{00000000-0005-0000-0000-000094040000}"/>
    <cellStyle name="20% - Accent1 5 3 2 3 2 2" xfId="38254" xr:uid="{2B024D11-BFDE-490E-9197-C2357B1E3E26}"/>
    <cellStyle name="20% - Accent1 5 3 2 3 3" xfId="22359" xr:uid="{00000000-0005-0000-0000-000095040000}"/>
    <cellStyle name="20% - Accent1 5 3 2 3 3 2" xfId="46191" xr:uid="{75A8A483-AEE9-4F57-ABDD-C2CC3CB059CA}"/>
    <cellStyle name="20% - Accent1 5 3 2 3 4" xfId="30313" xr:uid="{3CD74A07-5348-40F9-8EEF-D1945CDBF7CC}"/>
    <cellStyle name="20% - Accent1 5 3 2 4" xfId="10876" xr:uid="{00000000-0005-0000-0000-000096040000}"/>
    <cellStyle name="20% - Accent1 5 3 2 4 2" xfId="34725" xr:uid="{956C571B-60BF-43B2-8523-F2B310D50109}"/>
    <cellStyle name="20% - Accent1 5 3 2 5" xfId="18831" xr:uid="{00000000-0005-0000-0000-000097040000}"/>
    <cellStyle name="20% - Accent1 5 3 2 5 2" xfId="42663" xr:uid="{A2644565-72A5-4D16-A69B-96255433DE42}"/>
    <cellStyle name="20% - Accent1 5 3 2 6" xfId="26783" xr:uid="{7DB88823-2DAF-4F7E-ADBC-50C9B9415FE1}"/>
    <cellStyle name="20% - Accent1 5 3 2_Exh G" xfId="2016" xr:uid="{00000000-0005-0000-0000-000098040000}"/>
    <cellStyle name="20% - Accent1 5 3 3" xfId="3730" xr:uid="{00000000-0005-0000-0000-000099040000}"/>
    <cellStyle name="20% - Accent1 5 3 3 2" xfId="7322" xr:uid="{00000000-0005-0000-0000-00009A040000}"/>
    <cellStyle name="20% - Accent1 5 3 3 2 2" xfId="15292" xr:uid="{00000000-0005-0000-0000-00009B040000}"/>
    <cellStyle name="20% - Accent1 5 3 3 2 2 2" xfId="39134" xr:uid="{03734250-CBBB-4604-9E21-CAD8BF7056DF}"/>
    <cellStyle name="20% - Accent1 5 3 3 2 3" xfId="23238" xr:uid="{00000000-0005-0000-0000-00009C040000}"/>
    <cellStyle name="20% - Accent1 5 3 3 2 3 2" xfId="47070" xr:uid="{2EA64550-E2EB-4C3E-96F6-B33E03C0ED12}"/>
    <cellStyle name="20% - Accent1 5 3 3 2 4" xfId="31193" xr:uid="{10CD8100-4EDD-4259-BDF0-6007697005EB}"/>
    <cellStyle name="20% - Accent1 5 3 3 3" xfId="11754" xr:uid="{00000000-0005-0000-0000-00009D040000}"/>
    <cellStyle name="20% - Accent1 5 3 3 3 2" xfId="35603" xr:uid="{73D6A267-2D09-4E05-9975-9A018E1FAD28}"/>
    <cellStyle name="20% - Accent1 5 3 3 4" xfId="19709" xr:uid="{00000000-0005-0000-0000-00009E040000}"/>
    <cellStyle name="20% - Accent1 5 3 3 4 2" xfId="43541" xr:uid="{918432DC-B5E9-40FD-81F2-8427C2E8CF06}"/>
    <cellStyle name="20% - Accent1 5 3 3 5" xfId="27662" xr:uid="{A998D3DD-1899-4FC3-B986-10E6D3074E90}"/>
    <cellStyle name="20% - Accent1 5 3 4" xfId="5550" xr:uid="{00000000-0005-0000-0000-00009F040000}"/>
    <cellStyle name="20% - Accent1 5 3 4 2" xfId="13533" xr:uid="{00000000-0005-0000-0000-0000A0040000}"/>
    <cellStyle name="20% - Accent1 5 3 4 2 2" xfId="37376" xr:uid="{E8650D23-5028-47CB-92ED-7B5EEDDB901E}"/>
    <cellStyle name="20% - Accent1 5 3 4 3" xfId="21481" xr:uid="{00000000-0005-0000-0000-0000A1040000}"/>
    <cellStyle name="20% - Accent1 5 3 4 3 2" xfId="45313" xr:uid="{62FBE206-AE10-4F9E-A9B4-59E77B16BC04}"/>
    <cellStyle name="20% - Accent1 5 3 4 4" xfId="29435" xr:uid="{E0AAA59C-AA63-482B-9943-0298067BF962}"/>
    <cellStyle name="20% - Accent1 5 3 5" xfId="9102" xr:uid="{00000000-0005-0000-0000-0000A2040000}"/>
    <cellStyle name="20% - Accent1 5 3 5 2" xfId="17060" xr:uid="{00000000-0005-0000-0000-0000A3040000}"/>
    <cellStyle name="20% - Accent1 5 3 5 2 2" xfId="40900" xr:uid="{5697EBBF-5A1B-41AC-BC2B-60F6902ADFB0}"/>
    <cellStyle name="20% - Accent1 5 3 5 3" xfId="25004" xr:uid="{00000000-0005-0000-0000-0000A4040000}"/>
    <cellStyle name="20% - Accent1 5 3 5 3 2" xfId="48836" xr:uid="{E37CF504-B411-4157-B373-B407452A1766}"/>
    <cellStyle name="20% - Accent1 5 3 5 4" xfId="32959" xr:uid="{66AD854B-AC97-4202-B590-0B92CB3C88C6}"/>
    <cellStyle name="20% - Accent1 5 3 6" xfId="9998" xr:uid="{00000000-0005-0000-0000-0000A5040000}"/>
    <cellStyle name="20% - Accent1 5 3 6 2" xfId="33847" xr:uid="{E38EEC08-5277-4226-B309-4DB19452B87B}"/>
    <cellStyle name="20% - Accent1 5 3 7" xfId="17953" xr:uid="{00000000-0005-0000-0000-0000A6040000}"/>
    <cellStyle name="20% - Accent1 5 3 7 2" xfId="41785" xr:uid="{27CD00E9-7743-4CF9-B5C0-A7593A641A83}"/>
    <cellStyle name="20% - Accent1 5 3 8" xfId="25905" xr:uid="{1460AFB6-17C5-41D0-AB69-AB79F6CA6627}"/>
    <cellStyle name="20% - Accent1 5 3_Exh G" xfId="2015" xr:uid="{00000000-0005-0000-0000-0000A7040000}"/>
    <cellStyle name="20% - Accent1 5 4" xfId="866" xr:uid="{00000000-0005-0000-0000-0000A8040000}"/>
    <cellStyle name="20% - Accent1 5 5" xfId="1079" xr:uid="{00000000-0005-0000-0000-0000A9040000}"/>
    <cellStyle name="20% - Accent1 5 5 2" xfId="4606" xr:uid="{00000000-0005-0000-0000-0000AA040000}"/>
    <cellStyle name="20% - Accent1 5 5 2 2" xfId="8197" xr:uid="{00000000-0005-0000-0000-0000AB040000}"/>
    <cellStyle name="20% - Accent1 5 5 2 2 2" xfId="16167" xr:uid="{00000000-0005-0000-0000-0000AC040000}"/>
    <cellStyle name="20% - Accent1 5 5 2 2 2 2" xfId="40009" xr:uid="{DD27EDC3-40C3-4211-B519-05060A803642}"/>
    <cellStyle name="20% - Accent1 5 5 2 2 3" xfId="24113" xr:uid="{00000000-0005-0000-0000-0000AD040000}"/>
    <cellStyle name="20% - Accent1 5 5 2 2 3 2" xfId="47945" xr:uid="{0F00C9B9-8CDE-4DF6-A2F6-FC6C599075A2}"/>
    <cellStyle name="20% - Accent1 5 5 2 2 4" xfId="32068" xr:uid="{A7A03810-24AE-4E88-BBED-F3F0B5B508A6}"/>
    <cellStyle name="20% - Accent1 5 5 2 3" xfId="12629" xr:uid="{00000000-0005-0000-0000-0000AE040000}"/>
    <cellStyle name="20% - Accent1 5 5 2 3 2" xfId="36478" xr:uid="{3A36FF4B-8693-477C-911C-33A98476D6FC}"/>
    <cellStyle name="20% - Accent1 5 5 2 4" xfId="20584" xr:uid="{00000000-0005-0000-0000-0000AF040000}"/>
    <cellStyle name="20% - Accent1 5 5 2 4 2" xfId="44416" xr:uid="{80F90C2E-CD85-4426-A0BA-EB9F5BB4D43E}"/>
    <cellStyle name="20% - Accent1 5 5 2 5" xfId="28537" xr:uid="{091CE833-E238-4323-B167-5A0CCC8723B4}"/>
    <cellStyle name="20% - Accent1 5 5 3" xfId="6438" xr:uid="{00000000-0005-0000-0000-0000B0040000}"/>
    <cellStyle name="20% - Accent1 5 5 3 2" xfId="14409" xr:uid="{00000000-0005-0000-0000-0000B1040000}"/>
    <cellStyle name="20% - Accent1 5 5 3 2 2" xfId="38251" xr:uid="{76742A1B-46E9-4C14-8867-1330364C1340}"/>
    <cellStyle name="20% - Accent1 5 5 3 3" xfId="22356" xr:uid="{00000000-0005-0000-0000-0000B2040000}"/>
    <cellStyle name="20% - Accent1 5 5 3 3 2" xfId="46188" xr:uid="{C9E8A2F5-E05B-4BBF-A66A-5D0405593A2D}"/>
    <cellStyle name="20% - Accent1 5 5 3 4" xfId="30310" xr:uid="{F670458A-3F29-4663-AFDF-F8EB1FF38527}"/>
    <cellStyle name="20% - Accent1 5 5 4" xfId="10873" xr:uid="{00000000-0005-0000-0000-0000B3040000}"/>
    <cellStyle name="20% - Accent1 5 5 4 2" xfId="34722" xr:uid="{6E54E53D-2459-4515-B787-F94CF090A1DC}"/>
    <cellStyle name="20% - Accent1 5 5 5" xfId="18828" xr:uid="{00000000-0005-0000-0000-0000B4040000}"/>
    <cellStyle name="20% - Accent1 5 5 5 2" xfId="42660" xr:uid="{2BD097C4-70E5-45F6-A3A6-E3E685EE828D}"/>
    <cellStyle name="20% - Accent1 5 5 6" xfId="26780" xr:uid="{8D6BBB48-9105-4AEC-A425-20EA2BE08562}"/>
    <cellStyle name="20% - Accent1 5 5_Exh G" xfId="2017" xr:uid="{00000000-0005-0000-0000-0000B5040000}"/>
    <cellStyle name="20% - Accent1 5 6" xfId="3727" xr:uid="{00000000-0005-0000-0000-0000B6040000}"/>
    <cellStyle name="20% - Accent1 5 6 2" xfId="7319" xr:uid="{00000000-0005-0000-0000-0000B7040000}"/>
    <cellStyle name="20% - Accent1 5 6 2 2" xfId="15289" xr:uid="{00000000-0005-0000-0000-0000B8040000}"/>
    <cellStyle name="20% - Accent1 5 6 2 2 2" xfId="39131" xr:uid="{3C51F6F4-EA54-4EDD-BAB0-09CA5C897592}"/>
    <cellStyle name="20% - Accent1 5 6 2 3" xfId="23235" xr:uid="{00000000-0005-0000-0000-0000B9040000}"/>
    <cellStyle name="20% - Accent1 5 6 2 3 2" xfId="47067" xr:uid="{67AB152F-7A9E-4A73-B940-77DB9C8E2DF0}"/>
    <cellStyle name="20% - Accent1 5 6 2 4" xfId="31190" xr:uid="{C112B511-90AB-4C1C-AE57-C2C0F640119E}"/>
    <cellStyle name="20% - Accent1 5 6 3" xfId="11751" xr:uid="{00000000-0005-0000-0000-0000BA040000}"/>
    <cellStyle name="20% - Accent1 5 6 3 2" xfId="35600" xr:uid="{49153733-0DF4-41EA-AC15-A8D113467B2C}"/>
    <cellStyle name="20% - Accent1 5 6 4" xfId="19706" xr:uid="{00000000-0005-0000-0000-0000BB040000}"/>
    <cellStyle name="20% - Accent1 5 6 4 2" xfId="43538" xr:uid="{815EA913-D242-475F-9A2F-3C51BE3F0E91}"/>
    <cellStyle name="20% - Accent1 5 6 5" xfId="27659" xr:uid="{D029DFAA-FC46-4C21-9F3A-6D662C6D2BE2}"/>
    <cellStyle name="20% - Accent1 5 7" xfId="5547" xr:uid="{00000000-0005-0000-0000-0000BC040000}"/>
    <cellStyle name="20% - Accent1 5 7 2" xfId="13530" xr:uid="{00000000-0005-0000-0000-0000BD040000}"/>
    <cellStyle name="20% - Accent1 5 7 2 2" xfId="37373" xr:uid="{4163B7B0-C1B4-42DF-AED3-39CCC9E63EDF}"/>
    <cellStyle name="20% - Accent1 5 7 3" xfId="21478" xr:uid="{00000000-0005-0000-0000-0000BE040000}"/>
    <cellStyle name="20% - Accent1 5 7 3 2" xfId="45310" xr:uid="{3AE469ED-282C-43E6-8F0F-18B5C45528EF}"/>
    <cellStyle name="20% - Accent1 5 7 4" xfId="29432" xr:uid="{B6008E50-8C4C-4618-8EFF-0B7B0CB11DBC}"/>
    <cellStyle name="20% - Accent1 5 8" xfId="9099" xr:uid="{00000000-0005-0000-0000-0000BF040000}"/>
    <cellStyle name="20% - Accent1 5 8 2" xfId="17057" xr:uid="{00000000-0005-0000-0000-0000C0040000}"/>
    <cellStyle name="20% - Accent1 5 8 2 2" xfId="40897" xr:uid="{D7941557-1DD9-4E71-9A75-12E9EA3CBD55}"/>
    <cellStyle name="20% - Accent1 5 8 3" xfId="25001" xr:uid="{00000000-0005-0000-0000-0000C1040000}"/>
    <cellStyle name="20% - Accent1 5 8 3 2" xfId="48833" xr:uid="{5EF407CF-D2C8-406D-8421-AA54ACB30534}"/>
    <cellStyle name="20% - Accent1 5 8 4" xfId="32956" xr:uid="{F94C5EF2-4B03-45F0-A3FD-E5D7398B6E87}"/>
    <cellStyle name="20% - Accent1 5 9" xfId="9995" xr:uid="{00000000-0005-0000-0000-0000C2040000}"/>
    <cellStyle name="20% - Accent1 5 9 2" xfId="33844" xr:uid="{E87D3A85-3E22-4777-BA02-E0AA446E845F}"/>
    <cellStyle name="20% - Accent1 5_Exh G" xfId="2010" xr:uid="{00000000-0005-0000-0000-0000C3040000}"/>
    <cellStyle name="20% - Accent1 6" xfId="57" xr:uid="{00000000-0005-0000-0000-0000C4040000}"/>
    <cellStyle name="20% - Accent1 6 10" xfId="17954" xr:uid="{00000000-0005-0000-0000-0000C5040000}"/>
    <cellStyle name="20% - Accent1 6 10 2" xfId="41786" xr:uid="{4788B29F-2148-4B5C-8610-A58EBEACE047}"/>
    <cellStyle name="20% - Accent1 6 11" xfId="25906" xr:uid="{CA3A8E8E-7E08-40A3-859B-8D39757C5A1F}"/>
    <cellStyle name="20% - Accent1 6 2" xfId="58" xr:uid="{00000000-0005-0000-0000-0000C6040000}"/>
    <cellStyle name="20% - Accent1 6 2 2" xfId="59" xr:uid="{00000000-0005-0000-0000-0000C7040000}"/>
    <cellStyle name="20% - Accent1 6 2 2 2" xfId="1085" xr:uid="{00000000-0005-0000-0000-0000C8040000}"/>
    <cellStyle name="20% - Accent1 6 2 2 2 2" xfId="4612" xr:uid="{00000000-0005-0000-0000-0000C9040000}"/>
    <cellStyle name="20% - Accent1 6 2 2 2 2 2" xfId="8203" xr:uid="{00000000-0005-0000-0000-0000CA040000}"/>
    <cellStyle name="20% - Accent1 6 2 2 2 2 2 2" xfId="16173" xr:uid="{00000000-0005-0000-0000-0000CB040000}"/>
    <cellStyle name="20% - Accent1 6 2 2 2 2 2 2 2" xfId="40015" xr:uid="{121106BE-DE92-4573-A410-13A542BBAD8D}"/>
    <cellStyle name="20% - Accent1 6 2 2 2 2 2 3" xfId="24119" xr:uid="{00000000-0005-0000-0000-0000CC040000}"/>
    <cellStyle name="20% - Accent1 6 2 2 2 2 2 3 2" xfId="47951" xr:uid="{413DC427-828C-4EB9-896B-0699FFE29010}"/>
    <cellStyle name="20% - Accent1 6 2 2 2 2 2 4" xfId="32074" xr:uid="{F59AE39F-421A-4CC9-8BF4-E75914FBC5A7}"/>
    <cellStyle name="20% - Accent1 6 2 2 2 2 3" xfId="12635" xr:uid="{00000000-0005-0000-0000-0000CD040000}"/>
    <cellStyle name="20% - Accent1 6 2 2 2 2 3 2" xfId="36484" xr:uid="{FA058BF7-06A3-45A0-8DF3-C6442E0A7B18}"/>
    <cellStyle name="20% - Accent1 6 2 2 2 2 4" xfId="20590" xr:uid="{00000000-0005-0000-0000-0000CE040000}"/>
    <cellStyle name="20% - Accent1 6 2 2 2 2 4 2" xfId="44422" xr:uid="{D94CF75B-0A4C-4208-9FEE-AD1FFC90176D}"/>
    <cellStyle name="20% - Accent1 6 2 2 2 2 5" xfId="28543" xr:uid="{F285F552-721F-4D19-B616-F184F4CF46A0}"/>
    <cellStyle name="20% - Accent1 6 2 2 2 3" xfId="6444" xr:uid="{00000000-0005-0000-0000-0000CF040000}"/>
    <cellStyle name="20% - Accent1 6 2 2 2 3 2" xfId="14415" xr:uid="{00000000-0005-0000-0000-0000D0040000}"/>
    <cellStyle name="20% - Accent1 6 2 2 2 3 2 2" xfId="38257" xr:uid="{9C758B0B-08D7-4FF1-B199-0E18876325A4}"/>
    <cellStyle name="20% - Accent1 6 2 2 2 3 3" xfId="22362" xr:uid="{00000000-0005-0000-0000-0000D1040000}"/>
    <cellStyle name="20% - Accent1 6 2 2 2 3 3 2" xfId="46194" xr:uid="{657A81DF-5493-4BC1-8225-20CC68E17C60}"/>
    <cellStyle name="20% - Accent1 6 2 2 2 3 4" xfId="30316" xr:uid="{A5FD32C3-AD3F-4AA5-BCA6-A5E97A3514E6}"/>
    <cellStyle name="20% - Accent1 6 2 2 2 4" xfId="10879" xr:uid="{00000000-0005-0000-0000-0000D2040000}"/>
    <cellStyle name="20% - Accent1 6 2 2 2 4 2" xfId="34728" xr:uid="{8A631525-34AA-450A-B50E-F7D38E0FFCFF}"/>
    <cellStyle name="20% - Accent1 6 2 2 2 5" xfId="18834" xr:uid="{00000000-0005-0000-0000-0000D3040000}"/>
    <cellStyle name="20% - Accent1 6 2 2 2 5 2" xfId="42666" xr:uid="{68C400D8-3627-413D-88E3-F99764FAD90A}"/>
    <cellStyle name="20% - Accent1 6 2 2 2 6" xfId="26786" xr:uid="{BEE8B1BE-5903-4CA5-933D-BB8AC8888037}"/>
    <cellStyle name="20% - Accent1 6 2 2 2_Exh G" xfId="2021" xr:uid="{00000000-0005-0000-0000-0000D4040000}"/>
    <cellStyle name="20% - Accent1 6 2 2 3" xfId="3733" xr:uid="{00000000-0005-0000-0000-0000D5040000}"/>
    <cellStyle name="20% - Accent1 6 2 2 3 2" xfId="7325" xr:uid="{00000000-0005-0000-0000-0000D6040000}"/>
    <cellStyle name="20% - Accent1 6 2 2 3 2 2" xfId="15295" xr:uid="{00000000-0005-0000-0000-0000D7040000}"/>
    <cellStyle name="20% - Accent1 6 2 2 3 2 2 2" xfId="39137" xr:uid="{ADD4C3E5-8087-422E-901C-F119E355A251}"/>
    <cellStyle name="20% - Accent1 6 2 2 3 2 3" xfId="23241" xr:uid="{00000000-0005-0000-0000-0000D8040000}"/>
    <cellStyle name="20% - Accent1 6 2 2 3 2 3 2" xfId="47073" xr:uid="{EB343287-C415-4D64-9D0B-497C21FF4324}"/>
    <cellStyle name="20% - Accent1 6 2 2 3 2 4" xfId="31196" xr:uid="{F4BB7852-05A5-4308-8675-7FC5E17C95D4}"/>
    <cellStyle name="20% - Accent1 6 2 2 3 3" xfId="11757" xr:uid="{00000000-0005-0000-0000-0000D9040000}"/>
    <cellStyle name="20% - Accent1 6 2 2 3 3 2" xfId="35606" xr:uid="{FAAE959F-D840-43FE-B7B7-6B6D7954F6BD}"/>
    <cellStyle name="20% - Accent1 6 2 2 3 4" xfId="19712" xr:uid="{00000000-0005-0000-0000-0000DA040000}"/>
    <cellStyle name="20% - Accent1 6 2 2 3 4 2" xfId="43544" xr:uid="{D2B322CD-7597-4C89-8773-EE0E387E69F8}"/>
    <cellStyle name="20% - Accent1 6 2 2 3 5" xfId="27665" xr:uid="{B91D6249-A05C-4268-91E0-244903546460}"/>
    <cellStyle name="20% - Accent1 6 2 2 4" xfId="5553" xr:uid="{00000000-0005-0000-0000-0000DB040000}"/>
    <cellStyle name="20% - Accent1 6 2 2 4 2" xfId="13536" xr:uid="{00000000-0005-0000-0000-0000DC040000}"/>
    <cellStyle name="20% - Accent1 6 2 2 4 2 2" xfId="37379" xr:uid="{6B523D39-76A4-490F-AB4F-E0FF920E2A11}"/>
    <cellStyle name="20% - Accent1 6 2 2 4 3" xfId="21484" xr:uid="{00000000-0005-0000-0000-0000DD040000}"/>
    <cellStyle name="20% - Accent1 6 2 2 4 3 2" xfId="45316" xr:uid="{C4C85B04-2B2A-4D1D-B504-8B15FA5E3F09}"/>
    <cellStyle name="20% - Accent1 6 2 2 4 4" xfId="29438" xr:uid="{B871CF50-2D81-4484-8685-8708101952BE}"/>
    <cellStyle name="20% - Accent1 6 2 2 5" xfId="9105" xr:uid="{00000000-0005-0000-0000-0000DE040000}"/>
    <cellStyle name="20% - Accent1 6 2 2 5 2" xfId="17063" xr:uid="{00000000-0005-0000-0000-0000DF040000}"/>
    <cellStyle name="20% - Accent1 6 2 2 5 2 2" xfId="40903" xr:uid="{2F6ED56F-9F7C-484C-9940-313249C912E5}"/>
    <cellStyle name="20% - Accent1 6 2 2 5 3" xfId="25007" xr:uid="{00000000-0005-0000-0000-0000E0040000}"/>
    <cellStyle name="20% - Accent1 6 2 2 5 3 2" xfId="48839" xr:uid="{17460A9A-9719-4F8D-9791-E3FE2561C958}"/>
    <cellStyle name="20% - Accent1 6 2 2 5 4" xfId="32962" xr:uid="{DB3623F1-C57C-4985-8212-6B0BE18D54F9}"/>
    <cellStyle name="20% - Accent1 6 2 2 6" xfId="10001" xr:uid="{00000000-0005-0000-0000-0000E1040000}"/>
    <cellStyle name="20% - Accent1 6 2 2 6 2" xfId="33850" xr:uid="{11B41BD2-DC65-43AE-872D-9C627F87310E}"/>
    <cellStyle name="20% - Accent1 6 2 2 7" xfId="17956" xr:uid="{00000000-0005-0000-0000-0000E2040000}"/>
    <cellStyle name="20% - Accent1 6 2 2 7 2" xfId="41788" xr:uid="{E995E6F3-C299-4199-A143-C69319013789}"/>
    <cellStyle name="20% - Accent1 6 2 2 8" xfId="25908" xr:uid="{B73358EC-0763-4A3D-A4DE-4E00D4DD3608}"/>
    <cellStyle name="20% - Accent1 6 2 2_Exh G" xfId="2020" xr:uid="{00000000-0005-0000-0000-0000E3040000}"/>
    <cellStyle name="20% - Accent1 6 2 3" xfId="1084" xr:uid="{00000000-0005-0000-0000-0000E4040000}"/>
    <cellStyle name="20% - Accent1 6 2 3 2" xfId="4611" xr:uid="{00000000-0005-0000-0000-0000E5040000}"/>
    <cellStyle name="20% - Accent1 6 2 3 2 2" xfId="8202" xr:uid="{00000000-0005-0000-0000-0000E6040000}"/>
    <cellStyle name="20% - Accent1 6 2 3 2 2 2" xfId="16172" xr:uid="{00000000-0005-0000-0000-0000E7040000}"/>
    <cellStyle name="20% - Accent1 6 2 3 2 2 2 2" xfId="40014" xr:uid="{DB1B6CF0-A4CA-48E3-AABA-EDBECD12E17B}"/>
    <cellStyle name="20% - Accent1 6 2 3 2 2 3" xfId="24118" xr:uid="{00000000-0005-0000-0000-0000E8040000}"/>
    <cellStyle name="20% - Accent1 6 2 3 2 2 3 2" xfId="47950" xr:uid="{E9762E69-7DDD-45C2-9EAE-3FBF242BC93C}"/>
    <cellStyle name="20% - Accent1 6 2 3 2 2 4" xfId="32073" xr:uid="{B15C6747-9FDE-4BFF-A74E-F25E6DC2BF1C}"/>
    <cellStyle name="20% - Accent1 6 2 3 2 3" xfId="12634" xr:uid="{00000000-0005-0000-0000-0000E9040000}"/>
    <cellStyle name="20% - Accent1 6 2 3 2 3 2" xfId="36483" xr:uid="{2CB51025-F38D-4592-8DAE-0DCBF8EC6677}"/>
    <cellStyle name="20% - Accent1 6 2 3 2 4" xfId="20589" xr:uid="{00000000-0005-0000-0000-0000EA040000}"/>
    <cellStyle name="20% - Accent1 6 2 3 2 4 2" xfId="44421" xr:uid="{AD6A1B52-5277-42F3-9C19-21F3DBF6FFC0}"/>
    <cellStyle name="20% - Accent1 6 2 3 2 5" xfId="28542" xr:uid="{FF4643AE-FAF5-424F-88EB-9F2E37B3F6E2}"/>
    <cellStyle name="20% - Accent1 6 2 3 3" xfId="6443" xr:uid="{00000000-0005-0000-0000-0000EB040000}"/>
    <cellStyle name="20% - Accent1 6 2 3 3 2" xfId="14414" xr:uid="{00000000-0005-0000-0000-0000EC040000}"/>
    <cellStyle name="20% - Accent1 6 2 3 3 2 2" xfId="38256" xr:uid="{9312977E-33B8-4F8F-B228-5E419B4FA39D}"/>
    <cellStyle name="20% - Accent1 6 2 3 3 3" xfId="22361" xr:uid="{00000000-0005-0000-0000-0000ED040000}"/>
    <cellStyle name="20% - Accent1 6 2 3 3 3 2" xfId="46193" xr:uid="{3CC51FDC-4B31-46CF-BA70-76A590B7CCA4}"/>
    <cellStyle name="20% - Accent1 6 2 3 3 4" xfId="30315" xr:uid="{5EB38D3D-C200-4B2B-88D3-E970544083A1}"/>
    <cellStyle name="20% - Accent1 6 2 3 4" xfId="10878" xr:uid="{00000000-0005-0000-0000-0000EE040000}"/>
    <cellStyle name="20% - Accent1 6 2 3 4 2" xfId="34727" xr:uid="{131929CD-9E35-448F-AB02-5E7314982F98}"/>
    <cellStyle name="20% - Accent1 6 2 3 5" xfId="18833" xr:uid="{00000000-0005-0000-0000-0000EF040000}"/>
    <cellStyle name="20% - Accent1 6 2 3 5 2" xfId="42665" xr:uid="{FF9A087C-CE7A-4BD3-920A-000C30E64CD5}"/>
    <cellStyle name="20% - Accent1 6 2 3 6" xfId="26785" xr:uid="{E0DC989B-D067-4B8A-8A6C-85AA02029417}"/>
    <cellStyle name="20% - Accent1 6 2 3_Exh G" xfId="2022" xr:uid="{00000000-0005-0000-0000-0000F0040000}"/>
    <cellStyle name="20% - Accent1 6 2 4" xfId="3732" xr:uid="{00000000-0005-0000-0000-0000F1040000}"/>
    <cellStyle name="20% - Accent1 6 2 4 2" xfId="7324" xr:uid="{00000000-0005-0000-0000-0000F2040000}"/>
    <cellStyle name="20% - Accent1 6 2 4 2 2" xfId="15294" xr:uid="{00000000-0005-0000-0000-0000F3040000}"/>
    <cellStyle name="20% - Accent1 6 2 4 2 2 2" xfId="39136" xr:uid="{14005DC6-89FB-4B96-9726-AFE05811C892}"/>
    <cellStyle name="20% - Accent1 6 2 4 2 3" xfId="23240" xr:uid="{00000000-0005-0000-0000-0000F4040000}"/>
    <cellStyle name="20% - Accent1 6 2 4 2 3 2" xfId="47072" xr:uid="{5CD85B39-9614-475C-B26E-D3D29ED6B739}"/>
    <cellStyle name="20% - Accent1 6 2 4 2 4" xfId="31195" xr:uid="{A1B2AE71-7382-4192-9F25-9D8C178C6AD2}"/>
    <cellStyle name="20% - Accent1 6 2 4 3" xfId="11756" xr:uid="{00000000-0005-0000-0000-0000F5040000}"/>
    <cellStyle name="20% - Accent1 6 2 4 3 2" xfId="35605" xr:uid="{FD0B58C0-5B35-4859-809B-CF3F3E644DDD}"/>
    <cellStyle name="20% - Accent1 6 2 4 4" xfId="19711" xr:uid="{00000000-0005-0000-0000-0000F6040000}"/>
    <cellStyle name="20% - Accent1 6 2 4 4 2" xfId="43543" xr:uid="{BD854898-A0FC-4681-8C1D-78A12B25EEA5}"/>
    <cellStyle name="20% - Accent1 6 2 4 5" xfId="27664" xr:uid="{C52DA349-80B1-460E-80E2-2935B1CF31BC}"/>
    <cellStyle name="20% - Accent1 6 2 5" xfId="5552" xr:uid="{00000000-0005-0000-0000-0000F7040000}"/>
    <cellStyle name="20% - Accent1 6 2 5 2" xfId="13535" xr:uid="{00000000-0005-0000-0000-0000F8040000}"/>
    <cellStyle name="20% - Accent1 6 2 5 2 2" xfId="37378" xr:uid="{D906DE04-6586-4237-BD3F-35DEB3F459BF}"/>
    <cellStyle name="20% - Accent1 6 2 5 3" xfId="21483" xr:uid="{00000000-0005-0000-0000-0000F9040000}"/>
    <cellStyle name="20% - Accent1 6 2 5 3 2" xfId="45315" xr:uid="{1B6FE87D-A195-4323-A269-25F7F8745CF0}"/>
    <cellStyle name="20% - Accent1 6 2 5 4" xfId="29437" xr:uid="{7DED9949-1CEF-463E-B2CE-24D9EA5D40AF}"/>
    <cellStyle name="20% - Accent1 6 2 6" xfId="9104" xr:uid="{00000000-0005-0000-0000-0000FA040000}"/>
    <cellStyle name="20% - Accent1 6 2 6 2" xfId="17062" xr:uid="{00000000-0005-0000-0000-0000FB040000}"/>
    <cellStyle name="20% - Accent1 6 2 6 2 2" xfId="40902" xr:uid="{727C94C4-8AD0-4BD4-B706-2AC7BF509174}"/>
    <cellStyle name="20% - Accent1 6 2 6 3" xfId="25006" xr:uid="{00000000-0005-0000-0000-0000FC040000}"/>
    <cellStyle name="20% - Accent1 6 2 6 3 2" xfId="48838" xr:uid="{97670F16-103F-48A0-8EB1-E80F39A7A4ED}"/>
    <cellStyle name="20% - Accent1 6 2 6 4" xfId="32961" xr:uid="{4198A4EB-F320-4BD4-86E6-13FC7202FE3F}"/>
    <cellStyle name="20% - Accent1 6 2 7" xfId="10000" xr:uid="{00000000-0005-0000-0000-0000FD040000}"/>
    <cellStyle name="20% - Accent1 6 2 7 2" xfId="33849" xr:uid="{19F13A6B-B2DC-4764-A45E-0152B0E4F35C}"/>
    <cellStyle name="20% - Accent1 6 2 8" xfId="17955" xr:uid="{00000000-0005-0000-0000-0000FE040000}"/>
    <cellStyle name="20% - Accent1 6 2 8 2" xfId="41787" xr:uid="{3B974FDD-90C9-409A-876A-91D0575E89BA}"/>
    <cellStyle name="20% - Accent1 6 2 9" xfId="25907" xr:uid="{BDAA64EE-5BC7-4FE0-8E3C-272E02CC7E94}"/>
    <cellStyle name="20% - Accent1 6 2_Exh G" xfId="2019" xr:uid="{00000000-0005-0000-0000-0000FF040000}"/>
    <cellStyle name="20% - Accent1 6 3" xfId="60" xr:uid="{00000000-0005-0000-0000-000000050000}"/>
    <cellStyle name="20% - Accent1 6 3 2" xfId="1086" xr:uid="{00000000-0005-0000-0000-000001050000}"/>
    <cellStyle name="20% - Accent1 6 3 2 2" xfId="4613" xr:uid="{00000000-0005-0000-0000-000002050000}"/>
    <cellStyle name="20% - Accent1 6 3 2 2 2" xfId="8204" xr:uid="{00000000-0005-0000-0000-000003050000}"/>
    <cellStyle name="20% - Accent1 6 3 2 2 2 2" xfId="16174" xr:uid="{00000000-0005-0000-0000-000004050000}"/>
    <cellStyle name="20% - Accent1 6 3 2 2 2 2 2" xfId="40016" xr:uid="{74E93227-C828-4A22-8F3A-96C9896BF28A}"/>
    <cellStyle name="20% - Accent1 6 3 2 2 2 3" xfId="24120" xr:uid="{00000000-0005-0000-0000-000005050000}"/>
    <cellStyle name="20% - Accent1 6 3 2 2 2 3 2" xfId="47952" xr:uid="{D6F9C19E-4A77-4726-9AA7-FE4097C15658}"/>
    <cellStyle name="20% - Accent1 6 3 2 2 2 4" xfId="32075" xr:uid="{E805C6D7-990B-48E7-BEF8-D7F751DA5225}"/>
    <cellStyle name="20% - Accent1 6 3 2 2 3" xfId="12636" xr:uid="{00000000-0005-0000-0000-000006050000}"/>
    <cellStyle name="20% - Accent1 6 3 2 2 3 2" xfId="36485" xr:uid="{A0E538E8-94D2-4BF0-BDD1-D3113D639E74}"/>
    <cellStyle name="20% - Accent1 6 3 2 2 4" xfId="20591" xr:uid="{00000000-0005-0000-0000-000007050000}"/>
    <cellStyle name="20% - Accent1 6 3 2 2 4 2" xfId="44423" xr:uid="{F68913E0-4DA1-40C4-AE61-16FBEB882C21}"/>
    <cellStyle name="20% - Accent1 6 3 2 2 5" xfId="28544" xr:uid="{DB168239-88CF-47EF-934D-0F0EC52365D1}"/>
    <cellStyle name="20% - Accent1 6 3 2 3" xfId="6445" xr:uid="{00000000-0005-0000-0000-000008050000}"/>
    <cellStyle name="20% - Accent1 6 3 2 3 2" xfId="14416" xr:uid="{00000000-0005-0000-0000-000009050000}"/>
    <cellStyle name="20% - Accent1 6 3 2 3 2 2" xfId="38258" xr:uid="{D29549F4-8A38-4F2E-9A96-C8E9C298A5FC}"/>
    <cellStyle name="20% - Accent1 6 3 2 3 3" xfId="22363" xr:uid="{00000000-0005-0000-0000-00000A050000}"/>
    <cellStyle name="20% - Accent1 6 3 2 3 3 2" xfId="46195" xr:uid="{A8BC24A7-41E5-4B2C-8C8A-27955CBC97EF}"/>
    <cellStyle name="20% - Accent1 6 3 2 3 4" xfId="30317" xr:uid="{6DB68CFC-4C26-41E3-81FB-63701C86DEF2}"/>
    <cellStyle name="20% - Accent1 6 3 2 4" xfId="10880" xr:uid="{00000000-0005-0000-0000-00000B050000}"/>
    <cellStyle name="20% - Accent1 6 3 2 4 2" xfId="34729" xr:uid="{DC5BB02A-629A-446C-9CCA-F4BC14722AAB}"/>
    <cellStyle name="20% - Accent1 6 3 2 5" xfId="18835" xr:uid="{00000000-0005-0000-0000-00000C050000}"/>
    <cellStyle name="20% - Accent1 6 3 2 5 2" xfId="42667" xr:uid="{F732EE61-708F-4109-A4DB-2E1E0D77F05B}"/>
    <cellStyle name="20% - Accent1 6 3 2 6" xfId="26787" xr:uid="{62FC7374-C269-4508-BB66-7A3D3BF6EEB8}"/>
    <cellStyle name="20% - Accent1 6 3 2_Exh G" xfId="2024" xr:uid="{00000000-0005-0000-0000-00000D050000}"/>
    <cellStyle name="20% - Accent1 6 3 3" xfId="3734" xr:uid="{00000000-0005-0000-0000-00000E050000}"/>
    <cellStyle name="20% - Accent1 6 3 3 2" xfId="7326" xr:uid="{00000000-0005-0000-0000-00000F050000}"/>
    <cellStyle name="20% - Accent1 6 3 3 2 2" xfId="15296" xr:uid="{00000000-0005-0000-0000-000010050000}"/>
    <cellStyle name="20% - Accent1 6 3 3 2 2 2" xfId="39138" xr:uid="{D8D692A4-15B7-4A70-9542-71FF2DD1BD1A}"/>
    <cellStyle name="20% - Accent1 6 3 3 2 3" xfId="23242" xr:uid="{00000000-0005-0000-0000-000011050000}"/>
    <cellStyle name="20% - Accent1 6 3 3 2 3 2" xfId="47074" xr:uid="{DB1A561A-89C9-41C0-96A8-64455DF550F0}"/>
    <cellStyle name="20% - Accent1 6 3 3 2 4" xfId="31197" xr:uid="{E46658A3-BB1B-4811-B424-57F6CD73409A}"/>
    <cellStyle name="20% - Accent1 6 3 3 3" xfId="11758" xr:uid="{00000000-0005-0000-0000-000012050000}"/>
    <cellStyle name="20% - Accent1 6 3 3 3 2" xfId="35607" xr:uid="{C80471A4-9825-4BAC-A7D9-9225C462D7E2}"/>
    <cellStyle name="20% - Accent1 6 3 3 4" xfId="19713" xr:uid="{00000000-0005-0000-0000-000013050000}"/>
    <cellStyle name="20% - Accent1 6 3 3 4 2" xfId="43545" xr:uid="{6DB0D1D4-4159-4307-BC91-CDBC06FC7F0D}"/>
    <cellStyle name="20% - Accent1 6 3 3 5" xfId="27666" xr:uid="{98D00B67-D960-483C-877C-60EAE4AF89DC}"/>
    <cellStyle name="20% - Accent1 6 3 4" xfId="5554" xr:uid="{00000000-0005-0000-0000-000014050000}"/>
    <cellStyle name="20% - Accent1 6 3 4 2" xfId="13537" xr:uid="{00000000-0005-0000-0000-000015050000}"/>
    <cellStyle name="20% - Accent1 6 3 4 2 2" xfId="37380" xr:uid="{03F8197D-E460-4E17-B65F-756CA0B0F642}"/>
    <cellStyle name="20% - Accent1 6 3 4 3" xfId="21485" xr:uid="{00000000-0005-0000-0000-000016050000}"/>
    <cellStyle name="20% - Accent1 6 3 4 3 2" xfId="45317" xr:uid="{E73A6EA0-5F5C-4F63-82DD-E6F6CE17DD92}"/>
    <cellStyle name="20% - Accent1 6 3 4 4" xfId="29439" xr:uid="{A317D0AE-3395-4404-8103-DBE90CDC1AAC}"/>
    <cellStyle name="20% - Accent1 6 3 5" xfId="9106" xr:uid="{00000000-0005-0000-0000-000017050000}"/>
    <cellStyle name="20% - Accent1 6 3 5 2" xfId="17064" xr:uid="{00000000-0005-0000-0000-000018050000}"/>
    <cellStyle name="20% - Accent1 6 3 5 2 2" xfId="40904" xr:uid="{B6774F5E-8299-4606-AA15-474A78AAD7B5}"/>
    <cellStyle name="20% - Accent1 6 3 5 3" xfId="25008" xr:uid="{00000000-0005-0000-0000-000019050000}"/>
    <cellStyle name="20% - Accent1 6 3 5 3 2" xfId="48840" xr:uid="{E15220E7-201B-4483-8A87-B673507D6E80}"/>
    <cellStyle name="20% - Accent1 6 3 5 4" xfId="32963" xr:uid="{1DC1ED29-A483-4837-B79B-61840F80A707}"/>
    <cellStyle name="20% - Accent1 6 3 6" xfId="10002" xr:uid="{00000000-0005-0000-0000-00001A050000}"/>
    <cellStyle name="20% - Accent1 6 3 6 2" xfId="33851" xr:uid="{A2286E3C-9CB5-48DB-B48E-F27E6C2E895E}"/>
    <cellStyle name="20% - Accent1 6 3 7" xfId="17957" xr:uid="{00000000-0005-0000-0000-00001B050000}"/>
    <cellStyle name="20% - Accent1 6 3 7 2" xfId="41789" xr:uid="{2CC59398-86A1-4EBC-B5A7-7CBE04876E3A}"/>
    <cellStyle name="20% - Accent1 6 3 8" xfId="25909" xr:uid="{673B31FF-3094-40AF-9823-F08F01F4F32A}"/>
    <cellStyle name="20% - Accent1 6 3_Exh G" xfId="2023" xr:uid="{00000000-0005-0000-0000-00001C050000}"/>
    <cellStyle name="20% - Accent1 6 4" xfId="867" xr:uid="{00000000-0005-0000-0000-00001D050000}"/>
    <cellStyle name="20% - Accent1 6 4 2" xfId="1798" xr:uid="{00000000-0005-0000-0000-00001E050000}"/>
    <cellStyle name="20% - Accent1 6 4 2 2" xfId="5315" xr:uid="{00000000-0005-0000-0000-00001F050000}"/>
    <cellStyle name="20% - Accent1 6 4 2 2 2" xfId="8906" xr:uid="{00000000-0005-0000-0000-000020050000}"/>
    <cellStyle name="20% - Accent1 6 4 2 2 2 2" xfId="16876" xr:uid="{00000000-0005-0000-0000-000021050000}"/>
    <cellStyle name="20% - Accent1 6 4 2 2 2 2 2" xfId="40718" xr:uid="{C9F02C90-DD3A-43FB-9D3E-B889E6D234D4}"/>
    <cellStyle name="20% - Accent1 6 4 2 2 2 3" xfId="24822" xr:uid="{00000000-0005-0000-0000-000022050000}"/>
    <cellStyle name="20% - Accent1 6 4 2 2 2 3 2" xfId="48654" xr:uid="{974B600A-C743-49A8-BD8A-BA5C9A9BA51F}"/>
    <cellStyle name="20% - Accent1 6 4 2 2 2 4" xfId="32777" xr:uid="{FE60570C-2CD0-44D9-A45C-49C3AA91770F}"/>
    <cellStyle name="20% - Accent1 6 4 2 2 3" xfId="13338" xr:uid="{00000000-0005-0000-0000-000023050000}"/>
    <cellStyle name="20% - Accent1 6 4 2 2 3 2" xfId="37187" xr:uid="{FFC01E1B-EB33-4BF1-B64F-4D9CECAC671D}"/>
    <cellStyle name="20% - Accent1 6 4 2 2 4" xfId="21293" xr:uid="{00000000-0005-0000-0000-000024050000}"/>
    <cellStyle name="20% - Accent1 6 4 2 2 4 2" xfId="45125" xr:uid="{D615F874-674C-4C28-A765-E3D2FBA1050B}"/>
    <cellStyle name="20% - Accent1 6 4 2 2 5" xfId="29246" xr:uid="{943F36FF-7769-49E6-9508-0B1B176952D8}"/>
    <cellStyle name="20% - Accent1 6 4 2 3" xfId="7147" xr:uid="{00000000-0005-0000-0000-000025050000}"/>
    <cellStyle name="20% - Accent1 6 4 2 3 2" xfId="15118" xr:uid="{00000000-0005-0000-0000-000026050000}"/>
    <cellStyle name="20% - Accent1 6 4 2 3 2 2" xfId="38960" xr:uid="{8D1B8EF8-9B72-48D2-BF47-FB72AED7A93B}"/>
    <cellStyle name="20% - Accent1 6 4 2 3 3" xfId="23065" xr:uid="{00000000-0005-0000-0000-000027050000}"/>
    <cellStyle name="20% - Accent1 6 4 2 3 3 2" xfId="46897" xr:uid="{B5C0C674-E1FE-49AF-AB83-D15F36C8EB47}"/>
    <cellStyle name="20% - Accent1 6 4 2 3 4" xfId="31019" xr:uid="{681E79C7-6E31-43CB-9F69-5CB008BE7129}"/>
    <cellStyle name="20% - Accent1 6 4 2 4" xfId="11582" xr:uid="{00000000-0005-0000-0000-000028050000}"/>
    <cellStyle name="20% - Accent1 6 4 2 4 2" xfId="35431" xr:uid="{48FD0F83-9C2A-469F-A19B-0D5855CD5D9B}"/>
    <cellStyle name="20% - Accent1 6 4 2 5" xfId="19537" xr:uid="{00000000-0005-0000-0000-000029050000}"/>
    <cellStyle name="20% - Accent1 6 4 2 5 2" xfId="43369" xr:uid="{CFE1D558-8014-452D-A389-6A52D853B9E0}"/>
    <cellStyle name="20% - Accent1 6 4 2 6" xfId="27489" xr:uid="{20F061E6-082D-4CF0-8EF9-86680AD1487C}"/>
    <cellStyle name="20% - Accent1 6 4 2_Exh G" xfId="2026" xr:uid="{00000000-0005-0000-0000-00002A050000}"/>
    <cellStyle name="20% - Accent1 6 4 3" xfId="4436" xr:uid="{00000000-0005-0000-0000-00002B050000}"/>
    <cellStyle name="20% - Accent1 6 4 3 2" xfId="8028" xr:uid="{00000000-0005-0000-0000-00002C050000}"/>
    <cellStyle name="20% - Accent1 6 4 3 2 2" xfId="15998" xr:uid="{00000000-0005-0000-0000-00002D050000}"/>
    <cellStyle name="20% - Accent1 6 4 3 2 2 2" xfId="39840" xr:uid="{FF727CCB-6BFB-4F16-8425-4620C3155516}"/>
    <cellStyle name="20% - Accent1 6 4 3 2 3" xfId="23944" xr:uid="{00000000-0005-0000-0000-00002E050000}"/>
    <cellStyle name="20% - Accent1 6 4 3 2 3 2" xfId="47776" xr:uid="{27B9F405-A520-484C-B7BE-AF15A2677ED5}"/>
    <cellStyle name="20% - Accent1 6 4 3 2 4" xfId="31899" xr:uid="{0F864DA6-107C-420E-A8CD-C857EC561EB8}"/>
    <cellStyle name="20% - Accent1 6 4 3 3" xfId="12460" xr:uid="{00000000-0005-0000-0000-00002F050000}"/>
    <cellStyle name="20% - Accent1 6 4 3 3 2" xfId="36309" xr:uid="{8D4C52B2-A51A-43E4-A5A1-C0F296066E6A}"/>
    <cellStyle name="20% - Accent1 6 4 3 4" xfId="20415" xr:uid="{00000000-0005-0000-0000-000030050000}"/>
    <cellStyle name="20% - Accent1 6 4 3 4 2" xfId="44247" xr:uid="{AA33B711-E4BC-46FE-B741-F7FF476AB602}"/>
    <cellStyle name="20% - Accent1 6 4 3 5" xfId="28368" xr:uid="{651EE5F2-786B-400F-B3F3-0D10AC8102EB}"/>
    <cellStyle name="20% - Accent1 6 4 4" xfId="6266" xr:uid="{00000000-0005-0000-0000-000031050000}"/>
    <cellStyle name="20% - Accent1 6 4 4 2" xfId="14240" xr:uid="{00000000-0005-0000-0000-000032050000}"/>
    <cellStyle name="20% - Accent1 6 4 4 2 2" xfId="38082" xr:uid="{60072F02-C11D-4CD6-BB63-30AB6FBF3E10}"/>
    <cellStyle name="20% - Accent1 6 4 4 3" xfId="22187" xr:uid="{00000000-0005-0000-0000-000033050000}"/>
    <cellStyle name="20% - Accent1 6 4 4 3 2" xfId="46019" xr:uid="{B60C8615-20CD-4D9C-A3CF-C2D98014CB67}"/>
    <cellStyle name="20% - Accent1 6 4 4 4" xfId="30141" xr:uid="{B9F32D4D-D63D-4B64-B14E-DBC9C2934830}"/>
    <cellStyle name="20% - Accent1 6 4 5" xfId="9808" xr:uid="{00000000-0005-0000-0000-000034050000}"/>
    <cellStyle name="20% - Accent1 6 4 5 2" xfId="17766" xr:uid="{00000000-0005-0000-0000-000035050000}"/>
    <cellStyle name="20% - Accent1 6 4 5 2 2" xfId="41606" xr:uid="{D405D149-B08B-442D-B4A1-0D83024540AB}"/>
    <cellStyle name="20% - Accent1 6 4 5 3" xfId="25710" xr:uid="{00000000-0005-0000-0000-000036050000}"/>
    <cellStyle name="20% - Accent1 6 4 5 3 2" xfId="49542" xr:uid="{11AB410C-11DD-45BC-BE8A-2C64B1BC110D}"/>
    <cellStyle name="20% - Accent1 6 4 5 4" xfId="33665" xr:uid="{180D1618-46F4-43E9-87F6-2717AC411B21}"/>
    <cellStyle name="20% - Accent1 6 4 6" xfId="10704" xr:uid="{00000000-0005-0000-0000-000037050000}"/>
    <cellStyle name="20% - Accent1 6 4 6 2" xfId="34553" xr:uid="{64949127-F8A1-4E7C-A9E6-0D3B7693A34F}"/>
    <cellStyle name="20% - Accent1 6 4 7" xfId="18659" xr:uid="{00000000-0005-0000-0000-000038050000}"/>
    <cellStyle name="20% - Accent1 6 4 7 2" xfId="42491" xr:uid="{DC1AEDB9-31FE-4B56-B5E0-07D1D3B93D72}"/>
    <cellStyle name="20% - Accent1 6 4 8" xfId="26611" xr:uid="{96A451DF-8406-4FE1-82AB-137C041BA632}"/>
    <cellStyle name="20% - Accent1 6 4_Exh G" xfId="2025" xr:uid="{00000000-0005-0000-0000-000039050000}"/>
    <cellStyle name="20% - Accent1 6 5" xfId="1083" xr:uid="{00000000-0005-0000-0000-00003A050000}"/>
    <cellStyle name="20% - Accent1 6 5 2" xfId="4610" xr:uid="{00000000-0005-0000-0000-00003B050000}"/>
    <cellStyle name="20% - Accent1 6 5 2 2" xfId="8201" xr:uid="{00000000-0005-0000-0000-00003C050000}"/>
    <cellStyle name="20% - Accent1 6 5 2 2 2" xfId="16171" xr:uid="{00000000-0005-0000-0000-00003D050000}"/>
    <cellStyle name="20% - Accent1 6 5 2 2 2 2" xfId="40013" xr:uid="{60B7BF0A-C5DF-4C8C-A7D7-4CCA8886F5F0}"/>
    <cellStyle name="20% - Accent1 6 5 2 2 3" xfId="24117" xr:uid="{00000000-0005-0000-0000-00003E050000}"/>
    <cellStyle name="20% - Accent1 6 5 2 2 3 2" xfId="47949" xr:uid="{01D4C5AC-EA8E-491D-A111-72A989855C05}"/>
    <cellStyle name="20% - Accent1 6 5 2 2 4" xfId="32072" xr:uid="{F70E0A4F-27A6-439C-BA97-5391B0BA1933}"/>
    <cellStyle name="20% - Accent1 6 5 2 3" xfId="12633" xr:uid="{00000000-0005-0000-0000-00003F050000}"/>
    <cellStyle name="20% - Accent1 6 5 2 3 2" xfId="36482" xr:uid="{26FA8079-E882-40ED-A900-CAF2476DCC07}"/>
    <cellStyle name="20% - Accent1 6 5 2 4" xfId="20588" xr:uid="{00000000-0005-0000-0000-000040050000}"/>
    <cellStyle name="20% - Accent1 6 5 2 4 2" xfId="44420" xr:uid="{44BB7740-B6ED-4561-A56A-2E3F2C89BD3D}"/>
    <cellStyle name="20% - Accent1 6 5 2 5" xfId="28541" xr:uid="{5002FBAA-6704-4190-B6BE-832B9DFB53FB}"/>
    <cellStyle name="20% - Accent1 6 5 3" xfId="6442" xr:uid="{00000000-0005-0000-0000-000041050000}"/>
    <cellStyle name="20% - Accent1 6 5 3 2" xfId="14413" xr:uid="{00000000-0005-0000-0000-000042050000}"/>
    <cellStyle name="20% - Accent1 6 5 3 2 2" xfId="38255" xr:uid="{15F138D1-331D-411C-B9E8-45ED31D4D029}"/>
    <cellStyle name="20% - Accent1 6 5 3 3" xfId="22360" xr:uid="{00000000-0005-0000-0000-000043050000}"/>
    <cellStyle name="20% - Accent1 6 5 3 3 2" xfId="46192" xr:uid="{EF6E85AA-29A6-4395-A0C7-805000573696}"/>
    <cellStyle name="20% - Accent1 6 5 3 4" xfId="30314" xr:uid="{0A2555EB-3D17-4B6B-84DD-2E594C271919}"/>
    <cellStyle name="20% - Accent1 6 5 4" xfId="10877" xr:uid="{00000000-0005-0000-0000-000044050000}"/>
    <cellStyle name="20% - Accent1 6 5 4 2" xfId="34726" xr:uid="{67E5A86C-B02A-4FEB-99D0-5488E622460E}"/>
    <cellStyle name="20% - Accent1 6 5 5" xfId="18832" xr:uid="{00000000-0005-0000-0000-000045050000}"/>
    <cellStyle name="20% - Accent1 6 5 5 2" xfId="42664" xr:uid="{28CCBA72-0D39-435D-B3D7-8317E21C67EB}"/>
    <cellStyle name="20% - Accent1 6 5 6" xfId="26784" xr:uid="{35FBC418-337D-45BC-9ADF-402E6B7AB7F5}"/>
    <cellStyle name="20% - Accent1 6 5_Exh G" xfId="2027" xr:uid="{00000000-0005-0000-0000-000046050000}"/>
    <cellStyle name="20% - Accent1 6 6" xfId="3731" xr:uid="{00000000-0005-0000-0000-000047050000}"/>
    <cellStyle name="20% - Accent1 6 6 2" xfId="7323" xr:uid="{00000000-0005-0000-0000-000048050000}"/>
    <cellStyle name="20% - Accent1 6 6 2 2" xfId="15293" xr:uid="{00000000-0005-0000-0000-000049050000}"/>
    <cellStyle name="20% - Accent1 6 6 2 2 2" xfId="39135" xr:uid="{1837D8EF-87E1-4CBD-8C8E-E2B81DF678FF}"/>
    <cellStyle name="20% - Accent1 6 6 2 3" xfId="23239" xr:uid="{00000000-0005-0000-0000-00004A050000}"/>
    <cellStyle name="20% - Accent1 6 6 2 3 2" xfId="47071" xr:uid="{A24C30E7-3C9D-4EF1-8B68-954F87A8468D}"/>
    <cellStyle name="20% - Accent1 6 6 2 4" xfId="31194" xr:uid="{9D0307E9-23EA-4357-B6D6-C8253D75862F}"/>
    <cellStyle name="20% - Accent1 6 6 3" xfId="11755" xr:uid="{00000000-0005-0000-0000-00004B050000}"/>
    <cellStyle name="20% - Accent1 6 6 3 2" xfId="35604" xr:uid="{BD3E1FBE-E4E6-4B8A-85D4-8E2042870751}"/>
    <cellStyle name="20% - Accent1 6 6 4" xfId="19710" xr:uid="{00000000-0005-0000-0000-00004C050000}"/>
    <cellStyle name="20% - Accent1 6 6 4 2" xfId="43542" xr:uid="{D964ABB5-8736-499B-9738-4AC032634A8D}"/>
    <cellStyle name="20% - Accent1 6 6 5" xfId="27663" xr:uid="{7C4680C7-DFE4-47D2-A1B9-79F57358265D}"/>
    <cellStyle name="20% - Accent1 6 7" xfId="5551" xr:uid="{00000000-0005-0000-0000-00004D050000}"/>
    <cellStyle name="20% - Accent1 6 7 2" xfId="13534" xr:uid="{00000000-0005-0000-0000-00004E050000}"/>
    <cellStyle name="20% - Accent1 6 7 2 2" xfId="37377" xr:uid="{DBB53BEF-8D7E-450C-A12A-963AB78FC41F}"/>
    <cellStyle name="20% - Accent1 6 7 3" xfId="21482" xr:uid="{00000000-0005-0000-0000-00004F050000}"/>
    <cellStyle name="20% - Accent1 6 7 3 2" xfId="45314" xr:uid="{2203B1EC-F84B-401E-922D-5B46168BEEB1}"/>
    <cellStyle name="20% - Accent1 6 7 4" xfId="29436" xr:uid="{55342719-6510-41D5-A650-2337AEA00E58}"/>
    <cellStyle name="20% - Accent1 6 8" xfId="9103" xr:uid="{00000000-0005-0000-0000-000050050000}"/>
    <cellStyle name="20% - Accent1 6 8 2" xfId="17061" xr:uid="{00000000-0005-0000-0000-000051050000}"/>
    <cellStyle name="20% - Accent1 6 8 2 2" xfId="40901" xr:uid="{5CB91D21-885B-473B-99B6-27549E6C29C4}"/>
    <cellStyle name="20% - Accent1 6 8 3" xfId="25005" xr:uid="{00000000-0005-0000-0000-000052050000}"/>
    <cellStyle name="20% - Accent1 6 8 3 2" xfId="48837" xr:uid="{193CAD32-A5A1-4BEE-873E-DFCEC7D8D29D}"/>
    <cellStyle name="20% - Accent1 6 8 4" xfId="32960" xr:uid="{453D3794-DA61-4021-A2E0-B511A11B7CCB}"/>
    <cellStyle name="20% - Accent1 6 9" xfId="9999" xr:uid="{00000000-0005-0000-0000-000053050000}"/>
    <cellStyle name="20% - Accent1 6 9 2" xfId="33848" xr:uid="{DE339D2F-444F-4BEC-9D28-A467A33A89C9}"/>
    <cellStyle name="20% - Accent1 6_Exh G" xfId="2018" xr:uid="{00000000-0005-0000-0000-000054050000}"/>
    <cellStyle name="20% - Accent1 7" xfId="61" xr:uid="{00000000-0005-0000-0000-000055050000}"/>
    <cellStyle name="20% - Accent1 7 10" xfId="17958" xr:uid="{00000000-0005-0000-0000-000056050000}"/>
    <cellStyle name="20% - Accent1 7 10 2" xfId="41790" xr:uid="{3DAF4ECD-00B4-4C79-9929-6BD1071E2642}"/>
    <cellStyle name="20% - Accent1 7 11" xfId="25910" xr:uid="{B04A4F37-4E49-4E2D-AEB4-E8B68B44F479}"/>
    <cellStyle name="20% - Accent1 7 2" xfId="62" xr:uid="{00000000-0005-0000-0000-000057050000}"/>
    <cellStyle name="20% - Accent1 7 2 2" xfId="63" xr:uid="{00000000-0005-0000-0000-000058050000}"/>
    <cellStyle name="20% - Accent1 7 2 2 2" xfId="1089" xr:uid="{00000000-0005-0000-0000-000059050000}"/>
    <cellStyle name="20% - Accent1 7 2 2 2 2" xfId="4616" xr:uid="{00000000-0005-0000-0000-00005A050000}"/>
    <cellStyle name="20% - Accent1 7 2 2 2 2 2" xfId="8207" xr:uid="{00000000-0005-0000-0000-00005B050000}"/>
    <cellStyle name="20% - Accent1 7 2 2 2 2 2 2" xfId="16177" xr:uid="{00000000-0005-0000-0000-00005C050000}"/>
    <cellStyle name="20% - Accent1 7 2 2 2 2 2 2 2" xfId="40019" xr:uid="{235B89B8-AD64-43B5-8586-358A07CBB5AF}"/>
    <cellStyle name="20% - Accent1 7 2 2 2 2 2 3" xfId="24123" xr:uid="{00000000-0005-0000-0000-00005D050000}"/>
    <cellStyle name="20% - Accent1 7 2 2 2 2 2 3 2" xfId="47955" xr:uid="{83850D41-9017-4729-AD78-A552E6E948B4}"/>
    <cellStyle name="20% - Accent1 7 2 2 2 2 2 4" xfId="32078" xr:uid="{330F38C9-55B9-485A-B204-01AE6C4E4650}"/>
    <cellStyle name="20% - Accent1 7 2 2 2 2 3" xfId="12639" xr:uid="{00000000-0005-0000-0000-00005E050000}"/>
    <cellStyle name="20% - Accent1 7 2 2 2 2 3 2" xfId="36488" xr:uid="{E27974EA-08CB-4169-A225-559FCED9465E}"/>
    <cellStyle name="20% - Accent1 7 2 2 2 2 4" xfId="20594" xr:uid="{00000000-0005-0000-0000-00005F050000}"/>
    <cellStyle name="20% - Accent1 7 2 2 2 2 4 2" xfId="44426" xr:uid="{79037BA4-494C-4FB0-B047-A0D69ADD76CB}"/>
    <cellStyle name="20% - Accent1 7 2 2 2 2 5" xfId="28547" xr:uid="{BA8C5F31-9824-47E4-A46B-CC748D1F4085}"/>
    <cellStyle name="20% - Accent1 7 2 2 2 3" xfId="6448" xr:uid="{00000000-0005-0000-0000-000060050000}"/>
    <cellStyle name="20% - Accent1 7 2 2 2 3 2" xfId="14419" xr:uid="{00000000-0005-0000-0000-000061050000}"/>
    <cellStyle name="20% - Accent1 7 2 2 2 3 2 2" xfId="38261" xr:uid="{48C8820A-AF2E-441C-B892-A9BBC7B34586}"/>
    <cellStyle name="20% - Accent1 7 2 2 2 3 3" xfId="22366" xr:uid="{00000000-0005-0000-0000-000062050000}"/>
    <cellStyle name="20% - Accent1 7 2 2 2 3 3 2" xfId="46198" xr:uid="{A22DF508-728C-4856-BE1A-3CB54CBE82BB}"/>
    <cellStyle name="20% - Accent1 7 2 2 2 3 4" xfId="30320" xr:uid="{32F84566-D02A-4650-969F-583A17D4ED4A}"/>
    <cellStyle name="20% - Accent1 7 2 2 2 4" xfId="10883" xr:uid="{00000000-0005-0000-0000-000063050000}"/>
    <cellStyle name="20% - Accent1 7 2 2 2 4 2" xfId="34732" xr:uid="{2B987909-7D37-4F31-B8E5-A616CBC38605}"/>
    <cellStyle name="20% - Accent1 7 2 2 2 5" xfId="18838" xr:uid="{00000000-0005-0000-0000-000064050000}"/>
    <cellStyle name="20% - Accent1 7 2 2 2 5 2" xfId="42670" xr:uid="{AE2808F2-B135-4A93-93FC-8309588C2A43}"/>
    <cellStyle name="20% - Accent1 7 2 2 2 6" xfId="26790" xr:uid="{2CE6B1FC-DB37-4B01-BAA7-6A8C6714AA38}"/>
    <cellStyle name="20% - Accent1 7 2 2 2_Exh G" xfId="2031" xr:uid="{00000000-0005-0000-0000-000065050000}"/>
    <cellStyle name="20% - Accent1 7 2 2 3" xfId="3737" xr:uid="{00000000-0005-0000-0000-000066050000}"/>
    <cellStyle name="20% - Accent1 7 2 2 3 2" xfId="7329" xr:uid="{00000000-0005-0000-0000-000067050000}"/>
    <cellStyle name="20% - Accent1 7 2 2 3 2 2" xfId="15299" xr:uid="{00000000-0005-0000-0000-000068050000}"/>
    <cellStyle name="20% - Accent1 7 2 2 3 2 2 2" xfId="39141" xr:uid="{B3A165DF-8F3A-4D89-9559-9FB1E29022D9}"/>
    <cellStyle name="20% - Accent1 7 2 2 3 2 3" xfId="23245" xr:uid="{00000000-0005-0000-0000-000069050000}"/>
    <cellStyle name="20% - Accent1 7 2 2 3 2 3 2" xfId="47077" xr:uid="{FED8F07E-935E-426C-B9C5-73C26FF6670D}"/>
    <cellStyle name="20% - Accent1 7 2 2 3 2 4" xfId="31200" xr:uid="{B3838AC9-A274-427C-A41E-026C73AFC73D}"/>
    <cellStyle name="20% - Accent1 7 2 2 3 3" xfId="11761" xr:uid="{00000000-0005-0000-0000-00006A050000}"/>
    <cellStyle name="20% - Accent1 7 2 2 3 3 2" xfId="35610" xr:uid="{0D93EAA9-EF10-410F-A6C7-946DE7A96F50}"/>
    <cellStyle name="20% - Accent1 7 2 2 3 4" xfId="19716" xr:uid="{00000000-0005-0000-0000-00006B050000}"/>
    <cellStyle name="20% - Accent1 7 2 2 3 4 2" xfId="43548" xr:uid="{966958FC-2F30-4883-B560-7C9DB7E86B76}"/>
    <cellStyle name="20% - Accent1 7 2 2 3 5" xfId="27669" xr:uid="{3F79D44F-E33A-4DF8-B84A-376F02F458B0}"/>
    <cellStyle name="20% - Accent1 7 2 2 4" xfId="5557" xr:uid="{00000000-0005-0000-0000-00006C050000}"/>
    <cellStyle name="20% - Accent1 7 2 2 4 2" xfId="13540" xr:uid="{00000000-0005-0000-0000-00006D050000}"/>
    <cellStyle name="20% - Accent1 7 2 2 4 2 2" xfId="37383" xr:uid="{40DDD2CE-B67F-41D2-B35D-872C81DEFA43}"/>
    <cellStyle name="20% - Accent1 7 2 2 4 3" xfId="21488" xr:uid="{00000000-0005-0000-0000-00006E050000}"/>
    <cellStyle name="20% - Accent1 7 2 2 4 3 2" xfId="45320" xr:uid="{4100C6CF-8066-4FFA-8403-6B2821EB5A72}"/>
    <cellStyle name="20% - Accent1 7 2 2 4 4" xfId="29442" xr:uid="{418B7269-4687-444D-9DE8-DB8A4DCE0CB7}"/>
    <cellStyle name="20% - Accent1 7 2 2 5" xfId="9109" xr:uid="{00000000-0005-0000-0000-00006F050000}"/>
    <cellStyle name="20% - Accent1 7 2 2 5 2" xfId="17067" xr:uid="{00000000-0005-0000-0000-000070050000}"/>
    <cellStyle name="20% - Accent1 7 2 2 5 2 2" xfId="40907" xr:uid="{3CEF470C-2CB0-4C23-A000-50CB58CF4034}"/>
    <cellStyle name="20% - Accent1 7 2 2 5 3" xfId="25011" xr:uid="{00000000-0005-0000-0000-000071050000}"/>
    <cellStyle name="20% - Accent1 7 2 2 5 3 2" xfId="48843" xr:uid="{68E8F644-201D-465D-B21E-91A622A45C04}"/>
    <cellStyle name="20% - Accent1 7 2 2 5 4" xfId="32966" xr:uid="{1F64FB03-8252-4726-8D21-E0F8206429C3}"/>
    <cellStyle name="20% - Accent1 7 2 2 6" xfId="10005" xr:uid="{00000000-0005-0000-0000-000072050000}"/>
    <cellStyle name="20% - Accent1 7 2 2 6 2" xfId="33854" xr:uid="{2B79F55C-ADDC-4DF6-9A89-E93A21B52E78}"/>
    <cellStyle name="20% - Accent1 7 2 2 7" xfId="17960" xr:uid="{00000000-0005-0000-0000-000073050000}"/>
    <cellStyle name="20% - Accent1 7 2 2 7 2" xfId="41792" xr:uid="{49D79A73-C9F2-4217-8825-E86A52B5E2B9}"/>
    <cellStyle name="20% - Accent1 7 2 2 8" xfId="25912" xr:uid="{0627E2E6-B6BA-44DB-99F5-2F892AE103E2}"/>
    <cellStyle name="20% - Accent1 7 2 2_Exh G" xfId="2030" xr:uid="{00000000-0005-0000-0000-000074050000}"/>
    <cellStyle name="20% - Accent1 7 2 3" xfId="1088" xr:uid="{00000000-0005-0000-0000-000075050000}"/>
    <cellStyle name="20% - Accent1 7 2 3 2" xfId="4615" xr:uid="{00000000-0005-0000-0000-000076050000}"/>
    <cellStyle name="20% - Accent1 7 2 3 2 2" xfId="8206" xr:uid="{00000000-0005-0000-0000-000077050000}"/>
    <cellStyle name="20% - Accent1 7 2 3 2 2 2" xfId="16176" xr:uid="{00000000-0005-0000-0000-000078050000}"/>
    <cellStyle name="20% - Accent1 7 2 3 2 2 2 2" xfId="40018" xr:uid="{70208DD3-182D-4E07-9BA3-28CC3B0C22E6}"/>
    <cellStyle name="20% - Accent1 7 2 3 2 2 3" xfId="24122" xr:uid="{00000000-0005-0000-0000-000079050000}"/>
    <cellStyle name="20% - Accent1 7 2 3 2 2 3 2" xfId="47954" xr:uid="{F013BC0F-7647-4D5D-8668-DEE95364E5EF}"/>
    <cellStyle name="20% - Accent1 7 2 3 2 2 4" xfId="32077" xr:uid="{496E5154-A30F-4037-808A-CE3FA1DD9E23}"/>
    <cellStyle name="20% - Accent1 7 2 3 2 3" xfId="12638" xr:uid="{00000000-0005-0000-0000-00007A050000}"/>
    <cellStyle name="20% - Accent1 7 2 3 2 3 2" xfId="36487" xr:uid="{E1151261-BEB0-44B6-A35F-17D5241C4CDB}"/>
    <cellStyle name="20% - Accent1 7 2 3 2 4" xfId="20593" xr:uid="{00000000-0005-0000-0000-00007B050000}"/>
    <cellStyle name="20% - Accent1 7 2 3 2 4 2" xfId="44425" xr:uid="{F7611A65-FAA5-45B2-B13C-84148A31A67E}"/>
    <cellStyle name="20% - Accent1 7 2 3 2 5" xfId="28546" xr:uid="{88ADEF5E-3809-4A72-98F5-98D38A98B2B6}"/>
    <cellStyle name="20% - Accent1 7 2 3 3" xfId="6447" xr:uid="{00000000-0005-0000-0000-00007C050000}"/>
    <cellStyle name="20% - Accent1 7 2 3 3 2" xfId="14418" xr:uid="{00000000-0005-0000-0000-00007D050000}"/>
    <cellStyle name="20% - Accent1 7 2 3 3 2 2" xfId="38260" xr:uid="{B48DB7C3-C01A-4E69-9FDE-786BA8020950}"/>
    <cellStyle name="20% - Accent1 7 2 3 3 3" xfId="22365" xr:uid="{00000000-0005-0000-0000-00007E050000}"/>
    <cellStyle name="20% - Accent1 7 2 3 3 3 2" xfId="46197" xr:uid="{096B44EA-F132-47CF-BF0B-B031542FF3AB}"/>
    <cellStyle name="20% - Accent1 7 2 3 3 4" xfId="30319" xr:uid="{1A13C17B-FEAC-4B9D-9230-EC96C220B9AC}"/>
    <cellStyle name="20% - Accent1 7 2 3 4" xfId="10882" xr:uid="{00000000-0005-0000-0000-00007F050000}"/>
    <cellStyle name="20% - Accent1 7 2 3 4 2" xfId="34731" xr:uid="{A7B3E1EE-8AFD-465F-8A18-E08C89434DD0}"/>
    <cellStyle name="20% - Accent1 7 2 3 5" xfId="18837" xr:uid="{00000000-0005-0000-0000-000080050000}"/>
    <cellStyle name="20% - Accent1 7 2 3 5 2" xfId="42669" xr:uid="{23C074E5-C78C-42E1-A353-1600AE209E82}"/>
    <cellStyle name="20% - Accent1 7 2 3 6" xfId="26789" xr:uid="{0A3CDDF3-8CDD-4EC6-8EE5-96D4501BBFFA}"/>
    <cellStyle name="20% - Accent1 7 2 3_Exh G" xfId="2032" xr:uid="{00000000-0005-0000-0000-000081050000}"/>
    <cellStyle name="20% - Accent1 7 2 4" xfId="3736" xr:uid="{00000000-0005-0000-0000-000082050000}"/>
    <cellStyle name="20% - Accent1 7 2 4 2" xfId="7328" xr:uid="{00000000-0005-0000-0000-000083050000}"/>
    <cellStyle name="20% - Accent1 7 2 4 2 2" xfId="15298" xr:uid="{00000000-0005-0000-0000-000084050000}"/>
    <cellStyle name="20% - Accent1 7 2 4 2 2 2" xfId="39140" xr:uid="{3C5D9053-8CE3-4DF7-BA61-9DDB84A747CB}"/>
    <cellStyle name="20% - Accent1 7 2 4 2 3" xfId="23244" xr:uid="{00000000-0005-0000-0000-000085050000}"/>
    <cellStyle name="20% - Accent1 7 2 4 2 3 2" xfId="47076" xr:uid="{50DAB1FC-E943-4D5A-8F95-A957FC690BFA}"/>
    <cellStyle name="20% - Accent1 7 2 4 2 4" xfId="31199" xr:uid="{7D1FC7F9-FD83-44F2-9003-1FF2C86BBE27}"/>
    <cellStyle name="20% - Accent1 7 2 4 3" xfId="11760" xr:uid="{00000000-0005-0000-0000-000086050000}"/>
    <cellStyle name="20% - Accent1 7 2 4 3 2" xfId="35609" xr:uid="{7C08C354-1C45-4603-BA0B-5AE126CD5466}"/>
    <cellStyle name="20% - Accent1 7 2 4 4" xfId="19715" xr:uid="{00000000-0005-0000-0000-000087050000}"/>
    <cellStyle name="20% - Accent1 7 2 4 4 2" xfId="43547" xr:uid="{1C24B0E1-177B-47DC-B42B-D152E177AE71}"/>
    <cellStyle name="20% - Accent1 7 2 4 5" xfId="27668" xr:uid="{AB82D1B2-4FFC-40D1-9503-255FFFF28471}"/>
    <cellStyle name="20% - Accent1 7 2 5" xfId="5556" xr:uid="{00000000-0005-0000-0000-000088050000}"/>
    <cellStyle name="20% - Accent1 7 2 5 2" xfId="13539" xr:uid="{00000000-0005-0000-0000-000089050000}"/>
    <cellStyle name="20% - Accent1 7 2 5 2 2" xfId="37382" xr:uid="{929244F7-E500-44B9-8772-184830AD1AE2}"/>
    <cellStyle name="20% - Accent1 7 2 5 3" xfId="21487" xr:uid="{00000000-0005-0000-0000-00008A050000}"/>
    <cellStyle name="20% - Accent1 7 2 5 3 2" xfId="45319" xr:uid="{59E85C0A-C6B5-4F07-B6B1-DE4CB2CD5BA5}"/>
    <cellStyle name="20% - Accent1 7 2 5 4" xfId="29441" xr:uid="{9FA112D4-99EA-486D-83AA-4A1046A7C855}"/>
    <cellStyle name="20% - Accent1 7 2 6" xfId="9108" xr:uid="{00000000-0005-0000-0000-00008B050000}"/>
    <cellStyle name="20% - Accent1 7 2 6 2" xfId="17066" xr:uid="{00000000-0005-0000-0000-00008C050000}"/>
    <cellStyle name="20% - Accent1 7 2 6 2 2" xfId="40906" xr:uid="{E8A9917F-BEC9-4700-B597-9CECD6842300}"/>
    <cellStyle name="20% - Accent1 7 2 6 3" xfId="25010" xr:uid="{00000000-0005-0000-0000-00008D050000}"/>
    <cellStyle name="20% - Accent1 7 2 6 3 2" xfId="48842" xr:uid="{BCDC63D0-3BAE-4651-8B99-59156A0FDC0C}"/>
    <cellStyle name="20% - Accent1 7 2 6 4" xfId="32965" xr:uid="{184DAFC1-AA58-4B4A-8B83-CC82521DF32E}"/>
    <cellStyle name="20% - Accent1 7 2 7" xfId="10004" xr:uid="{00000000-0005-0000-0000-00008E050000}"/>
    <cellStyle name="20% - Accent1 7 2 7 2" xfId="33853" xr:uid="{318F9FD9-CF5D-4D8D-BAAE-803984F9CB3B}"/>
    <cellStyle name="20% - Accent1 7 2 8" xfId="17959" xr:uid="{00000000-0005-0000-0000-00008F050000}"/>
    <cellStyle name="20% - Accent1 7 2 8 2" xfId="41791" xr:uid="{B9554AA9-45E0-46F8-83F2-CD37EBC30D95}"/>
    <cellStyle name="20% - Accent1 7 2 9" xfId="25911" xr:uid="{2FE0E174-15B5-4655-8E2B-B0B89141EC1E}"/>
    <cellStyle name="20% - Accent1 7 2_Exh G" xfId="2029" xr:uid="{00000000-0005-0000-0000-000090050000}"/>
    <cellStyle name="20% - Accent1 7 3" xfId="64" xr:uid="{00000000-0005-0000-0000-000091050000}"/>
    <cellStyle name="20% - Accent1 7 3 2" xfId="1090" xr:uid="{00000000-0005-0000-0000-000092050000}"/>
    <cellStyle name="20% - Accent1 7 3 2 2" xfId="4617" xr:uid="{00000000-0005-0000-0000-000093050000}"/>
    <cellStyle name="20% - Accent1 7 3 2 2 2" xfId="8208" xr:uid="{00000000-0005-0000-0000-000094050000}"/>
    <cellStyle name="20% - Accent1 7 3 2 2 2 2" xfId="16178" xr:uid="{00000000-0005-0000-0000-000095050000}"/>
    <cellStyle name="20% - Accent1 7 3 2 2 2 2 2" xfId="40020" xr:uid="{5035B860-B7FA-41D9-A464-C79D88171255}"/>
    <cellStyle name="20% - Accent1 7 3 2 2 2 3" xfId="24124" xr:uid="{00000000-0005-0000-0000-000096050000}"/>
    <cellStyle name="20% - Accent1 7 3 2 2 2 3 2" xfId="47956" xr:uid="{50F87558-E1A8-43D3-A937-5539885ECC17}"/>
    <cellStyle name="20% - Accent1 7 3 2 2 2 4" xfId="32079" xr:uid="{90E89667-DD1E-47D8-AAA5-72C34B08B0B8}"/>
    <cellStyle name="20% - Accent1 7 3 2 2 3" xfId="12640" xr:uid="{00000000-0005-0000-0000-000097050000}"/>
    <cellStyle name="20% - Accent1 7 3 2 2 3 2" xfId="36489" xr:uid="{FB4BDBD9-C0A7-447A-AB56-A0BB57F9EC82}"/>
    <cellStyle name="20% - Accent1 7 3 2 2 4" xfId="20595" xr:uid="{00000000-0005-0000-0000-000098050000}"/>
    <cellStyle name="20% - Accent1 7 3 2 2 4 2" xfId="44427" xr:uid="{88CA0F0D-7934-4FDF-870E-136DBEC05A94}"/>
    <cellStyle name="20% - Accent1 7 3 2 2 5" xfId="28548" xr:uid="{4138F003-643D-4BEF-97C3-109240159DEA}"/>
    <cellStyle name="20% - Accent1 7 3 2 3" xfId="6449" xr:uid="{00000000-0005-0000-0000-000099050000}"/>
    <cellStyle name="20% - Accent1 7 3 2 3 2" xfId="14420" xr:uid="{00000000-0005-0000-0000-00009A050000}"/>
    <cellStyle name="20% - Accent1 7 3 2 3 2 2" xfId="38262" xr:uid="{746B4850-A6A9-4EC8-B5AE-1235BC554472}"/>
    <cellStyle name="20% - Accent1 7 3 2 3 3" xfId="22367" xr:uid="{00000000-0005-0000-0000-00009B050000}"/>
    <cellStyle name="20% - Accent1 7 3 2 3 3 2" xfId="46199" xr:uid="{0D8F87E3-173F-448C-BC20-122244137B24}"/>
    <cellStyle name="20% - Accent1 7 3 2 3 4" xfId="30321" xr:uid="{502AC651-1E1D-4BE4-8F3A-B83FDD3355A4}"/>
    <cellStyle name="20% - Accent1 7 3 2 4" xfId="10884" xr:uid="{00000000-0005-0000-0000-00009C050000}"/>
    <cellStyle name="20% - Accent1 7 3 2 4 2" xfId="34733" xr:uid="{8FC42DBA-DB7E-4C1A-8E0B-A0581FD022D1}"/>
    <cellStyle name="20% - Accent1 7 3 2 5" xfId="18839" xr:uid="{00000000-0005-0000-0000-00009D050000}"/>
    <cellStyle name="20% - Accent1 7 3 2 5 2" xfId="42671" xr:uid="{D74136A3-40B7-4EF3-9807-EF2D3999C427}"/>
    <cellStyle name="20% - Accent1 7 3 2 6" xfId="26791" xr:uid="{3536AB26-4ED7-4601-8A2A-23E6E0B77A90}"/>
    <cellStyle name="20% - Accent1 7 3 2_Exh G" xfId="2034" xr:uid="{00000000-0005-0000-0000-00009E050000}"/>
    <cellStyle name="20% - Accent1 7 3 3" xfId="3738" xr:uid="{00000000-0005-0000-0000-00009F050000}"/>
    <cellStyle name="20% - Accent1 7 3 3 2" xfId="7330" xr:uid="{00000000-0005-0000-0000-0000A0050000}"/>
    <cellStyle name="20% - Accent1 7 3 3 2 2" xfId="15300" xr:uid="{00000000-0005-0000-0000-0000A1050000}"/>
    <cellStyle name="20% - Accent1 7 3 3 2 2 2" xfId="39142" xr:uid="{2FBB0673-3E1D-4D29-8AD2-E307FFD9CDDD}"/>
    <cellStyle name="20% - Accent1 7 3 3 2 3" xfId="23246" xr:uid="{00000000-0005-0000-0000-0000A2050000}"/>
    <cellStyle name="20% - Accent1 7 3 3 2 3 2" xfId="47078" xr:uid="{7524B194-9A43-4DB8-9F19-BAD76F6C3F0A}"/>
    <cellStyle name="20% - Accent1 7 3 3 2 4" xfId="31201" xr:uid="{DC39E6EA-761F-4462-B26B-C3B23843F17B}"/>
    <cellStyle name="20% - Accent1 7 3 3 3" xfId="11762" xr:uid="{00000000-0005-0000-0000-0000A3050000}"/>
    <cellStyle name="20% - Accent1 7 3 3 3 2" xfId="35611" xr:uid="{61DF6CF5-FD8C-4070-96D9-6D9453F45CED}"/>
    <cellStyle name="20% - Accent1 7 3 3 4" xfId="19717" xr:uid="{00000000-0005-0000-0000-0000A4050000}"/>
    <cellStyle name="20% - Accent1 7 3 3 4 2" xfId="43549" xr:uid="{6D9D7713-D642-4CF3-BB3A-76981CC524C0}"/>
    <cellStyle name="20% - Accent1 7 3 3 5" xfId="27670" xr:uid="{64B75575-AC99-463F-81C2-A1E5179B1AD3}"/>
    <cellStyle name="20% - Accent1 7 3 4" xfId="5558" xr:uid="{00000000-0005-0000-0000-0000A5050000}"/>
    <cellStyle name="20% - Accent1 7 3 4 2" xfId="13541" xr:uid="{00000000-0005-0000-0000-0000A6050000}"/>
    <cellStyle name="20% - Accent1 7 3 4 2 2" xfId="37384" xr:uid="{44CB2B9A-9CB0-459F-B1C3-07B36E07FC58}"/>
    <cellStyle name="20% - Accent1 7 3 4 3" xfId="21489" xr:uid="{00000000-0005-0000-0000-0000A7050000}"/>
    <cellStyle name="20% - Accent1 7 3 4 3 2" xfId="45321" xr:uid="{E90650A6-C6F7-41D4-AF92-A0557C4D45E6}"/>
    <cellStyle name="20% - Accent1 7 3 4 4" xfId="29443" xr:uid="{17EAA695-2991-4E4F-83A2-D36591994AE9}"/>
    <cellStyle name="20% - Accent1 7 3 5" xfId="9110" xr:uid="{00000000-0005-0000-0000-0000A8050000}"/>
    <cellStyle name="20% - Accent1 7 3 5 2" xfId="17068" xr:uid="{00000000-0005-0000-0000-0000A9050000}"/>
    <cellStyle name="20% - Accent1 7 3 5 2 2" xfId="40908" xr:uid="{5FF4242C-2702-49BF-9958-E86C9EA671EE}"/>
    <cellStyle name="20% - Accent1 7 3 5 3" xfId="25012" xr:uid="{00000000-0005-0000-0000-0000AA050000}"/>
    <cellStyle name="20% - Accent1 7 3 5 3 2" xfId="48844" xr:uid="{F85543E7-820A-4847-B936-A3D753CE7012}"/>
    <cellStyle name="20% - Accent1 7 3 5 4" xfId="32967" xr:uid="{D7A59A2C-6A31-4D70-86CF-3C7F6F6658A9}"/>
    <cellStyle name="20% - Accent1 7 3 6" xfId="10006" xr:uid="{00000000-0005-0000-0000-0000AB050000}"/>
    <cellStyle name="20% - Accent1 7 3 6 2" xfId="33855" xr:uid="{046B05AE-FB6A-400F-9BF4-E57D71EDD764}"/>
    <cellStyle name="20% - Accent1 7 3 7" xfId="17961" xr:uid="{00000000-0005-0000-0000-0000AC050000}"/>
    <cellStyle name="20% - Accent1 7 3 7 2" xfId="41793" xr:uid="{CDB77A6B-ACF0-44DD-ACD9-BB42B2F0D267}"/>
    <cellStyle name="20% - Accent1 7 3 8" xfId="25913" xr:uid="{24585076-58F3-4C39-B7B8-16B0387AE13E}"/>
    <cellStyle name="20% - Accent1 7 3_Exh G" xfId="2033" xr:uid="{00000000-0005-0000-0000-0000AD050000}"/>
    <cellStyle name="20% - Accent1 7 4" xfId="868" xr:uid="{00000000-0005-0000-0000-0000AE050000}"/>
    <cellStyle name="20% - Accent1 7 4 2" xfId="1799" xr:uid="{00000000-0005-0000-0000-0000AF050000}"/>
    <cellStyle name="20% - Accent1 7 4 2 2" xfId="5316" xr:uid="{00000000-0005-0000-0000-0000B0050000}"/>
    <cellStyle name="20% - Accent1 7 4 2 2 2" xfId="8907" xr:uid="{00000000-0005-0000-0000-0000B1050000}"/>
    <cellStyle name="20% - Accent1 7 4 2 2 2 2" xfId="16877" xr:uid="{00000000-0005-0000-0000-0000B2050000}"/>
    <cellStyle name="20% - Accent1 7 4 2 2 2 2 2" xfId="40719" xr:uid="{C3C87369-6ABC-472E-A2E8-C247CB4F0E94}"/>
    <cellStyle name="20% - Accent1 7 4 2 2 2 3" xfId="24823" xr:uid="{00000000-0005-0000-0000-0000B3050000}"/>
    <cellStyle name="20% - Accent1 7 4 2 2 2 3 2" xfId="48655" xr:uid="{200AC4EE-2DF7-4874-B987-6B60FB0BA46A}"/>
    <cellStyle name="20% - Accent1 7 4 2 2 2 4" xfId="32778" xr:uid="{70D050C6-AA0C-4E24-AA2E-E8711AE18481}"/>
    <cellStyle name="20% - Accent1 7 4 2 2 3" xfId="13339" xr:uid="{00000000-0005-0000-0000-0000B4050000}"/>
    <cellStyle name="20% - Accent1 7 4 2 2 3 2" xfId="37188" xr:uid="{D5A2EF55-89FD-4953-9F38-B2D406BF5F78}"/>
    <cellStyle name="20% - Accent1 7 4 2 2 4" xfId="21294" xr:uid="{00000000-0005-0000-0000-0000B5050000}"/>
    <cellStyle name="20% - Accent1 7 4 2 2 4 2" xfId="45126" xr:uid="{AB9571CE-DD70-4D9C-AD6E-BC16563B3182}"/>
    <cellStyle name="20% - Accent1 7 4 2 2 5" xfId="29247" xr:uid="{2C03D433-9EAC-414D-8718-8664779F1DDC}"/>
    <cellStyle name="20% - Accent1 7 4 2 3" xfId="7148" xr:uid="{00000000-0005-0000-0000-0000B6050000}"/>
    <cellStyle name="20% - Accent1 7 4 2 3 2" xfId="15119" xr:uid="{00000000-0005-0000-0000-0000B7050000}"/>
    <cellStyle name="20% - Accent1 7 4 2 3 2 2" xfId="38961" xr:uid="{B992A01B-DF40-4775-A229-4B8833B0A9D8}"/>
    <cellStyle name="20% - Accent1 7 4 2 3 3" xfId="23066" xr:uid="{00000000-0005-0000-0000-0000B8050000}"/>
    <cellStyle name="20% - Accent1 7 4 2 3 3 2" xfId="46898" xr:uid="{9CAA4A18-532E-4077-8768-BDB13905E78B}"/>
    <cellStyle name="20% - Accent1 7 4 2 3 4" xfId="31020" xr:uid="{18017CC2-0BAA-45BA-ABF9-CBDE4BFC0011}"/>
    <cellStyle name="20% - Accent1 7 4 2 4" xfId="11583" xr:uid="{00000000-0005-0000-0000-0000B9050000}"/>
    <cellStyle name="20% - Accent1 7 4 2 4 2" xfId="35432" xr:uid="{455B7AB2-D006-4A7E-9458-2C10FFD3EE29}"/>
    <cellStyle name="20% - Accent1 7 4 2 5" xfId="19538" xr:uid="{00000000-0005-0000-0000-0000BA050000}"/>
    <cellStyle name="20% - Accent1 7 4 2 5 2" xfId="43370" xr:uid="{4368DA8D-2805-4A0F-8F18-64BBEAFFE706}"/>
    <cellStyle name="20% - Accent1 7 4 2 6" xfId="27490" xr:uid="{D3E4A228-1879-4FAB-B44E-09A96AFEDB68}"/>
    <cellStyle name="20% - Accent1 7 4 2_Exh G" xfId="2036" xr:uid="{00000000-0005-0000-0000-0000BB050000}"/>
    <cellStyle name="20% - Accent1 7 4 3" xfId="4437" xr:uid="{00000000-0005-0000-0000-0000BC050000}"/>
    <cellStyle name="20% - Accent1 7 4 3 2" xfId="8029" xr:uid="{00000000-0005-0000-0000-0000BD050000}"/>
    <cellStyle name="20% - Accent1 7 4 3 2 2" xfId="15999" xr:uid="{00000000-0005-0000-0000-0000BE050000}"/>
    <cellStyle name="20% - Accent1 7 4 3 2 2 2" xfId="39841" xr:uid="{37C97DE4-EDC0-445B-9C4A-234C95E1D8FC}"/>
    <cellStyle name="20% - Accent1 7 4 3 2 3" xfId="23945" xr:uid="{00000000-0005-0000-0000-0000BF050000}"/>
    <cellStyle name="20% - Accent1 7 4 3 2 3 2" xfId="47777" xr:uid="{43817613-679F-4FA9-81CB-555B432DAC30}"/>
    <cellStyle name="20% - Accent1 7 4 3 2 4" xfId="31900" xr:uid="{2BA61701-A41D-44F6-AFB5-762B07B194A4}"/>
    <cellStyle name="20% - Accent1 7 4 3 3" xfId="12461" xr:uid="{00000000-0005-0000-0000-0000C0050000}"/>
    <cellStyle name="20% - Accent1 7 4 3 3 2" xfId="36310" xr:uid="{6300B145-BBA9-4A55-83F3-75C487F9E867}"/>
    <cellStyle name="20% - Accent1 7 4 3 4" xfId="20416" xr:uid="{00000000-0005-0000-0000-0000C1050000}"/>
    <cellStyle name="20% - Accent1 7 4 3 4 2" xfId="44248" xr:uid="{832D5CB2-EEC7-4645-8539-0B728672D529}"/>
    <cellStyle name="20% - Accent1 7 4 3 5" xfId="28369" xr:uid="{39142F21-B42B-423C-99E1-BECCDFE70B60}"/>
    <cellStyle name="20% - Accent1 7 4 4" xfId="6267" xr:uid="{00000000-0005-0000-0000-0000C2050000}"/>
    <cellStyle name="20% - Accent1 7 4 4 2" xfId="14241" xr:uid="{00000000-0005-0000-0000-0000C3050000}"/>
    <cellStyle name="20% - Accent1 7 4 4 2 2" xfId="38083" xr:uid="{2502BF44-8B90-48A0-83F8-85B7D1912546}"/>
    <cellStyle name="20% - Accent1 7 4 4 3" xfId="22188" xr:uid="{00000000-0005-0000-0000-0000C4050000}"/>
    <cellStyle name="20% - Accent1 7 4 4 3 2" xfId="46020" xr:uid="{B380364C-097E-4248-9D7C-D407469AD2C0}"/>
    <cellStyle name="20% - Accent1 7 4 4 4" xfId="30142" xr:uid="{7350A542-5AEA-4909-8B4C-47238274DC89}"/>
    <cellStyle name="20% - Accent1 7 4 5" xfId="9809" xr:uid="{00000000-0005-0000-0000-0000C5050000}"/>
    <cellStyle name="20% - Accent1 7 4 5 2" xfId="17767" xr:uid="{00000000-0005-0000-0000-0000C6050000}"/>
    <cellStyle name="20% - Accent1 7 4 5 2 2" xfId="41607" xr:uid="{386D5691-E5B3-4551-9E26-0E66F3EF7C36}"/>
    <cellStyle name="20% - Accent1 7 4 5 3" xfId="25711" xr:uid="{00000000-0005-0000-0000-0000C7050000}"/>
    <cellStyle name="20% - Accent1 7 4 5 3 2" xfId="49543" xr:uid="{D3A899A3-5361-407E-BF80-AAEAA4937031}"/>
    <cellStyle name="20% - Accent1 7 4 5 4" xfId="33666" xr:uid="{119E6E6F-DBE9-47D6-9A07-9E924E57ED08}"/>
    <cellStyle name="20% - Accent1 7 4 6" xfId="10705" xr:uid="{00000000-0005-0000-0000-0000C8050000}"/>
    <cellStyle name="20% - Accent1 7 4 6 2" xfId="34554" xr:uid="{2AD0CC5E-129D-4756-AB31-D7B9F623A7C1}"/>
    <cellStyle name="20% - Accent1 7 4 7" xfId="18660" xr:uid="{00000000-0005-0000-0000-0000C9050000}"/>
    <cellStyle name="20% - Accent1 7 4 7 2" xfId="42492" xr:uid="{62576700-7ED8-4CC7-8690-AA86C0774267}"/>
    <cellStyle name="20% - Accent1 7 4 8" xfId="26612" xr:uid="{08DBA767-AD08-4879-A00D-9E797AC71549}"/>
    <cellStyle name="20% - Accent1 7 4_Exh G" xfId="2035" xr:uid="{00000000-0005-0000-0000-0000CA050000}"/>
    <cellStyle name="20% - Accent1 7 5" xfId="1087" xr:uid="{00000000-0005-0000-0000-0000CB050000}"/>
    <cellStyle name="20% - Accent1 7 5 2" xfId="4614" xr:uid="{00000000-0005-0000-0000-0000CC050000}"/>
    <cellStyle name="20% - Accent1 7 5 2 2" xfId="8205" xr:uid="{00000000-0005-0000-0000-0000CD050000}"/>
    <cellStyle name="20% - Accent1 7 5 2 2 2" xfId="16175" xr:uid="{00000000-0005-0000-0000-0000CE050000}"/>
    <cellStyle name="20% - Accent1 7 5 2 2 2 2" xfId="40017" xr:uid="{42517C97-7A72-408F-8035-0ADA5A829CB6}"/>
    <cellStyle name="20% - Accent1 7 5 2 2 3" xfId="24121" xr:uid="{00000000-0005-0000-0000-0000CF050000}"/>
    <cellStyle name="20% - Accent1 7 5 2 2 3 2" xfId="47953" xr:uid="{F654229E-FBB8-4F92-8015-3F204143A9C4}"/>
    <cellStyle name="20% - Accent1 7 5 2 2 4" xfId="32076" xr:uid="{0599B620-3297-413C-B9F2-C1360925A033}"/>
    <cellStyle name="20% - Accent1 7 5 2 3" xfId="12637" xr:uid="{00000000-0005-0000-0000-0000D0050000}"/>
    <cellStyle name="20% - Accent1 7 5 2 3 2" xfId="36486" xr:uid="{34834540-5B24-4B2D-B1F9-2B2F32BEFF29}"/>
    <cellStyle name="20% - Accent1 7 5 2 4" xfId="20592" xr:uid="{00000000-0005-0000-0000-0000D1050000}"/>
    <cellStyle name="20% - Accent1 7 5 2 4 2" xfId="44424" xr:uid="{07F1BE1C-AA29-4728-B07F-92814E5DB99F}"/>
    <cellStyle name="20% - Accent1 7 5 2 5" xfId="28545" xr:uid="{067AECF2-7CD0-457D-BB0E-C5869BFC51DA}"/>
    <cellStyle name="20% - Accent1 7 5 3" xfId="6446" xr:uid="{00000000-0005-0000-0000-0000D2050000}"/>
    <cellStyle name="20% - Accent1 7 5 3 2" xfId="14417" xr:uid="{00000000-0005-0000-0000-0000D3050000}"/>
    <cellStyle name="20% - Accent1 7 5 3 2 2" xfId="38259" xr:uid="{F8A53409-A59E-41F8-A15E-AC44229BA366}"/>
    <cellStyle name="20% - Accent1 7 5 3 3" xfId="22364" xr:uid="{00000000-0005-0000-0000-0000D4050000}"/>
    <cellStyle name="20% - Accent1 7 5 3 3 2" xfId="46196" xr:uid="{0C150667-D690-423E-B115-C1225DD67FA0}"/>
    <cellStyle name="20% - Accent1 7 5 3 4" xfId="30318" xr:uid="{5E578A47-3118-4372-A1F8-14DD644F4999}"/>
    <cellStyle name="20% - Accent1 7 5 4" xfId="10881" xr:uid="{00000000-0005-0000-0000-0000D5050000}"/>
    <cellStyle name="20% - Accent1 7 5 4 2" xfId="34730" xr:uid="{94DB0F71-54F0-4F38-B8EF-D321DF18C67F}"/>
    <cellStyle name="20% - Accent1 7 5 5" xfId="18836" xr:uid="{00000000-0005-0000-0000-0000D6050000}"/>
    <cellStyle name="20% - Accent1 7 5 5 2" xfId="42668" xr:uid="{79A52A4E-EE05-4E50-9D3C-5E9783479405}"/>
    <cellStyle name="20% - Accent1 7 5 6" xfId="26788" xr:uid="{8EFD029C-1511-4C09-A513-4AE1267BECD7}"/>
    <cellStyle name="20% - Accent1 7 5_Exh G" xfId="2037" xr:uid="{00000000-0005-0000-0000-0000D7050000}"/>
    <cellStyle name="20% - Accent1 7 6" xfId="3735" xr:uid="{00000000-0005-0000-0000-0000D8050000}"/>
    <cellStyle name="20% - Accent1 7 6 2" xfId="7327" xr:uid="{00000000-0005-0000-0000-0000D9050000}"/>
    <cellStyle name="20% - Accent1 7 6 2 2" xfId="15297" xr:uid="{00000000-0005-0000-0000-0000DA050000}"/>
    <cellStyle name="20% - Accent1 7 6 2 2 2" xfId="39139" xr:uid="{9CFD8489-D16F-4EDF-A45F-C5D72ECE9F61}"/>
    <cellStyle name="20% - Accent1 7 6 2 3" xfId="23243" xr:uid="{00000000-0005-0000-0000-0000DB050000}"/>
    <cellStyle name="20% - Accent1 7 6 2 3 2" xfId="47075" xr:uid="{F04576A7-EE1E-407F-BB40-B7AA589F0889}"/>
    <cellStyle name="20% - Accent1 7 6 2 4" xfId="31198" xr:uid="{77418B58-C7DB-4B73-AFA3-2D07DE79D984}"/>
    <cellStyle name="20% - Accent1 7 6 3" xfId="11759" xr:uid="{00000000-0005-0000-0000-0000DC050000}"/>
    <cellStyle name="20% - Accent1 7 6 3 2" xfId="35608" xr:uid="{6B9B14FB-64CA-4ACB-8EC5-72C7FB176C98}"/>
    <cellStyle name="20% - Accent1 7 6 4" xfId="19714" xr:uid="{00000000-0005-0000-0000-0000DD050000}"/>
    <cellStyle name="20% - Accent1 7 6 4 2" xfId="43546" xr:uid="{63FB8229-5DA9-45B7-B8E9-7696F66AE044}"/>
    <cellStyle name="20% - Accent1 7 6 5" xfId="27667" xr:uid="{9EF8AA9A-F72F-481B-BE3C-13280D78EDAC}"/>
    <cellStyle name="20% - Accent1 7 7" xfId="5555" xr:uid="{00000000-0005-0000-0000-0000DE050000}"/>
    <cellStyle name="20% - Accent1 7 7 2" xfId="13538" xr:uid="{00000000-0005-0000-0000-0000DF050000}"/>
    <cellStyle name="20% - Accent1 7 7 2 2" xfId="37381" xr:uid="{93D26076-E302-4C9B-99DB-F61A49A2F110}"/>
    <cellStyle name="20% - Accent1 7 7 3" xfId="21486" xr:uid="{00000000-0005-0000-0000-0000E0050000}"/>
    <cellStyle name="20% - Accent1 7 7 3 2" xfId="45318" xr:uid="{8B0F5E70-D723-4D30-9F5B-1CC1D09450B2}"/>
    <cellStyle name="20% - Accent1 7 7 4" xfId="29440" xr:uid="{FBBE3211-6B2B-4283-B276-CB170D34B5F1}"/>
    <cellStyle name="20% - Accent1 7 8" xfId="9107" xr:uid="{00000000-0005-0000-0000-0000E1050000}"/>
    <cellStyle name="20% - Accent1 7 8 2" xfId="17065" xr:uid="{00000000-0005-0000-0000-0000E2050000}"/>
    <cellStyle name="20% - Accent1 7 8 2 2" xfId="40905" xr:uid="{BD008684-5A8C-41BE-96D4-1843A5167572}"/>
    <cellStyle name="20% - Accent1 7 8 3" xfId="25009" xr:uid="{00000000-0005-0000-0000-0000E3050000}"/>
    <cellStyle name="20% - Accent1 7 8 3 2" xfId="48841" xr:uid="{E9175A57-C9AC-409B-8118-740BC25DE1AC}"/>
    <cellStyle name="20% - Accent1 7 8 4" xfId="32964" xr:uid="{B69DBA2F-447F-47A7-9B51-0FC7246A2BC0}"/>
    <cellStyle name="20% - Accent1 7 9" xfId="10003" xr:uid="{00000000-0005-0000-0000-0000E4050000}"/>
    <cellStyle name="20% - Accent1 7 9 2" xfId="33852" xr:uid="{65A0D1A8-6E30-4642-A055-0E11DA1015B9}"/>
    <cellStyle name="20% - Accent1 7_Exh G" xfId="2028" xr:uid="{00000000-0005-0000-0000-0000E5050000}"/>
    <cellStyle name="20% - Accent1 8" xfId="65" xr:uid="{00000000-0005-0000-0000-0000E6050000}"/>
    <cellStyle name="20% - Accent1 8 10" xfId="17962" xr:uid="{00000000-0005-0000-0000-0000E7050000}"/>
    <cellStyle name="20% - Accent1 8 10 2" xfId="41794" xr:uid="{5E172279-3A1F-4876-947F-21703E6F7F44}"/>
    <cellStyle name="20% - Accent1 8 11" xfId="25914" xr:uid="{983E21EF-22F7-4C7D-82B7-EB029E8A97B8}"/>
    <cellStyle name="20% - Accent1 8 2" xfId="66" xr:uid="{00000000-0005-0000-0000-0000E8050000}"/>
    <cellStyle name="20% - Accent1 8 2 2" xfId="67" xr:uid="{00000000-0005-0000-0000-0000E9050000}"/>
    <cellStyle name="20% - Accent1 8 2 2 2" xfId="1093" xr:uid="{00000000-0005-0000-0000-0000EA050000}"/>
    <cellStyle name="20% - Accent1 8 2 2 2 2" xfId="4620" xr:uid="{00000000-0005-0000-0000-0000EB050000}"/>
    <cellStyle name="20% - Accent1 8 2 2 2 2 2" xfId="8211" xr:uid="{00000000-0005-0000-0000-0000EC050000}"/>
    <cellStyle name="20% - Accent1 8 2 2 2 2 2 2" xfId="16181" xr:uid="{00000000-0005-0000-0000-0000ED050000}"/>
    <cellStyle name="20% - Accent1 8 2 2 2 2 2 2 2" xfId="40023" xr:uid="{41C7C33F-24E4-46F1-919A-76DCC1A52435}"/>
    <cellStyle name="20% - Accent1 8 2 2 2 2 2 3" xfId="24127" xr:uid="{00000000-0005-0000-0000-0000EE050000}"/>
    <cellStyle name="20% - Accent1 8 2 2 2 2 2 3 2" xfId="47959" xr:uid="{51F31017-C870-4B90-87A3-7A88E454BB5D}"/>
    <cellStyle name="20% - Accent1 8 2 2 2 2 2 4" xfId="32082" xr:uid="{06034D46-C9C7-48E7-965E-E3DBA80CC29F}"/>
    <cellStyle name="20% - Accent1 8 2 2 2 2 3" xfId="12643" xr:uid="{00000000-0005-0000-0000-0000EF050000}"/>
    <cellStyle name="20% - Accent1 8 2 2 2 2 3 2" xfId="36492" xr:uid="{DBAC2121-F206-4F1C-A3DD-56D195B61950}"/>
    <cellStyle name="20% - Accent1 8 2 2 2 2 4" xfId="20598" xr:uid="{00000000-0005-0000-0000-0000F0050000}"/>
    <cellStyle name="20% - Accent1 8 2 2 2 2 4 2" xfId="44430" xr:uid="{139A6CC9-DF47-4DAE-BA58-95B8B0BA76A8}"/>
    <cellStyle name="20% - Accent1 8 2 2 2 2 5" xfId="28551" xr:uid="{1A3455E9-0DF4-4767-A452-8CFD48B76AF2}"/>
    <cellStyle name="20% - Accent1 8 2 2 2 3" xfId="6452" xr:uid="{00000000-0005-0000-0000-0000F1050000}"/>
    <cellStyle name="20% - Accent1 8 2 2 2 3 2" xfId="14423" xr:uid="{00000000-0005-0000-0000-0000F2050000}"/>
    <cellStyle name="20% - Accent1 8 2 2 2 3 2 2" xfId="38265" xr:uid="{4163B645-2454-4375-AB73-F01DD25A0326}"/>
    <cellStyle name="20% - Accent1 8 2 2 2 3 3" xfId="22370" xr:uid="{00000000-0005-0000-0000-0000F3050000}"/>
    <cellStyle name="20% - Accent1 8 2 2 2 3 3 2" xfId="46202" xr:uid="{4203C255-54AF-4B2F-8E09-AD51CD0F2734}"/>
    <cellStyle name="20% - Accent1 8 2 2 2 3 4" xfId="30324" xr:uid="{510CBD9C-FBAE-4D0E-A4DA-8D9F860FF629}"/>
    <cellStyle name="20% - Accent1 8 2 2 2 4" xfId="10887" xr:uid="{00000000-0005-0000-0000-0000F4050000}"/>
    <cellStyle name="20% - Accent1 8 2 2 2 4 2" xfId="34736" xr:uid="{32FBF6A0-8E34-4218-B2A6-7CDDC99D780B}"/>
    <cellStyle name="20% - Accent1 8 2 2 2 5" xfId="18842" xr:uid="{00000000-0005-0000-0000-0000F5050000}"/>
    <cellStyle name="20% - Accent1 8 2 2 2 5 2" xfId="42674" xr:uid="{488A6D4B-79EE-4C28-A671-A5138D125C63}"/>
    <cellStyle name="20% - Accent1 8 2 2 2 6" xfId="26794" xr:uid="{B4C5C29E-CFE3-4EA5-B141-6AC6F0954E08}"/>
    <cellStyle name="20% - Accent1 8 2 2 2_Exh G" xfId="2041" xr:uid="{00000000-0005-0000-0000-0000F6050000}"/>
    <cellStyle name="20% - Accent1 8 2 2 3" xfId="3741" xr:uid="{00000000-0005-0000-0000-0000F7050000}"/>
    <cellStyle name="20% - Accent1 8 2 2 3 2" xfId="7333" xr:uid="{00000000-0005-0000-0000-0000F8050000}"/>
    <cellStyle name="20% - Accent1 8 2 2 3 2 2" xfId="15303" xr:uid="{00000000-0005-0000-0000-0000F9050000}"/>
    <cellStyle name="20% - Accent1 8 2 2 3 2 2 2" xfId="39145" xr:uid="{155B72C1-D0AD-4510-B382-214A6172F221}"/>
    <cellStyle name="20% - Accent1 8 2 2 3 2 3" xfId="23249" xr:uid="{00000000-0005-0000-0000-0000FA050000}"/>
    <cellStyle name="20% - Accent1 8 2 2 3 2 3 2" xfId="47081" xr:uid="{A752F173-0196-4A92-BD5B-103EA7B7951C}"/>
    <cellStyle name="20% - Accent1 8 2 2 3 2 4" xfId="31204" xr:uid="{B4FDBB69-9D8A-42A9-ADFE-660D6F3B5347}"/>
    <cellStyle name="20% - Accent1 8 2 2 3 3" xfId="11765" xr:uid="{00000000-0005-0000-0000-0000FB050000}"/>
    <cellStyle name="20% - Accent1 8 2 2 3 3 2" xfId="35614" xr:uid="{9AA4C35A-BFF0-46E3-988A-71105C01657A}"/>
    <cellStyle name="20% - Accent1 8 2 2 3 4" xfId="19720" xr:uid="{00000000-0005-0000-0000-0000FC050000}"/>
    <cellStyle name="20% - Accent1 8 2 2 3 4 2" xfId="43552" xr:uid="{2A0B3619-B59C-444F-BB5D-F26E0CB90B90}"/>
    <cellStyle name="20% - Accent1 8 2 2 3 5" xfId="27673" xr:uid="{F14696C8-0BDD-4A92-812C-AF00BA7C826B}"/>
    <cellStyle name="20% - Accent1 8 2 2 4" xfId="5561" xr:uid="{00000000-0005-0000-0000-0000FD050000}"/>
    <cellStyle name="20% - Accent1 8 2 2 4 2" xfId="13544" xr:uid="{00000000-0005-0000-0000-0000FE050000}"/>
    <cellStyle name="20% - Accent1 8 2 2 4 2 2" xfId="37387" xr:uid="{54E8D3D3-6D54-4150-8EC3-9012E2C6AD89}"/>
    <cellStyle name="20% - Accent1 8 2 2 4 3" xfId="21492" xr:uid="{00000000-0005-0000-0000-0000FF050000}"/>
    <cellStyle name="20% - Accent1 8 2 2 4 3 2" xfId="45324" xr:uid="{38280551-7A6B-4F9A-8AD6-BFDF3AED9636}"/>
    <cellStyle name="20% - Accent1 8 2 2 4 4" xfId="29446" xr:uid="{F50A6415-F321-45E7-945F-71E2C9B0ADF4}"/>
    <cellStyle name="20% - Accent1 8 2 2 5" xfId="9113" xr:uid="{00000000-0005-0000-0000-000000060000}"/>
    <cellStyle name="20% - Accent1 8 2 2 5 2" xfId="17071" xr:uid="{00000000-0005-0000-0000-000001060000}"/>
    <cellStyle name="20% - Accent1 8 2 2 5 2 2" xfId="40911" xr:uid="{6CB5A510-5E4F-46A7-AAF6-9216425860DA}"/>
    <cellStyle name="20% - Accent1 8 2 2 5 3" xfId="25015" xr:uid="{00000000-0005-0000-0000-000002060000}"/>
    <cellStyle name="20% - Accent1 8 2 2 5 3 2" xfId="48847" xr:uid="{8C935992-567C-4909-8889-51DA804E5915}"/>
    <cellStyle name="20% - Accent1 8 2 2 5 4" xfId="32970" xr:uid="{C67CD7E2-2B84-4807-A9EC-18CD1A35B8A3}"/>
    <cellStyle name="20% - Accent1 8 2 2 6" xfId="10009" xr:uid="{00000000-0005-0000-0000-000003060000}"/>
    <cellStyle name="20% - Accent1 8 2 2 6 2" xfId="33858" xr:uid="{AB9FA0D6-5CCC-43EC-8213-6F4EDB536BB2}"/>
    <cellStyle name="20% - Accent1 8 2 2 7" xfId="17964" xr:uid="{00000000-0005-0000-0000-000004060000}"/>
    <cellStyle name="20% - Accent1 8 2 2 7 2" xfId="41796" xr:uid="{C5BAE61D-F246-4C0A-9DC9-AB928DF7FFA5}"/>
    <cellStyle name="20% - Accent1 8 2 2 8" xfId="25916" xr:uid="{50483BA2-1F26-45AA-8D27-13BD711F78E5}"/>
    <cellStyle name="20% - Accent1 8 2 2_Exh G" xfId="2040" xr:uid="{00000000-0005-0000-0000-000005060000}"/>
    <cellStyle name="20% - Accent1 8 2 3" xfId="1092" xr:uid="{00000000-0005-0000-0000-000006060000}"/>
    <cellStyle name="20% - Accent1 8 2 3 2" xfId="4619" xr:uid="{00000000-0005-0000-0000-000007060000}"/>
    <cellStyle name="20% - Accent1 8 2 3 2 2" xfId="8210" xr:uid="{00000000-0005-0000-0000-000008060000}"/>
    <cellStyle name="20% - Accent1 8 2 3 2 2 2" xfId="16180" xr:uid="{00000000-0005-0000-0000-000009060000}"/>
    <cellStyle name="20% - Accent1 8 2 3 2 2 2 2" xfId="40022" xr:uid="{FF64A4D6-67F0-48AB-9C0A-9D237931B589}"/>
    <cellStyle name="20% - Accent1 8 2 3 2 2 3" xfId="24126" xr:uid="{00000000-0005-0000-0000-00000A060000}"/>
    <cellStyle name="20% - Accent1 8 2 3 2 2 3 2" xfId="47958" xr:uid="{8EC5003E-661F-491F-AD4B-1278A21AFEA1}"/>
    <cellStyle name="20% - Accent1 8 2 3 2 2 4" xfId="32081" xr:uid="{A1337A20-A4CC-4144-A751-17566E46AD46}"/>
    <cellStyle name="20% - Accent1 8 2 3 2 3" xfId="12642" xr:uid="{00000000-0005-0000-0000-00000B060000}"/>
    <cellStyle name="20% - Accent1 8 2 3 2 3 2" xfId="36491" xr:uid="{D2C80419-AD79-4334-8C4E-D3B44E860940}"/>
    <cellStyle name="20% - Accent1 8 2 3 2 4" xfId="20597" xr:uid="{00000000-0005-0000-0000-00000C060000}"/>
    <cellStyle name="20% - Accent1 8 2 3 2 4 2" xfId="44429" xr:uid="{743588EC-811E-473D-88C3-815CB9A227AD}"/>
    <cellStyle name="20% - Accent1 8 2 3 2 5" xfId="28550" xr:uid="{4720EF00-7A06-478F-B65E-E23E391B38A9}"/>
    <cellStyle name="20% - Accent1 8 2 3 3" xfId="6451" xr:uid="{00000000-0005-0000-0000-00000D060000}"/>
    <cellStyle name="20% - Accent1 8 2 3 3 2" xfId="14422" xr:uid="{00000000-0005-0000-0000-00000E060000}"/>
    <cellStyle name="20% - Accent1 8 2 3 3 2 2" xfId="38264" xr:uid="{8C31725B-D06B-4424-9A96-7AF466014529}"/>
    <cellStyle name="20% - Accent1 8 2 3 3 3" xfId="22369" xr:uid="{00000000-0005-0000-0000-00000F060000}"/>
    <cellStyle name="20% - Accent1 8 2 3 3 3 2" xfId="46201" xr:uid="{82F4C01F-9EBC-4D04-A478-EC99BF4CF1F3}"/>
    <cellStyle name="20% - Accent1 8 2 3 3 4" xfId="30323" xr:uid="{2B3A6271-5D70-40F2-86A5-7AABB546A425}"/>
    <cellStyle name="20% - Accent1 8 2 3 4" xfId="10886" xr:uid="{00000000-0005-0000-0000-000010060000}"/>
    <cellStyle name="20% - Accent1 8 2 3 4 2" xfId="34735" xr:uid="{0642DB2E-16F3-4716-A0F2-8BEC7C1D704C}"/>
    <cellStyle name="20% - Accent1 8 2 3 5" xfId="18841" xr:uid="{00000000-0005-0000-0000-000011060000}"/>
    <cellStyle name="20% - Accent1 8 2 3 5 2" xfId="42673" xr:uid="{2DBA7F05-C5D3-4D41-B825-BBA94AC47B78}"/>
    <cellStyle name="20% - Accent1 8 2 3 6" xfId="26793" xr:uid="{9E3A4E29-BDA7-466A-B3C5-E84A82025A09}"/>
    <cellStyle name="20% - Accent1 8 2 3_Exh G" xfId="2042" xr:uid="{00000000-0005-0000-0000-000012060000}"/>
    <cellStyle name="20% - Accent1 8 2 4" xfId="3740" xr:uid="{00000000-0005-0000-0000-000013060000}"/>
    <cellStyle name="20% - Accent1 8 2 4 2" xfId="7332" xr:uid="{00000000-0005-0000-0000-000014060000}"/>
    <cellStyle name="20% - Accent1 8 2 4 2 2" xfId="15302" xr:uid="{00000000-0005-0000-0000-000015060000}"/>
    <cellStyle name="20% - Accent1 8 2 4 2 2 2" xfId="39144" xr:uid="{B41DE2F4-CEFA-4462-A90B-AF0AA5E33536}"/>
    <cellStyle name="20% - Accent1 8 2 4 2 3" xfId="23248" xr:uid="{00000000-0005-0000-0000-000016060000}"/>
    <cellStyle name="20% - Accent1 8 2 4 2 3 2" xfId="47080" xr:uid="{C9AD24B5-3B0D-46E6-91A4-E2C521186277}"/>
    <cellStyle name="20% - Accent1 8 2 4 2 4" xfId="31203" xr:uid="{AC8BE8EA-C64F-4467-8B6B-0FC3388CFD7E}"/>
    <cellStyle name="20% - Accent1 8 2 4 3" xfId="11764" xr:uid="{00000000-0005-0000-0000-000017060000}"/>
    <cellStyle name="20% - Accent1 8 2 4 3 2" xfId="35613" xr:uid="{F9970EC5-8181-4078-A274-2FBDBE5DDB10}"/>
    <cellStyle name="20% - Accent1 8 2 4 4" xfId="19719" xr:uid="{00000000-0005-0000-0000-000018060000}"/>
    <cellStyle name="20% - Accent1 8 2 4 4 2" xfId="43551" xr:uid="{5B64AEF9-CD2C-4064-9FAA-D0A3FAB90747}"/>
    <cellStyle name="20% - Accent1 8 2 4 5" xfId="27672" xr:uid="{73B15E26-1832-4346-B2D0-7546B7CE0C3A}"/>
    <cellStyle name="20% - Accent1 8 2 5" xfId="5560" xr:uid="{00000000-0005-0000-0000-000019060000}"/>
    <cellStyle name="20% - Accent1 8 2 5 2" xfId="13543" xr:uid="{00000000-0005-0000-0000-00001A060000}"/>
    <cellStyle name="20% - Accent1 8 2 5 2 2" xfId="37386" xr:uid="{1FEA7AA4-DBEC-4746-999D-E6E52A0F4CB8}"/>
    <cellStyle name="20% - Accent1 8 2 5 3" xfId="21491" xr:uid="{00000000-0005-0000-0000-00001B060000}"/>
    <cellStyle name="20% - Accent1 8 2 5 3 2" xfId="45323" xr:uid="{839A5C0E-87E8-4190-AD9A-875BA7264E04}"/>
    <cellStyle name="20% - Accent1 8 2 5 4" xfId="29445" xr:uid="{5B47A3B9-64BA-4FD9-BE05-5D0FA175AE61}"/>
    <cellStyle name="20% - Accent1 8 2 6" xfId="9112" xr:uid="{00000000-0005-0000-0000-00001C060000}"/>
    <cellStyle name="20% - Accent1 8 2 6 2" xfId="17070" xr:uid="{00000000-0005-0000-0000-00001D060000}"/>
    <cellStyle name="20% - Accent1 8 2 6 2 2" xfId="40910" xr:uid="{51905035-DD8E-46A0-929D-1E0D2A8C0D2E}"/>
    <cellStyle name="20% - Accent1 8 2 6 3" xfId="25014" xr:uid="{00000000-0005-0000-0000-00001E060000}"/>
    <cellStyle name="20% - Accent1 8 2 6 3 2" xfId="48846" xr:uid="{5F353729-16FE-4B8C-9F61-2C22BB6B550E}"/>
    <cellStyle name="20% - Accent1 8 2 6 4" xfId="32969" xr:uid="{45199DA5-C87F-4A2C-BAAB-BD3029F422EE}"/>
    <cellStyle name="20% - Accent1 8 2 7" xfId="10008" xr:uid="{00000000-0005-0000-0000-00001F060000}"/>
    <cellStyle name="20% - Accent1 8 2 7 2" xfId="33857" xr:uid="{CC61F0BE-459B-4912-907D-16580D20D088}"/>
    <cellStyle name="20% - Accent1 8 2 8" xfId="17963" xr:uid="{00000000-0005-0000-0000-000020060000}"/>
    <cellStyle name="20% - Accent1 8 2 8 2" xfId="41795" xr:uid="{F102DE52-70AB-40B4-BDED-ABE9CA154D8D}"/>
    <cellStyle name="20% - Accent1 8 2 9" xfId="25915" xr:uid="{5839C61A-4276-4F05-946D-957405BB95BE}"/>
    <cellStyle name="20% - Accent1 8 2_Exh G" xfId="2039" xr:uid="{00000000-0005-0000-0000-000021060000}"/>
    <cellStyle name="20% - Accent1 8 3" xfId="68" xr:uid="{00000000-0005-0000-0000-000022060000}"/>
    <cellStyle name="20% - Accent1 8 3 2" xfId="1094" xr:uid="{00000000-0005-0000-0000-000023060000}"/>
    <cellStyle name="20% - Accent1 8 3 2 2" xfId="4621" xr:uid="{00000000-0005-0000-0000-000024060000}"/>
    <cellStyle name="20% - Accent1 8 3 2 2 2" xfId="8212" xr:uid="{00000000-0005-0000-0000-000025060000}"/>
    <cellStyle name="20% - Accent1 8 3 2 2 2 2" xfId="16182" xr:uid="{00000000-0005-0000-0000-000026060000}"/>
    <cellStyle name="20% - Accent1 8 3 2 2 2 2 2" xfId="40024" xr:uid="{576E0DA6-461C-4758-8E77-0D5CE904F9B3}"/>
    <cellStyle name="20% - Accent1 8 3 2 2 2 3" xfId="24128" xr:uid="{00000000-0005-0000-0000-000027060000}"/>
    <cellStyle name="20% - Accent1 8 3 2 2 2 3 2" xfId="47960" xr:uid="{ED266B81-0378-4EB5-9518-4A017595BDB2}"/>
    <cellStyle name="20% - Accent1 8 3 2 2 2 4" xfId="32083" xr:uid="{0B2E4255-DF7A-46AF-9018-82C85071D678}"/>
    <cellStyle name="20% - Accent1 8 3 2 2 3" xfId="12644" xr:uid="{00000000-0005-0000-0000-000028060000}"/>
    <cellStyle name="20% - Accent1 8 3 2 2 3 2" xfId="36493" xr:uid="{B1B95754-6916-411E-9C87-AA401E7E9EFA}"/>
    <cellStyle name="20% - Accent1 8 3 2 2 4" xfId="20599" xr:uid="{00000000-0005-0000-0000-000029060000}"/>
    <cellStyle name="20% - Accent1 8 3 2 2 4 2" xfId="44431" xr:uid="{A44CBA14-FB79-4FC0-BA4D-D1C5C33D79FC}"/>
    <cellStyle name="20% - Accent1 8 3 2 2 5" xfId="28552" xr:uid="{9B52D2EF-655B-41DF-B615-B3E4254D0BEA}"/>
    <cellStyle name="20% - Accent1 8 3 2 3" xfId="6453" xr:uid="{00000000-0005-0000-0000-00002A060000}"/>
    <cellStyle name="20% - Accent1 8 3 2 3 2" xfId="14424" xr:uid="{00000000-0005-0000-0000-00002B060000}"/>
    <cellStyle name="20% - Accent1 8 3 2 3 2 2" xfId="38266" xr:uid="{62E37ABD-55B6-44C8-A844-EAB620048D88}"/>
    <cellStyle name="20% - Accent1 8 3 2 3 3" xfId="22371" xr:uid="{00000000-0005-0000-0000-00002C060000}"/>
    <cellStyle name="20% - Accent1 8 3 2 3 3 2" xfId="46203" xr:uid="{62854326-825D-40C7-B6F3-4601A8B793F9}"/>
    <cellStyle name="20% - Accent1 8 3 2 3 4" xfId="30325" xr:uid="{1B723C7A-81E5-48FC-AFEA-61258FE3F5C6}"/>
    <cellStyle name="20% - Accent1 8 3 2 4" xfId="10888" xr:uid="{00000000-0005-0000-0000-00002D060000}"/>
    <cellStyle name="20% - Accent1 8 3 2 4 2" xfId="34737" xr:uid="{454C8DA4-E7F6-4C1A-B648-9FCD604E1F0B}"/>
    <cellStyle name="20% - Accent1 8 3 2 5" xfId="18843" xr:uid="{00000000-0005-0000-0000-00002E060000}"/>
    <cellStyle name="20% - Accent1 8 3 2 5 2" xfId="42675" xr:uid="{DC0EF1B0-EFA7-44C5-9640-504F79B7F02A}"/>
    <cellStyle name="20% - Accent1 8 3 2 6" xfId="26795" xr:uid="{57042850-1DF5-47CA-B7F9-5B2391DDA261}"/>
    <cellStyle name="20% - Accent1 8 3 2_Exh G" xfId="2044" xr:uid="{00000000-0005-0000-0000-00002F060000}"/>
    <cellStyle name="20% - Accent1 8 3 3" xfId="3742" xr:uid="{00000000-0005-0000-0000-000030060000}"/>
    <cellStyle name="20% - Accent1 8 3 3 2" xfId="7334" xr:uid="{00000000-0005-0000-0000-000031060000}"/>
    <cellStyle name="20% - Accent1 8 3 3 2 2" xfId="15304" xr:uid="{00000000-0005-0000-0000-000032060000}"/>
    <cellStyle name="20% - Accent1 8 3 3 2 2 2" xfId="39146" xr:uid="{DFF6A0B3-025D-42D0-B2E0-E6DE926949A5}"/>
    <cellStyle name="20% - Accent1 8 3 3 2 3" xfId="23250" xr:uid="{00000000-0005-0000-0000-000033060000}"/>
    <cellStyle name="20% - Accent1 8 3 3 2 3 2" xfId="47082" xr:uid="{2BB33D47-64F4-4742-94E0-37E6E83961B0}"/>
    <cellStyle name="20% - Accent1 8 3 3 2 4" xfId="31205" xr:uid="{F2BB6851-8E5D-4E85-9BE7-83E1F06F0603}"/>
    <cellStyle name="20% - Accent1 8 3 3 3" xfId="11766" xr:uid="{00000000-0005-0000-0000-000034060000}"/>
    <cellStyle name="20% - Accent1 8 3 3 3 2" xfId="35615" xr:uid="{8229586F-BFB8-4791-A7F8-EE7AC989AA23}"/>
    <cellStyle name="20% - Accent1 8 3 3 4" xfId="19721" xr:uid="{00000000-0005-0000-0000-000035060000}"/>
    <cellStyle name="20% - Accent1 8 3 3 4 2" xfId="43553" xr:uid="{175CBB00-AEBC-4668-B181-1C307B913CFE}"/>
    <cellStyle name="20% - Accent1 8 3 3 5" xfId="27674" xr:uid="{45E11451-DA44-4F92-900D-1FE23825DE8B}"/>
    <cellStyle name="20% - Accent1 8 3 4" xfId="5562" xr:uid="{00000000-0005-0000-0000-000036060000}"/>
    <cellStyle name="20% - Accent1 8 3 4 2" xfId="13545" xr:uid="{00000000-0005-0000-0000-000037060000}"/>
    <cellStyle name="20% - Accent1 8 3 4 2 2" xfId="37388" xr:uid="{DF3340DB-69FA-4024-9107-4F518A5B9C35}"/>
    <cellStyle name="20% - Accent1 8 3 4 3" xfId="21493" xr:uid="{00000000-0005-0000-0000-000038060000}"/>
    <cellStyle name="20% - Accent1 8 3 4 3 2" xfId="45325" xr:uid="{051DDFA3-FD9C-4CEC-8154-244F4CAE22C1}"/>
    <cellStyle name="20% - Accent1 8 3 4 4" xfId="29447" xr:uid="{E744E6D8-ED15-4763-A9B4-04B78C3DCC78}"/>
    <cellStyle name="20% - Accent1 8 3 5" xfId="9114" xr:uid="{00000000-0005-0000-0000-000039060000}"/>
    <cellStyle name="20% - Accent1 8 3 5 2" xfId="17072" xr:uid="{00000000-0005-0000-0000-00003A060000}"/>
    <cellStyle name="20% - Accent1 8 3 5 2 2" xfId="40912" xr:uid="{59EA337D-A7C7-4793-88EF-A9397CC50D27}"/>
    <cellStyle name="20% - Accent1 8 3 5 3" xfId="25016" xr:uid="{00000000-0005-0000-0000-00003B060000}"/>
    <cellStyle name="20% - Accent1 8 3 5 3 2" xfId="48848" xr:uid="{8D495EA2-8EB5-4A9F-ABD2-420D1607F85F}"/>
    <cellStyle name="20% - Accent1 8 3 5 4" xfId="32971" xr:uid="{29D46C98-8417-466C-914D-F735E461CA30}"/>
    <cellStyle name="20% - Accent1 8 3 6" xfId="10010" xr:uid="{00000000-0005-0000-0000-00003C060000}"/>
    <cellStyle name="20% - Accent1 8 3 6 2" xfId="33859" xr:uid="{AF4BF050-823D-4D2E-BFA6-6A64C1D570C7}"/>
    <cellStyle name="20% - Accent1 8 3 7" xfId="17965" xr:uid="{00000000-0005-0000-0000-00003D060000}"/>
    <cellStyle name="20% - Accent1 8 3 7 2" xfId="41797" xr:uid="{FF02CAA9-056E-45DF-AB2D-EDB040BE1BB3}"/>
    <cellStyle name="20% - Accent1 8 3 8" xfId="25917" xr:uid="{B88032D5-E361-4DC6-93BE-2BB02973DDB4}"/>
    <cellStyle name="20% - Accent1 8 3_Exh G" xfId="2043" xr:uid="{00000000-0005-0000-0000-00003E060000}"/>
    <cellStyle name="20% - Accent1 8 4" xfId="869" xr:uid="{00000000-0005-0000-0000-00003F060000}"/>
    <cellStyle name="20% - Accent1 8 4 2" xfId="1800" xr:uid="{00000000-0005-0000-0000-000040060000}"/>
    <cellStyle name="20% - Accent1 8 4 2 2" xfId="5317" xr:uid="{00000000-0005-0000-0000-000041060000}"/>
    <cellStyle name="20% - Accent1 8 4 2 2 2" xfId="8908" xr:uid="{00000000-0005-0000-0000-000042060000}"/>
    <cellStyle name="20% - Accent1 8 4 2 2 2 2" xfId="16878" xr:uid="{00000000-0005-0000-0000-000043060000}"/>
    <cellStyle name="20% - Accent1 8 4 2 2 2 2 2" xfId="40720" xr:uid="{D8D89ED9-27FD-41CA-A369-F28403CA0445}"/>
    <cellStyle name="20% - Accent1 8 4 2 2 2 3" xfId="24824" xr:uid="{00000000-0005-0000-0000-000044060000}"/>
    <cellStyle name="20% - Accent1 8 4 2 2 2 3 2" xfId="48656" xr:uid="{E9A928E5-11EE-44A9-A7F4-C9CBCB941909}"/>
    <cellStyle name="20% - Accent1 8 4 2 2 2 4" xfId="32779" xr:uid="{3A4884D0-397A-4690-87BD-0AA5CD25A945}"/>
    <cellStyle name="20% - Accent1 8 4 2 2 3" xfId="13340" xr:uid="{00000000-0005-0000-0000-000045060000}"/>
    <cellStyle name="20% - Accent1 8 4 2 2 3 2" xfId="37189" xr:uid="{1A67A57D-764B-4E18-AF29-F548C772B687}"/>
    <cellStyle name="20% - Accent1 8 4 2 2 4" xfId="21295" xr:uid="{00000000-0005-0000-0000-000046060000}"/>
    <cellStyle name="20% - Accent1 8 4 2 2 4 2" xfId="45127" xr:uid="{19587CE1-11C3-4711-AB79-6C0171E76D49}"/>
    <cellStyle name="20% - Accent1 8 4 2 2 5" xfId="29248" xr:uid="{DCEA6DEB-B8B1-4E81-BCD9-10C731DE4A16}"/>
    <cellStyle name="20% - Accent1 8 4 2 3" xfId="7149" xr:uid="{00000000-0005-0000-0000-000047060000}"/>
    <cellStyle name="20% - Accent1 8 4 2 3 2" xfId="15120" xr:uid="{00000000-0005-0000-0000-000048060000}"/>
    <cellStyle name="20% - Accent1 8 4 2 3 2 2" xfId="38962" xr:uid="{8350DB27-116E-423E-A269-CFA5541F1CDF}"/>
    <cellStyle name="20% - Accent1 8 4 2 3 3" xfId="23067" xr:uid="{00000000-0005-0000-0000-000049060000}"/>
    <cellStyle name="20% - Accent1 8 4 2 3 3 2" xfId="46899" xr:uid="{7A8ED615-FBA5-4702-A48A-9763D7B54832}"/>
    <cellStyle name="20% - Accent1 8 4 2 3 4" xfId="31021" xr:uid="{943C7A20-0F55-4F82-BC69-F98587B61434}"/>
    <cellStyle name="20% - Accent1 8 4 2 4" xfId="11584" xr:uid="{00000000-0005-0000-0000-00004A060000}"/>
    <cellStyle name="20% - Accent1 8 4 2 4 2" xfId="35433" xr:uid="{9F49BA60-5A2D-44B4-B74E-692136434AF9}"/>
    <cellStyle name="20% - Accent1 8 4 2 5" xfId="19539" xr:uid="{00000000-0005-0000-0000-00004B060000}"/>
    <cellStyle name="20% - Accent1 8 4 2 5 2" xfId="43371" xr:uid="{F43D9041-B95D-4653-94B5-F82FA72B05BF}"/>
    <cellStyle name="20% - Accent1 8 4 2 6" xfId="27491" xr:uid="{266BCBA4-992C-4711-8411-C68C5015D4ED}"/>
    <cellStyle name="20% - Accent1 8 4 2_Exh G" xfId="2046" xr:uid="{00000000-0005-0000-0000-00004C060000}"/>
    <cellStyle name="20% - Accent1 8 4 3" xfId="4438" xr:uid="{00000000-0005-0000-0000-00004D060000}"/>
    <cellStyle name="20% - Accent1 8 4 3 2" xfId="8030" xr:uid="{00000000-0005-0000-0000-00004E060000}"/>
    <cellStyle name="20% - Accent1 8 4 3 2 2" xfId="16000" xr:uid="{00000000-0005-0000-0000-00004F060000}"/>
    <cellStyle name="20% - Accent1 8 4 3 2 2 2" xfId="39842" xr:uid="{5CFFD6D9-D14F-419A-988E-51A36A6AB931}"/>
    <cellStyle name="20% - Accent1 8 4 3 2 3" xfId="23946" xr:uid="{00000000-0005-0000-0000-000050060000}"/>
    <cellStyle name="20% - Accent1 8 4 3 2 3 2" xfId="47778" xr:uid="{38B3C01E-B2AD-40A9-8363-8BFCDF47FFA9}"/>
    <cellStyle name="20% - Accent1 8 4 3 2 4" xfId="31901" xr:uid="{906D6FE6-D6D9-4EE6-BD22-6A6EF398A691}"/>
    <cellStyle name="20% - Accent1 8 4 3 3" xfId="12462" xr:uid="{00000000-0005-0000-0000-000051060000}"/>
    <cellStyle name="20% - Accent1 8 4 3 3 2" xfId="36311" xr:uid="{C508EC42-FCBD-4C47-901C-0D20F1165DDA}"/>
    <cellStyle name="20% - Accent1 8 4 3 4" xfId="20417" xr:uid="{00000000-0005-0000-0000-000052060000}"/>
    <cellStyle name="20% - Accent1 8 4 3 4 2" xfId="44249" xr:uid="{57FD4E82-DA2D-45A4-A5F0-04C23D79594D}"/>
    <cellStyle name="20% - Accent1 8 4 3 5" xfId="28370" xr:uid="{D1F332AC-5FFB-49FC-ABB1-E2E9C7BAAA61}"/>
    <cellStyle name="20% - Accent1 8 4 4" xfId="6268" xr:uid="{00000000-0005-0000-0000-000053060000}"/>
    <cellStyle name="20% - Accent1 8 4 4 2" xfId="14242" xr:uid="{00000000-0005-0000-0000-000054060000}"/>
    <cellStyle name="20% - Accent1 8 4 4 2 2" xfId="38084" xr:uid="{5DE01CC9-6F1A-427F-A136-114D9CB24B32}"/>
    <cellStyle name="20% - Accent1 8 4 4 3" xfId="22189" xr:uid="{00000000-0005-0000-0000-000055060000}"/>
    <cellStyle name="20% - Accent1 8 4 4 3 2" xfId="46021" xr:uid="{A121F175-3B36-401C-B8AE-25E914AF9499}"/>
    <cellStyle name="20% - Accent1 8 4 4 4" xfId="30143" xr:uid="{EC699838-34C9-4727-AAB7-9054FBB9DBAF}"/>
    <cellStyle name="20% - Accent1 8 4 5" xfId="9810" xr:uid="{00000000-0005-0000-0000-000056060000}"/>
    <cellStyle name="20% - Accent1 8 4 5 2" xfId="17768" xr:uid="{00000000-0005-0000-0000-000057060000}"/>
    <cellStyle name="20% - Accent1 8 4 5 2 2" xfId="41608" xr:uid="{95BEFB51-E06A-4321-A794-A70C0D2E0465}"/>
    <cellStyle name="20% - Accent1 8 4 5 3" xfId="25712" xr:uid="{00000000-0005-0000-0000-000058060000}"/>
    <cellStyle name="20% - Accent1 8 4 5 3 2" xfId="49544" xr:uid="{E92DD9E1-98BD-4974-BF7B-D825DE2D8A30}"/>
    <cellStyle name="20% - Accent1 8 4 5 4" xfId="33667" xr:uid="{D748B27D-088C-49CD-A938-D15594B46B27}"/>
    <cellStyle name="20% - Accent1 8 4 6" xfId="10706" xr:uid="{00000000-0005-0000-0000-000059060000}"/>
    <cellStyle name="20% - Accent1 8 4 6 2" xfId="34555" xr:uid="{0E725316-F345-462C-BC07-B81D546799F4}"/>
    <cellStyle name="20% - Accent1 8 4 7" xfId="18661" xr:uid="{00000000-0005-0000-0000-00005A060000}"/>
    <cellStyle name="20% - Accent1 8 4 7 2" xfId="42493" xr:uid="{3280B4EF-558F-408E-A4F6-658B1F236A64}"/>
    <cellStyle name="20% - Accent1 8 4 8" xfId="26613" xr:uid="{CC018903-AEF1-4661-8880-E88BFD870CCE}"/>
    <cellStyle name="20% - Accent1 8 4_Exh G" xfId="2045" xr:uid="{00000000-0005-0000-0000-00005B060000}"/>
    <cellStyle name="20% - Accent1 8 5" xfId="1091" xr:uid="{00000000-0005-0000-0000-00005C060000}"/>
    <cellStyle name="20% - Accent1 8 5 2" xfId="4618" xr:uid="{00000000-0005-0000-0000-00005D060000}"/>
    <cellStyle name="20% - Accent1 8 5 2 2" xfId="8209" xr:uid="{00000000-0005-0000-0000-00005E060000}"/>
    <cellStyle name="20% - Accent1 8 5 2 2 2" xfId="16179" xr:uid="{00000000-0005-0000-0000-00005F060000}"/>
    <cellStyle name="20% - Accent1 8 5 2 2 2 2" xfId="40021" xr:uid="{497A12D5-2CD5-4CC1-9E30-47B7050BA174}"/>
    <cellStyle name="20% - Accent1 8 5 2 2 3" xfId="24125" xr:uid="{00000000-0005-0000-0000-000060060000}"/>
    <cellStyle name="20% - Accent1 8 5 2 2 3 2" xfId="47957" xr:uid="{02247130-879C-4D05-91FB-DE7B87C9D5AD}"/>
    <cellStyle name="20% - Accent1 8 5 2 2 4" xfId="32080" xr:uid="{6BD9406F-0C38-413E-8FB2-31CA71EADDD2}"/>
    <cellStyle name="20% - Accent1 8 5 2 3" xfId="12641" xr:uid="{00000000-0005-0000-0000-000061060000}"/>
    <cellStyle name="20% - Accent1 8 5 2 3 2" xfId="36490" xr:uid="{C1EB4040-D2E2-4B83-9FC4-F07FF81C0E81}"/>
    <cellStyle name="20% - Accent1 8 5 2 4" xfId="20596" xr:uid="{00000000-0005-0000-0000-000062060000}"/>
    <cellStyle name="20% - Accent1 8 5 2 4 2" xfId="44428" xr:uid="{C8F4788D-3855-486E-840A-7D6EF1E2B4E8}"/>
    <cellStyle name="20% - Accent1 8 5 2 5" xfId="28549" xr:uid="{CEB2FC98-EEA8-4922-9474-F0308470741C}"/>
    <cellStyle name="20% - Accent1 8 5 3" xfId="6450" xr:uid="{00000000-0005-0000-0000-000063060000}"/>
    <cellStyle name="20% - Accent1 8 5 3 2" xfId="14421" xr:uid="{00000000-0005-0000-0000-000064060000}"/>
    <cellStyle name="20% - Accent1 8 5 3 2 2" xfId="38263" xr:uid="{EB6935E7-3925-4C49-BA8D-F4598E2C4E05}"/>
    <cellStyle name="20% - Accent1 8 5 3 3" xfId="22368" xr:uid="{00000000-0005-0000-0000-000065060000}"/>
    <cellStyle name="20% - Accent1 8 5 3 3 2" xfId="46200" xr:uid="{5A70BEE2-E1D5-4D3F-9D9D-C88328C1CC72}"/>
    <cellStyle name="20% - Accent1 8 5 3 4" xfId="30322" xr:uid="{A05DC744-9830-4FE4-B2F2-1F55689A6E12}"/>
    <cellStyle name="20% - Accent1 8 5 4" xfId="10885" xr:uid="{00000000-0005-0000-0000-000066060000}"/>
    <cellStyle name="20% - Accent1 8 5 4 2" xfId="34734" xr:uid="{786F5E45-A54F-46BA-BA1E-213F60E04339}"/>
    <cellStyle name="20% - Accent1 8 5 5" xfId="18840" xr:uid="{00000000-0005-0000-0000-000067060000}"/>
    <cellStyle name="20% - Accent1 8 5 5 2" xfId="42672" xr:uid="{6504672E-C639-4A92-83B3-2B7F922990D4}"/>
    <cellStyle name="20% - Accent1 8 5 6" xfId="26792" xr:uid="{D249A901-A2A5-4136-93E6-19EAA015411C}"/>
    <cellStyle name="20% - Accent1 8 5_Exh G" xfId="2047" xr:uid="{00000000-0005-0000-0000-000068060000}"/>
    <cellStyle name="20% - Accent1 8 6" xfId="3739" xr:uid="{00000000-0005-0000-0000-000069060000}"/>
    <cellStyle name="20% - Accent1 8 6 2" xfId="7331" xr:uid="{00000000-0005-0000-0000-00006A060000}"/>
    <cellStyle name="20% - Accent1 8 6 2 2" xfId="15301" xr:uid="{00000000-0005-0000-0000-00006B060000}"/>
    <cellStyle name="20% - Accent1 8 6 2 2 2" xfId="39143" xr:uid="{ABBCD24B-B882-4206-9334-CB591C4F46C3}"/>
    <cellStyle name="20% - Accent1 8 6 2 3" xfId="23247" xr:uid="{00000000-0005-0000-0000-00006C060000}"/>
    <cellStyle name="20% - Accent1 8 6 2 3 2" xfId="47079" xr:uid="{1F84B77D-9679-4241-8D25-DEB5FC4B6E97}"/>
    <cellStyle name="20% - Accent1 8 6 2 4" xfId="31202" xr:uid="{649BA497-83EB-43FE-99AB-AE08B7770AC8}"/>
    <cellStyle name="20% - Accent1 8 6 3" xfId="11763" xr:uid="{00000000-0005-0000-0000-00006D060000}"/>
    <cellStyle name="20% - Accent1 8 6 3 2" xfId="35612" xr:uid="{94D9FFA5-48F8-4EFB-973A-52C7ACFA6C32}"/>
    <cellStyle name="20% - Accent1 8 6 4" xfId="19718" xr:uid="{00000000-0005-0000-0000-00006E060000}"/>
    <cellStyle name="20% - Accent1 8 6 4 2" xfId="43550" xr:uid="{7019F636-1263-4558-A827-F1D65193F886}"/>
    <cellStyle name="20% - Accent1 8 6 5" xfId="27671" xr:uid="{11001278-EF6D-41EE-92AE-64BF0A02A4B1}"/>
    <cellStyle name="20% - Accent1 8 7" xfId="5559" xr:uid="{00000000-0005-0000-0000-00006F060000}"/>
    <cellStyle name="20% - Accent1 8 7 2" xfId="13542" xr:uid="{00000000-0005-0000-0000-000070060000}"/>
    <cellStyle name="20% - Accent1 8 7 2 2" xfId="37385" xr:uid="{C5279F98-B470-48D1-A960-495F604BAD28}"/>
    <cellStyle name="20% - Accent1 8 7 3" xfId="21490" xr:uid="{00000000-0005-0000-0000-000071060000}"/>
    <cellStyle name="20% - Accent1 8 7 3 2" xfId="45322" xr:uid="{E7F0A5E5-1407-47E9-B18E-349B2023E25D}"/>
    <cellStyle name="20% - Accent1 8 7 4" xfId="29444" xr:uid="{EA65AAC9-024A-4C1E-B29A-EEFEE7DC8F78}"/>
    <cellStyle name="20% - Accent1 8 8" xfId="9111" xr:uid="{00000000-0005-0000-0000-000072060000}"/>
    <cellStyle name="20% - Accent1 8 8 2" xfId="17069" xr:uid="{00000000-0005-0000-0000-000073060000}"/>
    <cellStyle name="20% - Accent1 8 8 2 2" xfId="40909" xr:uid="{2F2D751A-AA4D-4DA5-8B17-49ED7108CA37}"/>
    <cellStyle name="20% - Accent1 8 8 3" xfId="25013" xr:uid="{00000000-0005-0000-0000-000074060000}"/>
    <cellStyle name="20% - Accent1 8 8 3 2" xfId="48845" xr:uid="{8F027CA9-2589-4A93-B4AF-02BB6EE8114F}"/>
    <cellStyle name="20% - Accent1 8 8 4" xfId="32968" xr:uid="{D992764E-D7E4-465C-886E-12A44D53F860}"/>
    <cellStyle name="20% - Accent1 8 9" xfId="10007" xr:uid="{00000000-0005-0000-0000-000075060000}"/>
    <cellStyle name="20% - Accent1 8 9 2" xfId="33856" xr:uid="{37421DFB-BDA7-4C12-B68E-A7479BE533B5}"/>
    <cellStyle name="20% - Accent1 8_Exh G" xfId="2038" xr:uid="{00000000-0005-0000-0000-000076060000}"/>
    <cellStyle name="20% - Accent1 9" xfId="69" xr:uid="{00000000-0005-0000-0000-000077060000}"/>
    <cellStyle name="20% - Accent1 9 10" xfId="17966" xr:uid="{00000000-0005-0000-0000-000078060000}"/>
    <cellStyle name="20% - Accent1 9 10 2" xfId="41798" xr:uid="{5CE264C7-3DF7-4FF8-A9B0-22D899F39C4B}"/>
    <cellStyle name="20% - Accent1 9 11" xfId="25918" xr:uid="{D00EF97B-6AE7-476E-B426-429FBB85C80F}"/>
    <cellStyle name="20% - Accent1 9 2" xfId="70" xr:uid="{00000000-0005-0000-0000-000079060000}"/>
    <cellStyle name="20% - Accent1 9 2 2" xfId="71" xr:uid="{00000000-0005-0000-0000-00007A060000}"/>
    <cellStyle name="20% - Accent1 9 2 2 2" xfId="1097" xr:uid="{00000000-0005-0000-0000-00007B060000}"/>
    <cellStyle name="20% - Accent1 9 2 2 2 2" xfId="4624" xr:uid="{00000000-0005-0000-0000-00007C060000}"/>
    <cellStyle name="20% - Accent1 9 2 2 2 2 2" xfId="8215" xr:uid="{00000000-0005-0000-0000-00007D060000}"/>
    <cellStyle name="20% - Accent1 9 2 2 2 2 2 2" xfId="16185" xr:uid="{00000000-0005-0000-0000-00007E060000}"/>
    <cellStyle name="20% - Accent1 9 2 2 2 2 2 2 2" xfId="40027" xr:uid="{055E963F-21F5-433F-931D-EBE8F69F3AFB}"/>
    <cellStyle name="20% - Accent1 9 2 2 2 2 2 3" xfId="24131" xr:uid="{00000000-0005-0000-0000-00007F060000}"/>
    <cellStyle name="20% - Accent1 9 2 2 2 2 2 3 2" xfId="47963" xr:uid="{FFB1A735-300A-4871-BF3F-ABB6E0DF188F}"/>
    <cellStyle name="20% - Accent1 9 2 2 2 2 2 4" xfId="32086" xr:uid="{B3B6E932-AB1E-4787-973D-1D38A0BC3C55}"/>
    <cellStyle name="20% - Accent1 9 2 2 2 2 3" xfId="12647" xr:uid="{00000000-0005-0000-0000-000080060000}"/>
    <cellStyle name="20% - Accent1 9 2 2 2 2 3 2" xfId="36496" xr:uid="{F30B7A51-D640-4BD8-9F05-B041540828B2}"/>
    <cellStyle name="20% - Accent1 9 2 2 2 2 4" xfId="20602" xr:uid="{00000000-0005-0000-0000-000081060000}"/>
    <cellStyle name="20% - Accent1 9 2 2 2 2 4 2" xfId="44434" xr:uid="{794CB63B-5A57-45DD-B473-16211CE49041}"/>
    <cellStyle name="20% - Accent1 9 2 2 2 2 5" xfId="28555" xr:uid="{7EBE9250-103F-4D8D-8803-7D41B1E6E822}"/>
    <cellStyle name="20% - Accent1 9 2 2 2 3" xfId="6456" xr:uid="{00000000-0005-0000-0000-000082060000}"/>
    <cellStyle name="20% - Accent1 9 2 2 2 3 2" xfId="14427" xr:uid="{00000000-0005-0000-0000-000083060000}"/>
    <cellStyle name="20% - Accent1 9 2 2 2 3 2 2" xfId="38269" xr:uid="{F1427B12-7797-4554-8F54-8BB29359A025}"/>
    <cellStyle name="20% - Accent1 9 2 2 2 3 3" xfId="22374" xr:uid="{00000000-0005-0000-0000-000084060000}"/>
    <cellStyle name="20% - Accent1 9 2 2 2 3 3 2" xfId="46206" xr:uid="{2DC968A0-8BE4-4248-A094-AF5B87478A7F}"/>
    <cellStyle name="20% - Accent1 9 2 2 2 3 4" xfId="30328" xr:uid="{5585E1ED-85C9-474C-A72E-60D9FF854E10}"/>
    <cellStyle name="20% - Accent1 9 2 2 2 4" xfId="10891" xr:uid="{00000000-0005-0000-0000-000085060000}"/>
    <cellStyle name="20% - Accent1 9 2 2 2 4 2" xfId="34740" xr:uid="{8A20BF14-CC3A-4E22-8773-9DD01A400EAE}"/>
    <cellStyle name="20% - Accent1 9 2 2 2 5" xfId="18846" xr:uid="{00000000-0005-0000-0000-000086060000}"/>
    <cellStyle name="20% - Accent1 9 2 2 2 5 2" xfId="42678" xr:uid="{C23C65B3-8057-4E24-B57F-3280945472A2}"/>
    <cellStyle name="20% - Accent1 9 2 2 2 6" xfId="26798" xr:uid="{AAA41650-24F7-4B1C-B620-128CEB028C00}"/>
    <cellStyle name="20% - Accent1 9 2 2 2_Exh G" xfId="2051" xr:uid="{00000000-0005-0000-0000-000087060000}"/>
    <cellStyle name="20% - Accent1 9 2 2 3" xfId="3745" xr:uid="{00000000-0005-0000-0000-000088060000}"/>
    <cellStyle name="20% - Accent1 9 2 2 3 2" xfId="7337" xr:uid="{00000000-0005-0000-0000-000089060000}"/>
    <cellStyle name="20% - Accent1 9 2 2 3 2 2" xfId="15307" xr:uid="{00000000-0005-0000-0000-00008A060000}"/>
    <cellStyle name="20% - Accent1 9 2 2 3 2 2 2" xfId="39149" xr:uid="{8788B1F1-1AD0-49FB-A936-90AF9B02E221}"/>
    <cellStyle name="20% - Accent1 9 2 2 3 2 3" xfId="23253" xr:uid="{00000000-0005-0000-0000-00008B060000}"/>
    <cellStyle name="20% - Accent1 9 2 2 3 2 3 2" xfId="47085" xr:uid="{9E067F77-D929-4B3E-BA6B-1F4C361470D6}"/>
    <cellStyle name="20% - Accent1 9 2 2 3 2 4" xfId="31208" xr:uid="{80CB9B7F-C8F9-4F03-BB23-0B7374FEB8D0}"/>
    <cellStyle name="20% - Accent1 9 2 2 3 3" xfId="11769" xr:uid="{00000000-0005-0000-0000-00008C060000}"/>
    <cellStyle name="20% - Accent1 9 2 2 3 3 2" xfId="35618" xr:uid="{952EFE71-9C53-4ADB-89A3-B56B26406DF0}"/>
    <cellStyle name="20% - Accent1 9 2 2 3 4" xfId="19724" xr:uid="{00000000-0005-0000-0000-00008D060000}"/>
    <cellStyle name="20% - Accent1 9 2 2 3 4 2" xfId="43556" xr:uid="{10BEF184-C797-429A-AB21-982651D53CC6}"/>
    <cellStyle name="20% - Accent1 9 2 2 3 5" xfId="27677" xr:uid="{6D390BC5-B206-4F4F-91A7-19915D97A5E2}"/>
    <cellStyle name="20% - Accent1 9 2 2 4" xfId="5565" xr:uid="{00000000-0005-0000-0000-00008E060000}"/>
    <cellStyle name="20% - Accent1 9 2 2 4 2" xfId="13548" xr:uid="{00000000-0005-0000-0000-00008F060000}"/>
    <cellStyle name="20% - Accent1 9 2 2 4 2 2" xfId="37391" xr:uid="{6A2C420D-110F-4EF8-B991-B4FD74CBDC26}"/>
    <cellStyle name="20% - Accent1 9 2 2 4 3" xfId="21496" xr:uid="{00000000-0005-0000-0000-000090060000}"/>
    <cellStyle name="20% - Accent1 9 2 2 4 3 2" xfId="45328" xr:uid="{95633E1B-D3AF-4968-89F3-4BB4603EE578}"/>
    <cellStyle name="20% - Accent1 9 2 2 4 4" xfId="29450" xr:uid="{4E56B6DD-E80E-4E2B-9695-9FC2E3ABD7BE}"/>
    <cellStyle name="20% - Accent1 9 2 2 5" xfId="9117" xr:uid="{00000000-0005-0000-0000-000091060000}"/>
    <cellStyle name="20% - Accent1 9 2 2 5 2" xfId="17075" xr:uid="{00000000-0005-0000-0000-000092060000}"/>
    <cellStyle name="20% - Accent1 9 2 2 5 2 2" xfId="40915" xr:uid="{716FA175-8858-4FE6-BB3C-8A132DE67EC5}"/>
    <cellStyle name="20% - Accent1 9 2 2 5 3" xfId="25019" xr:uid="{00000000-0005-0000-0000-000093060000}"/>
    <cellStyle name="20% - Accent1 9 2 2 5 3 2" xfId="48851" xr:uid="{3B3F9620-BA57-4CCD-B91E-812A3CE709D8}"/>
    <cellStyle name="20% - Accent1 9 2 2 5 4" xfId="32974" xr:uid="{3A3CEB89-3291-43AB-A6B1-5F80DD4F36A3}"/>
    <cellStyle name="20% - Accent1 9 2 2 6" xfId="10013" xr:uid="{00000000-0005-0000-0000-000094060000}"/>
    <cellStyle name="20% - Accent1 9 2 2 6 2" xfId="33862" xr:uid="{F00B2DA2-DBE8-45FE-AE34-E0B7E1423A8B}"/>
    <cellStyle name="20% - Accent1 9 2 2 7" xfId="17968" xr:uid="{00000000-0005-0000-0000-000095060000}"/>
    <cellStyle name="20% - Accent1 9 2 2 7 2" xfId="41800" xr:uid="{EAB607C9-BBFE-4E15-AB7C-C1F8563E12DE}"/>
    <cellStyle name="20% - Accent1 9 2 2 8" xfId="25920" xr:uid="{5BCADB13-D912-42B3-B594-32557F3BB983}"/>
    <cellStyle name="20% - Accent1 9 2 2_Exh G" xfId="2050" xr:uid="{00000000-0005-0000-0000-000096060000}"/>
    <cellStyle name="20% - Accent1 9 2 3" xfId="1096" xr:uid="{00000000-0005-0000-0000-000097060000}"/>
    <cellStyle name="20% - Accent1 9 2 3 2" xfId="4623" xr:uid="{00000000-0005-0000-0000-000098060000}"/>
    <cellStyle name="20% - Accent1 9 2 3 2 2" xfId="8214" xr:uid="{00000000-0005-0000-0000-000099060000}"/>
    <cellStyle name="20% - Accent1 9 2 3 2 2 2" xfId="16184" xr:uid="{00000000-0005-0000-0000-00009A060000}"/>
    <cellStyle name="20% - Accent1 9 2 3 2 2 2 2" xfId="40026" xr:uid="{8D6E7FAC-FEF8-445D-97D0-D3CE1B7AC195}"/>
    <cellStyle name="20% - Accent1 9 2 3 2 2 3" xfId="24130" xr:uid="{00000000-0005-0000-0000-00009B060000}"/>
    <cellStyle name="20% - Accent1 9 2 3 2 2 3 2" xfId="47962" xr:uid="{37B50C3D-20B2-4A7B-AE2D-D98CEF84B560}"/>
    <cellStyle name="20% - Accent1 9 2 3 2 2 4" xfId="32085" xr:uid="{365F5058-7F2B-44BA-8147-A36944BE82C9}"/>
    <cellStyle name="20% - Accent1 9 2 3 2 3" xfId="12646" xr:uid="{00000000-0005-0000-0000-00009C060000}"/>
    <cellStyle name="20% - Accent1 9 2 3 2 3 2" xfId="36495" xr:uid="{723DF72D-B384-41C5-A9DD-2694C261F86F}"/>
    <cellStyle name="20% - Accent1 9 2 3 2 4" xfId="20601" xr:uid="{00000000-0005-0000-0000-00009D060000}"/>
    <cellStyle name="20% - Accent1 9 2 3 2 4 2" xfId="44433" xr:uid="{D3C82303-D265-4536-8384-7B596353FD76}"/>
    <cellStyle name="20% - Accent1 9 2 3 2 5" xfId="28554" xr:uid="{C82DC239-A627-4443-BCE5-E89804235BF2}"/>
    <cellStyle name="20% - Accent1 9 2 3 3" xfId="6455" xr:uid="{00000000-0005-0000-0000-00009E060000}"/>
    <cellStyle name="20% - Accent1 9 2 3 3 2" xfId="14426" xr:uid="{00000000-0005-0000-0000-00009F060000}"/>
    <cellStyle name="20% - Accent1 9 2 3 3 2 2" xfId="38268" xr:uid="{F432C1D6-8F2F-4EBB-BF7E-7C5D524CDD2B}"/>
    <cellStyle name="20% - Accent1 9 2 3 3 3" xfId="22373" xr:uid="{00000000-0005-0000-0000-0000A0060000}"/>
    <cellStyle name="20% - Accent1 9 2 3 3 3 2" xfId="46205" xr:uid="{42D1A948-74E1-483B-9FC2-D351944F83C7}"/>
    <cellStyle name="20% - Accent1 9 2 3 3 4" xfId="30327" xr:uid="{B8DBFE2C-FB05-410C-A9FD-597BA7556AA5}"/>
    <cellStyle name="20% - Accent1 9 2 3 4" xfId="10890" xr:uid="{00000000-0005-0000-0000-0000A1060000}"/>
    <cellStyle name="20% - Accent1 9 2 3 4 2" xfId="34739" xr:uid="{F5CBAFCA-9EC9-43CF-8930-8CE006386327}"/>
    <cellStyle name="20% - Accent1 9 2 3 5" xfId="18845" xr:uid="{00000000-0005-0000-0000-0000A2060000}"/>
    <cellStyle name="20% - Accent1 9 2 3 5 2" xfId="42677" xr:uid="{07741977-4B9E-4C04-9707-8FB7511C0AF3}"/>
    <cellStyle name="20% - Accent1 9 2 3 6" xfId="26797" xr:uid="{F839F7BD-D6F4-41EB-B11B-F8B0E1C8E92A}"/>
    <cellStyle name="20% - Accent1 9 2 3_Exh G" xfId="2052" xr:uid="{00000000-0005-0000-0000-0000A3060000}"/>
    <cellStyle name="20% - Accent1 9 2 4" xfId="3744" xr:uid="{00000000-0005-0000-0000-0000A4060000}"/>
    <cellStyle name="20% - Accent1 9 2 4 2" xfId="7336" xr:uid="{00000000-0005-0000-0000-0000A5060000}"/>
    <cellStyle name="20% - Accent1 9 2 4 2 2" xfId="15306" xr:uid="{00000000-0005-0000-0000-0000A6060000}"/>
    <cellStyle name="20% - Accent1 9 2 4 2 2 2" xfId="39148" xr:uid="{67920D1E-2343-44AC-BF76-80D94D460FC6}"/>
    <cellStyle name="20% - Accent1 9 2 4 2 3" xfId="23252" xr:uid="{00000000-0005-0000-0000-0000A7060000}"/>
    <cellStyle name="20% - Accent1 9 2 4 2 3 2" xfId="47084" xr:uid="{F367FDDB-7C0C-485C-85F1-BE9FFA579011}"/>
    <cellStyle name="20% - Accent1 9 2 4 2 4" xfId="31207" xr:uid="{63591028-EB5B-49AC-A539-3DF05AB22329}"/>
    <cellStyle name="20% - Accent1 9 2 4 3" xfId="11768" xr:uid="{00000000-0005-0000-0000-0000A8060000}"/>
    <cellStyle name="20% - Accent1 9 2 4 3 2" xfId="35617" xr:uid="{7E6B2F2C-6056-428D-8955-BCFD7091C484}"/>
    <cellStyle name="20% - Accent1 9 2 4 4" xfId="19723" xr:uid="{00000000-0005-0000-0000-0000A9060000}"/>
    <cellStyle name="20% - Accent1 9 2 4 4 2" xfId="43555" xr:uid="{4BF2B86C-0F7D-4FCD-A0EE-0BE0EDB19644}"/>
    <cellStyle name="20% - Accent1 9 2 4 5" xfId="27676" xr:uid="{C3C4E179-17CC-442D-A6B3-7C7BD3ECD175}"/>
    <cellStyle name="20% - Accent1 9 2 5" xfId="5564" xr:uid="{00000000-0005-0000-0000-0000AA060000}"/>
    <cellStyle name="20% - Accent1 9 2 5 2" xfId="13547" xr:uid="{00000000-0005-0000-0000-0000AB060000}"/>
    <cellStyle name="20% - Accent1 9 2 5 2 2" xfId="37390" xr:uid="{0EE8ADA5-8EF9-4278-B2F0-37B64E0CFC19}"/>
    <cellStyle name="20% - Accent1 9 2 5 3" xfId="21495" xr:uid="{00000000-0005-0000-0000-0000AC060000}"/>
    <cellStyle name="20% - Accent1 9 2 5 3 2" xfId="45327" xr:uid="{F8C25512-965B-4ECF-8977-419EFA68B98A}"/>
    <cellStyle name="20% - Accent1 9 2 5 4" xfId="29449" xr:uid="{7AAC9A57-3D05-47EC-9054-DFBE250DED1C}"/>
    <cellStyle name="20% - Accent1 9 2 6" xfId="9116" xr:uid="{00000000-0005-0000-0000-0000AD060000}"/>
    <cellStyle name="20% - Accent1 9 2 6 2" xfId="17074" xr:uid="{00000000-0005-0000-0000-0000AE060000}"/>
    <cellStyle name="20% - Accent1 9 2 6 2 2" xfId="40914" xr:uid="{24EF1745-0051-4AB8-99EC-A66CD1BBF851}"/>
    <cellStyle name="20% - Accent1 9 2 6 3" xfId="25018" xr:uid="{00000000-0005-0000-0000-0000AF060000}"/>
    <cellStyle name="20% - Accent1 9 2 6 3 2" xfId="48850" xr:uid="{F696BCC6-E8D5-438A-93C6-9EA39C0A1A62}"/>
    <cellStyle name="20% - Accent1 9 2 6 4" xfId="32973" xr:uid="{B62A7E3F-28B6-492C-9134-2D19815642B6}"/>
    <cellStyle name="20% - Accent1 9 2 7" xfId="10012" xr:uid="{00000000-0005-0000-0000-0000B0060000}"/>
    <cellStyle name="20% - Accent1 9 2 7 2" xfId="33861" xr:uid="{BC7716EF-6A5B-4ACD-ACAA-ECF871AB44E7}"/>
    <cellStyle name="20% - Accent1 9 2 8" xfId="17967" xr:uid="{00000000-0005-0000-0000-0000B1060000}"/>
    <cellStyle name="20% - Accent1 9 2 8 2" xfId="41799" xr:uid="{99BB3050-CA32-43B6-A099-CD22AC1092E8}"/>
    <cellStyle name="20% - Accent1 9 2 9" xfId="25919" xr:uid="{DFECE31F-2E6E-4FE9-B4DE-9FC445E5385B}"/>
    <cellStyle name="20% - Accent1 9 2_Exh G" xfId="2049" xr:uid="{00000000-0005-0000-0000-0000B2060000}"/>
    <cellStyle name="20% - Accent1 9 3" xfId="72" xr:uid="{00000000-0005-0000-0000-0000B3060000}"/>
    <cellStyle name="20% - Accent1 9 3 2" xfId="1098" xr:uid="{00000000-0005-0000-0000-0000B4060000}"/>
    <cellStyle name="20% - Accent1 9 3 2 2" xfId="4625" xr:uid="{00000000-0005-0000-0000-0000B5060000}"/>
    <cellStyle name="20% - Accent1 9 3 2 2 2" xfId="8216" xr:uid="{00000000-0005-0000-0000-0000B6060000}"/>
    <cellStyle name="20% - Accent1 9 3 2 2 2 2" xfId="16186" xr:uid="{00000000-0005-0000-0000-0000B7060000}"/>
    <cellStyle name="20% - Accent1 9 3 2 2 2 2 2" xfId="40028" xr:uid="{1C285B62-4BBA-48A4-92D7-853248C7B4BA}"/>
    <cellStyle name="20% - Accent1 9 3 2 2 2 3" xfId="24132" xr:uid="{00000000-0005-0000-0000-0000B8060000}"/>
    <cellStyle name="20% - Accent1 9 3 2 2 2 3 2" xfId="47964" xr:uid="{4007ABC5-9229-4700-927E-5B06F7D2F72F}"/>
    <cellStyle name="20% - Accent1 9 3 2 2 2 4" xfId="32087" xr:uid="{9EA59C6F-57E7-439C-B62E-2EB8D080E450}"/>
    <cellStyle name="20% - Accent1 9 3 2 2 3" xfId="12648" xr:uid="{00000000-0005-0000-0000-0000B9060000}"/>
    <cellStyle name="20% - Accent1 9 3 2 2 3 2" xfId="36497" xr:uid="{F4B844DE-A186-4F9E-BCAF-F988060C79B5}"/>
    <cellStyle name="20% - Accent1 9 3 2 2 4" xfId="20603" xr:uid="{00000000-0005-0000-0000-0000BA060000}"/>
    <cellStyle name="20% - Accent1 9 3 2 2 4 2" xfId="44435" xr:uid="{88DCBBC8-76A4-4FC7-A237-7AF9A51EA96F}"/>
    <cellStyle name="20% - Accent1 9 3 2 2 5" xfId="28556" xr:uid="{18828389-70C4-485C-9D66-C170EE87749A}"/>
    <cellStyle name="20% - Accent1 9 3 2 3" xfId="6457" xr:uid="{00000000-0005-0000-0000-0000BB060000}"/>
    <cellStyle name="20% - Accent1 9 3 2 3 2" xfId="14428" xr:uid="{00000000-0005-0000-0000-0000BC060000}"/>
    <cellStyle name="20% - Accent1 9 3 2 3 2 2" xfId="38270" xr:uid="{956A05F9-7299-4171-BE0F-ED53BCFEC25B}"/>
    <cellStyle name="20% - Accent1 9 3 2 3 3" xfId="22375" xr:uid="{00000000-0005-0000-0000-0000BD060000}"/>
    <cellStyle name="20% - Accent1 9 3 2 3 3 2" xfId="46207" xr:uid="{D0952827-D206-4AE0-A080-F1A0AA0452CC}"/>
    <cellStyle name="20% - Accent1 9 3 2 3 4" xfId="30329" xr:uid="{B15E0BCF-E92E-4DE7-B1C5-EF54F3BCBBAB}"/>
    <cellStyle name="20% - Accent1 9 3 2 4" xfId="10892" xr:uid="{00000000-0005-0000-0000-0000BE060000}"/>
    <cellStyle name="20% - Accent1 9 3 2 4 2" xfId="34741" xr:uid="{D6328596-41EA-43ED-8AF0-5A8583D786C5}"/>
    <cellStyle name="20% - Accent1 9 3 2 5" xfId="18847" xr:uid="{00000000-0005-0000-0000-0000BF060000}"/>
    <cellStyle name="20% - Accent1 9 3 2 5 2" xfId="42679" xr:uid="{F6D4D74E-3252-4BB1-AC76-D4F58F76A0F3}"/>
    <cellStyle name="20% - Accent1 9 3 2 6" xfId="26799" xr:uid="{41D0F5E3-6B25-41E9-9004-18153D970B30}"/>
    <cellStyle name="20% - Accent1 9 3 2_Exh G" xfId="2054" xr:uid="{00000000-0005-0000-0000-0000C0060000}"/>
    <cellStyle name="20% - Accent1 9 3 3" xfId="3746" xr:uid="{00000000-0005-0000-0000-0000C1060000}"/>
    <cellStyle name="20% - Accent1 9 3 3 2" xfId="7338" xr:uid="{00000000-0005-0000-0000-0000C2060000}"/>
    <cellStyle name="20% - Accent1 9 3 3 2 2" xfId="15308" xr:uid="{00000000-0005-0000-0000-0000C3060000}"/>
    <cellStyle name="20% - Accent1 9 3 3 2 2 2" xfId="39150" xr:uid="{7B586D59-D362-4186-ADB5-20D6BB2C1B7E}"/>
    <cellStyle name="20% - Accent1 9 3 3 2 3" xfId="23254" xr:uid="{00000000-0005-0000-0000-0000C4060000}"/>
    <cellStyle name="20% - Accent1 9 3 3 2 3 2" xfId="47086" xr:uid="{A212BC75-440A-469F-9D57-604C25372A31}"/>
    <cellStyle name="20% - Accent1 9 3 3 2 4" xfId="31209" xr:uid="{E2C2AFEA-59E9-4457-B865-6B06CAFBA91C}"/>
    <cellStyle name="20% - Accent1 9 3 3 3" xfId="11770" xr:uid="{00000000-0005-0000-0000-0000C5060000}"/>
    <cellStyle name="20% - Accent1 9 3 3 3 2" xfId="35619" xr:uid="{F0398D94-658B-4953-AAC7-5E8153AA0927}"/>
    <cellStyle name="20% - Accent1 9 3 3 4" xfId="19725" xr:uid="{00000000-0005-0000-0000-0000C6060000}"/>
    <cellStyle name="20% - Accent1 9 3 3 4 2" xfId="43557" xr:uid="{0B0DF2A6-ADEC-4F19-B2BA-78CBDD12C833}"/>
    <cellStyle name="20% - Accent1 9 3 3 5" xfId="27678" xr:uid="{A3496501-6F0A-4976-B6A8-F93C9D368B9D}"/>
    <cellStyle name="20% - Accent1 9 3 4" xfId="5566" xr:uid="{00000000-0005-0000-0000-0000C7060000}"/>
    <cellStyle name="20% - Accent1 9 3 4 2" xfId="13549" xr:uid="{00000000-0005-0000-0000-0000C8060000}"/>
    <cellStyle name="20% - Accent1 9 3 4 2 2" xfId="37392" xr:uid="{0EEEC193-ACC8-4DD9-83DE-65BE79822CE9}"/>
    <cellStyle name="20% - Accent1 9 3 4 3" xfId="21497" xr:uid="{00000000-0005-0000-0000-0000C9060000}"/>
    <cellStyle name="20% - Accent1 9 3 4 3 2" xfId="45329" xr:uid="{747301F3-295B-4615-AEBF-354787CD5F1D}"/>
    <cellStyle name="20% - Accent1 9 3 4 4" xfId="29451" xr:uid="{B6B4D32F-1A05-4DE3-B377-918C62472DEC}"/>
    <cellStyle name="20% - Accent1 9 3 5" xfId="9118" xr:uid="{00000000-0005-0000-0000-0000CA060000}"/>
    <cellStyle name="20% - Accent1 9 3 5 2" xfId="17076" xr:uid="{00000000-0005-0000-0000-0000CB060000}"/>
    <cellStyle name="20% - Accent1 9 3 5 2 2" xfId="40916" xr:uid="{F4F513B7-43C8-4B2F-A29F-E9AB01A14361}"/>
    <cellStyle name="20% - Accent1 9 3 5 3" xfId="25020" xr:uid="{00000000-0005-0000-0000-0000CC060000}"/>
    <cellStyle name="20% - Accent1 9 3 5 3 2" xfId="48852" xr:uid="{C58D1745-D581-44E7-9AE8-3F9E2483F64D}"/>
    <cellStyle name="20% - Accent1 9 3 5 4" xfId="32975" xr:uid="{7C1B6E0E-6723-4340-955F-B60C9F44215B}"/>
    <cellStyle name="20% - Accent1 9 3 6" xfId="10014" xr:uid="{00000000-0005-0000-0000-0000CD060000}"/>
    <cellStyle name="20% - Accent1 9 3 6 2" xfId="33863" xr:uid="{80D0243A-D17E-4B54-B903-2B736B38A438}"/>
    <cellStyle name="20% - Accent1 9 3 7" xfId="17969" xr:uid="{00000000-0005-0000-0000-0000CE060000}"/>
    <cellStyle name="20% - Accent1 9 3 7 2" xfId="41801" xr:uid="{AAAA000D-EDAA-4371-8EC8-3165266636D9}"/>
    <cellStyle name="20% - Accent1 9 3 8" xfId="25921" xr:uid="{D54BD04D-1FC1-4061-BF89-2A9573A2252A}"/>
    <cellStyle name="20% - Accent1 9 3_Exh G" xfId="2053" xr:uid="{00000000-0005-0000-0000-0000CF060000}"/>
    <cellStyle name="20% - Accent1 9 4" xfId="870" xr:uid="{00000000-0005-0000-0000-0000D0060000}"/>
    <cellStyle name="20% - Accent1 9 4 2" xfId="1801" xr:uid="{00000000-0005-0000-0000-0000D1060000}"/>
    <cellStyle name="20% - Accent1 9 4 2 2" xfId="5318" xr:uid="{00000000-0005-0000-0000-0000D2060000}"/>
    <cellStyle name="20% - Accent1 9 4 2 2 2" xfId="8909" xr:uid="{00000000-0005-0000-0000-0000D3060000}"/>
    <cellStyle name="20% - Accent1 9 4 2 2 2 2" xfId="16879" xr:uid="{00000000-0005-0000-0000-0000D4060000}"/>
    <cellStyle name="20% - Accent1 9 4 2 2 2 2 2" xfId="40721" xr:uid="{98E47717-731A-4394-A906-9403C60CA285}"/>
    <cellStyle name="20% - Accent1 9 4 2 2 2 3" xfId="24825" xr:uid="{00000000-0005-0000-0000-0000D5060000}"/>
    <cellStyle name="20% - Accent1 9 4 2 2 2 3 2" xfId="48657" xr:uid="{012ECB60-71A7-417D-8ABF-6859036C9C45}"/>
    <cellStyle name="20% - Accent1 9 4 2 2 2 4" xfId="32780" xr:uid="{11AB9524-1F51-42EE-B7BB-0372E286FBBC}"/>
    <cellStyle name="20% - Accent1 9 4 2 2 3" xfId="13341" xr:uid="{00000000-0005-0000-0000-0000D6060000}"/>
    <cellStyle name="20% - Accent1 9 4 2 2 3 2" xfId="37190" xr:uid="{F5555320-8A1C-4D00-B9ED-16F76B35426A}"/>
    <cellStyle name="20% - Accent1 9 4 2 2 4" xfId="21296" xr:uid="{00000000-0005-0000-0000-0000D7060000}"/>
    <cellStyle name="20% - Accent1 9 4 2 2 4 2" xfId="45128" xr:uid="{60398728-7322-4B0E-AF28-E67B2AC50B5F}"/>
    <cellStyle name="20% - Accent1 9 4 2 2 5" xfId="29249" xr:uid="{316BDC73-CAF3-4402-B229-D2B8C51E9CE8}"/>
    <cellStyle name="20% - Accent1 9 4 2 3" xfId="7150" xr:uid="{00000000-0005-0000-0000-0000D8060000}"/>
    <cellStyle name="20% - Accent1 9 4 2 3 2" xfId="15121" xr:uid="{00000000-0005-0000-0000-0000D9060000}"/>
    <cellStyle name="20% - Accent1 9 4 2 3 2 2" xfId="38963" xr:uid="{DAF20204-968A-42FA-A0B4-817A3A308DB9}"/>
    <cellStyle name="20% - Accent1 9 4 2 3 3" xfId="23068" xr:uid="{00000000-0005-0000-0000-0000DA060000}"/>
    <cellStyle name="20% - Accent1 9 4 2 3 3 2" xfId="46900" xr:uid="{C45D9EB7-DCDE-443A-AD84-644F56C08BD7}"/>
    <cellStyle name="20% - Accent1 9 4 2 3 4" xfId="31022" xr:uid="{B1BA71AA-8429-4789-99D8-2AD05C293315}"/>
    <cellStyle name="20% - Accent1 9 4 2 4" xfId="11585" xr:uid="{00000000-0005-0000-0000-0000DB060000}"/>
    <cellStyle name="20% - Accent1 9 4 2 4 2" xfId="35434" xr:uid="{CFD489A9-D87A-4D60-A29C-68B40449147F}"/>
    <cellStyle name="20% - Accent1 9 4 2 5" xfId="19540" xr:uid="{00000000-0005-0000-0000-0000DC060000}"/>
    <cellStyle name="20% - Accent1 9 4 2 5 2" xfId="43372" xr:uid="{74ED6920-D85F-4107-81D4-7BA92EFF96F1}"/>
    <cellStyle name="20% - Accent1 9 4 2 6" xfId="27492" xr:uid="{5BF3B362-DF70-4EBA-8BC7-18827CDD9B8F}"/>
    <cellStyle name="20% - Accent1 9 4 2_Exh G" xfId="2056" xr:uid="{00000000-0005-0000-0000-0000DD060000}"/>
    <cellStyle name="20% - Accent1 9 4 3" xfId="4439" xr:uid="{00000000-0005-0000-0000-0000DE060000}"/>
    <cellStyle name="20% - Accent1 9 4 3 2" xfId="8031" xr:uid="{00000000-0005-0000-0000-0000DF060000}"/>
    <cellStyle name="20% - Accent1 9 4 3 2 2" xfId="16001" xr:uid="{00000000-0005-0000-0000-0000E0060000}"/>
    <cellStyle name="20% - Accent1 9 4 3 2 2 2" xfId="39843" xr:uid="{7FD20639-989C-490B-A15F-B2BE7BE20C3D}"/>
    <cellStyle name="20% - Accent1 9 4 3 2 3" xfId="23947" xr:uid="{00000000-0005-0000-0000-0000E1060000}"/>
    <cellStyle name="20% - Accent1 9 4 3 2 3 2" xfId="47779" xr:uid="{9F99FE83-AD1D-49E6-8B06-76EE7A7E56A4}"/>
    <cellStyle name="20% - Accent1 9 4 3 2 4" xfId="31902" xr:uid="{AD6BBA3E-1000-4DC0-A15E-21F5B47023C3}"/>
    <cellStyle name="20% - Accent1 9 4 3 3" xfId="12463" xr:uid="{00000000-0005-0000-0000-0000E2060000}"/>
    <cellStyle name="20% - Accent1 9 4 3 3 2" xfId="36312" xr:uid="{8FC422C4-C0F0-4982-97A4-0D8158600CFE}"/>
    <cellStyle name="20% - Accent1 9 4 3 4" xfId="20418" xr:uid="{00000000-0005-0000-0000-0000E3060000}"/>
    <cellStyle name="20% - Accent1 9 4 3 4 2" xfId="44250" xr:uid="{F4D37FBE-B81A-4057-B52F-102917EB1534}"/>
    <cellStyle name="20% - Accent1 9 4 3 5" xfId="28371" xr:uid="{24B12E27-817E-4E08-A764-66D1BB6557AA}"/>
    <cellStyle name="20% - Accent1 9 4 4" xfId="6269" xr:uid="{00000000-0005-0000-0000-0000E4060000}"/>
    <cellStyle name="20% - Accent1 9 4 4 2" xfId="14243" xr:uid="{00000000-0005-0000-0000-0000E5060000}"/>
    <cellStyle name="20% - Accent1 9 4 4 2 2" xfId="38085" xr:uid="{C9FA761E-CB2B-4188-ABB4-E7ECDAE2C217}"/>
    <cellStyle name="20% - Accent1 9 4 4 3" xfId="22190" xr:uid="{00000000-0005-0000-0000-0000E6060000}"/>
    <cellStyle name="20% - Accent1 9 4 4 3 2" xfId="46022" xr:uid="{995C580F-AF38-46B6-933C-629DE04CD8D6}"/>
    <cellStyle name="20% - Accent1 9 4 4 4" xfId="30144" xr:uid="{C25D8EA1-5D77-42A8-BCA6-D70EE88EDB2A}"/>
    <cellStyle name="20% - Accent1 9 4 5" xfId="9811" xr:uid="{00000000-0005-0000-0000-0000E7060000}"/>
    <cellStyle name="20% - Accent1 9 4 5 2" xfId="17769" xr:uid="{00000000-0005-0000-0000-0000E8060000}"/>
    <cellStyle name="20% - Accent1 9 4 5 2 2" xfId="41609" xr:uid="{FA64B08D-ADB9-4C40-BBF9-6DEEBF69D28D}"/>
    <cellStyle name="20% - Accent1 9 4 5 3" xfId="25713" xr:uid="{00000000-0005-0000-0000-0000E9060000}"/>
    <cellStyle name="20% - Accent1 9 4 5 3 2" xfId="49545" xr:uid="{8C1B0B7C-4B07-4DD0-A80E-2A560530A34E}"/>
    <cellStyle name="20% - Accent1 9 4 5 4" xfId="33668" xr:uid="{B40A4BC3-B30A-47C9-8583-8CFFF09C9839}"/>
    <cellStyle name="20% - Accent1 9 4 6" xfId="10707" xr:uid="{00000000-0005-0000-0000-0000EA060000}"/>
    <cellStyle name="20% - Accent1 9 4 6 2" xfId="34556" xr:uid="{35A964A0-A65E-4506-98C6-B9420CCC491A}"/>
    <cellStyle name="20% - Accent1 9 4 7" xfId="18662" xr:uid="{00000000-0005-0000-0000-0000EB060000}"/>
    <cellStyle name="20% - Accent1 9 4 7 2" xfId="42494" xr:uid="{05FA5ADA-EEFC-4248-B80F-8F7C1CCEC174}"/>
    <cellStyle name="20% - Accent1 9 4 8" xfId="26614" xr:uid="{B950427B-75DF-42F5-98A2-C63304A2A444}"/>
    <cellStyle name="20% - Accent1 9 4_Exh G" xfId="2055" xr:uid="{00000000-0005-0000-0000-0000EC060000}"/>
    <cellStyle name="20% - Accent1 9 5" xfId="1095" xr:uid="{00000000-0005-0000-0000-0000ED060000}"/>
    <cellStyle name="20% - Accent1 9 5 2" xfId="4622" xr:uid="{00000000-0005-0000-0000-0000EE060000}"/>
    <cellStyle name="20% - Accent1 9 5 2 2" xfId="8213" xr:uid="{00000000-0005-0000-0000-0000EF060000}"/>
    <cellStyle name="20% - Accent1 9 5 2 2 2" xfId="16183" xr:uid="{00000000-0005-0000-0000-0000F0060000}"/>
    <cellStyle name="20% - Accent1 9 5 2 2 2 2" xfId="40025" xr:uid="{2C3225DA-5E51-4F64-9684-F3F77613CE66}"/>
    <cellStyle name="20% - Accent1 9 5 2 2 3" xfId="24129" xr:uid="{00000000-0005-0000-0000-0000F1060000}"/>
    <cellStyle name="20% - Accent1 9 5 2 2 3 2" xfId="47961" xr:uid="{BBC319A9-D3B7-4836-9F6D-E0FE80D48B83}"/>
    <cellStyle name="20% - Accent1 9 5 2 2 4" xfId="32084" xr:uid="{1FE37605-CE73-4A3F-A2E4-2E191D7350AF}"/>
    <cellStyle name="20% - Accent1 9 5 2 3" xfId="12645" xr:uid="{00000000-0005-0000-0000-0000F2060000}"/>
    <cellStyle name="20% - Accent1 9 5 2 3 2" xfId="36494" xr:uid="{0C594072-1971-4A07-8104-F135133414B2}"/>
    <cellStyle name="20% - Accent1 9 5 2 4" xfId="20600" xr:uid="{00000000-0005-0000-0000-0000F3060000}"/>
    <cellStyle name="20% - Accent1 9 5 2 4 2" xfId="44432" xr:uid="{5F04E985-A7E3-4150-AA91-848270FEC2F0}"/>
    <cellStyle name="20% - Accent1 9 5 2 5" xfId="28553" xr:uid="{89C2E08A-579A-4EC9-9883-3DD297C9E9CD}"/>
    <cellStyle name="20% - Accent1 9 5 3" xfId="6454" xr:uid="{00000000-0005-0000-0000-0000F4060000}"/>
    <cellStyle name="20% - Accent1 9 5 3 2" xfId="14425" xr:uid="{00000000-0005-0000-0000-0000F5060000}"/>
    <cellStyle name="20% - Accent1 9 5 3 2 2" xfId="38267" xr:uid="{BE110A8D-6ABE-4B34-97DB-EB01C9DD98E0}"/>
    <cellStyle name="20% - Accent1 9 5 3 3" xfId="22372" xr:uid="{00000000-0005-0000-0000-0000F6060000}"/>
    <cellStyle name="20% - Accent1 9 5 3 3 2" xfId="46204" xr:uid="{34B0E8E0-D534-4E89-B028-C4AAEAD04E4D}"/>
    <cellStyle name="20% - Accent1 9 5 3 4" xfId="30326" xr:uid="{27FDE367-CE93-4E36-8F6B-F22B2AD8CDBE}"/>
    <cellStyle name="20% - Accent1 9 5 4" xfId="10889" xr:uid="{00000000-0005-0000-0000-0000F7060000}"/>
    <cellStyle name="20% - Accent1 9 5 4 2" xfId="34738" xr:uid="{C22D8A12-9A71-4018-A6DA-BBB60BE960FD}"/>
    <cellStyle name="20% - Accent1 9 5 5" xfId="18844" xr:uid="{00000000-0005-0000-0000-0000F8060000}"/>
    <cellStyle name="20% - Accent1 9 5 5 2" xfId="42676" xr:uid="{716D48C7-643B-4657-BFDB-E59874449F08}"/>
    <cellStyle name="20% - Accent1 9 5 6" xfId="26796" xr:uid="{D9C7DFFA-B1E4-4513-AB0A-919C109E5F7B}"/>
    <cellStyle name="20% - Accent1 9 5_Exh G" xfId="2057" xr:uid="{00000000-0005-0000-0000-0000F9060000}"/>
    <cellStyle name="20% - Accent1 9 6" xfId="3743" xr:uid="{00000000-0005-0000-0000-0000FA060000}"/>
    <cellStyle name="20% - Accent1 9 6 2" xfId="7335" xr:uid="{00000000-0005-0000-0000-0000FB060000}"/>
    <cellStyle name="20% - Accent1 9 6 2 2" xfId="15305" xr:uid="{00000000-0005-0000-0000-0000FC060000}"/>
    <cellStyle name="20% - Accent1 9 6 2 2 2" xfId="39147" xr:uid="{C7E6FE19-3137-45F5-AADE-B759D1F75BDA}"/>
    <cellStyle name="20% - Accent1 9 6 2 3" xfId="23251" xr:uid="{00000000-0005-0000-0000-0000FD060000}"/>
    <cellStyle name="20% - Accent1 9 6 2 3 2" xfId="47083" xr:uid="{7AE2A0A5-601B-424F-99C4-73CD6FD02A60}"/>
    <cellStyle name="20% - Accent1 9 6 2 4" xfId="31206" xr:uid="{ECFCA466-B43D-4F72-8984-7A8AAD06D3DD}"/>
    <cellStyle name="20% - Accent1 9 6 3" xfId="11767" xr:uid="{00000000-0005-0000-0000-0000FE060000}"/>
    <cellStyle name="20% - Accent1 9 6 3 2" xfId="35616" xr:uid="{CFA798A1-AAA9-422F-B47F-74A310280F4B}"/>
    <cellStyle name="20% - Accent1 9 6 4" xfId="19722" xr:uid="{00000000-0005-0000-0000-0000FF060000}"/>
    <cellStyle name="20% - Accent1 9 6 4 2" xfId="43554" xr:uid="{95D3FB8A-AAF7-4066-BB91-653536A2E860}"/>
    <cellStyle name="20% - Accent1 9 6 5" xfId="27675" xr:uid="{A475127F-990B-4A19-8A92-E1ACB117F641}"/>
    <cellStyle name="20% - Accent1 9 7" xfId="5563" xr:uid="{00000000-0005-0000-0000-000000070000}"/>
    <cellStyle name="20% - Accent1 9 7 2" xfId="13546" xr:uid="{00000000-0005-0000-0000-000001070000}"/>
    <cellStyle name="20% - Accent1 9 7 2 2" xfId="37389" xr:uid="{B5ECD730-CE3E-438E-9B38-74E3EDA63367}"/>
    <cellStyle name="20% - Accent1 9 7 3" xfId="21494" xr:uid="{00000000-0005-0000-0000-000002070000}"/>
    <cellStyle name="20% - Accent1 9 7 3 2" xfId="45326" xr:uid="{72BD08CF-D1A3-4F0F-B6EA-4DBB9F99B857}"/>
    <cellStyle name="20% - Accent1 9 7 4" xfId="29448" xr:uid="{A99BA08C-ED6B-4152-B376-141994A741FD}"/>
    <cellStyle name="20% - Accent1 9 8" xfId="9115" xr:uid="{00000000-0005-0000-0000-000003070000}"/>
    <cellStyle name="20% - Accent1 9 8 2" xfId="17073" xr:uid="{00000000-0005-0000-0000-000004070000}"/>
    <cellStyle name="20% - Accent1 9 8 2 2" xfId="40913" xr:uid="{15E53FF1-26AC-46CD-A0CB-11C5A5AF6323}"/>
    <cellStyle name="20% - Accent1 9 8 3" xfId="25017" xr:uid="{00000000-0005-0000-0000-000005070000}"/>
    <cellStyle name="20% - Accent1 9 8 3 2" xfId="48849" xr:uid="{3AD3557A-EDBE-4297-9035-DB07DB797FD5}"/>
    <cellStyle name="20% - Accent1 9 8 4" xfId="32972" xr:uid="{692BA542-4F52-4B64-858E-1FDC3AED6479}"/>
    <cellStyle name="20% - Accent1 9 9" xfId="10011" xr:uid="{00000000-0005-0000-0000-000006070000}"/>
    <cellStyle name="20% - Accent1 9 9 2" xfId="33860" xr:uid="{73B465AA-2900-459D-A5E6-836A4536287A}"/>
    <cellStyle name="20% - Accent1 9_Exh G" xfId="2048" xr:uid="{00000000-0005-0000-0000-000007070000}"/>
    <cellStyle name="20% - Accent2" xfId="49687" builtinId="34" customBuiltin="1"/>
    <cellStyle name="20% - Accent2 10" xfId="73" xr:uid="{00000000-0005-0000-0000-000008070000}"/>
    <cellStyle name="20% - Accent2 10 10" xfId="17970" xr:uid="{00000000-0005-0000-0000-000009070000}"/>
    <cellStyle name="20% - Accent2 10 10 2" xfId="41802" xr:uid="{69C9839A-0A72-4D59-A784-DFC4AE8B6D02}"/>
    <cellStyle name="20% - Accent2 10 11" xfId="25922" xr:uid="{4D4CDCFF-2F1F-4783-A533-1EF606B9A213}"/>
    <cellStyle name="20% - Accent2 10 2" xfId="74" xr:uid="{00000000-0005-0000-0000-00000A070000}"/>
    <cellStyle name="20% - Accent2 10 2 2" xfId="75" xr:uid="{00000000-0005-0000-0000-00000B070000}"/>
    <cellStyle name="20% - Accent2 10 2 2 2" xfId="1101" xr:uid="{00000000-0005-0000-0000-00000C070000}"/>
    <cellStyle name="20% - Accent2 10 2 2 2 2" xfId="4628" xr:uid="{00000000-0005-0000-0000-00000D070000}"/>
    <cellStyle name="20% - Accent2 10 2 2 2 2 2" xfId="8219" xr:uid="{00000000-0005-0000-0000-00000E070000}"/>
    <cellStyle name="20% - Accent2 10 2 2 2 2 2 2" xfId="16189" xr:uid="{00000000-0005-0000-0000-00000F070000}"/>
    <cellStyle name="20% - Accent2 10 2 2 2 2 2 2 2" xfId="40031" xr:uid="{ECAA5275-F1DD-4F65-905D-1BD2D7AA8F41}"/>
    <cellStyle name="20% - Accent2 10 2 2 2 2 2 3" xfId="24135" xr:uid="{00000000-0005-0000-0000-000010070000}"/>
    <cellStyle name="20% - Accent2 10 2 2 2 2 2 3 2" xfId="47967" xr:uid="{2A05A29E-2DBA-423E-8293-AC1FE252B565}"/>
    <cellStyle name="20% - Accent2 10 2 2 2 2 2 4" xfId="32090" xr:uid="{2B51E44E-D208-4914-BE42-36A04AFFFA39}"/>
    <cellStyle name="20% - Accent2 10 2 2 2 2 3" xfId="12651" xr:uid="{00000000-0005-0000-0000-000011070000}"/>
    <cellStyle name="20% - Accent2 10 2 2 2 2 3 2" xfId="36500" xr:uid="{688CFEE9-979C-4470-BDDC-6D4ED4D334B1}"/>
    <cellStyle name="20% - Accent2 10 2 2 2 2 4" xfId="20606" xr:uid="{00000000-0005-0000-0000-000012070000}"/>
    <cellStyle name="20% - Accent2 10 2 2 2 2 4 2" xfId="44438" xr:uid="{0F8D9686-E32B-4539-A206-7DAA69413ED4}"/>
    <cellStyle name="20% - Accent2 10 2 2 2 2 5" xfId="28559" xr:uid="{76B820BC-5579-49C1-9509-3E6D3CFE22A4}"/>
    <cellStyle name="20% - Accent2 10 2 2 2 3" xfId="6460" xr:uid="{00000000-0005-0000-0000-000013070000}"/>
    <cellStyle name="20% - Accent2 10 2 2 2 3 2" xfId="14431" xr:uid="{00000000-0005-0000-0000-000014070000}"/>
    <cellStyle name="20% - Accent2 10 2 2 2 3 2 2" xfId="38273" xr:uid="{85703F6C-1473-42D3-B741-EE7FC90BC837}"/>
    <cellStyle name="20% - Accent2 10 2 2 2 3 3" xfId="22378" xr:uid="{00000000-0005-0000-0000-000015070000}"/>
    <cellStyle name="20% - Accent2 10 2 2 2 3 3 2" xfId="46210" xr:uid="{8C620D93-DB56-4918-AD89-C9185B12D0EA}"/>
    <cellStyle name="20% - Accent2 10 2 2 2 3 4" xfId="30332" xr:uid="{A54FC5AF-1FF3-46D0-88BE-56E9833135AF}"/>
    <cellStyle name="20% - Accent2 10 2 2 2 4" xfId="10895" xr:uid="{00000000-0005-0000-0000-000016070000}"/>
    <cellStyle name="20% - Accent2 10 2 2 2 4 2" xfId="34744" xr:uid="{E2C90D92-62C9-4BD5-9703-6D1218C852CC}"/>
    <cellStyle name="20% - Accent2 10 2 2 2 5" xfId="18850" xr:uid="{00000000-0005-0000-0000-000017070000}"/>
    <cellStyle name="20% - Accent2 10 2 2 2 5 2" xfId="42682" xr:uid="{1B7B67E7-CCC7-4AC0-910B-6F5029191A2B}"/>
    <cellStyle name="20% - Accent2 10 2 2 2 6" xfId="26802" xr:uid="{254EA27D-88AA-439A-AE61-7D3B90690862}"/>
    <cellStyle name="20% - Accent2 10 2 2 2_Exh G" xfId="2061" xr:uid="{00000000-0005-0000-0000-000018070000}"/>
    <cellStyle name="20% - Accent2 10 2 2 3" xfId="3749" xr:uid="{00000000-0005-0000-0000-000019070000}"/>
    <cellStyle name="20% - Accent2 10 2 2 3 2" xfId="7341" xr:uid="{00000000-0005-0000-0000-00001A070000}"/>
    <cellStyle name="20% - Accent2 10 2 2 3 2 2" xfId="15311" xr:uid="{00000000-0005-0000-0000-00001B070000}"/>
    <cellStyle name="20% - Accent2 10 2 2 3 2 2 2" xfId="39153" xr:uid="{6B84D9AE-61A2-4F26-A0E2-EA55419D55E9}"/>
    <cellStyle name="20% - Accent2 10 2 2 3 2 3" xfId="23257" xr:uid="{00000000-0005-0000-0000-00001C070000}"/>
    <cellStyle name="20% - Accent2 10 2 2 3 2 3 2" xfId="47089" xr:uid="{967FEB6F-6093-4327-A5E7-310A9AF598B4}"/>
    <cellStyle name="20% - Accent2 10 2 2 3 2 4" xfId="31212" xr:uid="{3C5E7163-D138-43CB-9945-B1AD0F9E521C}"/>
    <cellStyle name="20% - Accent2 10 2 2 3 3" xfId="11773" xr:uid="{00000000-0005-0000-0000-00001D070000}"/>
    <cellStyle name="20% - Accent2 10 2 2 3 3 2" xfId="35622" xr:uid="{69409D6A-A32D-459A-BE1F-70E6E865C9C6}"/>
    <cellStyle name="20% - Accent2 10 2 2 3 4" xfId="19728" xr:uid="{00000000-0005-0000-0000-00001E070000}"/>
    <cellStyle name="20% - Accent2 10 2 2 3 4 2" xfId="43560" xr:uid="{42EF103C-7E70-4107-A787-07A1E2D5A991}"/>
    <cellStyle name="20% - Accent2 10 2 2 3 5" xfId="27681" xr:uid="{98728628-4974-420B-BFA6-4CBEBE75574D}"/>
    <cellStyle name="20% - Accent2 10 2 2 4" xfId="5569" xr:uid="{00000000-0005-0000-0000-00001F070000}"/>
    <cellStyle name="20% - Accent2 10 2 2 4 2" xfId="13552" xr:uid="{00000000-0005-0000-0000-000020070000}"/>
    <cellStyle name="20% - Accent2 10 2 2 4 2 2" xfId="37395" xr:uid="{9BF65781-FE72-469A-BCAC-575EEF413267}"/>
    <cellStyle name="20% - Accent2 10 2 2 4 3" xfId="21500" xr:uid="{00000000-0005-0000-0000-000021070000}"/>
    <cellStyle name="20% - Accent2 10 2 2 4 3 2" xfId="45332" xr:uid="{A41C1A87-FCF9-46C8-BB2E-12ECD147629E}"/>
    <cellStyle name="20% - Accent2 10 2 2 4 4" xfId="29454" xr:uid="{F6EA7B92-1236-4265-AEF5-A330509C984B}"/>
    <cellStyle name="20% - Accent2 10 2 2 5" xfId="9121" xr:uid="{00000000-0005-0000-0000-000022070000}"/>
    <cellStyle name="20% - Accent2 10 2 2 5 2" xfId="17079" xr:uid="{00000000-0005-0000-0000-000023070000}"/>
    <cellStyle name="20% - Accent2 10 2 2 5 2 2" xfId="40919" xr:uid="{B23CF43D-CEC7-4956-BA39-7B15B36BA895}"/>
    <cellStyle name="20% - Accent2 10 2 2 5 3" xfId="25023" xr:uid="{00000000-0005-0000-0000-000024070000}"/>
    <cellStyle name="20% - Accent2 10 2 2 5 3 2" xfId="48855" xr:uid="{2373E329-9623-48F9-953F-E7478ED99A2D}"/>
    <cellStyle name="20% - Accent2 10 2 2 5 4" xfId="32978" xr:uid="{86CFDB2F-82BD-486C-A904-0D3EA1809C7D}"/>
    <cellStyle name="20% - Accent2 10 2 2 6" xfId="10017" xr:uid="{00000000-0005-0000-0000-000025070000}"/>
    <cellStyle name="20% - Accent2 10 2 2 6 2" xfId="33866" xr:uid="{2E095DFF-3A75-4D8C-AD51-FF3F073E3236}"/>
    <cellStyle name="20% - Accent2 10 2 2 7" xfId="17972" xr:uid="{00000000-0005-0000-0000-000026070000}"/>
    <cellStyle name="20% - Accent2 10 2 2 7 2" xfId="41804" xr:uid="{6992944E-3024-49E5-8FB2-4DB6C82CCBAC}"/>
    <cellStyle name="20% - Accent2 10 2 2 8" xfId="25924" xr:uid="{57D54106-9804-405F-A5B3-AAF06B874CDA}"/>
    <cellStyle name="20% - Accent2 10 2 2_Exh G" xfId="2060" xr:uid="{00000000-0005-0000-0000-000027070000}"/>
    <cellStyle name="20% - Accent2 10 2 3" xfId="1100" xr:uid="{00000000-0005-0000-0000-000028070000}"/>
    <cellStyle name="20% - Accent2 10 2 3 2" xfId="4627" xr:uid="{00000000-0005-0000-0000-000029070000}"/>
    <cellStyle name="20% - Accent2 10 2 3 2 2" xfId="8218" xr:uid="{00000000-0005-0000-0000-00002A070000}"/>
    <cellStyle name="20% - Accent2 10 2 3 2 2 2" xfId="16188" xr:uid="{00000000-0005-0000-0000-00002B070000}"/>
    <cellStyle name="20% - Accent2 10 2 3 2 2 2 2" xfId="40030" xr:uid="{987E9A95-BAC0-494E-B324-9213C2E89835}"/>
    <cellStyle name="20% - Accent2 10 2 3 2 2 3" xfId="24134" xr:uid="{00000000-0005-0000-0000-00002C070000}"/>
    <cellStyle name="20% - Accent2 10 2 3 2 2 3 2" xfId="47966" xr:uid="{DF136430-3FE2-47F4-B86D-8FCA183FBD1E}"/>
    <cellStyle name="20% - Accent2 10 2 3 2 2 4" xfId="32089" xr:uid="{59131B2B-25FE-454F-B34D-C24BCFFC6CC3}"/>
    <cellStyle name="20% - Accent2 10 2 3 2 3" xfId="12650" xr:uid="{00000000-0005-0000-0000-00002D070000}"/>
    <cellStyle name="20% - Accent2 10 2 3 2 3 2" xfId="36499" xr:uid="{5C6FC0FB-6F3D-4E9F-A891-DB3A5A94B340}"/>
    <cellStyle name="20% - Accent2 10 2 3 2 4" xfId="20605" xr:uid="{00000000-0005-0000-0000-00002E070000}"/>
    <cellStyle name="20% - Accent2 10 2 3 2 4 2" xfId="44437" xr:uid="{6F1C50A1-E90A-4DDD-A19F-85D50623E32F}"/>
    <cellStyle name="20% - Accent2 10 2 3 2 5" xfId="28558" xr:uid="{CC952F32-ACA7-4278-B475-F1C0BC26EBDE}"/>
    <cellStyle name="20% - Accent2 10 2 3 3" xfId="6459" xr:uid="{00000000-0005-0000-0000-00002F070000}"/>
    <cellStyle name="20% - Accent2 10 2 3 3 2" xfId="14430" xr:uid="{00000000-0005-0000-0000-000030070000}"/>
    <cellStyle name="20% - Accent2 10 2 3 3 2 2" xfId="38272" xr:uid="{8D02962B-0ABA-49E0-B4E7-9594B7D057FA}"/>
    <cellStyle name="20% - Accent2 10 2 3 3 3" xfId="22377" xr:uid="{00000000-0005-0000-0000-000031070000}"/>
    <cellStyle name="20% - Accent2 10 2 3 3 3 2" xfId="46209" xr:uid="{F5DE3824-95A6-4264-8B12-605C2795DFD6}"/>
    <cellStyle name="20% - Accent2 10 2 3 3 4" xfId="30331" xr:uid="{3655C210-F209-49E5-A371-4B9F03564B5E}"/>
    <cellStyle name="20% - Accent2 10 2 3 4" xfId="10894" xr:uid="{00000000-0005-0000-0000-000032070000}"/>
    <cellStyle name="20% - Accent2 10 2 3 4 2" xfId="34743" xr:uid="{BD1209AD-7F2C-45E9-AD6F-2F33D56CD457}"/>
    <cellStyle name="20% - Accent2 10 2 3 5" xfId="18849" xr:uid="{00000000-0005-0000-0000-000033070000}"/>
    <cellStyle name="20% - Accent2 10 2 3 5 2" xfId="42681" xr:uid="{84C7D83A-7DE8-466D-9CC6-68290CE1697F}"/>
    <cellStyle name="20% - Accent2 10 2 3 6" xfId="26801" xr:uid="{711E0AE3-7A04-43C1-84AF-64622FD2DECA}"/>
    <cellStyle name="20% - Accent2 10 2 3_Exh G" xfId="2062" xr:uid="{00000000-0005-0000-0000-000034070000}"/>
    <cellStyle name="20% - Accent2 10 2 4" xfId="3748" xr:uid="{00000000-0005-0000-0000-000035070000}"/>
    <cellStyle name="20% - Accent2 10 2 4 2" xfId="7340" xr:uid="{00000000-0005-0000-0000-000036070000}"/>
    <cellStyle name="20% - Accent2 10 2 4 2 2" xfId="15310" xr:uid="{00000000-0005-0000-0000-000037070000}"/>
    <cellStyle name="20% - Accent2 10 2 4 2 2 2" xfId="39152" xr:uid="{11645824-A201-4C31-9766-9AB6E691F865}"/>
    <cellStyle name="20% - Accent2 10 2 4 2 3" xfId="23256" xr:uid="{00000000-0005-0000-0000-000038070000}"/>
    <cellStyle name="20% - Accent2 10 2 4 2 3 2" xfId="47088" xr:uid="{2067AF19-F3E8-46F0-9740-B9297A745114}"/>
    <cellStyle name="20% - Accent2 10 2 4 2 4" xfId="31211" xr:uid="{30552F35-9534-4CE1-A3AF-B7D95A6E7CBB}"/>
    <cellStyle name="20% - Accent2 10 2 4 3" xfId="11772" xr:uid="{00000000-0005-0000-0000-000039070000}"/>
    <cellStyle name="20% - Accent2 10 2 4 3 2" xfId="35621" xr:uid="{B4C7035E-0B67-478C-B8E0-3A8CD80F1486}"/>
    <cellStyle name="20% - Accent2 10 2 4 4" xfId="19727" xr:uid="{00000000-0005-0000-0000-00003A070000}"/>
    <cellStyle name="20% - Accent2 10 2 4 4 2" xfId="43559" xr:uid="{DD0CFBEE-D383-4899-ACE4-5CE68EC221DD}"/>
    <cellStyle name="20% - Accent2 10 2 4 5" xfId="27680" xr:uid="{7DE0F90B-1474-4393-A1D4-B99E3C6E37A6}"/>
    <cellStyle name="20% - Accent2 10 2 5" xfId="5568" xr:uid="{00000000-0005-0000-0000-00003B070000}"/>
    <cellStyle name="20% - Accent2 10 2 5 2" xfId="13551" xr:uid="{00000000-0005-0000-0000-00003C070000}"/>
    <cellStyle name="20% - Accent2 10 2 5 2 2" xfId="37394" xr:uid="{8A39FF74-BF20-4C7F-AF67-68AD373ACAF4}"/>
    <cellStyle name="20% - Accent2 10 2 5 3" xfId="21499" xr:uid="{00000000-0005-0000-0000-00003D070000}"/>
    <cellStyle name="20% - Accent2 10 2 5 3 2" xfId="45331" xr:uid="{DE30677C-7632-4335-8822-F42529054845}"/>
    <cellStyle name="20% - Accent2 10 2 5 4" xfId="29453" xr:uid="{E0ED3C2E-D50B-461B-A893-0A0C14B59B9C}"/>
    <cellStyle name="20% - Accent2 10 2 6" xfId="9120" xr:uid="{00000000-0005-0000-0000-00003E070000}"/>
    <cellStyle name="20% - Accent2 10 2 6 2" xfId="17078" xr:uid="{00000000-0005-0000-0000-00003F070000}"/>
    <cellStyle name="20% - Accent2 10 2 6 2 2" xfId="40918" xr:uid="{4C2D49D0-D599-460C-8B64-B2464C537C07}"/>
    <cellStyle name="20% - Accent2 10 2 6 3" xfId="25022" xr:uid="{00000000-0005-0000-0000-000040070000}"/>
    <cellStyle name="20% - Accent2 10 2 6 3 2" xfId="48854" xr:uid="{0CD1CEEB-1BE1-4AC3-AF19-7280A576A64C}"/>
    <cellStyle name="20% - Accent2 10 2 6 4" xfId="32977" xr:uid="{F656F2BB-E138-4225-8765-CD9619462321}"/>
    <cellStyle name="20% - Accent2 10 2 7" xfId="10016" xr:uid="{00000000-0005-0000-0000-000041070000}"/>
    <cellStyle name="20% - Accent2 10 2 7 2" xfId="33865" xr:uid="{32D241B6-DEDD-4910-A5FE-9DFF3A1D3C95}"/>
    <cellStyle name="20% - Accent2 10 2 8" xfId="17971" xr:uid="{00000000-0005-0000-0000-000042070000}"/>
    <cellStyle name="20% - Accent2 10 2 8 2" xfId="41803" xr:uid="{3854A1FF-D3D6-4D4B-87A7-B102B5C9ED8C}"/>
    <cellStyle name="20% - Accent2 10 2 9" xfId="25923" xr:uid="{090DD8E8-53A3-46E5-B420-CFBFC85B063E}"/>
    <cellStyle name="20% - Accent2 10 2_Exh G" xfId="2059" xr:uid="{00000000-0005-0000-0000-000043070000}"/>
    <cellStyle name="20% - Accent2 10 3" xfId="76" xr:uid="{00000000-0005-0000-0000-000044070000}"/>
    <cellStyle name="20% - Accent2 10 3 2" xfId="1102" xr:uid="{00000000-0005-0000-0000-000045070000}"/>
    <cellStyle name="20% - Accent2 10 3 2 2" xfId="4629" xr:uid="{00000000-0005-0000-0000-000046070000}"/>
    <cellStyle name="20% - Accent2 10 3 2 2 2" xfId="8220" xr:uid="{00000000-0005-0000-0000-000047070000}"/>
    <cellStyle name="20% - Accent2 10 3 2 2 2 2" xfId="16190" xr:uid="{00000000-0005-0000-0000-000048070000}"/>
    <cellStyle name="20% - Accent2 10 3 2 2 2 2 2" xfId="40032" xr:uid="{74F22069-DEE9-44B9-820B-361A8D67A2CC}"/>
    <cellStyle name="20% - Accent2 10 3 2 2 2 3" xfId="24136" xr:uid="{00000000-0005-0000-0000-000049070000}"/>
    <cellStyle name="20% - Accent2 10 3 2 2 2 3 2" xfId="47968" xr:uid="{A62C7441-CD97-47AF-9CF8-25E7F4008A63}"/>
    <cellStyle name="20% - Accent2 10 3 2 2 2 4" xfId="32091" xr:uid="{39329C56-47D7-449C-BE82-C63F6E2B2ED2}"/>
    <cellStyle name="20% - Accent2 10 3 2 2 3" xfId="12652" xr:uid="{00000000-0005-0000-0000-00004A070000}"/>
    <cellStyle name="20% - Accent2 10 3 2 2 3 2" xfId="36501" xr:uid="{D6C48B43-DA5B-475E-BB0C-91A3D4ED2734}"/>
    <cellStyle name="20% - Accent2 10 3 2 2 4" xfId="20607" xr:uid="{00000000-0005-0000-0000-00004B070000}"/>
    <cellStyle name="20% - Accent2 10 3 2 2 4 2" xfId="44439" xr:uid="{12051B97-09CB-4E10-998D-818DCBB0AB87}"/>
    <cellStyle name="20% - Accent2 10 3 2 2 5" xfId="28560" xr:uid="{37B078D1-8DAE-4A28-BEF5-FA4AF8ABDB21}"/>
    <cellStyle name="20% - Accent2 10 3 2 3" xfId="6461" xr:uid="{00000000-0005-0000-0000-00004C070000}"/>
    <cellStyle name="20% - Accent2 10 3 2 3 2" xfId="14432" xr:uid="{00000000-0005-0000-0000-00004D070000}"/>
    <cellStyle name="20% - Accent2 10 3 2 3 2 2" xfId="38274" xr:uid="{E609EF29-6BE5-49E0-9B4B-08217CCC2C1F}"/>
    <cellStyle name="20% - Accent2 10 3 2 3 3" xfId="22379" xr:uid="{00000000-0005-0000-0000-00004E070000}"/>
    <cellStyle name="20% - Accent2 10 3 2 3 3 2" xfId="46211" xr:uid="{F73C7859-A699-44A6-8A76-B1C182891FC9}"/>
    <cellStyle name="20% - Accent2 10 3 2 3 4" xfId="30333" xr:uid="{9D89C7DF-EC5E-407E-ACF8-5F9F5F13F589}"/>
    <cellStyle name="20% - Accent2 10 3 2 4" xfId="10896" xr:uid="{00000000-0005-0000-0000-00004F070000}"/>
    <cellStyle name="20% - Accent2 10 3 2 4 2" xfId="34745" xr:uid="{2E7BA9C6-33DE-48CF-B6CE-810CF92678DB}"/>
    <cellStyle name="20% - Accent2 10 3 2 5" xfId="18851" xr:uid="{00000000-0005-0000-0000-000050070000}"/>
    <cellStyle name="20% - Accent2 10 3 2 5 2" xfId="42683" xr:uid="{B74B1692-6935-4D0B-A549-19E4EAF8A939}"/>
    <cellStyle name="20% - Accent2 10 3 2 6" xfId="26803" xr:uid="{2AA07F38-DB54-4D64-A175-7A2DD7DB7965}"/>
    <cellStyle name="20% - Accent2 10 3 2_Exh G" xfId="2064" xr:uid="{00000000-0005-0000-0000-000051070000}"/>
    <cellStyle name="20% - Accent2 10 3 3" xfId="3750" xr:uid="{00000000-0005-0000-0000-000052070000}"/>
    <cellStyle name="20% - Accent2 10 3 3 2" xfId="7342" xr:uid="{00000000-0005-0000-0000-000053070000}"/>
    <cellStyle name="20% - Accent2 10 3 3 2 2" xfId="15312" xr:uid="{00000000-0005-0000-0000-000054070000}"/>
    <cellStyle name="20% - Accent2 10 3 3 2 2 2" xfId="39154" xr:uid="{ECC36E1F-8844-47B0-89B3-33C46E760FB7}"/>
    <cellStyle name="20% - Accent2 10 3 3 2 3" xfId="23258" xr:uid="{00000000-0005-0000-0000-000055070000}"/>
    <cellStyle name="20% - Accent2 10 3 3 2 3 2" xfId="47090" xr:uid="{6359ADCC-B1E1-4572-83B1-B812A9A800D7}"/>
    <cellStyle name="20% - Accent2 10 3 3 2 4" xfId="31213" xr:uid="{7F43A1EF-BE80-4276-AE13-924764962B4E}"/>
    <cellStyle name="20% - Accent2 10 3 3 3" xfId="11774" xr:uid="{00000000-0005-0000-0000-000056070000}"/>
    <cellStyle name="20% - Accent2 10 3 3 3 2" xfId="35623" xr:uid="{B489E044-3EE2-4376-88BE-9C40E3F2CBB1}"/>
    <cellStyle name="20% - Accent2 10 3 3 4" xfId="19729" xr:uid="{00000000-0005-0000-0000-000057070000}"/>
    <cellStyle name="20% - Accent2 10 3 3 4 2" xfId="43561" xr:uid="{C0D5CBE6-9E32-49BA-ADC3-06606AF83C84}"/>
    <cellStyle name="20% - Accent2 10 3 3 5" xfId="27682" xr:uid="{EBFAD0A5-61A0-413C-88D6-A759602C9532}"/>
    <cellStyle name="20% - Accent2 10 3 4" xfId="5570" xr:uid="{00000000-0005-0000-0000-000058070000}"/>
    <cellStyle name="20% - Accent2 10 3 4 2" xfId="13553" xr:uid="{00000000-0005-0000-0000-000059070000}"/>
    <cellStyle name="20% - Accent2 10 3 4 2 2" xfId="37396" xr:uid="{58A21787-342F-4776-912E-9EBE6C23A115}"/>
    <cellStyle name="20% - Accent2 10 3 4 3" xfId="21501" xr:uid="{00000000-0005-0000-0000-00005A070000}"/>
    <cellStyle name="20% - Accent2 10 3 4 3 2" xfId="45333" xr:uid="{552667F4-7979-4AC1-A926-45F35160CA79}"/>
    <cellStyle name="20% - Accent2 10 3 4 4" xfId="29455" xr:uid="{BB0090D1-8422-4B2C-A837-0C83B8F93009}"/>
    <cellStyle name="20% - Accent2 10 3 5" xfId="9122" xr:uid="{00000000-0005-0000-0000-00005B070000}"/>
    <cellStyle name="20% - Accent2 10 3 5 2" xfId="17080" xr:uid="{00000000-0005-0000-0000-00005C070000}"/>
    <cellStyle name="20% - Accent2 10 3 5 2 2" xfId="40920" xr:uid="{D79B3228-78BD-4000-9A99-B0B4DE1E0CB6}"/>
    <cellStyle name="20% - Accent2 10 3 5 3" xfId="25024" xr:uid="{00000000-0005-0000-0000-00005D070000}"/>
    <cellStyle name="20% - Accent2 10 3 5 3 2" xfId="48856" xr:uid="{501617E7-2DBA-4009-BCCF-C4564864B3FC}"/>
    <cellStyle name="20% - Accent2 10 3 5 4" xfId="32979" xr:uid="{A29561AE-F590-472E-9AFB-CD72976F9EE7}"/>
    <cellStyle name="20% - Accent2 10 3 6" xfId="10018" xr:uid="{00000000-0005-0000-0000-00005E070000}"/>
    <cellStyle name="20% - Accent2 10 3 6 2" xfId="33867" xr:uid="{8044AFAA-E187-4258-ADA0-E21CAC7914DC}"/>
    <cellStyle name="20% - Accent2 10 3 7" xfId="17973" xr:uid="{00000000-0005-0000-0000-00005F070000}"/>
    <cellStyle name="20% - Accent2 10 3 7 2" xfId="41805" xr:uid="{40750E8B-9CEB-486C-A09C-D9DEFBC09889}"/>
    <cellStyle name="20% - Accent2 10 3 8" xfId="25925" xr:uid="{3BDAFDC6-305A-4EA4-BE68-92E6E5343660}"/>
    <cellStyle name="20% - Accent2 10 3_Exh G" xfId="2063" xr:uid="{00000000-0005-0000-0000-000060070000}"/>
    <cellStyle name="20% - Accent2 10 4" xfId="871" xr:uid="{00000000-0005-0000-0000-000061070000}"/>
    <cellStyle name="20% - Accent2 10 5" xfId="1099" xr:uid="{00000000-0005-0000-0000-000062070000}"/>
    <cellStyle name="20% - Accent2 10 5 2" xfId="4626" xr:uid="{00000000-0005-0000-0000-000063070000}"/>
    <cellStyle name="20% - Accent2 10 5 2 2" xfId="8217" xr:uid="{00000000-0005-0000-0000-000064070000}"/>
    <cellStyle name="20% - Accent2 10 5 2 2 2" xfId="16187" xr:uid="{00000000-0005-0000-0000-000065070000}"/>
    <cellStyle name="20% - Accent2 10 5 2 2 2 2" xfId="40029" xr:uid="{2852A212-3700-4A65-B06B-2A17034D6535}"/>
    <cellStyle name="20% - Accent2 10 5 2 2 3" xfId="24133" xr:uid="{00000000-0005-0000-0000-000066070000}"/>
    <cellStyle name="20% - Accent2 10 5 2 2 3 2" xfId="47965" xr:uid="{CD52D992-FC2A-48B7-BDB3-4DDFCA89C24E}"/>
    <cellStyle name="20% - Accent2 10 5 2 2 4" xfId="32088" xr:uid="{88915016-5C48-4AA2-8C21-4A6898F79F71}"/>
    <cellStyle name="20% - Accent2 10 5 2 3" xfId="12649" xr:uid="{00000000-0005-0000-0000-000067070000}"/>
    <cellStyle name="20% - Accent2 10 5 2 3 2" xfId="36498" xr:uid="{136C3F3B-7477-431F-8053-5C727F494354}"/>
    <cellStyle name="20% - Accent2 10 5 2 4" xfId="20604" xr:uid="{00000000-0005-0000-0000-000068070000}"/>
    <cellStyle name="20% - Accent2 10 5 2 4 2" xfId="44436" xr:uid="{9C9C9331-BFCF-4C38-B83D-E5042E688342}"/>
    <cellStyle name="20% - Accent2 10 5 2 5" xfId="28557" xr:uid="{3CE35814-3FAF-4437-9687-29E0411A510B}"/>
    <cellStyle name="20% - Accent2 10 5 3" xfId="6458" xr:uid="{00000000-0005-0000-0000-000069070000}"/>
    <cellStyle name="20% - Accent2 10 5 3 2" xfId="14429" xr:uid="{00000000-0005-0000-0000-00006A070000}"/>
    <cellStyle name="20% - Accent2 10 5 3 2 2" xfId="38271" xr:uid="{004650B3-25A3-490F-84B2-23B0B4BF295E}"/>
    <cellStyle name="20% - Accent2 10 5 3 3" xfId="22376" xr:uid="{00000000-0005-0000-0000-00006B070000}"/>
    <cellStyle name="20% - Accent2 10 5 3 3 2" xfId="46208" xr:uid="{A6377EF4-8B8A-43EB-96E2-B78E079E4DE6}"/>
    <cellStyle name="20% - Accent2 10 5 3 4" xfId="30330" xr:uid="{2472A4CB-0AA2-45B0-BE25-90875114F96B}"/>
    <cellStyle name="20% - Accent2 10 5 4" xfId="10893" xr:uid="{00000000-0005-0000-0000-00006C070000}"/>
    <cellStyle name="20% - Accent2 10 5 4 2" xfId="34742" xr:uid="{7E89CFB5-1575-4DF2-BCF3-C510CADC9ACD}"/>
    <cellStyle name="20% - Accent2 10 5 5" xfId="18848" xr:uid="{00000000-0005-0000-0000-00006D070000}"/>
    <cellStyle name="20% - Accent2 10 5 5 2" xfId="42680" xr:uid="{2432D45F-A95A-45FF-B151-6AD27D18400C}"/>
    <cellStyle name="20% - Accent2 10 5 6" xfId="26800" xr:uid="{6FE485D4-DB82-4950-B8B2-09723BEE1002}"/>
    <cellStyle name="20% - Accent2 10 5_Exh G" xfId="2065" xr:uid="{00000000-0005-0000-0000-00006E070000}"/>
    <cellStyle name="20% - Accent2 10 6" xfId="3747" xr:uid="{00000000-0005-0000-0000-00006F070000}"/>
    <cellStyle name="20% - Accent2 10 6 2" xfId="7339" xr:uid="{00000000-0005-0000-0000-000070070000}"/>
    <cellStyle name="20% - Accent2 10 6 2 2" xfId="15309" xr:uid="{00000000-0005-0000-0000-000071070000}"/>
    <cellStyle name="20% - Accent2 10 6 2 2 2" xfId="39151" xr:uid="{613C8DC9-F52A-47FD-92F7-1E517066A74C}"/>
    <cellStyle name="20% - Accent2 10 6 2 3" xfId="23255" xr:uid="{00000000-0005-0000-0000-000072070000}"/>
    <cellStyle name="20% - Accent2 10 6 2 3 2" xfId="47087" xr:uid="{F5E392F1-0F68-4DB9-9550-D0FA5B07A467}"/>
    <cellStyle name="20% - Accent2 10 6 2 4" xfId="31210" xr:uid="{35924FD8-9309-4097-A924-08A5184C609B}"/>
    <cellStyle name="20% - Accent2 10 6 3" xfId="11771" xr:uid="{00000000-0005-0000-0000-000073070000}"/>
    <cellStyle name="20% - Accent2 10 6 3 2" xfId="35620" xr:uid="{0D5575BB-16E5-460C-B4E4-2266933C249C}"/>
    <cellStyle name="20% - Accent2 10 6 4" xfId="19726" xr:uid="{00000000-0005-0000-0000-000074070000}"/>
    <cellStyle name="20% - Accent2 10 6 4 2" xfId="43558" xr:uid="{28C56133-6593-41D8-BED4-CDE17D3DA3EB}"/>
    <cellStyle name="20% - Accent2 10 6 5" xfId="27679" xr:uid="{4F6B3FB1-39BB-425D-9506-B4F34F3314F5}"/>
    <cellStyle name="20% - Accent2 10 7" xfId="5567" xr:uid="{00000000-0005-0000-0000-000075070000}"/>
    <cellStyle name="20% - Accent2 10 7 2" xfId="13550" xr:uid="{00000000-0005-0000-0000-000076070000}"/>
    <cellStyle name="20% - Accent2 10 7 2 2" xfId="37393" xr:uid="{B450000B-EC22-47E2-9D3A-2856D750CD67}"/>
    <cellStyle name="20% - Accent2 10 7 3" xfId="21498" xr:uid="{00000000-0005-0000-0000-000077070000}"/>
    <cellStyle name="20% - Accent2 10 7 3 2" xfId="45330" xr:uid="{29AB985B-CC36-49E8-ABD5-07D16D33CBED}"/>
    <cellStyle name="20% - Accent2 10 7 4" xfId="29452" xr:uid="{6DFB4AD9-34C7-4F67-B01F-5446CD238C24}"/>
    <cellStyle name="20% - Accent2 10 8" xfId="9119" xr:uid="{00000000-0005-0000-0000-000078070000}"/>
    <cellStyle name="20% - Accent2 10 8 2" xfId="17077" xr:uid="{00000000-0005-0000-0000-000079070000}"/>
    <cellStyle name="20% - Accent2 10 8 2 2" xfId="40917" xr:uid="{9A662306-BAE5-4B28-8C0A-599C3A90D48B}"/>
    <cellStyle name="20% - Accent2 10 8 3" xfId="25021" xr:uid="{00000000-0005-0000-0000-00007A070000}"/>
    <cellStyle name="20% - Accent2 10 8 3 2" xfId="48853" xr:uid="{F5978A84-0D75-4F35-9F45-2BD679CC9A0D}"/>
    <cellStyle name="20% - Accent2 10 8 4" xfId="32976" xr:uid="{75EEEDF7-C6B6-42F0-B7ED-8978D81CF052}"/>
    <cellStyle name="20% - Accent2 10 9" xfId="10015" xr:uid="{00000000-0005-0000-0000-00007B070000}"/>
    <cellStyle name="20% - Accent2 10 9 2" xfId="33864" xr:uid="{D89246AC-DEA7-42C0-834B-7951205665B6}"/>
    <cellStyle name="20% - Accent2 10_Exh G" xfId="2058" xr:uid="{00000000-0005-0000-0000-00007C070000}"/>
    <cellStyle name="20% - Accent2 11" xfId="77" xr:uid="{00000000-0005-0000-0000-00007D070000}"/>
    <cellStyle name="20% - Accent2 11 10" xfId="25926" xr:uid="{449FF441-0D71-4E4C-8371-1252FD9E8BE7}"/>
    <cellStyle name="20% - Accent2 11 2" xfId="78" xr:uid="{00000000-0005-0000-0000-00007E070000}"/>
    <cellStyle name="20% - Accent2 11 2 2" xfId="79" xr:uid="{00000000-0005-0000-0000-00007F070000}"/>
    <cellStyle name="20% - Accent2 11 2 2 2" xfId="1105" xr:uid="{00000000-0005-0000-0000-000080070000}"/>
    <cellStyle name="20% - Accent2 11 2 2 2 2" xfId="4632" xr:uid="{00000000-0005-0000-0000-000081070000}"/>
    <cellStyle name="20% - Accent2 11 2 2 2 2 2" xfId="8223" xr:uid="{00000000-0005-0000-0000-000082070000}"/>
    <cellStyle name="20% - Accent2 11 2 2 2 2 2 2" xfId="16193" xr:uid="{00000000-0005-0000-0000-000083070000}"/>
    <cellStyle name="20% - Accent2 11 2 2 2 2 2 2 2" xfId="40035" xr:uid="{C457D7EA-7C8D-4369-AA17-9A9E1696566C}"/>
    <cellStyle name="20% - Accent2 11 2 2 2 2 2 3" xfId="24139" xr:uid="{00000000-0005-0000-0000-000084070000}"/>
    <cellStyle name="20% - Accent2 11 2 2 2 2 2 3 2" xfId="47971" xr:uid="{E9E04251-24C7-4D3F-B7DC-7BD534136CAB}"/>
    <cellStyle name="20% - Accent2 11 2 2 2 2 2 4" xfId="32094" xr:uid="{B4CB7D0F-4415-4B1C-AE17-4A75AD3EBAA2}"/>
    <cellStyle name="20% - Accent2 11 2 2 2 2 3" xfId="12655" xr:uid="{00000000-0005-0000-0000-000085070000}"/>
    <cellStyle name="20% - Accent2 11 2 2 2 2 3 2" xfId="36504" xr:uid="{1E0FD7BF-5003-4736-9AF4-64B332C6BC0F}"/>
    <cellStyle name="20% - Accent2 11 2 2 2 2 4" xfId="20610" xr:uid="{00000000-0005-0000-0000-000086070000}"/>
    <cellStyle name="20% - Accent2 11 2 2 2 2 4 2" xfId="44442" xr:uid="{F646FBD8-0FCC-4626-94DA-4A1CFB174D7D}"/>
    <cellStyle name="20% - Accent2 11 2 2 2 2 5" xfId="28563" xr:uid="{10690D10-0C60-4E50-9C37-C44B777CC69E}"/>
    <cellStyle name="20% - Accent2 11 2 2 2 3" xfId="6464" xr:uid="{00000000-0005-0000-0000-000087070000}"/>
    <cellStyle name="20% - Accent2 11 2 2 2 3 2" xfId="14435" xr:uid="{00000000-0005-0000-0000-000088070000}"/>
    <cellStyle name="20% - Accent2 11 2 2 2 3 2 2" xfId="38277" xr:uid="{E4E70345-89A2-4C43-99CE-7A36E9A1CD96}"/>
    <cellStyle name="20% - Accent2 11 2 2 2 3 3" xfId="22382" xr:uid="{00000000-0005-0000-0000-000089070000}"/>
    <cellStyle name="20% - Accent2 11 2 2 2 3 3 2" xfId="46214" xr:uid="{AE9A109E-2137-43E9-9A12-C38259409A75}"/>
    <cellStyle name="20% - Accent2 11 2 2 2 3 4" xfId="30336" xr:uid="{32A59E4C-75B5-4D2D-B632-7A3B5114ADC4}"/>
    <cellStyle name="20% - Accent2 11 2 2 2 4" xfId="10899" xr:uid="{00000000-0005-0000-0000-00008A070000}"/>
    <cellStyle name="20% - Accent2 11 2 2 2 4 2" xfId="34748" xr:uid="{7DFE9F76-3CF0-49BD-8729-F058AAED0A54}"/>
    <cellStyle name="20% - Accent2 11 2 2 2 5" xfId="18854" xr:uid="{00000000-0005-0000-0000-00008B070000}"/>
    <cellStyle name="20% - Accent2 11 2 2 2 5 2" xfId="42686" xr:uid="{3231A7DB-D8A3-4CFF-90AB-E809D23255EF}"/>
    <cellStyle name="20% - Accent2 11 2 2 2 6" xfId="26806" xr:uid="{E43737DD-B900-4B5E-989A-900344C59B1F}"/>
    <cellStyle name="20% - Accent2 11 2 2 2_Exh G" xfId="2069" xr:uid="{00000000-0005-0000-0000-00008C070000}"/>
    <cellStyle name="20% - Accent2 11 2 2 3" xfId="3753" xr:uid="{00000000-0005-0000-0000-00008D070000}"/>
    <cellStyle name="20% - Accent2 11 2 2 3 2" xfId="7345" xr:uid="{00000000-0005-0000-0000-00008E070000}"/>
    <cellStyle name="20% - Accent2 11 2 2 3 2 2" xfId="15315" xr:uid="{00000000-0005-0000-0000-00008F070000}"/>
    <cellStyle name="20% - Accent2 11 2 2 3 2 2 2" xfId="39157" xr:uid="{625A2220-7A63-4040-B825-B16C577CF4DF}"/>
    <cellStyle name="20% - Accent2 11 2 2 3 2 3" xfId="23261" xr:uid="{00000000-0005-0000-0000-000090070000}"/>
    <cellStyle name="20% - Accent2 11 2 2 3 2 3 2" xfId="47093" xr:uid="{F2E868DA-E6EC-497B-9EFE-31269B4E78D9}"/>
    <cellStyle name="20% - Accent2 11 2 2 3 2 4" xfId="31216" xr:uid="{D8D3B81B-8326-4C2D-80BF-FF5EF9A9F078}"/>
    <cellStyle name="20% - Accent2 11 2 2 3 3" xfId="11777" xr:uid="{00000000-0005-0000-0000-000091070000}"/>
    <cellStyle name="20% - Accent2 11 2 2 3 3 2" xfId="35626" xr:uid="{E164739B-42AC-4981-A9AB-866F0CD15E7D}"/>
    <cellStyle name="20% - Accent2 11 2 2 3 4" xfId="19732" xr:uid="{00000000-0005-0000-0000-000092070000}"/>
    <cellStyle name="20% - Accent2 11 2 2 3 4 2" xfId="43564" xr:uid="{CE04FDBA-DC08-4B87-8CA8-8F93CEB8BF08}"/>
    <cellStyle name="20% - Accent2 11 2 2 3 5" xfId="27685" xr:uid="{AE3AD303-8633-496A-A81C-C685FCC8E4EE}"/>
    <cellStyle name="20% - Accent2 11 2 2 4" xfId="5573" xr:uid="{00000000-0005-0000-0000-000093070000}"/>
    <cellStyle name="20% - Accent2 11 2 2 4 2" xfId="13556" xr:uid="{00000000-0005-0000-0000-000094070000}"/>
    <cellStyle name="20% - Accent2 11 2 2 4 2 2" xfId="37399" xr:uid="{2FC82E29-DBA3-49D8-98BA-266EA0A98448}"/>
    <cellStyle name="20% - Accent2 11 2 2 4 3" xfId="21504" xr:uid="{00000000-0005-0000-0000-000095070000}"/>
    <cellStyle name="20% - Accent2 11 2 2 4 3 2" xfId="45336" xr:uid="{67CADB17-6AF3-4AC8-8113-D087D22381D3}"/>
    <cellStyle name="20% - Accent2 11 2 2 4 4" xfId="29458" xr:uid="{7F9B56D6-DD1F-4E50-861A-58BECA6CE8A4}"/>
    <cellStyle name="20% - Accent2 11 2 2 5" xfId="9125" xr:uid="{00000000-0005-0000-0000-000096070000}"/>
    <cellStyle name="20% - Accent2 11 2 2 5 2" xfId="17083" xr:uid="{00000000-0005-0000-0000-000097070000}"/>
    <cellStyle name="20% - Accent2 11 2 2 5 2 2" xfId="40923" xr:uid="{4A1BCED6-E245-4C8E-880E-AC5BA17E5DA8}"/>
    <cellStyle name="20% - Accent2 11 2 2 5 3" xfId="25027" xr:uid="{00000000-0005-0000-0000-000098070000}"/>
    <cellStyle name="20% - Accent2 11 2 2 5 3 2" xfId="48859" xr:uid="{BCBB6134-3368-489F-94A6-6E5F07D7D654}"/>
    <cellStyle name="20% - Accent2 11 2 2 5 4" xfId="32982" xr:uid="{655748E5-08B5-4226-9E6C-C1A497204084}"/>
    <cellStyle name="20% - Accent2 11 2 2 6" xfId="10021" xr:uid="{00000000-0005-0000-0000-000099070000}"/>
    <cellStyle name="20% - Accent2 11 2 2 6 2" xfId="33870" xr:uid="{F76893EC-A947-4671-8D63-2B316C447A64}"/>
    <cellStyle name="20% - Accent2 11 2 2 7" xfId="17976" xr:uid="{00000000-0005-0000-0000-00009A070000}"/>
    <cellStyle name="20% - Accent2 11 2 2 7 2" xfId="41808" xr:uid="{6BA4E3AC-7409-42C6-861C-EC446F6FC73B}"/>
    <cellStyle name="20% - Accent2 11 2 2 8" xfId="25928" xr:uid="{A16E3CEC-97CA-4054-89A7-55330ED1CE5B}"/>
    <cellStyle name="20% - Accent2 11 2 2_Exh G" xfId="2068" xr:uid="{00000000-0005-0000-0000-00009B070000}"/>
    <cellStyle name="20% - Accent2 11 2 3" xfId="1104" xr:uid="{00000000-0005-0000-0000-00009C070000}"/>
    <cellStyle name="20% - Accent2 11 2 3 2" xfId="4631" xr:uid="{00000000-0005-0000-0000-00009D070000}"/>
    <cellStyle name="20% - Accent2 11 2 3 2 2" xfId="8222" xr:uid="{00000000-0005-0000-0000-00009E070000}"/>
    <cellStyle name="20% - Accent2 11 2 3 2 2 2" xfId="16192" xr:uid="{00000000-0005-0000-0000-00009F070000}"/>
    <cellStyle name="20% - Accent2 11 2 3 2 2 2 2" xfId="40034" xr:uid="{108F5644-9E7B-44BD-8640-290F1D1BCEC9}"/>
    <cellStyle name="20% - Accent2 11 2 3 2 2 3" xfId="24138" xr:uid="{00000000-0005-0000-0000-0000A0070000}"/>
    <cellStyle name="20% - Accent2 11 2 3 2 2 3 2" xfId="47970" xr:uid="{029D68A7-3ED7-49B2-99F8-BD07448AB32C}"/>
    <cellStyle name="20% - Accent2 11 2 3 2 2 4" xfId="32093" xr:uid="{86DBB9A6-24FD-4825-A620-764B30491E81}"/>
    <cellStyle name="20% - Accent2 11 2 3 2 3" xfId="12654" xr:uid="{00000000-0005-0000-0000-0000A1070000}"/>
    <cellStyle name="20% - Accent2 11 2 3 2 3 2" xfId="36503" xr:uid="{C419CEFF-13A8-441D-814B-54EEEBA474D0}"/>
    <cellStyle name="20% - Accent2 11 2 3 2 4" xfId="20609" xr:uid="{00000000-0005-0000-0000-0000A2070000}"/>
    <cellStyle name="20% - Accent2 11 2 3 2 4 2" xfId="44441" xr:uid="{779F521D-10EB-48A9-929B-4D07EDA50067}"/>
    <cellStyle name="20% - Accent2 11 2 3 2 5" xfId="28562" xr:uid="{7E0F78F1-F36D-47C3-A30D-FE9CD387B15C}"/>
    <cellStyle name="20% - Accent2 11 2 3 3" xfId="6463" xr:uid="{00000000-0005-0000-0000-0000A3070000}"/>
    <cellStyle name="20% - Accent2 11 2 3 3 2" xfId="14434" xr:uid="{00000000-0005-0000-0000-0000A4070000}"/>
    <cellStyle name="20% - Accent2 11 2 3 3 2 2" xfId="38276" xr:uid="{CA2DA119-E122-42F0-ABF3-2783CA3163AF}"/>
    <cellStyle name="20% - Accent2 11 2 3 3 3" xfId="22381" xr:uid="{00000000-0005-0000-0000-0000A5070000}"/>
    <cellStyle name="20% - Accent2 11 2 3 3 3 2" xfId="46213" xr:uid="{3562CD54-71EC-4F6C-BE0E-11A33455B2E4}"/>
    <cellStyle name="20% - Accent2 11 2 3 3 4" xfId="30335" xr:uid="{35BA3E7E-AD85-4132-B01A-DAF47129AAF3}"/>
    <cellStyle name="20% - Accent2 11 2 3 4" xfId="10898" xr:uid="{00000000-0005-0000-0000-0000A6070000}"/>
    <cellStyle name="20% - Accent2 11 2 3 4 2" xfId="34747" xr:uid="{B19E4338-ADBC-47B6-8550-539281034C4D}"/>
    <cellStyle name="20% - Accent2 11 2 3 5" xfId="18853" xr:uid="{00000000-0005-0000-0000-0000A7070000}"/>
    <cellStyle name="20% - Accent2 11 2 3 5 2" xfId="42685" xr:uid="{127EA460-FD4A-4C37-83BB-8851CDF5C0D4}"/>
    <cellStyle name="20% - Accent2 11 2 3 6" xfId="26805" xr:uid="{58DD1D55-7177-447F-B17A-AADD3382CF29}"/>
    <cellStyle name="20% - Accent2 11 2 3_Exh G" xfId="2070" xr:uid="{00000000-0005-0000-0000-0000A8070000}"/>
    <cellStyle name="20% - Accent2 11 2 4" xfId="3752" xr:uid="{00000000-0005-0000-0000-0000A9070000}"/>
    <cellStyle name="20% - Accent2 11 2 4 2" xfId="7344" xr:uid="{00000000-0005-0000-0000-0000AA070000}"/>
    <cellStyle name="20% - Accent2 11 2 4 2 2" xfId="15314" xr:uid="{00000000-0005-0000-0000-0000AB070000}"/>
    <cellStyle name="20% - Accent2 11 2 4 2 2 2" xfId="39156" xr:uid="{DA29032E-A91E-41EF-9D67-B9B694B90922}"/>
    <cellStyle name="20% - Accent2 11 2 4 2 3" xfId="23260" xr:uid="{00000000-0005-0000-0000-0000AC070000}"/>
    <cellStyle name="20% - Accent2 11 2 4 2 3 2" xfId="47092" xr:uid="{25F174DA-481A-4998-BB76-FEE727811F33}"/>
    <cellStyle name="20% - Accent2 11 2 4 2 4" xfId="31215" xr:uid="{74E8EE03-0C2D-4DF9-BD62-4918DAA52E6F}"/>
    <cellStyle name="20% - Accent2 11 2 4 3" xfId="11776" xr:uid="{00000000-0005-0000-0000-0000AD070000}"/>
    <cellStyle name="20% - Accent2 11 2 4 3 2" xfId="35625" xr:uid="{DFF02E38-0C94-4489-BD58-CE6778137EEB}"/>
    <cellStyle name="20% - Accent2 11 2 4 4" xfId="19731" xr:uid="{00000000-0005-0000-0000-0000AE070000}"/>
    <cellStyle name="20% - Accent2 11 2 4 4 2" xfId="43563" xr:uid="{CAAECE05-5938-4945-B9C3-AB32216457F8}"/>
    <cellStyle name="20% - Accent2 11 2 4 5" xfId="27684" xr:uid="{5DCB1C21-9020-4005-B54D-0FCE9576334F}"/>
    <cellStyle name="20% - Accent2 11 2 5" xfId="5572" xr:uid="{00000000-0005-0000-0000-0000AF070000}"/>
    <cellStyle name="20% - Accent2 11 2 5 2" xfId="13555" xr:uid="{00000000-0005-0000-0000-0000B0070000}"/>
    <cellStyle name="20% - Accent2 11 2 5 2 2" xfId="37398" xr:uid="{64D25A7A-D097-4012-80E5-91B31FCBC2BD}"/>
    <cellStyle name="20% - Accent2 11 2 5 3" xfId="21503" xr:uid="{00000000-0005-0000-0000-0000B1070000}"/>
    <cellStyle name="20% - Accent2 11 2 5 3 2" xfId="45335" xr:uid="{05041630-70F6-403E-ABE1-603617C7A634}"/>
    <cellStyle name="20% - Accent2 11 2 5 4" xfId="29457" xr:uid="{ACF3298D-3DAE-4403-9B87-661C7A0F345C}"/>
    <cellStyle name="20% - Accent2 11 2 6" xfId="9124" xr:uid="{00000000-0005-0000-0000-0000B2070000}"/>
    <cellStyle name="20% - Accent2 11 2 6 2" xfId="17082" xr:uid="{00000000-0005-0000-0000-0000B3070000}"/>
    <cellStyle name="20% - Accent2 11 2 6 2 2" xfId="40922" xr:uid="{289D5429-5799-44E8-888C-0911FBE60769}"/>
    <cellStyle name="20% - Accent2 11 2 6 3" xfId="25026" xr:uid="{00000000-0005-0000-0000-0000B4070000}"/>
    <cellStyle name="20% - Accent2 11 2 6 3 2" xfId="48858" xr:uid="{0CD13BF2-1419-4D9E-963F-3F9C565CCA06}"/>
    <cellStyle name="20% - Accent2 11 2 6 4" xfId="32981" xr:uid="{3F1B77C6-36EF-41E3-9297-FF34B1616AEA}"/>
    <cellStyle name="20% - Accent2 11 2 7" xfId="10020" xr:uid="{00000000-0005-0000-0000-0000B5070000}"/>
    <cellStyle name="20% - Accent2 11 2 7 2" xfId="33869" xr:uid="{88A649DD-8352-4DED-AAFD-E6BDB6D00CF9}"/>
    <cellStyle name="20% - Accent2 11 2 8" xfId="17975" xr:uid="{00000000-0005-0000-0000-0000B6070000}"/>
    <cellStyle name="20% - Accent2 11 2 8 2" xfId="41807" xr:uid="{2C234D04-E2CD-4E41-854C-D76CBDF48048}"/>
    <cellStyle name="20% - Accent2 11 2 9" xfId="25927" xr:uid="{5D498C95-E466-4D01-9A39-32477C14F466}"/>
    <cellStyle name="20% - Accent2 11 2_Exh G" xfId="2067" xr:uid="{00000000-0005-0000-0000-0000B7070000}"/>
    <cellStyle name="20% - Accent2 11 3" xfId="80" xr:uid="{00000000-0005-0000-0000-0000B8070000}"/>
    <cellStyle name="20% - Accent2 11 3 2" xfId="1106" xr:uid="{00000000-0005-0000-0000-0000B9070000}"/>
    <cellStyle name="20% - Accent2 11 3 2 2" xfId="4633" xr:uid="{00000000-0005-0000-0000-0000BA070000}"/>
    <cellStyle name="20% - Accent2 11 3 2 2 2" xfId="8224" xr:uid="{00000000-0005-0000-0000-0000BB070000}"/>
    <cellStyle name="20% - Accent2 11 3 2 2 2 2" xfId="16194" xr:uid="{00000000-0005-0000-0000-0000BC070000}"/>
    <cellStyle name="20% - Accent2 11 3 2 2 2 2 2" xfId="40036" xr:uid="{B401285D-4294-4056-8D95-802F95295869}"/>
    <cellStyle name="20% - Accent2 11 3 2 2 2 3" xfId="24140" xr:uid="{00000000-0005-0000-0000-0000BD070000}"/>
    <cellStyle name="20% - Accent2 11 3 2 2 2 3 2" xfId="47972" xr:uid="{8713B703-FFAB-465A-83F5-F98744EAEBDA}"/>
    <cellStyle name="20% - Accent2 11 3 2 2 2 4" xfId="32095" xr:uid="{5F9EDFF4-806C-4A01-93B4-418CBDE470A5}"/>
    <cellStyle name="20% - Accent2 11 3 2 2 3" xfId="12656" xr:uid="{00000000-0005-0000-0000-0000BE070000}"/>
    <cellStyle name="20% - Accent2 11 3 2 2 3 2" xfId="36505" xr:uid="{B5E91A6D-0012-4840-8C4C-BE3BDF5F2D22}"/>
    <cellStyle name="20% - Accent2 11 3 2 2 4" xfId="20611" xr:uid="{00000000-0005-0000-0000-0000BF070000}"/>
    <cellStyle name="20% - Accent2 11 3 2 2 4 2" xfId="44443" xr:uid="{92727839-E7B3-4045-9D57-1E1B1743410B}"/>
    <cellStyle name="20% - Accent2 11 3 2 2 5" xfId="28564" xr:uid="{A7083473-5139-44A9-BE1D-0C50F362EA70}"/>
    <cellStyle name="20% - Accent2 11 3 2 3" xfId="6465" xr:uid="{00000000-0005-0000-0000-0000C0070000}"/>
    <cellStyle name="20% - Accent2 11 3 2 3 2" xfId="14436" xr:uid="{00000000-0005-0000-0000-0000C1070000}"/>
    <cellStyle name="20% - Accent2 11 3 2 3 2 2" xfId="38278" xr:uid="{6E3C938F-E8DA-4D23-B15E-59E164C111FD}"/>
    <cellStyle name="20% - Accent2 11 3 2 3 3" xfId="22383" xr:uid="{00000000-0005-0000-0000-0000C2070000}"/>
    <cellStyle name="20% - Accent2 11 3 2 3 3 2" xfId="46215" xr:uid="{08A5FC41-74E2-4E92-A251-FC2AA2A6AAEA}"/>
    <cellStyle name="20% - Accent2 11 3 2 3 4" xfId="30337" xr:uid="{212A1D1D-0259-4CD9-92F2-89108C448479}"/>
    <cellStyle name="20% - Accent2 11 3 2 4" xfId="10900" xr:uid="{00000000-0005-0000-0000-0000C3070000}"/>
    <cellStyle name="20% - Accent2 11 3 2 4 2" xfId="34749" xr:uid="{00363A4C-5B44-4E7F-9A93-4B237564BBDC}"/>
    <cellStyle name="20% - Accent2 11 3 2 5" xfId="18855" xr:uid="{00000000-0005-0000-0000-0000C4070000}"/>
    <cellStyle name="20% - Accent2 11 3 2 5 2" xfId="42687" xr:uid="{58E5FEE5-D3BF-4623-A730-1840031FB4F4}"/>
    <cellStyle name="20% - Accent2 11 3 2 6" xfId="26807" xr:uid="{5A544F6A-7D94-421C-9BBB-023EF0545A8B}"/>
    <cellStyle name="20% - Accent2 11 3 2_Exh G" xfId="2072" xr:uid="{00000000-0005-0000-0000-0000C5070000}"/>
    <cellStyle name="20% - Accent2 11 3 3" xfId="3754" xr:uid="{00000000-0005-0000-0000-0000C6070000}"/>
    <cellStyle name="20% - Accent2 11 3 3 2" xfId="7346" xr:uid="{00000000-0005-0000-0000-0000C7070000}"/>
    <cellStyle name="20% - Accent2 11 3 3 2 2" xfId="15316" xr:uid="{00000000-0005-0000-0000-0000C8070000}"/>
    <cellStyle name="20% - Accent2 11 3 3 2 2 2" xfId="39158" xr:uid="{B9D415D1-2564-4559-AF65-4A3B0C1A8271}"/>
    <cellStyle name="20% - Accent2 11 3 3 2 3" xfId="23262" xr:uid="{00000000-0005-0000-0000-0000C9070000}"/>
    <cellStyle name="20% - Accent2 11 3 3 2 3 2" xfId="47094" xr:uid="{E8DE9BA5-57A7-458B-AF1D-AE3CEB4B98CB}"/>
    <cellStyle name="20% - Accent2 11 3 3 2 4" xfId="31217" xr:uid="{75DF0CB5-2CA2-46B9-A77C-5001513DB39F}"/>
    <cellStyle name="20% - Accent2 11 3 3 3" xfId="11778" xr:uid="{00000000-0005-0000-0000-0000CA070000}"/>
    <cellStyle name="20% - Accent2 11 3 3 3 2" xfId="35627" xr:uid="{014E54D9-D6BF-4341-948C-CD0D3DC81166}"/>
    <cellStyle name="20% - Accent2 11 3 3 4" xfId="19733" xr:uid="{00000000-0005-0000-0000-0000CB070000}"/>
    <cellStyle name="20% - Accent2 11 3 3 4 2" xfId="43565" xr:uid="{6159D94A-9005-4EC3-8ABE-4BD8A23C8737}"/>
    <cellStyle name="20% - Accent2 11 3 3 5" xfId="27686" xr:uid="{CF02372D-2E06-49B5-931E-944310494BF6}"/>
    <cellStyle name="20% - Accent2 11 3 4" xfId="5574" xr:uid="{00000000-0005-0000-0000-0000CC070000}"/>
    <cellStyle name="20% - Accent2 11 3 4 2" xfId="13557" xr:uid="{00000000-0005-0000-0000-0000CD070000}"/>
    <cellStyle name="20% - Accent2 11 3 4 2 2" xfId="37400" xr:uid="{F9EA4F2E-9851-4DA2-937C-BF75F9880E8D}"/>
    <cellStyle name="20% - Accent2 11 3 4 3" xfId="21505" xr:uid="{00000000-0005-0000-0000-0000CE070000}"/>
    <cellStyle name="20% - Accent2 11 3 4 3 2" xfId="45337" xr:uid="{E5C59431-24E4-49CA-AED3-7E5AE69E23D5}"/>
    <cellStyle name="20% - Accent2 11 3 4 4" xfId="29459" xr:uid="{F9CF8104-9536-40BD-AC98-9715215DE448}"/>
    <cellStyle name="20% - Accent2 11 3 5" xfId="9126" xr:uid="{00000000-0005-0000-0000-0000CF070000}"/>
    <cellStyle name="20% - Accent2 11 3 5 2" xfId="17084" xr:uid="{00000000-0005-0000-0000-0000D0070000}"/>
    <cellStyle name="20% - Accent2 11 3 5 2 2" xfId="40924" xr:uid="{44D6747B-EDA6-4C52-9E8D-F8141119B3C2}"/>
    <cellStyle name="20% - Accent2 11 3 5 3" xfId="25028" xr:uid="{00000000-0005-0000-0000-0000D1070000}"/>
    <cellStyle name="20% - Accent2 11 3 5 3 2" xfId="48860" xr:uid="{EB0EDED5-D737-483E-ABF3-F604789580A8}"/>
    <cellStyle name="20% - Accent2 11 3 5 4" xfId="32983" xr:uid="{96148B68-B325-4BAE-890D-3AE08DF01771}"/>
    <cellStyle name="20% - Accent2 11 3 6" xfId="10022" xr:uid="{00000000-0005-0000-0000-0000D2070000}"/>
    <cellStyle name="20% - Accent2 11 3 6 2" xfId="33871" xr:uid="{BCEDB0A7-2A64-46E6-A6CE-3FDA4C086FBA}"/>
    <cellStyle name="20% - Accent2 11 3 7" xfId="17977" xr:uid="{00000000-0005-0000-0000-0000D3070000}"/>
    <cellStyle name="20% - Accent2 11 3 7 2" xfId="41809" xr:uid="{FBAB009D-81DC-4183-A1B7-768CB0914C72}"/>
    <cellStyle name="20% - Accent2 11 3 8" xfId="25929" xr:uid="{8788FE28-80AC-4748-AD14-2F7D22A96657}"/>
    <cellStyle name="20% - Accent2 11 3_Exh G" xfId="2071" xr:uid="{00000000-0005-0000-0000-0000D4070000}"/>
    <cellStyle name="20% - Accent2 11 4" xfId="1103" xr:uid="{00000000-0005-0000-0000-0000D5070000}"/>
    <cellStyle name="20% - Accent2 11 4 2" xfId="4630" xr:uid="{00000000-0005-0000-0000-0000D6070000}"/>
    <cellStyle name="20% - Accent2 11 4 2 2" xfId="8221" xr:uid="{00000000-0005-0000-0000-0000D7070000}"/>
    <cellStyle name="20% - Accent2 11 4 2 2 2" xfId="16191" xr:uid="{00000000-0005-0000-0000-0000D8070000}"/>
    <cellStyle name="20% - Accent2 11 4 2 2 2 2" xfId="40033" xr:uid="{C7E19D93-FFEC-4A20-B8FE-FF9A08393015}"/>
    <cellStyle name="20% - Accent2 11 4 2 2 3" xfId="24137" xr:uid="{00000000-0005-0000-0000-0000D9070000}"/>
    <cellStyle name="20% - Accent2 11 4 2 2 3 2" xfId="47969" xr:uid="{32EE202B-4D79-47D5-A586-85BA71E8CB60}"/>
    <cellStyle name="20% - Accent2 11 4 2 2 4" xfId="32092" xr:uid="{760DA7F1-0846-49A6-A287-0131347C9E60}"/>
    <cellStyle name="20% - Accent2 11 4 2 3" xfId="12653" xr:uid="{00000000-0005-0000-0000-0000DA070000}"/>
    <cellStyle name="20% - Accent2 11 4 2 3 2" xfId="36502" xr:uid="{90C16CDC-CA23-4BA3-958C-FE277215B737}"/>
    <cellStyle name="20% - Accent2 11 4 2 4" xfId="20608" xr:uid="{00000000-0005-0000-0000-0000DB070000}"/>
    <cellStyle name="20% - Accent2 11 4 2 4 2" xfId="44440" xr:uid="{9BA8635A-C710-4179-8E4C-A52108B5F321}"/>
    <cellStyle name="20% - Accent2 11 4 2 5" xfId="28561" xr:uid="{12B156BF-CA69-481B-8F4C-55E7BDF97926}"/>
    <cellStyle name="20% - Accent2 11 4 3" xfId="6462" xr:uid="{00000000-0005-0000-0000-0000DC070000}"/>
    <cellStyle name="20% - Accent2 11 4 3 2" xfId="14433" xr:uid="{00000000-0005-0000-0000-0000DD070000}"/>
    <cellStyle name="20% - Accent2 11 4 3 2 2" xfId="38275" xr:uid="{9E1C0D7C-F7B8-455C-8631-75DA5305DDFA}"/>
    <cellStyle name="20% - Accent2 11 4 3 3" xfId="22380" xr:uid="{00000000-0005-0000-0000-0000DE070000}"/>
    <cellStyle name="20% - Accent2 11 4 3 3 2" xfId="46212" xr:uid="{44B26313-899F-4165-BE45-166C34742D55}"/>
    <cellStyle name="20% - Accent2 11 4 3 4" xfId="30334" xr:uid="{FBB19154-EF02-40C7-95D6-F0EDA0560020}"/>
    <cellStyle name="20% - Accent2 11 4 4" xfId="10897" xr:uid="{00000000-0005-0000-0000-0000DF070000}"/>
    <cellStyle name="20% - Accent2 11 4 4 2" xfId="34746" xr:uid="{63BC194C-298A-45D3-8111-965FF265F03B}"/>
    <cellStyle name="20% - Accent2 11 4 5" xfId="18852" xr:uid="{00000000-0005-0000-0000-0000E0070000}"/>
    <cellStyle name="20% - Accent2 11 4 5 2" xfId="42684" xr:uid="{08A95A7F-E3B5-47E0-A69F-B52064FB2175}"/>
    <cellStyle name="20% - Accent2 11 4 6" xfId="26804" xr:uid="{19D94CE3-06E9-44E7-B170-1ED750AC729E}"/>
    <cellStyle name="20% - Accent2 11 4_Exh G" xfId="2073" xr:uid="{00000000-0005-0000-0000-0000E1070000}"/>
    <cellStyle name="20% - Accent2 11 5" xfId="3751" xr:uid="{00000000-0005-0000-0000-0000E2070000}"/>
    <cellStyle name="20% - Accent2 11 5 2" xfId="7343" xr:uid="{00000000-0005-0000-0000-0000E3070000}"/>
    <cellStyle name="20% - Accent2 11 5 2 2" xfId="15313" xr:uid="{00000000-0005-0000-0000-0000E4070000}"/>
    <cellStyle name="20% - Accent2 11 5 2 2 2" xfId="39155" xr:uid="{EF836533-7156-4C03-9ECB-9E900B628A93}"/>
    <cellStyle name="20% - Accent2 11 5 2 3" xfId="23259" xr:uid="{00000000-0005-0000-0000-0000E5070000}"/>
    <cellStyle name="20% - Accent2 11 5 2 3 2" xfId="47091" xr:uid="{015DA167-10B1-4B74-9F59-274A2C223F04}"/>
    <cellStyle name="20% - Accent2 11 5 2 4" xfId="31214" xr:uid="{D65D54AB-2943-40AF-AAC5-8B27E6389A92}"/>
    <cellStyle name="20% - Accent2 11 5 3" xfId="11775" xr:uid="{00000000-0005-0000-0000-0000E6070000}"/>
    <cellStyle name="20% - Accent2 11 5 3 2" xfId="35624" xr:uid="{D76A3886-402F-47EC-87EB-CCA613581446}"/>
    <cellStyle name="20% - Accent2 11 5 4" xfId="19730" xr:uid="{00000000-0005-0000-0000-0000E7070000}"/>
    <cellStyle name="20% - Accent2 11 5 4 2" xfId="43562" xr:uid="{9ACD6F8C-4D7F-4E0D-B64E-0FABFC88E519}"/>
    <cellStyle name="20% - Accent2 11 5 5" xfId="27683" xr:uid="{7D8E12DB-AF59-4495-9652-FAA9701EE2CC}"/>
    <cellStyle name="20% - Accent2 11 6" xfId="5571" xr:uid="{00000000-0005-0000-0000-0000E8070000}"/>
    <cellStyle name="20% - Accent2 11 6 2" xfId="13554" xr:uid="{00000000-0005-0000-0000-0000E9070000}"/>
    <cellStyle name="20% - Accent2 11 6 2 2" xfId="37397" xr:uid="{F27FD7DE-3D47-440F-A157-B41DFEA2CB8B}"/>
    <cellStyle name="20% - Accent2 11 6 3" xfId="21502" xr:uid="{00000000-0005-0000-0000-0000EA070000}"/>
    <cellStyle name="20% - Accent2 11 6 3 2" xfId="45334" xr:uid="{CD8117DD-9A86-4E6B-8371-BED2F696DD78}"/>
    <cellStyle name="20% - Accent2 11 6 4" xfId="29456" xr:uid="{0A360734-BB90-4FFF-9F1D-6E72E1D63B9A}"/>
    <cellStyle name="20% - Accent2 11 7" xfId="9123" xr:uid="{00000000-0005-0000-0000-0000EB070000}"/>
    <cellStyle name="20% - Accent2 11 7 2" xfId="17081" xr:uid="{00000000-0005-0000-0000-0000EC070000}"/>
    <cellStyle name="20% - Accent2 11 7 2 2" xfId="40921" xr:uid="{F2989880-8053-481C-A887-4985441377A4}"/>
    <cellStyle name="20% - Accent2 11 7 3" xfId="25025" xr:uid="{00000000-0005-0000-0000-0000ED070000}"/>
    <cellStyle name="20% - Accent2 11 7 3 2" xfId="48857" xr:uid="{70C2A6F4-DA69-4E67-8978-3F27BFC45DD1}"/>
    <cellStyle name="20% - Accent2 11 7 4" xfId="32980" xr:uid="{AB15E4FA-AEFB-458F-B332-8F114D59226D}"/>
    <cellStyle name="20% - Accent2 11 8" xfId="10019" xr:uid="{00000000-0005-0000-0000-0000EE070000}"/>
    <cellStyle name="20% - Accent2 11 8 2" xfId="33868" xr:uid="{F4D807B1-B7B4-40F9-B513-0568BC7077D5}"/>
    <cellStyle name="20% - Accent2 11 9" xfId="17974" xr:uid="{00000000-0005-0000-0000-0000EF070000}"/>
    <cellStyle name="20% - Accent2 11 9 2" xfId="41806" xr:uid="{0AFCB255-78BE-4FEB-B9B2-D5387EBD2BD5}"/>
    <cellStyle name="20% - Accent2 11_Exh G" xfId="2066" xr:uid="{00000000-0005-0000-0000-0000F0070000}"/>
    <cellStyle name="20% - Accent2 12" xfId="81" xr:uid="{00000000-0005-0000-0000-0000F1070000}"/>
    <cellStyle name="20% - Accent2 12 10" xfId="25930" xr:uid="{26AA032C-D1E9-4052-BA2B-21FC74D27CB6}"/>
    <cellStyle name="20% - Accent2 12 2" xfId="82" xr:uid="{00000000-0005-0000-0000-0000F2070000}"/>
    <cellStyle name="20% - Accent2 12 2 2" xfId="83" xr:uid="{00000000-0005-0000-0000-0000F3070000}"/>
    <cellStyle name="20% - Accent2 12 2 2 2" xfId="1109" xr:uid="{00000000-0005-0000-0000-0000F4070000}"/>
    <cellStyle name="20% - Accent2 12 2 2 2 2" xfId="4636" xr:uid="{00000000-0005-0000-0000-0000F5070000}"/>
    <cellStyle name="20% - Accent2 12 2 2 2 2 2" xfId="8227" xr:uid="{00000000-0005-0000-0000-0000F6070000}"/>
    <cellStyle name="20% - Accent2 12 2 2 2 2 2 2" xfId="16197" xr:uid="{00000000-0005-0000-0000-0000F7070000}"/>
    <cellStyle name="20% - Accent2 12 2 2 2 2 2 2 2" xfId="40039" xr:uid="{2C8B2577-1B25-4981-9E59-F28F9AA0E5A9}"/>
    <cellStyle name="20% - Accent2 12 2 2 2 2 2 3" xfId="24143" xr:uid="{00000000-0005-0000-0000-0000F8070000}"/>
    <cellStyle name="20% - Accent2 12 2 2 2 2 2 3 2" xfId="47975" xr:uid="{68298987-3E62-4A18-8A8D-104ABC762B88}"/>
    <cellStyle name="20% - Accent2 12 2 2 2 2 2 4" xfId="32098" xr:uid="{DEF90F9E-BA28-44E3-B3A7-6D46615FC433}"/>
    <cellStyle name="20% - Accent2 12 2 2 2 2 3" xfId="12659" xr:uid="{00000000-0005-0000-0000-0000F9070000}"/>
    <cellStyle name="20% - Accent2 12 2 2 2 2 3 2" xfId="36508" xr:uid="{B174219F-7769-4852-ACFF-BC3C832C4AD5}"/>
    <cellStyle name="20% - Accent2 12 2 2 2 2 4" xfId="20614" xr:uid="{00000000-0005-0000-0000-0000FA070000}"/>
    <cellStyle name="20% - Accent2 12 2 2 2 2 4 2" xfId="44446" xr:uid="{10573EA6-7235-427C-81D7-941F61372952}"/>
    <cellStyle name="20% - Accent2 12 2 2 2 2 5" xfId="28567" xr:uid="{AD305763-7E56-4234-A175-7FAF9CFDFC55}"/>
    <cellStyle name="20% - Accent2 12 2 2 2 3" xfId="6468" xr:uid="{00000000-0005-0000-0000-0000FB070000}"/>
    <cellStyle name="20% - Accent2 12 2 2 2 3 2" xfId="14439" xr:uid="{00000000-0005-0000-0000-0000FC070000}"/>
    <cellStyle name="20% - Accent2 12 2 2 2 3 2 2" xfId="38281" xr:uid="{C1CF7E3A-F457-4C46-A7F3-817D64F14398}"/>
    <cellStyle name="20% - Accent2 12 2 2 2 3 3" xfId="22386" xr:uid="{00000000-0005-0000-0000-0000FD070000}"/>
    <cellStyle name="20% - Accent2 12 2 2 2 3 3 2" xfId="46218" xr:uid="{DDC7F14A-DEE2-41E5-8D8C-205ACAAEC7FE}"/>
    <cellStyle name="20% - Accent2 12 2 2 2 3 4" xfId="30340" xr:uid="{89A2EF23-FF04-41E1-80F2-B1F3A1C3F6AD}"/>
    <cellStyle name="20% - Accent2 12 2 2 2 4" xfId="10903" xr:uid="{00000000-0005-0000-0000-0000FE070000}"/>
    <cellStyle name="20% - Accent2 12 2 2 2 4 2" xfId="34752" xr:uid="{A6F61EAD-A8F6-49C6-BC76-E185B3CF187B}"/>
    <cellStyle name="20% - Accent2 12 2 2 2 5" xfId="18858" xr:uid="{00000000-0005-0000-0000-0000FF070000}"/>
    <cellStyle name="20% - Accent2 12 2 2 2 5 2" xfId="42690" xr:uid="{CBB84A9F-0FFD-483B-A45B-800C30C29961}"/>
    <cellStyle name="20% - Accent2 12 2 2 2 6" xfId="26810" xr:uid="{3D573F71-ACCD-431D-A774-CA96FE2DFEB7}"/>
    <cellStyle name="20% - Accent2 12 2 2 2_Exh G" xfId="2077" xr:uid="{00000000-0005-0000-0000-000000080000}"/>
    <cellStyle name="20% - Accent2 12 2 2 3" xfId="3757" xr:uid="{00000000-0005-0000-0000-000001080000}"/>
    <cellStyle name="20% - Accent2 12 2 2 3 2" xfId="7349" xr:uid="{00000000-0005-0000-0000-000002080000}"/>
    <cellStyle name="20% - Accent2 12 2 2 3 2 2" xfId="15319" xr:uid="{00000000-0005-0000-0000-000003080000}"/>
    <cellStyle name="20% - Accent2 12 2 2 3 2 2 2" xfId="39161" xr:uid="{35F648D0-4859-4D5B-9540-71BCC0F450FB}"/>
    <cellStyle name="20% - Accent2 12 2 2 3 2 3" xfId="23265" xr:uid="{00000000-0005-0000-0000-000004080000}"/>
    <cellStyle name="20% - Accent2 12 2 2 3 2 3 2" xfId="47097" xr:uid="{12015781-211C-431A-A415-431EF635B968}"/>
    <cellStyle name="20% - Accent2 12 2 2 3 2 4" xfId="31220" xr:uid="{674A265C-59E1-426F-8284-718E1576FE4C}"/>
    <cellStyle name="20% - Accent2 12 2 2 3 3" xfId="11781" xr:uid="{00000000-0005-0000-0000-000005080000}"/>
    <cellStyle name="20% - Accent2 12 2 2 3 3 2" xfId="35630" xr:uid="{93935DFB-60FB-4292-8753-422ACB02342A}"/>
    <cellStyle name="20% - Accent2 12 2 2 3 4" xfId="19736" xr:uid="{00000000-0005-0000-0000-000006080000}"/>
    <cellStyle name="20% - Accent2 12 2 2 3 4 2" xfId="43568" xr:uid="{983992AA-D88C-4D18-A31B-865C554049C7}"/>
    <cellStyle name="20% - Accent2 12 2 2 3 5" xfId="27689" xr:uid="{27CF2DA4-E8A6-4A44-BCA0-35974D0567EF}"/>
    <cellStyle name="20% - Accent2 12 2 2 4" xfId="5577" xr:uid="{00000000-0005-0000-0000-000007080000}"/>
    <cellStyle name="20% - Accent2 12 2 2 4 2" xfId="13560" xr:uid="{00000000-0005-0000-0000-000008080000}"/>
    <cellStyle name="20% - Accent2 12 2 2 4 2 2" xfId="37403" xr:uid="{C11FE3AE-A856-4BB8-B7B2-71ED3769F391}"/>
    <cellStyle name="20% - Accent2 12 2 2 4 3" xfId="21508" xr:uid="{00000000-0005-0000-0000-000009080000}"/>
    <cellStyle name="20% - Accent2 12 2 2 4 3 2" xfId="45340" xr:uid="{2F263718-A4A2-4455-A4C2-EF54F32F725A}"/>
    <cellStyle name="20% - Accent2 12 2 2 4 4" xfId="29462" xr:uid="{1B9208EC-71C1-4F78-A7B2-D97B78504DCE}"/>
    <cellStyle name="20% - Accent2 12 2 2 5" xfId="9129" xr:uid="{00000000-0005-0000-0000-00000A080000}"/>
    <cellStyle name="20% - Accent2 12 2 2 5 2" xfId="17087" xr:uid="{00000000-0005-0000-0000-00000B080000}"/>
    <cellStyle name="20% - Accent2 12 2 2 5 2 2" xfId="40927" xr:uid="{2A687E19-C1CE-4482-BE2E-2E561D40ECAF}"/>
    <cellStyle name="20% - Accent2 12 2 2 5 3" xfId="25031" xr:uid="{00000000-0005-0000-0000-00000C080000}"/>
    <cellStyle name="20% - Accent2 12 2 2 5 3 2" xfId="48863" xr:uid="{8598D528-2DC8-4431-BD45-D9D7C20636EE}"/>
    <cellStyle name="20% - Accent2 12 2 2 5 4" xfId="32986" xr:uid="{64C89FF9-EFAE-4DAD-86EF-A16534C18825}"/>
    <cellStyle name="20% - Accent2 12 2 2 6" xfId="10025" xr:uid="{00000000-0005-0000-0000-00000D080000}"/>
    <cellStyle name="20% - Accent2 12 2 2 6 2" xfId="33874" xr:uid="{48AF8CED-2F00-4AAD-8362-EFB8EC59805A}"/>
    <cellStyle name="20% - Accent2 12 2 2 7" xfId="17980" xr:uid="{00000000-0005-0000-0000-00000E080000}"/>
    <cellStyle name="20% - Accent2 12 2 2 7 2" xfId="41812" xr:uid="{3CD37506-43CA-44AC-953C-57CEE2C42750}"/>
    <cellStyle name="20% - Accent2 12 2 2 8" xfId="25932" xr:uid="{65275631-843C-4C43-844C-B19F4470998A}"/>
    <cellStyle name="20% - Accent2 12 2 2_Exh G" xfId="2076" xr:uid="{00000000-0005-0000-0000-00000F080000}"/>
    <cellStyle name="20% - Accent2 12 2 3" xfId="1108" xr:uid="{00000000-0005-0000-0000-000010080000}"/>
    <cellStyle name="20% - Accent2 12 2 3 2" xfId="4635" xr:uid="{00000000-0005-0000-0000-000011080000}"/>
    <cellStyle name="20% - Accent2 12 2 3 2 2" xfId="8226" xr:uid="{00000000-0005-0000-0000-000012080000}"/>
    <cellStyle name="20% - Accent2 12 2 3 2 2 2" xfId="16196" xr:uid="{00000000-0005-0000-0000-000013080000}"/>
    <cellStyle name="20% - Accent2 12 2 3 2 2 2 2" xfId="40038" xr:uid="{C68A4417-9151-4DF4-8DC5-6F9AC83E2546}"/>
    <cellStyle name="20% - Accent2 12 2 3 2 2 3" xfId="24142" xr:uid="{00000000-0005-0000-0000-000014080000}"/>
    <cellStyle name="20% - Accent2 12 2 3 2 2 3 2" xfId="47974" xr:uid="{794C7F59-A767-49A0-8F9B-F0EE2611DB39}"/>
    <cellStyle name="20% - Accent2 12 2 3 2 2 4" xfId="32097" xr:uid="{6140CA86-A608-40CD-AE66-5AD18ED0B523}"/>
    <cellStyle name="20% - Accent2 12 2 3 2 3" xfId="12658" xr:uid="{00000000-0005-0000-0000-000015080000}"/>
    <cellStyle name="20% - Accent2 12 2 3 2 3 2" xfId="36507" xr:uid="{7905AEBA-4088-43F6-8D30-E7D4D6D5FC3A}"/>
    <cellStyle name="20% - Accent2 12 2 3 2 4" xfId="20613" xr:uid="{00000000-0005-0000-0000-000016080000}"/>
    <cellStyle name="20% - Accent2 12 2 3 2 4 2" xfId="44445" xr:uid="{F92B5C46-674D-4A61-94AF-962EC9F7830F}"/>
    <cellStyle name="20% - Accent2 12 2 3 2 5" xfId="28566" xr:uid="{6C9064A7-1BF7-4789-B30F-6E51C191525E}"/>
    <cellStyle name="20% - Accent2 12 2 3 3" xfId="6467" xr:uid="{00000000-0005-0000-0000-000017080000}"/>
    <cellStyle name="20% - Accent2 12 2 3 3 2" xfId="14438" xr:uid="{00000000-0005-0000-0000-000018080000}"/>
    <cellStyle name="20% - Accent2 12 2 3 3 2 2" xfId="38280" xr:uid="{E7903638-8AC1-4645-A911-88C8E117B3A4}"/>
    <cellStyle name="20% - Accent2 12 2 3 3 3" xfId="22385" xr:uid="{00000000-0005-0000-0000-000019080000}"/>
    <cellStyle name="20% - Accent2 12 2 3 3 3 2" xfId="46217" xr:uid="{A064F4D4-5E1A-49D2-AF17-1B595B43F217}"/>
    <cellStyle name="20% - Accent2 12 2 3 3 4" xfId="30339" xr:uid="{616B6908-FD13-4A6D-932E-10253F11FDAB}"/>
    <cellStyle name="20% - Accent2 12 2 3 4" xfId="10902" xr:uid="{00000000-0005-0000-0000-00001A080000}"/>
    <cellStyle name="20% - Accent2 12 2 3 4 2" xfId="34751" xr:uid="{86E61DC4-CC54-4242-84ED-409624659367}"/>
    <cellStyle name="20% - Accent2 12 2 3 5" xfId="18857" xr:uid="{00000000-0005-0000-0000-00001B080000}"/>
    <cellStyle name="20% - Accent2 12 2 3 5 2" xfId="42689" xr:uid="{E65058BD-0FE9-42DE-9481-1091A712F67A}"/>
    <cellStyle name="20% - Accent2 12 2 3 6" xfId="26809" xr:uid="{09399603-3B59-4FD2-BE52-8558901A19C6}"/>
    <cellStyle name="20% - Accent2 12 2 3_Exh G" xfId="2078" xr:uid="{00000000-0005-0000-0000-00001C080000}"/>
    <cellStyle name="20% - Accent2 12 2 4" xfId="3756" xr:uid="{00000000-0005-0000-0000-00001D080000}"/>
    <cellStyle name="20% - Accent2 12 2 4 2" xfId="7348" xr:uid="{00000000-0005-0000-0000-00001E080000}"/>
    <cellStyle name="20% - Accent2 12 2 4 2 2" xfId="15318" xr:uid="{00000000-0005-0000-0000-00001F080000}"/>
    <cellStyle name="20% - Accent2 12 2 4 2 2 2" xfId="39160" xr:uid="{068213F0-9E3A-462E-8671-6284EA02D729}"/>
    <cellStyle name="20% - Accent2 12 2 4 2 3" xfId="23264" xr:uid="{00000000-0005-0000-0000-000020080000}"/>
    <cellStyle name="20% - Accent2 12 2 4 2 3 2" xfId="47096" xr:uid="{306B5CA0-E919-4E27-9EA5-4DD393AF2480}"/>
    <cellStyle name="20% - Accent2 12 2 4 2 4" xfId="31219" xr:uid="{11C31DDB-69A8-48CF-BA7D-FAC5E5C484C2}"/>
    <cellStyle name="20% - Accent2 12 2 4 3" xfId="11780" xr:uid="{00000000-0005-0000-0000-000021080000}"/>
    <cellStyle name="20% - Accent2 12 2 4 3 2" xfId="35629" xr:uid="{A6127530-C392-4E41-B9D6-D271A4E7200F}"/>
    <cellStyle name="20% - Accent2 12 2 4 4" xfId="19735" xr:uid="{00000000-0005-0000-0000-000022080000}"/>
    <cellStyle name="20% - Accent2 12 2 4 4 2" xfId="43567" xr:uid="{24194FC3-D001-4868-82BC-1F02570B8197}"/>
    <cellStyle name="20% - Accent2 12 2 4 5" xfId="27688" xr:uid="{32F7449A-5C6A-4E14-8805-F520A4502F1D}"/>
    <cellStyle name="20% - Accent2 12 2 5" xfId="5576" xr:uid="{00000000-0005-0000-0000-000023080000}"/>
    <cellStyle name="20% - Accent2 12 2 5 2" xfId="13559" xr:uid="{00000000-0005-0000-0000-000024080000}"/>
    <cellStyle name="20% - Accent2 12 2 5 2 2" xfId="37402" xr:uid="{1FE70FB7-512E-4564-BA2D-181DCF388C1C}"/>
    <cellStyle name="20% - Accent2 12 2 5 3" xfId="21507" xr:uid="{00000000-0005-0000-0000-000025080000}"/>
    <cellStyle name="20% - Accent2 12 2 5 3 2" xfId="45339" xr:uid="{A92669EE-3598-47B7-B9E8-D15D6C82DF4D}"/>
    <cellStyle name="20% - Accent2 12 2 5 4" xfId="29461" xr:uid="{94F6385C-6C0D-4FD0-A3DA-7748410F31DA}"/>
    <cellStyle name="20% - Accent2 12 2 6" xfId="9128" xr:uid="{00000000-0005-0000-0000-000026080000}"/>
    <cellStyle name="20% - Accent2 12 2 6 2" xfId="17086" xr:uid="{00000000-0005-0000-0000-000027080000}"/>
    <cellStyle name="20% - Accent2 12 2 6 2 2" xfId="40926" xr:uid="{89A3DD7E-7D12-417A-A494-8DB32F8373E2}"/>
    <cellStyle name="20% - Accent2 12 2 6 3" xfId="25030" xr:uid="{00000000-0005-0000-0000-000028080000}"/>
    <cellStyle name="20% - Accent2 12 2 6 3 2" xfId="48862" xr:uid="{4DB9D488-E74F-4FF4-9244-595567BD8CE1}"/>
    <cellStyle name="20% - Accent2 12 2 6 4" xfId="32985" xr:uid="{D4E98A5C-D2E4-4477-9F5E-AFDAB6326A8D}"/>
    <cellStyle name="20% - Accent2 12 2 7" xfId="10024" xr:uid="{00000000-0005-0000-0000-000029080000}"/>
    <cellStyle name="20% - Accent2 12 2 7 2" xfId="33873" xr:uid="{6A1B0E63-3B5C-4620-A549-CF8550485F03}"/>
    <cellStyle name="20% - Accent2 12 2 8" xfId="17979" xr:uid="{00000000-0005-0000-0000-00002A080000}"/>
    <cellStyle name="20% - Accent2 12 2 8 2" xfId="41811" xr:uid="{F236D661-0862-44A9-89B9-C1F6C2D1B35E}"/>
    <cellStyle name="20% - Accent2 12 2 9" xfId="25931" xr:uid="{BF7BCB63-1849-4A69-8DFF-90CF4E1FBA4F}"/>
    <cellStyle name="20% - Accent2 12 2_Exh G" xfId="2075" xr:uid="{00000000-0005-0000-0000-00002B080000}"/>
    <cellStyle name="20% - Accent2 12 3" xfId="84" xr:uid="{00000000-0005-0000-0000-00002C080000}"/>
    <cellStyle name="20% - Accent2 12 3 2" xfId="1110" xr:uid="{00000000-0005-0000-0000-00002D080000}"/>
    <cellStyle name="20% - Accent2 12 3 2 2" xfId="4637" xr:uid="{00000000-0005-0000-0000-00002E080000}"/>
    <cellStyle name="20% - Accent2 12 3 2 2 2" xfId="8228" xr:uid="{00000000-0005-0000-0000-00002F080000}"/>
    <cellStyle name="20% - Accent2 12 3 2 2 2 2" xfId="16198" xr:uid="{00000000-0005-0000-0000-000030080000}"/>
    <cellStyle name="20% - Accent2 12 3 2 2 2 2 2" xfId="40040" xr:uid="{EEA28B64-59DD-4633-B8A7-8535ABA6BE73}"/>
    <cellStyle name="20% - Accent2 12 3 2 2 2 3" xfId="24144" xr:uid="{00000000-0005-0000-0000-000031080000}"/>
    <cellStyle name="20% - Accent2 12 3 2 2 2 3 2" xfId="47976" xr:uid="{AE4E6F56-20F7-4598-AB25-C07E57A01E0E}"/>
    <cellStyle name="20% - Accent2 12 3 2 2 2 4" xfId="32099" xr:uid="{67D9241E-152F-43C1-ACF2-68957A6F7BBA}"/>
    <cellStyle name="20% - Accent2 12 3 2 2 3" xfId="12660" xr:uid="{00000000-0005-0000-0000-000032080000}"/>
    <cellStyle name="20% - Accent2 12 3 2 2 3 2" xfId="36509" xr:uid="{8425D5EB-6794-4D8C-8451-E6588E8F078B}"/>
    <cellStyle name="20% - Accent2 12 3 2 2 4" xfId="20615" xr:uid="{00000000-0005-0000-0000-000033080000}"/>
    <cellStyle name="20% - Accent2 12 3 2 2 4 2" xfId="44447" xr:uid="{957AE13A-D68B-41A7-AEC7-95C0E41CAA48}"/>
    <cellStyle name="20% - Accent2 12 3 2 2 5" xfId="28568" xr:uid="{9A87EB85-1168-4DB5-810B-EA964A10B51D}"/>
    <cellStyle name="20% - Accent2 12 3 2 3" xfId="6469" xr:uid="{00000000-0005-0000-0000-000034080000}"/>
    <cellStyle name="20% - Accent2 12 3 2 3 2" xfId="14440" xr:uid="{00000000-0005-0000-0000-000035080000}"/>
    <cellStyle name="20% - Accent2 12 3 2 3 2 2" xfId="38282" xr:uid="{0DEFCA89-65FB-4B6B-A6D3-C5DEC4763FA6}"/>
    <cellStyle name="20% - Accent2 12 3 2 3 3" xfId="22387" xr:uid="{00000000-0005-0000-0000-000036080000}"/>
    <cellStyle name="20% - Accent2 12 3 2 3 3 2" xfId="46219" xr:uid="{78E37F05-B5DC-4E95-8B8B-6CB9D2C9DCF3}"/>
    <cellStyle name="20% - Accent2 12 3 2 3 4" xfId="30341" xr:uid="{A94F2000-35C8-406E-8BEE-BCEF748BD91F}"/>
    <cellStyle name="20% - Accent2 12 3 2 4" xfId="10904" xr:uid="{00000000-0005-0000-0000-000037080000}"/>
    <cellStyle name="20% - Accent2 12 3 2 4 2" xfId="34753" xr:uid="{77CC2BFF-F6E1-411E-8C25-FDD3B04FD2E8}"/>
    <cellStyle name="20% - Accent2 12 3 2 5" xfId="18859" xr:uid="{00000000-0005-0000-0000-000038080000}"/>
    <cellStyle name="20% - Accent2 12 3 2 5 2" xfId="42691" xr:uid="{4CF082E8-561A-402C-95C1-038521D0F4A6}"/>
    <cellStyle name="20% - Accent2 12 3 2 6" xfId="26811" xr:uid="{856F3034-F691-44E2-AAC5-E5930803E954}"/>
    <cellStyle name="20% - Accent2 12 3 2_Exh G" xfId="2080" xr:uid="{00000000-0005-0000-0000-000039080000}"/>
    <cellStyle name="20% - Accent2 12 3 3" xfId="3758" xr:uid="{00000000-0005-0000-0000-00003A080000}"/>
    <cellStyle name="20% - Accent2 12 3 3 2" xfId="7350" xr:uid="{00000000-0005-0000-0000-00003B080000}"/>
    <cellStyle name="20% - Accent2 12 3 3 2 2" xfId="15320" xr:uid="{00000000-0005-0000-0000-00003C080000}"/>
    <cellStyle name="20% - Accent2 12 3 3 2 2 2" xfId="39162" xr:uid="{248F6B0F-C19A-4A1D-AA8D-29BF79A3F267}"/>
    <cellStyle name="20% - Accent2 12 3 3 2 3" xfId="23266" xr:uid="{00000000-0005-0000-0000-00003D080000}"/>
    <cellStyle name="20% - Accent2 12 3 3 2 3 2" xfId="47098" xr:uid="{CEB336E8-6A6C-4470-99DE-8D113D0A988D}"/>
    <cellStyle name="20% - Accent2 12 3 3 2 4" xfId="31221" xr:uid="{80F25D8F-FF45-48BF-8A02-686F497168CD}"/>
    <cellStyle name="20% - Accent2 12 3 3 3" xfId="11782" xr:uid="{00000000-0005-0000-0000-00003E080000}"/>
    <cellStyle name="20% - Accent2 12 3 3 3 2" xfId="35631" xr:uid="{D81B9779-F239-488D-8B59-3D6C1F41362D}"/>
    <cellStyle name="20% - Accent2 12 3 3 4" xfId="19737" xr:uid="{00000000-0005-0000-0000-00003F080000}"/>
    <cellStyle name="20% - Accent2 12 3 3 4 2" xfId="43569" xr:uid="{FC1EAA2B-C0AA-47BB-B836-8A79AD6A634D}"/>
    <cellStyle name="20% - Accent2 12 3 3 5" xfId="27690" xr:uid="{66092FBA-11A9-4D37-851C-9BF44D7365BF}"/>
    <cellStyle name="20% - Accent2 12 3 4" xfId="5578" xr:uid="{00000000-0005-0000-0000-000040080000}"/>
    <cellStyle name="20% - Accent2 12 3 4 2" xfId="13561" xr:uid="{00000000-0005-0000-0000-000041080000}"/>
    <cellStyle name="20% - Accent2 12 3 4 2 2" xfId="37404" xr:uid="{5CA3C947-665C-4352-86A3-1CE60374BBFC}"/>
    <cellStyle name="20% - Accent2 12 3 4 3" xfId="21509" xr:uid="{00000000-0005-0000-0000-000042080000}"/>
    <cellStyle name="20% - Accent2 12 3 4 3 2" xfId="45341" xr:uid="{BE029425-013E-4388-878F-A80949FA1F8C}"/>
    <cellStyle name="20% - Accent2 12 3 4 4" xfId="29463" xr:uid="{DD773A41-29B7-4089-934A-A762081BA8E6}"/>
    <cellStyle name="20% - Accent2 12 3 5" xfId="9130" xr:uid="{00000000-0005-0000-0000-000043080000}"/>
    <cellStyle name="20% - Accent2 12 3 5 2" xfId="17088" xr:uid="{00000000-0005-0000-0000-000044080000}"/>
    <cellStyle name="20% - Accent2 12 3 5 2 2" xfId="40928" xr:uid="{FD44D127-87EB-4AA7-AE05-7E0D29D72A1E}"/>
    <cellStyle name="20% - Accent2 12 3 5 3" xfId="25032" xr:uid="{00000000-0005-0000-0000-000045080000}"/>
    <cellStyle name="20% - Accent2 12 3 5 3 2" xfId="48864" xr:uid="{BB4EB76E-76B7-4E02-BAE7-5D54A6532028}"/>
    <cellStyle name="20% - Accent2 12 3 5 4" xfId="32987" xr:uid="{8BAE4D8F-24C4-4F5A-A234-F347DF133BF0}"/>
    <cellStyle name="20% - Accent2 12 3 6" xfId="10026" xr:uid="{00000000-0005-0000-0000-000046080000}"/>
    <cellStyle name="20% - Accent2 12 3 6 2" xfId="33875" xr:uid="{3AA79171-EEE9-4510-AEA1-BDDC54ABE07C}"/>
    <cellStyle name="20% - Accent2 12 3 7" xfId="17981" xr:uid="{00000000-0005-0000-0000-000047080000}"/>
    <cellStyle name="20% - Accent2 12 3 7 2" xfId="41813" xr:uid="{2A97CE21-2DB2-4E5C-A609-91CE5185D131}"/>
    <cellStyle name="20% - Accent2 12 3 8" xfId="25933" xr:uid="{E7B8F61A-7B5D-43EC-B129-8C7BBEAD8220}"/>
    <cellStyle name="20% - Accent2 12 3_Exh G" xfId="2079" xr:uid="{00000000-0005-0000-0000-000048080000}"/>
    <cellStyle name="20% - Accent2 12 4" xfId="1107" xr:uid="{00000000-0005-0000-0000-000049080000}"/>
    <cellStyle name="20% - Accent2 12 4 2" xfId="4634" xr:uid="{00000000-0005-0000-0000-00004A080000}"/>
    <cellStyle name="20% - Accent2 12 4 2 2" xfId="8225" xr:uid="{00000000-0005-0000-0000-00004B080000}"/>
    <cellStyle name="20% - Accent2 12 4 2 2 2" xfId="16195" xr:uid="{00000000-0005-0000-0000-00004C080000}"/>
    <cellStyle name="20% - Accent2 12 4 2 2 2 2" xfId="40037" xr:uid="{16BFA0B2-7216-4567-AFBD-EDD130AD73D4}"/>
    <cellStyle name="20% - Accent2 12 4 2 2 3" xfId="24141" xr:uid="{00000000-0005-0000-0000-00004D080000}"/>
    <cellStyle name="20% - Accent2 12 4 2 2 3 2" xfId="47973" xr:uid="{3AFB8441-DB8B-4FC1-84FC-3CA2395F7A8E}"/>
    <cellStyle name="20% - Accent2 12 4 2 2 4" xfId="32096" xr:uid="{565DEFB2-AE17-487A-B603-78C156B78ED9}"/>
    <cellStyle name="20% - Accent2 12 4 2 3" xfId="12657" xr:uid="{00000000-0005-0000-0000-00004E080000}"/>
    <cellStyle name="20% - Accent2 12 4 2 3 2" xfId="36506" xr:uid="{DA829A0D-133D-41D9-89DA-FB044E5975EE}"/>
    <cellStyle name="20% - Accent2 12 4 2 4" xfId="20612" xr:uid="{00000000-0005-0000-0000-00004F080000}"/>
    <cellStyle name="20% - Accent2 12 4 2 4 2" xfId="44444" xr:uid="{6D818DA6-A742-424C-940D-6EFF08B7CF61}"/>
    <cellStyle name="20% - Accent2 12 4 2 5" xfId="28565" xr:uid="{67EA8298-C584-470E-9493-3AC825863532}"/>
    <cellStyle name="20% - Accent2 12 4 3" xfId="6466" xr:uid="{00000000-0005-0000-0000-000050080000}"/>
    <cellStyle name="20% - Accent2 12 4 3 2" xfId="14437" xr:uid="{00000000-0005-0000-0000-000051080000}"/>
    <cellStyle name="20% - Accent2 12 4 3 2 2" xfId="38279" xr:uid="{D80ED4DA-9FDB-4646-9463-4F4203E5BB60}"/>
    <cellStyle name="20% - Accent2 12 4 3 3" xfId="22384" xr:uid="{00000000-0005-0000-0000-000052080000}"/>
    <cellStyle name="20% - Accent2 12 4 3 3 2" xfId="46216" xr:uid="{E4AE05E1-6509-4176-81D9-C800E10D30A4}"/>
    <cellStyle name="20% - Accent2 12 4 3 4" xfId="30338" xr:uid="{09D4E156-D7A3-4779-B6B5-282C79846BBE}"/>
    <cellStyle name="20% - Accent2 12 4 4" xfId="10901" xr:uid="{00000000-0005-0000-0000-000053080000}"/>
    <cellStyle name="20% - Accent2 12 4 4 2" xfId="34750" xr:uid="{F283D460-C7FC-4682-996D-9F500767E642}"/>
    <cellStyle name="20% - Accent2 12 4 5" xfId="18856" xr:uid="{00000000-0005-0000-0000-000054080000}"/>
    <cellStyle name="20% - Accent2 12 4 5 2" xfId="42688" xr:uid="{3CA7A81B-FDDA-43E7-8B97-32DE3D606B6D}"/>
    <cellStyle name="20% - Accent2 12 4 6" xfId="26808" xr:uid="{F314E17F-000F-4263-9258-ACF1515D762D}"/>
    <cellStyle name="20% - Accent2 12 4_Exh G" xfId="2081" xr:uid="{00000000-0005-0000-0000-000055080000}"/>
    <cellStyle name="20% - Accent2 12 5" xfId="3755" xr:uid="{00000000-0005-0000-0000-000056080000}"/>
    <cellStyle name="20% - Accent2 12 5 2" xfId="7347" xr:uid="{00000000-0005-0000-0000-000057080000}"/>
    <cellStyle name="20% - Accent2 12 5 2 2" xfId="15317" xr:uid="{00000000-0005-0000-0000-000058080000}"/>
    <cellStyle name="20% - Accent2 12 5 2 2 2" xfId="39159" xr:uid="{DD00CF78-9393-47A8-8A4E-4D1EF5874705}"/>
    <cellStyle name="20% - Accent2 12 5 2 3" xfId="23263" xr:uid="{00000000-0005-0000-0000-000059080000}"/>
    <cellStyle name="20% - Accent2 12 5 2 3 2" xfId="47095" xr:uid="{69464ABC-40F5-4562-A4EE-5509AB812854}"/>
    <cellStyle name="20% - Accent2 12 5 2 4" xfId="31218" xr:uid="{2608BD43-5B56-4CE8-8A67-EF57FF40E534}"/>
    <cellStyle name="20% - Accent2 12 5 3" xfId="11779" xr:uid="{00000000-0005-0000-0000-00005A080000}"/>
    <cellStyle name="20% - Accent2 12 5 3 2" xfId="35628" xr:uid="{14622E8A-2580-4023-A59A-5A3624135D04}"/>
    <cellStyle name="20% - Accent2 12 5 4" xfId="19734" xr:uid="{00000000-0005-0000-0000-00005B080000}"/>
    <cellStyle name="20% - Accent2 12 5 4 2" xfId="43566" xr:uid="{3449B977-BE57-475F-B432-B41328E25BF1}"/>
    <cellStyle name="20% - Accent2 12 5 5" xfId="27687" xr:uid="{0DC3CFBD-27B6-4031-9B2D-14EF94379631}"/>
    <cellStyle name="20% - Accent2 12 6" xfId="5575" xr:uid="{00000000-0005-0000-0000-00005C080000}"/>
    <cellStyle name="20% - Accent2 12 6 2" xfId="13558" xr:uid="{00000000-0005-0000-0000-00005D080000}"/>
    <cellStyle name="20% - Accent2 12 6 2 2" xfId="37401" xr:uid="{2851A503-F2E7-4C74-90E3-7D115F7E4A8E}"/>
    <cellStyle name="20% - Accent2 12 6 3" xfId="21506" xr:uid="{00000000-0005-0000-0000-00005E080000}"/>
    <cellStyle name="20% - Accent2 12 6 3 2" xfId="45338" xr:uid="{6812A477-CF48-45E7-85CD-3D33E508513A}"/>
    <cellStyle name="20% - Accent2 12 6 4" xfId="29460" xr:uid="{CA1C8630-9A03-4177-B95A-8645EB114DD6}"/>
    <cellStyle name="20% - Accent2 12 7" xfId="9127" xr:uid="{00000000-0005-0000-0000-00005F080000}"/>
    <cellStyle name="20% - Accent2 12 7 2" xfId="17085" xr:uid="{00000000-0005-0000-0000-000060080000}"/>
    <cellStyle name="20% - Accent2 12 7 2 2" xfId="40925" xr:uid="{0F40CF1B-E45B-4603-87AB-8C91CB926366}"/>
    <cellStyle name="20% - Accent2 12 7 3" xfId="25029" xr:uid="{00000000-0005-0000-0000-000061080000}"/>
    <cellStyle name="20% - Accent2 12 7 3 2" xfId="48861" xr:uid="{6C1AA045-7C6B-47A1-9BD8-519B7DD87AEA}"/>
    <cellStyle name="20% - Accent2 12 7 4" xfId="32984" xr:uid="{54009C6D-D273-42BB-AF7E-455BA1BE4126}"/>
    <cellStyle name="20% - Accent2 12 8" xfId="10023" xr:uid="{00000000-0005-0000-0000-000062080000}"/>
    <cellStyle name="20% - Accent2 12 8 2" xfId="33872" xr:uid="{FC3E6207-3B84-40B9-8070-4ECACF12DFC8}"/>
    <cellStyle name="20% - Accent2 12 9" xfId="17978" xr:uid="{00000000-0005-0000-0000-000063080000}"/>
    <cellStyle name="20% - Accent2 12 9 2" xfId="41810" xr:uid="{E78EEB1D-6696-4E18-80D4-2F1390AD3F53}"/>
    <cellStyle name="20% - Accent2 12_Exh G" xfId="2074" xr:uid="{00000000-0005-0000-0000-000064080000}"/>
    <cellStyle name="20% - Accent2 13" xfId="85" xr:uid="{00000000-0005-0000-0000-000065080000}"/>
    <cellStyle name="20% - Accent2 13 10" xfId="25934" xr:uid="{9C2D83CE-D1F4-44FE-8A4C-75E1335F8532}"/>
    <cellStyle name="20% - Accent2 13 2" xfId="86" xr:uid="{00000000-0005-0000-0000-000066080000}"/>
    <cellStyle name="20% - Accent2 13 2 2" xfId="87" xr:uid="{00000000-0005-0000-0000-000067080000}"/>
    <cellStyle name="20% - Accent2 13 2 2 2" xfId="1113" xr:uid="{00000000-0005-0000-0000-000068080000}"/>
    <cellStyle name="20% - Accent2 13 2 2 2 2" xfId="4640" xr:uid="{00000000-0005-0000-0000-000069080000}"/>
    <cellStyle name="20% - Accent2 13 2 2 2 2 2" xfId="8231" xr:uid="{00000000-0005-0000-0000-00006A080000}"/>
    <cellStyle name="20% - Accent2 13 2 2 2 2 2 2" xfId="16201" xr:uid="{00000000-0005-0000-0000-00006B080000}"/>
    <cellStyle name="20% - Accent2 13 2 2 2 2 2 2 2" xfId="40043" xr:uid="{AED9F3E9-2C7C-4050-AF74-C2D14B0643A1}"/>
    <cellStyle name="20% - Accent2 13 2 2 2 2 2 3" xfId="24147" xr:uid="{00000000-0005-0000-0000-00006C080000}"/>
    <cellStyle name="20% - Accent2 13 2 2 2 2 2 3 2" xfId="47979" xr:uid="{40F36081-CEBF-4166-8793-E92505D3AA5D}"/>
    <cellStyle name="20% - Accent2 13 2 2 2 2 2 4" xfId="32102" xr:uid="{6E13E938-6CDE-4875-AC01-A0DB28426616}"/>
    <cellStyle name="20% - Accent2 13 2 2 2 2 3" xfId="12663" xr:uid="{00000000-0005-0000-0000-00006D080000}"/>
    <cellStyle name="20% - Accent2 13 2 2 2 2 3 2" xfId="36512" xr:uid="{196EF54B-7DE7-470C-8047-378047A55BFD}"/>
    <cellStyle name="20% - Accent2 13 2 2 2 2 4" xfId="20618" xr:uid="{00000000-0005-0000-0000-00006E080000}"/>
    <cellStyle name="20% - Accent2 13 2 2 2 2 4 2" xfId="44450" xr:uid="{C93F3766-F375-4A30-8F8F-D400039B7845}"/>
    <cellStyle name="20% - Accent2 13 2 2 2 2 5" xfId="28571" xr:uid="{598F1EA6-22B1-42A4-8CCE-99051FA264EE}"/>
    <cellStyle name="20% - Accent2 13 2 2 2 3" xfId="6472" xr:uid="{00000000-0005-0000-0000-00006F080000}"/>
    <cellStyle name="20% - Accent2 13 2 2 2 3 2" xfId="14443" xr:uid="{00000000-0005-0000-0000-000070080000}"/>
    <cellStyle name="20% - Accent2 13 2 2 2 3 2 2" xfId="38285" xr:uid="{4D316B75-2F60-4CA2-BC5E-5452A28FF321}"/>
    <cellStyle name="20% - Accent2 13 2 2 2 3 3" xfId="22390" xr:uid="{00000000-0005-0000-0000-000071080000}"/>
    <cellStyle name="20% - Accent2 13 2 2 2 3 3 2" xfId="46222" xr:uid="{0C5A2ED4-B292-4191-B2D2-5C06600BD074}"/>
    <cellStyle name="20% - Accent2 13 2 2 2 3 4" xfId="30344" xr:uid="{CD8A5B4E-C997-4DB8-8B3E-41631457150A}"/>
    <cellStyle name="20% - Accent2 13 2 2 2 4" xfId="10907" xr:uid="{00000000-0005-0000-0000-000072080000}"/>
    <cellStyle name="20% - Accent2 13 2 2 2 4 2" xfId="34756" xr:uid="{7A5A8AE2-5048-4584-AE8B-22C27F4E1332}"/>
    <cellStyle name="20% - Accent2 13 2 2 2 5" xfId="18862" xr:uid="{00000000-0005-0000-0000-000073080000}"/>
    <cellStyle name="20% - Accent2 13 2 2 2 5 2" xfId="42694" xr:uid="{CC43635D-0668-44F0-ADED-213ADD5A30CD}"/>
    <cellStyle name="20% - Accent2 13 2 2 2 6" xfId="26814" xr:uid="{02530059-2172-47D0-9132-A8AD28A7F45D}"/>
    <cellStyle name="20% - Accent2 13 2 2 2_Exh G" xfId="2085" xr:uid="{00000000-0005-0000-0000-000074080000}"/>
    <cellStyle name="20% - Accent2 13 2 2 3" xfId="3761" xr:uid="{00000000-0005-0000-0000-000075080000}"/>
    <cellStyle name="20% - Accent2 13 2 2 3 2" xfId="7353" xr:uid="{00000000-0005-0000-0000-000076080000}"/>
    <cellStyle name="20% - Accent2 13 2 2 3 2 2" xfId="15323" xr:uid="{00000000-0005-0000-0000-000077080000}"/>
    <cellStyle name="20% - Accent2 13 2 2 3 2 2 2" xfId="39165" xr:uid="{77C78D63-C3AC-46AB-94D9-D51EA5FE39AA}"/>
    <cellStyle name="20% - Accent2 13 2 2 3 2 3" xfId="23269" xr:uid="{00000000-0005-0000-0000-000078080000}"/>
    <cellStyle name="20% - Accent2 13 2 2 3 2 3 2" xfId="47101" xr:uid="{0D645EB8-4134-46FC-B674-DE27D84D2AE2}"/>
    <cellStyle name="20% - Accent2 13 2 2 3 2 4" xfId="31224" xr:uid="{CBF9F668-9DC8-4F0E-ACCB-F24FA6AFEE89}"/>
    <cellStyle name="20% - Accent2 13 2 2 3 3" xfId="11785" xr:uid="{00000000-0005-0000-0000-000079080000}"/>
    <cellStyle name="20% - Accent2 13 2 2 3 3 2" xfId="35634" xr:uid="{FD56095C-7EB9-40CF-B1BE-B7349D637027}"/>
    <cellStyle name="20% - Accent2 13 2 2 3 4" xfId="19740" xr:uid="{00000000-0005-0000-0000-00007A080000}"/>
    <cellStyle name="20% - Accent2 13 2 2 3 4 2" xfId="43572" xr:uid="{0B2B8B2E-5496-4D94-B9C2-A06C010A1991}"/>
    <cellStyle name="20% - Accent2 13 2 2 3 5" xfId="27693" xr:uid="{570BFDB6-F39F-40EC-85B1-F8B32CBF033F}"/>
    <cellStyle name="20% - Accent2 13 2 2 4" xfId="5581" xr:uid="{00000000-0005-0000-0000-00007B080000}"/>
    <cellStyle name="20% - Accent2 13 2 2 4 2" xfId="13564" xr:uid="{00000000-0005-0000-0000-00007C080000}"/>
    <cellStyle name="20% - Accent2 13 2 2 4 2 2" xfId="37407" xr:uid="{5799E57E-388A-46AA-8871-E757D17B9468}"/>
    <cellStyle name="20% - Accent2 13 2 2 4 3" xfId="21512" xr:uid="{00000000-0005-0000-0000-00007D080000}"/>
    <cellStyle name="20% - Accent2 13 2 2 4 3 2" xfId="45344" xr:uid="{746F6877-6ACD-4987-BAEC-F164232363EC}"/>
    <cellStyle name="20% - Accent2 13 2 2 4 4" xfId="29466" xr:uid="{7A195C65-AF02-4AAF-B90B-7DDCF80FE71F}"/>
    <cellStyle name="20% - Accent2 13 2 2 5" xfId="9133" xr:uid="{00000000-0005-0000-0000-00007E080000}"/>
    <cellStyle name="20% - Accent2 13 2 2 5 2" xfId="17091" xr:uid="{00000000-0005-0000-0000-00007F080000}"/>
    <cellStyle name="20% - Accent2 13 2 2 5 2 2" xfId="40931" xr:uid="{6F5EB8C1-7D75-40D6-98AF-CA88134AA666}"/>
    <cellStyle name="20% - Accent2 13 2 2 5 3" xfId="25035" xr:uid="{00000000-0005-0000-0000-000080080000}"/>
    <cellStyle name="20% - Accent2 13 2 2 5 3 2" xfId="48867" xr:uid="{0FCF70FC-A8E6-4F66-8DD6-C8DDEA54863A}"/>
    <cellStyle name="20% - Accent2 13 2 2 5 4" xfId="32990" xr:uid="{129E5EBF-A43B-4123-BFEE-D91B6F3E632F}"/>
    <cellStyle name="20% - Accent2 13 2 2 6" xfId="10029" xr:uid="{00000000-0005-0000-0000-000081080000}"/>
    <cellStyle name="20% - Accent2 13 2 2 6 2" xfId="33878" xr:uid="{0E7BF761-E0EA-4BD1-A206-764D210E1271}"/>
    <cellStyle name="20% - Accent2 13 2 2 7" xfId="17984" xr:uid="{00000000-0005-0000-0000-000082080000}"/>
    <cellStyle name="20% - Accent2 13 2 2 7 2" xfId="41816" xr:uid="{140C1403-366D-492D-A497-C8E132D24C90}"/>
    <cellStyle name="20% - Accent2 13 2 2 8" xfId="25936" xr:uid="{19453550-E800-43AB-82C3-139ED4920112}"/>
    <cellStyle name="20% - Accent2 13 2 2_Exh G" xfId="2084" xr:uid="{00000000-0005-0000-0000-000083080000}"/>
    <cellStyle name="20% - Accent2 13 2 3" xfId="1112" xr:uid="{00000000-0005-0000-0000-000084080000}"/>
    <cellStyle name="20% - Accent2 13 2 3 2" xfId="4639" xr:uid="{00000000-0005-0000-0000-000085080000}"/>
    <cellStyle name="20% - Accent2 13 2 3 2 2" xfId="8230" xr:uid="{00000000-0005-0000-0000-000086080000}"/>
    <cellStyle name="20% - Accent2 13 2 3 2 2 2" xfId="16200" xr:uid="{00000000-0005-0000-0000-000087080000}"/>
    <cellStyle name="20% - Accent2 13 2 3 2 2 2 2" xfId="40042" xr:uid="{F19F1529-39AB-4809-9323-CAC68558EBD0}"/>
    <cellStyle name="20% - Accent2 13 2 3 2 2 3" xfId="24146" xr:uid="{00000000-0005-0000-0000-000088080000}"/>
    <cellStyle name="20% - Accent2 13 2 3 2 2 3 2" xfId="47978" xr:uid="{66590B54-7DEB-4870-BF97-8C32A5F4ED93}"/>
    <cellStyle name="20% - Accent2 13 2 3 2 2 4" xfId="32101" xr:uid="{580549B3-0982-437D-ADD1-605C58C4D2FB}"/>
    <cellStyle name="20% - Accent2 13 2 3 2 3" xfId="12662" xr:uid="{00000000-0005-0000-0000-000089080000}"/>
    <cellStyle name="20% - Accent2 13 2 3 2 3 2" xfId="36511" xr:uid="{F73DB968-5067-4F7D-B80E-7B1D348137A3}"/>
    <cellStyle name="20% - Accent2 13 2 3 2 4" xfId="20617" xr:uid="{00000000-0005-0000-0000-00008A080000}"/>
    <cellStyle name="20% - Accent2 13 2 3 2 4 2" xfId="44449" xr:uid="{738403EF-23FA-47CC-AE9A-4B69077F6938}"/>
    <cellStyle name="20% - Accent2 13 2 3 2 5" xfId="28570" xr:uid="{4B5DB05E-890E-4BCA-BE73-6FDA5F8D0690}"/>
    <cellStyle name="20% - Accent2 13 2 3 3" xfId="6471" xr:uid="{00000000-0005-0000-0000-00008B080000}"/>
    <cellStyle name="20% - Accent2 13 2 3 3 2" xfId="14442" xr:uid="{00000000-0005-0000-0000-00008C080000}"/>
    <cellStyle name="20% - Accent2 13 2 3 3 2 2" xfId="38284" xr:uid="{2D6ADA7A-C084-43F4-8881-25B009548D6B}"/>
    <cellStyle name="20% - Accent2 13 2 3 3 3" xfId="22389" xr:uid="{00000000-0005-0000-0000-00008D080000}"/>
    <cellStyle name="20% - Accent2 13 2 3 3 3 2" xfId="46221" xr:uid="{C6C841D2-EA97-4A86-BA18-E7891297BB76}"/>
    <cellStyle name="20% - Accent2 13 2 3 3 4" xfId="30343" xr:uid="{79E148AB-D7F8-4079-82A8-938AF132692F}"/>
    <cellStyle name="20% - Accent2 13 2 3 4" xfId="10906" xr:uid="{00000000-0005-0000-0000-00008E080000}"/>
    <cellStyle name="20% - Accent2 13 2 3 4 2" xfId="34755" xr:uid="{F86FD041-AD43-4908-9BB4-1C0A2575962A}"/>
    <cellStyle name="20% - Accent2 13 2 3 5" xfId="18861" xr:uid="{00000000-0005-0000-0000-00008F080000}"/>
    <cellStyle name="20% - Accent2 13 2 3 5 2" xfId="42693" xr:uid="{90B3CE93-BE2F-4F94-A559-1D03B936EBE2}"/>
    <cellStyle name="20% - Accent2 13 2 3 6" xfId="26813" xr:uid="{8A9B1DFC-8F4C-4778-8F73-FE831678037C}"/>
    <cellStyle name="20% - Accent2 13 2 3_Exh G" xfId="2086" xr:uid="{00000000-0005-0000-0000-000090080000}"/>
    <cellStyle name="20% - Accent2 13 2 4" xfId="3760" xr:uid="{00000000-0005-0000-0000-000091080000}"/>
    <cellStyle name="20% - Accent2 13 2 4 2" xfId="7352" xr:uid="{00000000-0005-0000-0000-000092080000}"/>
    <cellStyle name="20% - Accent2 13 2 4 2 2" xfId="15322" xr:uid="{00000000-0005-0000-0000-000093080000}"/>
    <cellStyle name="20% - Accent2 13 2 4 2 2 2" xfId="39164" xr:uid="{B2CE9ED3-523A-4415-AA14-4DF1BF59CF58}"/>
    <cellStyle name="20% - Accent2 13 2 4 2 3" xfId="23268" xr:uid="{00000000-0005-0000-0000-000094080000}"/>
    <cellStyle name="20% - Accent2 13 2 4 2 3 2" xfId="47100" xr:uid="{CD7BF69E-4C31-4BEC-8CFA-677AA740356E}"/>
    <cellStyle name="20% - Accent2 13 2 4 2 4" xfId="31223" xr:uid="{0396AE0E-A572-4992-9A8E-022376616B6B}"/>
    <cellStyle name="20% - Accent2 13 2 4 3" xfId="11784" xr:uid="{00000000-0005-0000-0000-000095080000}"/>
    <cellStyle name="20% - Accent2 13 2 4 3 2" xfId="35633" xr:uid="{B60480ED-C2A7-4335-A7AF-E1C31E823131}"/>
    <cellStyle name="20% - Accent2 13 2 4 4" xfId="19739" xr:uid="{00000000-0005-0000-0000-000096080000}"/>
    <cellStyle name="20% - Accent2 13 2 4 4 2" xfId="43571" xr:uid="{14084C7F-E5DA-482A-B8BB-DB38CD8B6885}"/>
    <cellStyle name="20% - Accent2 13 2 4 5" xfId="27692" xr:uid="{78275610-34E7-40F8-A1F7-8FB0B5B0498E}"/>
    <cellStyle name="20% - Accent2 13 2 5" xfId="5580" xr:uid="{00000000-0005-0000-0000-000097080000}"/>
    <cellStyle name="20% - Accent2 13 2 5 2" xfId="13563" xr:uid="{00000000-0005-0000-0000-000098080000}"/>
    <cellStyle name="20% - Accent2 13 2 5 2 2" xfId="37406" xr:uid="{0C702A0C-8BE4-4BE4-8C8E-3CE9B23D1129}"/>
    <cellStyle name="20% - Accent2 13 2 5 3" xfId="21511" xr:uid="{00000000-0005-0000-0000-000099080000}"/>
    <cellStyle name="20% - Accent2 13 2 5 3 2" xfId="45343" xr:uid="{876AEDD8-2109-48F3-BB64-8A4058856B37}"/>
    <cellStyle name="20% - Accent2 13 2 5 4" xfId="29465" xr:uid="{579F650E-5374-407F-BAA4-C7A013C6A1FF}"/>
    <cellStyle name="20% - Accent2 13 2 6" xfId="9132" xr:uid="{00000000-0005-0000-0000-00009A080000}"/>
    <cellStyle name="20% - Accent2 13 2 6 2" xfId="17090" xr:uid="{00000000-0005-0000-0000-00009B080000}"/>
    <cellStyle name="20% - Accent2 13 2 6 2 2" xfId="40930" xr:uid="{F5A2C394-97F8-4105-96C3-35CFE10C89ED}"/>
    <cellStyle name="20% - Accent2 13 2 6 3" xfId="25034" xr:uid="{00000000-0005-0000-0000-00009C080000}"/>
    <cellStyle name="20% - Accent2 13 2 6 3 2" xfId="48866" xr:uid="{0BA132A3-A4C2-49C9-B4EE-01E22FC231F5}"/>
    <cellStyle name="20% - Accent2 13 2 6 4" xfId="32989" xr:uid="{C69E6235-8479-41A7-9E79-F14C0FB06672}"/>
    <cellStyle name="20% - Accent2 13 2 7" xfId="10028" xr:uid="{00000000-0005-0000-0000-00009D080000}"/>
    <cellStyle name="20% - Accent2 13 2 7 2" xfId="33877" xr:uid="{F7E56A2B-CB2A-4992-8112-6442BD7A4DB6}"/>
    <cellStyle name="20% - Accent2 13 2 8" xfId="17983" xr:uid="{00000000-0005-0000-0000-00009E080000}"/>
    <cellStyle name="20% - Accent2 13 2 8 2" xfId="41815" xr:uid="{62C8459F-F04F-4FF6-9DE3-978F87F618D7}"/>
    <cellStyle name="20% - Accent2 13 2 9" xfId="25935" xr:uid="{568A96BB-7842-4977-B422-748E24F5DE09}"/>
    <cellStyle name="20% - Accent2 13 2_Exh G" xfId="2083" xr:uid="{00000000-0005-0000-0000-00009F080000}"/>
    <cellStyle name="20% - Accent2 13 3" xfId="88" xr:uid="{00000000-0005-0000-0000-0000A0080000}"/>
    <cellStyle name="20% - Accent2 13 3 2" xfId="1114" xr:uid="{00000000-0005-0000-0000-0000A1080000}"/>
    <cellStyle name="20% - Accent2 13 3 2 2" xfId="4641" xr:uid="{00000000-0005-0000-0000-0000A2080000}"/>
    <cellStyle name="20% - Accent2 13 3 2 2 2" xfId="8232" xr:uid="{00000000-0005-0000-0000-0000A3080000}"/>
    <cellStyle name="20% - Accent2 13 3 2 2 2 2" xfId="16202" xr:uid="{00000000-0005-0000-0000-0000A4080000}"/>
    <cellStyle name="20% - Accent2 13 3 2 2 2 2 2" xfId="40044" xr:uid="{6716D002-7393-4398-81EF-BEC32B859BB2}"/>
    <cellStyle name="20% - Accent2 13 3 2 2 2 3" xfId="24148" xr:uid="{00000000-0005-0000-0000-0000A5080000}"/>
    <cellStyle name="20% - Accent2 13 3 2 2 2 3 2" xfId="47980" xr:uid="{BCEC88FB-6B48-4B40-90ED-E625F4B9BFCD}"/>
    <cellStyle name="20% - Accent2 13 3 2 2 2 4" xfId="32103" xr:uid="{39DAE36D-6E56-40C3-A52F-34D37A6B64D1}"/>
    <cellStyle name="20% - Accent2 13 3 2 2 3" xfId="12664" xr:uid="{00000000-0005-0000-0000-0000A6080000}"/>
    <cellStyle name="20% - Accent2 13 3 2 2 3 2" xfId="36513" xr:uid="{2FB747D1-CEC9-4FE4-A9FC-DEE24B66A07E}"/>
    <cellStyle name="20% - Accent2 13 3 2 2 4" xfId="20619" xr:uid="{00000000-0005-0000-0000-0000A7080000}"/>
    <cellStyle name="20% - Accent2 13 3 2 2 4 2" xfId="44451" xr:uid="{53C2ACFF-17F3-4AE7-B6BA-9E3F05302536}"/>
    <cellStyle name="20% - Accent2 13 3 2 2 5" xfId="28572" xr:uid="{CB5ACD10-39FA-421C-88D5-E2CFE005EF96}"/>
    <cellStyle name="20% - Accent2 13 3 2 3" xfId="6473" xr:uid="{00000000-0005-0000-0000-0000A8080000}"/>
    <cellStyle name="20% - Accent2 13 3 2 3 2" xfId="14444" xr:uid="{00000000-0005-0000-0000-0000A9080000}"/>
    <cellStyle name="20% - Accent2 13 3 2 3 2 2" xfId="38286" xr:uid="{576DF8E7-5B11-474C-9D8F-DEBB045EB4D2}"/>
    <cellStyle name="20% - Accent2 13 3 2 3 3" xfId="22391" xr:uid="{00000000-0005-0000-0000-0000AA080000}"/>
    <cellStyle name="20% - Accent2 13 3 2 3 3 2" xfId="46223" xr:uid="{F5361A23-018B-46A1-940F-5CDA174C5C37}"/>
    <cellStyle name="20% - Accent2 13 3 2 3 4" xfId="30345" xr:uid="{0F9DBD44-C1F9-4800-A313-D85A3EDEC456}"/>
    <cellStyle name="20% - Accent2 13 3 2 4" xfId="10908" xr:uid="{00000000-0005-0000-0000-0000AB080000}"/>
    <cellStyle name="20% - Accent2 13 3 2 4 2" xfId="34757" xr:uid="{EEC45AF8-E411-4EEC-9BF3-A63F17D9B39F}"/>
    <cellStyle name="20% - Accent2 13 3 2 5" xfId="18863" xr:uid="{00000000-0005-0000-0000-0000AC080000}"/>
    <cellStyle name="20% - Accent2 13 3 2 5 2" xfId="42695" xr:uid="{86F6D109-AF59-40C4-B219-C44A3D309DB8}"/>
    <cellStyle name="20% - Accent2 13 3 2 6" xfId="26815" xr:uid="{00FB9279-8E7B-4676-999D-D3DD3A2CEA47}"/>
    <cellStyle name="20% - Accent2 13 3 2_Exh G" xfId="2088" xr:uid="{00000000-0005-0000-0000-0000AD080000}"/>
    <cellStyle name="20% - Accent2 13 3 3" xfId="3762" xr:uid="{00000000-0005-0000-0000-0000AE080000}"/>
    <cellStyle name="20% - Accent2 13 3 3 2" xfId="7354" xr:uid="{00000000-0005-0000-0000-0000AF080000}"/>
    <cellStyle name="20% - Accent2 13 3 3 2 2" xfId="15324" xr:uid="{00000000-0005-0000-0000-0000B0080000}"/>
    <cellStyle name="20% - Accent2 13 3 3 2 2 2" xfId="39166" xr:uid="{DCA9D86C-B9AA-49C0-9913-534707B48D32}"/>
    <cellStyle name="20% - Accent2 13 3 3 2 3" xfId="23270" xr:uid="{00000000-0005-0000-0000-0000B1080000}"/>
    <cellStyle name="20% - Accent2 13 3 3 2 3 2" xfId="47102" xr:uid="{A941008C-C9FB-42B3-88F5-21C1F8E7B95A}"/>
    <cellStyle name="20% - Accent2 13 3 3 2 4" xfId="31225" xr:uid="{35AA7F71-9177-4DCE-9660-5ABE4A9A760B}"/>
    <cellStyle name="20% - Accent2 13 3 3 3" xfId="11786" xr:uid="{00000000-0005-0000-0000-0000B2080000}"/>
    <cellStyle name="20% - Accent2 13 3 3 3 2" xfId="35635" xr:uid="{C5BABAAF-DD6E-4780-90E9-F1ECEA70C8F5}"/>
    <cellStyle name="20% - Accent2 13 3 3 4" xfId="19741" xr:uid="{00000000-0005-0000-0000-0000B3080000}"/>
    <cellStyle name="20% - Accent2 13 3 3 4 2" xfId="43573" xr:uid="{434000DF-6A36-408B-8D51-14F97942C2B2}"/>
    <cellStyle name="20% - Accent2 13 3 3 5" xfId="27694" xr:uid="{7D9A5179-44A6-4A0D-91E3-7C4DDD626B53}"/>
    <cellStyle name="20% - Accent2 13 3 4" xfId="5582" xr:uid="{00000000-0005-0000-0000-0000B4080000}"/>
    <cellStyle name="20% - Accent2 13 3 4 2" xfId="13565" xr:uid="{00000000-0005-0000-0000-0000B5080000}"/>
    <cellStyle name="20% - Accent2 13 3 4 2 2" xfId="37408" xr:uid="{4CC73FC4-BBDA-47B8-B3C4-7736FAD7C213}"/>
    <cellStyle name="20% - Accent2 13 3 4 3" xfId="21513" xr:uid="{00000000-0005-0000-0000-0000B6080000}"/>
    <cellStyle name="20% - Accent2 13 3 4 3 2" xfId="45345" xr:uid="{2DDC5FBF-F7C5-4BAE-BC4A-5EF06F62EE48}"/>
    <cellStyle name="20% - Accent2 13 3 4 4" xfId="29467" xr:uid="{87D53354-4535-4532-86D2-65F53CBC0508}"/>
    <cellStyle name="20% - Accent2 13 3 5" xfId="9134" xr:uid="{00000000-0005-0000-0000-0000B7080000}"/>
    <cellStyle name="20% - Accent2 13 3 5 2" xfId="17092" xr:uid="{00000000-0005-0000-0000-0000B8080000}"/>
    <cellStyle name="20% - Accent2 13 3 5 2 2" xfId="40932" xr:uid="{2BC10805-1682-48FB-9865-583D2E082318}"/>
    <cellStyle name="20% - Accent2 13 3 5 3" xfId="25036" xr:uid="{00000000-0005-0000-0000-0000B9080000}"/>
    <cellStyle name="20% - Accent2 13 3 5 3 2" xfId="48868" xr:uid="{CC9925F6-70D3-4521-BBC1-DA3757A76E14}"/>
    <cellStyle name="20% - Accent2 13 3 5 4" xfId="32991" xr:uid="{8B84A8F2-72E8-46C3-876E-180FBC8EACD4}"/>
    <cellStyle name="20% - Accent2 13 3 6" xfId="10030" xr:uid="{00000000-0005-0000-0000-0000BA080000}"/>
    <cellStyle name="20% - Accent2 13 3 6 2" xfId="33879" xr:uid="{79AAD0C0-AAE2-4697-A3C1-62A2CFEECC4F}"/>
    <cellStyle name="20% - Accent2 13 3 7" xfId="17985" xr:uid="{00000000-0005-0000-0000-0000BB080000}"/>
    <cellStyle name="20% - Accent2 13 3 7 2" xfId="41817" xr:uid="{6C0C8FFD-80F6-49A0-A6A4-A8178996D3C5}"/>
    <cellStyle name="20% - Accent2 13 3 8" xfId="25937" xr:uid="{108337D7-5AF1-4774-B90B-954CD226813F}"/>
    <cellStyle name="20% - Accent2 13 3_Exh G" xfId="2087" xr:uid="{00000000-0005-0000-0000-0000BC080000}"/>
    <cellStyle name="20% - Accent2 13 4" xfId="1111" xr:uid="{00000000-0005-0000-0000-0000BD080000}"/>
    <cellStyle name="20% - Accent2 13 4 2" xfId="4638" xr:uid="{00000000-0005-0000-0000-0000BE080000}"/>
    <cellStyle name="20% - Accent2 13 4 2 2" xfId="8229" xr:uid="{00000000-0005-0000-0000-0000BF080000}"/>
    <cellStyle name="20% - Accent2 13 4 2 2 2" xfId="16199" xr:uid="{00000000-0005-0000-0000-0000C0080000}"/>
    <cellStyle name="20% - Accent2 13 4 2 2 2 2" xfId="40041" xr:uid="{D2129FDF-F1D9-41E0-8BED-E1BAE4979DAC}"/>
    <cellStyle name="20% - Accent2 13 4 2 2 3" xfId="24145" xr:uid="{00000000-0005-0000-0000-0000C1080000}"/>
    <cellStyle name="20% - Accent2 13 4 2 2 3 2" xfId="47977" xr:uid="{EB63A0C5-E262-4B30-BA31-E347D6D32D88}"/>
    <cellStyle name="20% - Accent2 13 4 2 2 4" xfId="32100" xr:uid="{E500DDD0-5D03-4DAA-9775-E51091B6D56D}"/>
    <cellStyle name="20% - Accent2 13 4 2 3" xfId="12661" xr:uid="{00000000-0005-0000-0000-0000C2080000}"/>
    <cellStyle name="20% - Accent2 13 4 2 3 2" xfId="36510" xr:uid="{59F4DBEF-75CC-493A-849E-BF55DD0D2297}"/>
    <cellStyle name="20% - Accent2 13 4 2 4" xfId="20616" xr:uid="{00000000-0005-0000-0000-0000C3080000}"/>
    <cellStyle name="20% - Accent2 13 4 2 4 2" xfId="44448" xr:uid="{7A073476-6F5D-44BE-940A-5EBC2DCBECB9}"/>
    <cellStyle name="20% - Accent2 13 4 2 5" xfId="28569" xr:uid="{89385DB9-9568-4DA2-9727-8AC89455FB7C}"/>
    <cellStyle name="20% - Accent2 13 4 3" xfId="6470" xr:uid="{00000000-0005-0000-0000-0000C4080000}"/>
    <cellStyle name="20% - Accent2 13 4 3 2" xfId="14441" xr:uid="{00000000-0005-0000-0000-0000C5080000}"/>
    <cellStyle name="20% - Accent2 13 4 3 2 2" xfId="38283" xr:uid="{19FB687A-C949-41BA-814B-15CB364C167E}"/>
    <cellStyle name="20% - Accent2 13 4 3 3" xfId="22388" xr:uid="{00000000-0005-0000-0000-0000C6080000}"/>
    <cellStyle name="20% - Accent2 13 4 3 3 2" xfId="46220" xr:uid="{80B72399-743A-4D56-BE7A-39AFF6962042}"/>
    <cellStyle name="20% - Accent2 13 4 3 4" xfId="30342" xr:uid="{6BED423B-1DE4-4E01-BFD6-20270EF2490A}"/>
    <cellStyle name="20% - Accent2 13 4 4" xfId="10905" xr:uid="{00000000-0005-0000-0000-0000C7080000}"/>
    <cellStyle name="20% - Accent2 13 4 4 2" xfId="34754" xr:uid="{F984843B-D4B2-4B01-9936-FCEC2BD46FC2}"/>
    <cellStyle name="20% - Accent2 13 4 5" xfId="18860" xr:uid="{00000000-0005-0000-0000-0000C8080000}"/>
    <cellStyle name="20% - Accent2 13 4 5 2" xfId="42692" xr:uid="{8F4BFC8F-8D9A-4CF3-B1D9-5DBA0106DF13}"/>
    <cellStyle name="20% - Accent2 13 4 6" xfId="26812" xr:uid="{50DFBF94-B08F-4C79-9A01-106D1F9B0221}"/>
    <cellStyle name="20% - Accent2 13 4_Exh G" xfId="2089" xr:uid="{00000000-0005-0000-0000-0000C9080000}"/>
    <cellStyle name="20% - Accent2 13 5" xfId="3759" xr:uid="{00000000-0005-0000-0000-0000CA080000}"/>
    <cellStyle name="20% - Accent2 13 5 2" xfId="7351" xr:uid="{00000000-0005-0000-0000-0000CB080000}"/>
    <cellStyle name="20% - Accent2 13 5 2 2" xfId="15321" xr:uid="{00000000-0005-0000-0000-0000CC080000}"/>
    <cellStyle name="20% - Accent2 13 5 2 2 2" xfId="39163" xr:uid="{4196426C-5253-40F7-9124-1175E68B282B}"/>
    <cellStyle name="20% - Accent2 13 5 2 3" xfId="23267" xr:uid="{00000000-0005-0000-0000-0000CD080000}"/>
    <cellStyle name="20% - Accent2 13 5 2 3 2" xfId="47099" xr:uid="{929DF4FC-3CA5-409D-BF2F-E5CC9711B84A}"/>
    <cellStyle name="20% - Accent2 13 5 2 4" xfId="31222" xr:uid="{74FD9C90-5D15-4990-8601-21E86C53E9A5}"/>
    <cellStyle name="20% - Accent2 13 5 3" xfId="11783" xr:uid="{00000000-0005-0000-0000-0000CE080000}"/>
    <cellStyle name="20% - Accent2 13 5 3 2" xfId="35632" xr:uid="{74B472BD-5B0B-4EEF-AB41-48ADA4536726}"/>
    <cellStyle name="20% - Accent2 13 5 4" xfId="19738" xr:uid="{00000000-0005-0000-0000-0000CF080000}"/>
    <cellStyle name="20% - Accent2 13 5 4 2" xfId="43570" xr:uid="{91D840AD-87F0-411E-A8E0-4F3B88BA6BC6}"/>
    <cellStyle name="20% - Accent2 13 5 5" xfId="27691" xr:uid="{E655F3B8-6723-425C-BAD3-1A4393963CFE}"/>
    <cellStyle name="20% - Accent2 13 6" xfId="5579" xr:uid="{00000000-0005-0000-0000-0000D0080000}"/>
    <cellStyle name="20% - Accent2 13 6 2" xfId="13562" xr:uid="{00000000-0005-0000-0000-0000D1080000}"/>
    <cellStyle name="20% - Accent2 13 6 2 2" xfId="37405" xr:uid="{2FF69DDA-4B44-4201-93A6-BB4DECB0D703}"/>
    <cellStyle name="20% - Accent2 13 6 3" xfId="21510" xr:uid="{00000000-0005-0000-0000-0000D2080000}"/>
    <cellStyle name="20% - Accent2 13 6 3 2" xfId="45342" xr:uid="{FFF443F4-5347-423E-8F38-7FE505A503E2}"/>
    <cellStyle name="20% - Accent2 13 6 4" xfId="29464" xr:uid="{20FE7E71-CB35-4DA6-9051-19C8771F3434}"/>
    <cellStyle name="20% - Accent2 13 7" xfId="9131" xr:uid="{00000000-0005-0000-0000-0000D3080000}"/>
    <cellStyle name="20% - Accent2 13 7 2" xfId="17089" xr:uid="{00000000-0005-0000-0000-0000D4080000}"/>
    <cellStyle name="20% - Accent2 13 7 2 2" xfId="40929" xr:uid="{E774FD97-0584-4BDE-8BBC-07DD412DF488}"/>
    <cellStyle name="20% - Accent2 13 7 3" xfId="25033" xr:uid="{00000000-0005-0000-0000-0000D5080000}"/>
    <cellStyle name="20% - Accent2 13 7 3 2" xfId="48865" xr:uid="{B942FD7C-FDDB-4D46-BCC2-13DA936D10DC}"/>
    <cellStyle name="20% - Accent2 13 7 4" xfId="32988" xr:uid="{5D1664E9-6281-4A2D-8076-5B1AA7EF5C7F}"/>
    <cellStyle name="20% - Accent2 13 8" xfId="10027" xr:uid="{00000000-0005-0000-0000-0000D6080000}"/>
    <cellStyle name="20% - Accent2 13 8 2" xfId="33876" xr:uid="{7816787D-D425-43B3-A34C-0564376990F3}"/>
    <cellStyle name="20% - Accent2 13 9" xfId="17982" xr:uid="{00000000-0005-0000-0000-0000D7080000}"/>
    <cellStyle name="20% - Accent2 13 9 2" xfId="41814" xr:uid="{17173AAD-73D6-4DE2-A69B-B27120988BC1}"/>
    <cellStyle name="20% - Accent2 13_Exh G" xfId="2082" xr:uid="{00000000-0005-0000-0000-0000D8080000}"/>
    <cellStyle name="20% - Accent2 14" xfId="89" xr:uid="{00000000-0005-0000-0000-0000D9080000}"/>
    <cellStyle name="20% - Accent2 14 2" xfId="90" xr:uid="{00000000-0005-0000-0000-0000DA080000}"/>
    <cellStyle name="20% - Accent2 14 2 2" xfId="1116" xr:uid="{00000000-0005-0000-0000-0000DB080000}"/>
    <cellStyle name="20% - Accent2 14 2 2 2" xfId="4643" xr:uid="{00000000-0005-0000-0000-0000DC080000}"/>
    <cellStyle name="20% - Accent2 14 2 2 2 2" xfId="8234" xr:uid="{00000000-0005-0000-0000-0000DD080000}"/>
    <cellStyle name="20% - Accent2 14 2 2 2 2 2" xfId="16204" xr:uid="{00000000-0005-0000-0000-0000DE080000}"/>
    <cellStyle name="20% - Accent2 14 2 2 2 2 2 2" xfId="40046" xr:uid="{F94866CB-1C27-4244-8633-567CC39D7B19}"/>
    <cellStyle name="20% - Accent2 14 2 2 2 2 3" xfId="24150" xr:uid="{00000000-0005-0000-0000-0000DF080000}"/>
    <cellStyle name="20% - Accent2 14 2 2 2 2 3 2" xfId="47982" xr:uid="{052D2455-B639-4F82-9539-28F16BEE4CEF}"/>
    <cellStyle name="20% - Accent2 14 2 2 2 2 4" xfId="32105" xr:uid="{46760C0C-42CD-49B1-B4BA-E8DE55D5CE67}"/>
    <cellStyle name="20% - Accent2 14 2 2 2 3" xfId="12666" xr:uid="{00000000-0005-0000-0000-0000E0080000}"/>
    <cellStyle name="20% - Accent2 14 2 2 2 3 2" xfId="36515" xr:uid="{DA061CBE-0D8F-4124-A540-3DA479F00C1D}"/>
    <cellStyle name="20% - Accent2 14 2 2 2 4" xfId="20621" xr:uid="{00000000-0005-0000-0000-0000E1080000}"/>
    <cellStyle name="20% - Accent2 14 2 2 2 4 2" xfId="44453" xr:uid="{6B2ADE0E-0244-4961-8D1B-4E6632B25139}"/>
    <cellStyle name="20% - Accent2 14 2 2 2 5" xfId="28574" xr:uid="{0E233360-E67E-4C03-949D-85DB64566A8E}"/>
    <cellStyle name="20% - Accent2 14 2 2 3" xfId="6475" xr:uid="{00000000-0005-0000-0000-0000E2080000}"/>
    <cellStyle name="20% - Accent2 14 2 2 3 2" xfId="14446" xr:uid="{00000000-0005-0000-0000-0000E3080000}"/>
    <cellStyle name="20% - Accent2 14 2 2 3 2 2" xfId="38288" xr:uid="{A2D24AA5-6195-4379-97D3-0F140D2F1479}"/>
    <cellStyle name="20% - Accent2 14 2 2 3 3" xfId="22393" xr:uid="{00000000-0005-0000-0000-0000E4080000}"/>
    <cellStyle name="20% - Accent2 14 2 2 3 3 2" xfId="46225" xr:uid="{D404FDC8-6BFF-4B09-9AA3-0F0866B9032E}"/>
    <cellStyle name="20% - Accent2 14 2 2 3 4" xfId="30347" xr:uid="{9EB946BB-68D9-4D3B-8B9E-EB03F4F22A8F}"/>
    <cellStyle name="20% - Accent2 14 2 2 4" xfId="10910" xr:uid="{00000000-0005-0000-0000-0000E5080000}"/>
    <cellStyle name="20% - Accent2 14 2 2 4 2" xfId="34759" xr:uid="{1DB14AB3-CED7-4D7C-AACC-41C96DF352DB}"/>
    <cellStyle name="20% - Accent2 14 2 2 5" xfId="18865" xr:uid="{00000000-0005-0000-0000-0000E6080000}"/>
    <cellStyle name="20% - Accent2 14 2 2 5 2" xfId="42697" xr:uid="{604BCC70-FED9-4F81-9943-8E9430935204}"/>
    <cellStyle name="20% - Accent2 14 2 2 6" xfId="26817" xr:uid="{FB2F8571-9105-4D0E-8004-5BF73F152B98}"/>
    <cellStyle name="20% - Accent2 14 2 2_Exh G" xfId="2092" xr:uid="{00000000-0005-0000-0000-0000E7080000}"/>
    <cellStyle name="20% - Accent2 14 2 3" xfId="3764" xr:uid="{00000000-0005-0000-0000-0000E8080000}"/>
    <cellStyle name="20% - Accent2 14 2 3 2" xfId="7356" xr:uid="{00000000-0005-0000-0000-0000E9080000}"/>
    <cellStyle name="20% - Accent2 14 2 3 2 2" xfId="15326" xr:uid="{00000000-0005-0000-0000-0000EA080000}"/>
    <cellStyle name="20% - Accent2 14 2 3 2 2 2" xfId="39168" xr:uid="{68504B5D-3510-46DD-BEC0-DBBF320E07F0}"/>
    <cellStyle name="20% - Accent2 14 2 3 2 3" xfId="23272" xr:uid="{00000000-0005-0000-0000-0000EB080000}"/>
    <cellStyle name="20% - Accent2 14 2 3 2 3 2" xfId="47104" xr:uid="{20B83249-F88B-4A36-8E10-43708DE069C3}"/>
    <cellStyle name="20% - Accent2 14 2 3 2 4" xfId="31227" xr:uid="{C36DDF53-8797-4C1A-A4BB-3F794B093662}"/>
    <cellStyle name="20% - Accent2 14 2 3 3" xfId="11788" xr:uid="{00000000-0005-0000-0000-0000EC080000}"/>
    <cellStyle name="20% - Accent2 14 2 3 3 2" xfId="35637" xr:uid="{9F3AA41D-E9A4-4695-8140-E5BB0032A2E3}"/>
    <cellStyle name="20% - Accent2 14 2 3 4" xfId="19743" xr:uid="{00000000-0005-0000-0000-0000ED080000}"/>
    <cellStyle name="20% - Accent2 14 2 3 4 2" xfId="43575" xr:uid="{61CECD77-6061-46C4-AB97-CECCDBE35222}"/>
    <cellStyle name="20% - Accent2 14 2 3 5" xfId="27696" xr:uid="{9524F23A-A85D-4EED-A809-4B4762235C86}"/>
    <cellStyle name="20% - Accent2 14 2 4" xfId="5584" xr:uid="{00000000-0005-0000-0000-0000EE080000}"/>
    <cellStyle name="20% - Accent2 14 2 4 2" xfId="13567" xr:uid="{00000000-0005-0000-0000-0000EF080000}"/>
    <cellStyle name="20% - Accent2 14 2 4 2 2" xfId="37410" xr:uid="{2458676F-4D3F-42E5-8E8C-E7E5D8577F1D}"/>
    <cellStyle name="20% - Accent2 14 2 4 3" xfId="21515" xr:uid="{00000000-0005-0000-0000-0000F0080000}"/>
    <cellStyle name="20% - Accent2 14 2 4 3 2" xfId="45347" xr:uid="{02C20C9B-C27F-40E4-8431-6E76ADDAF4BF}"/>
    <cellStyle name="20% - Accent2 14 2 4 4" xfId="29469" xr:uid="{91C15FEA-74F2-4775-A876-3779031083B1}"/>
    <cellStyle name="20% - Accent2 14 2 5" xfId="9136" xr:uid="{00000000-0005-0000-0000-0000F1080000}"/>
    <cellStyle name="20% - Accent2 14 2 5 2" xfId="17094" xr:uid="{00000000-0005-0000-0000-0000F2080000}"/>
    <cellStyle name="20% - Accent2 14 2 5 2 2" xfId="40934" xr:uid="{F4C1AD27-8E8C-4AAE-B9BC-6868399C2551}"/>
    <cellStyle name="20% - Accent2 14 2 5 3" xfId="25038" xr:uid="{00000000-0005-0000-0000-0000F3080000}"/>
    <cellStyle name="20% - Accent2 14 2 5 3 2" xfId="48870" xr:uid="{1F6C1151-19C8-4982-88A1-60367C3F2FAA}"/>
    <cellStyle name="20% - Accent2 14 2 5 4" xfId="32993" xr:uid="{2326C91C-98A8-4D38-BBA3-5594A39821EE}"/>
    <cellStyle name="20% - Accent2 14 2 6" xfId="10032" xr:uid="{00000000-0005-0000-0000-0000F4080000}"/>
    <cellStyle name="20% - Accent2 14 2 6 2" xfId="33881" xr:uid="{7E24A471-D4DE-43B0-A352-D5ABCD94FC44}"/>
    <cellStyle name="20% - Accent2 14 2 7" xfId="17987" xr:uid="{00000000-0005-0000-0000-0000F5080000}"/>
    <cellStyle name="20% - Accent2 14 2 7 2" xfId="41819" xr:uid="{9D2FCB47-9ADA-4B50-992F-9652EB3DCB52}"/>
    <cellStyle name="20% - Accent2 14 2 8" xfId="25939" xr:uid="{8A6A1D89-B514-404D-B233-DA4F308AB532}"/>
    <cellStyle name="20% - Accent2 14 2_Exh G" xfId="2091" xr:uid="{00000000-0005-0000-0000-0000F6080000}"/>
    <cellStyle name="20% - Accent2 14 3" xfId="1115" xr:uid="{00000000-0005-0000-0000-0000F7080000}"/>
    <cellStyle name="20% - Accent2 14 3 2" xfId="4642" xr:uid="{00000000-0005-0000-0000-0000F8080000}"/>
    <cellStyle name="20% - Accent2 14 3 2 2" xfId="8233" xr:uid="{00000000-0005-0000-0000-0000F9080000}"/>
    <cellStyle name="20% - Accent2 14 3 2 2 2" xfId="16203" xr:uid="{00000000-0005-0000-0000-0000FA080000}"/>
    <cellStyle name="20% - Accent2 14 3 2 2 2 2" xfId="40045" xr:uid="{CFB09188-9F62-41A1-97C1-A583720D4A34}"/>
    <cellStyle name="20% - Accent2 14 3 2 2 3" xfId="24149" xr:uid="{00000000-0005-0000-0000-0000FB080000}"/>
    <cellStyle name="20% - Accent2 14 3 2 2 3 2" xfId="47981" xr:uid="{131940F8-114C-4459-A6F1-213C820AE9D0}"/>
    <cellStyle name="20% - Accent2 14 3 2 2 4" xfId="32104" xr:uid="{24A9058C-12B2-40A3-98CA-7767BD2D6B21}"/>
    <cellStyle name="20% - Accent2 14 3 2 3" xfId="12665" xr:uid="{00000000-0005-0000-0000-0000FC080000}"/>
    <cellStyle name="20% - Accent2 14 3 2 3 2" xfId="36514" xr:uid="{7DCA4A5C-8360-42AA-8D3C-46D09BBF3EBE}"/>
    <cellStyle name="20% - Accent2 14 3 2 4" xfId="20620" xr:uid="{00000000-0005-0000-0000-0000FD080000}"/>
    <cellStyle name="20% - Accent2 14 3 2 4 2" xfId="44452" xr:uid="{9247886A-95E0-4250-BD64-B10F7F133FD0}"/>
    <cellStyle name="20% - Accent2 14 3 2 5" xfId="28573" xr:uid="{EE10E683-993B-4E97-A1CE-8EFA5EF5D048}"/>
    <cellStyle name="20% - Accent2 14 3 3" xfId="6474" xr:uid="{00000000-0005-0000-0000-0000FE080000}"/>
    <cellStyle name="20% - Accent2 14 3 3 2" xfId="14445" xr:uid="{00000000-0005-0000-0000-0000FF080000}"/>
    <cellStyle name="20% - Accent2 14 3 3 2 2" xfId="38287" xr:uid="{4246929D-02D4-46CE-9B95-2363D57C2CB8}"/>
    <cellStyle name="20% - Accent2 14 3 3 3" xfId="22392" xr:uid="{00000000-0005-0000-0000-000000090000}"/>
    <cellStyle name="20% - Accent2 14 3 3 3 2" xfId="46224" xr:uid="{21CDAADA-9E47-47BF-B0D1-6F3CA79EC00F}"/>
    <cellStyle name="20% - Accent2 14 3 3 4" xfId="30346" xr:uid="{DF37BF46-685F-4BFD-BCBA-74154EDD231C}"/>
    <cellStyle name="20% - Accent2 14 3 4" xfId="10909" xr:uid="{00000000-0005-0000-0000-000001090000}"/>
    <cellStyle name="20% - Accent2 14 3 4 2" xfId="34758" xr:uid="{55270472-ADC2-47DC-9334-B06AF2E35B37}"/>
    <cellStyle name="20% - Accent2 14 3 5" xfId="18864" xr:uid="{00000000-0005-0000-0000-000002090000}"/>
    <cellStyle name="20% - Accent2 14 3 5 2" xfId="42696" xr:uid="{2719D107-8650-4F6A-BAAD-589DFBD8ADAF}"/>
    <cellStyle name="20% - Accent2 14 3 6" xfId="26816" xr:uid="{1E4EFAC9-4F3A-4EBA-B8FE-97E90E1E1D46}"/>
    <cellStyle name="20% - Accent2 14 3_Exh G" xfId="2093" xr:uid="{00000000-0005-0000-0000-000003090000}"/>
    <cellStyle name="20% - Accent2 14 4" xfId="3763" xr:uid="{00000000-0005-0000-0000-000004090000}"/>
    <cellStyle name="20% - Accent2 14 4 2" xfId="7355" xr:uid="{00000000-0005-0000-0000-000005090000}"/>
    <cellStyle name="20% - Accent2 14 4 2 2" xfId="15325" xr:uid="{00000000-0005-0000-0000-000006090000}"/>
    <cellStyle name="20% - Accent2 14 4 2 2 2" xfId="39167" xr:uid="{39CBBEF7-5B30-4BC8-843B-37112161B2B3}"/>
    <cellStyle name="20% - Accent2 14 4 2 3" xfId="23271" xr:uid="{00000000-0005-0000-0000-000007090000}"/>
    <cellStyle name="20% - Accent2 14 4 2 3 2" xfId="47103" xr:uid="{BC7F6283-B22E-41F4-ACC2-5E1CE28E0AD7}"/>
    <cellStyle name="20% - Accent2 14 4 2 4" xfId="31226" xr:uid="{8F22CED1-0014-47B6-871D-447A6480DD5C}"/>
    <cellStyle name="20% - Accent2 14 4 3" xfId="11787" xr:uid="{00000000-0005-0000-0000-000008090000}"/>
    <cellStyle name="20% - Accent2 14 4 3 2" xfId="35636" xr:uid="{DF25D89D-9559-4AEB-9C8B-CE8C29AA0C65}"/>
    <cellStyle name="20% - Accent2 14 4 4" xfId="19742" xr:uid="{00000000-0005-0000-0000-000009090000}"/>
    <cellStyle name="20% - Accent2 14 4 4 2" xfId="43574" xr:uid="{2F8AD000-6540-4898-A617-1F76D9DF2D62}"/>
    <cellStyle name="20% - Accent2 14 4 5" xfId="27695" xr:uid="{47462099-7FBF-4451-8D93-6400D2E37E64}"/>
    <cellStyle name="20% - Accent2 14 5" xfId="5583" xr:uid="{00000000-0005-0000-0000-00000A090000}"/>
    <cellStyle name="20% - Accent2 14 5 2" xfId="13566" xr:uid="{00000000-0005-0000-0000-00000B090000}"/>
    <cellStyle name="20% - Accent2 14 5 2 2" xfId="37409" xr:uid="{9006D200-BF9C-461F-8F2A-F400AB130A30}"/>
    <cellStyle name="20% - Accent2 14 5 3" xfId="21514" xr:uid="{00000000-0005-0000-0000-00000C090000}"/>
    <cellStyle name="20% - Accent2 14 5 3 2" xfId="45346" xr:uid="{9A5966D9-0ED6-4ACE-975E-D58BB4AC2632}"/>
    <cellStyle name="20% - Accent2 14 5 4" xfId="29468" xr:uid="{5DC05951-86DA-4FA7-9804-3F993DC6CE66}"/>
    <cellStyle name="20% - Accent2 14 6" xfId="9135" xr:uid="{00000000-0005-0000-0000-00000D090000}"/>
    <cellStyle name="20% - Accent2 14 6 2" xfId="17093" xr:uid="{00000000-0005-0000-0000-00000E090000}"/>
    <cellStyle name="20% - Accent2 14 6 2 2" xfId="40933" xr:uid="{E9A05DE2-5728-4791-8587-6EE47E775FB9}"/>
    <cellStyle name="20% - Accent2 14 6 3" xfId="25037" xr:uid="{00000000-0005-0000-0000-00000F090000}"/>
    <cellStyle name="20% - Accent2 14 6 3 2" xfId="48869" xr:uid="{296E8A67-6671-4EFB-9B81-DA1ACEDFB0C6}"/>
    <cellStyle name="20% - Accent2 14 6 4" xfId="32992" xr:uid="{529F54B8-E247-44C6-8302-E3D17E9DFE20}"/>
    <cellStyle name="20% - Accent2 14 7" xfId="10031" xr:uid="{00000000-0005-0000-0000-000010090000}"/>
    <cellStyle name="20% - Accent2 14 7 2" xfId="33880" xr:uid="{6381C96B-D9B2-4795-878A-71064B6FBDED}"/>
    <cellStyle name="20% - Accent2 14 8" xfId="17986" xr:uid="{00000000-0005-0000-0000-000011090000}"/>
    <cellStyle name="20% - Accent2 14 8 2" xfId="41818" xr:uid="{91550148-2700-4615-BD2D-D4A21F445864}"/>
    <cellStyle name="20% - Accent2 14 9" xfId="25938" xr:uid="{95DAEE8D-BC5C-4766-B461-0B8E37E92A4F}"/>
    <cellStyle name="20% - Accent2 14_Exh G" xfId="2090" xr:uid="{00000000-0005-0000-0000-000012090000}"/>
    <cellStyle name="20% - Accent2 15" xfId="91" xr:uid="{00000000-0005-0000-0000-000013090000}"/>
    <cellStyle name="20% - Accent2 15 2" xfId="1117" xr:uid="{00000000-0005-0000-0000-000014090000}"/>
    <cellStyle name="20% - Accent2 15 2 2" xfId="4644" xr:uid="{00000000-0005-0000-0000-000015090000}"/>
    <cellStyle name="20% - Accent2 15 2 2 2" xfId="8235" xr:uid="{00000000-0005-0000-0000-000016090000}"/>
    <cellStyle name="20% - Accent2 15 2 2 2 2" xfId="16205" xr:uid="{00000000-0005-0000-0000-000017090000}"/>
    <cellStyle name="20% - Accent2 15 2 2 2 2 2" xfId="40047" xr:uid="{F3CBAF79-91F7-4CBC-99B4-D67BD3B2F8A8}"/>
    <cellStyle name="20% - Accent2 15 2 2 2 3" xfId="24151" xr:uid="{00000000-0005-0000-0000-000018090000}"/>
    <cellStyle name="20% - Accent2 15 2 2 2 3 2" xfId="47983" xr:uid="{F532752E-A6AD-441E-8E2C-D94E5794D401}"/>
    <cellStyle name="20% - Accent2 15 2 2 2 4" xfId="32106" xr:uid="{E431BA6A-351A-482D-A65F-E1EBBF55A77F}"/>
    <cellStyle name="20% - Accent2 15 2 2 3" xfId="12667" xr:uid="{00000000-0005-0000-0000-000019090000}"/>
    <cellStyle name="20% - Accent2 15 2 2 3 2" xfId="36516" xr:uid="{8EF075D0-1118-42E2-8128-9CC9280337B4}"/>
    <cellStyle name="20% - Accent2 15 2 2 4" xfId="20622" xr:uid="{00000000-0005-0000-0000-00001A090000}"/>
    <cellStyle name="20% - Accent2 15 2 2 4 2" xfId="44454" xr:uid="{528A845E-DD5C-4C59-8CE6-C77A0640ED50}"/>
    <cellStyle name="20% - Accent2 15 2 2 5" xfId="28575" xr:uid="{AC7E528B-2860-4890-BFFE-D4BDB89402E3}"/>
    <cellStyle name="20% - Accent2 15 2 3" xfId="6476" xr:uid="{00000000-0005-0000-0000-00001B090000}"/>
    <cellStyle name="20% - Accent2 15 2 3 2" xfId="14447" xr:uid="{00000000-0005-0000-0000-00001C090000}"/>
    <cellStyle name="20% - Accent2 15 2 3 2 2" xfId="38289" xr:uid="{F81CEDE9-9812-4BA0-B882-E1EF5B4E0540}"/>
    <cellStyle name="20% - Accent2 15 2 3 3" xfId="22394" xr:uid="{00000000-0005-0000-0000-00001D090000}"/>
    <cellStyle name="20% - Accent2 15 2 3 3 2" xfId="46226" xr:uid="{77F017F1-C0AA-41A8-88D7-CF2ED1823DD7}"/>
    <cellStyle name="20% - Accent2 15 2 3 4" xfId="30348" xr:uid="{23AA6F0E-A058-4BAD-A7B4-7DA35CA31350}"/>
    <cellStyle name="20% - Accent2 15 2 4" xfId="10911" xr:uid="{00000000-0005-0000-0000-00001E090000}"/>
    <cellStyle name="20% - Accent2 15 2 4 2" xfId="34760" xr:uid="{ACF5D73D-FC92-4AF4-82CD-F3A39D78CE60}"/>
    <cellStyle name="20% - Accent2 15 2 5" xfId="18866" xr:uid="{00000000-0005-0000-0000-00001F090000}"/>
    <cellStyle name="20% - Accent2 15 2 5 2" xfId="42698" xr:uid="{04118BA3-3D21-47FF-9A5B-2D068C29063B}"/>
    <cellStyle name="20% - Accent2 15 2 6" xfId="26818" xr:uid="{E4275F01-DD3F-4B27-B143-932F00D41885}"/>
    <cellStyle name="20% - Accent2 15 2_Exh G" xfId="2095" xr:uid="{00000000-0005-0000-0000-000020090000}"/>
    <cellStyle name="20% - Accent2 15 3" xfId="3765" xr:uid="{00000000-0005-0000-0000-000021090000}"/>
    <cellStyle name="20% - Accent2 15 3 2" xfId="7357" xr:uid="{00000000-0005-0000-0000-000022090000}"/>
    <cellStyle name="20% - Accent2 15 3 2 2" xfId="15327" xr:uid="{00000000-0005-0000-0000-000023090000}"/>
    <cellStyle name="20% - Accent2 15 3 2 2 2" xfId="39169" xr:uid="{001FC855-4AF5-4812-887C-E4123D8D01D1}"/>
    <cellStyle name="20% - Accent2 15 3 2 3" xfId="23273" xr:uid="{00000000-0005-0000-0000-000024090000}"/>
    <cellStyle name="20% - Accent2 15 3 2 3 2" xfId="47105" xr:uid="{1ED05611-80F6-477F-AD1B-E8EA8E64BA63}"/>
    <cellStyle name="20% - Accent2 15 3 2 4" xfId="31228" xr:uid="{B306A7FB-6E4F-4163-96A0-DFB7C2CD26DC}"/>
    <cellStyle name="20% - Accent2 15 3 3" xfId="11789" xr:uid="{00000000-0005-0000-0000-000025090000}"/>
    <cellStyle name="20% - Accent2 15 3 3 2" xfId="35638" xr:uid="{67CE3A4B-CD23-4FFC-A57D-948EE35AB6C7}"/>
    <cellStyle name="20% - Accent2 15 3 4" xfId="19744" xr:uid="{00000000-0005-0000-0000-000026090000}"/>
    <cellStyle name="20% - Accent2 15 3 4 2" xfId="43576" xr:uid="{64AB6DF5-483F-44B5-B30D-33F5935ECA79}"/>
    <cellStyle name="20% - Accent2 15 3 5" xfId="27697" xr:uid="{D513E091-016C-4150-A716-666CA1B44B77}"/>
    <cellStyle name="20% - Accent2 15 4" xfId="5585" xr:uid="{00000000-0005-0000-0000-000027090000}"/>
    <cellStyle name="20% - Accent2 15 4 2" xfId="13568" xr:uid="{00000000-0005-0000-0000-000028090000}"/>
    <cellStyle name="20% - Accent2 15 4 2 2" xfId="37411" xr:uid="{40AA3E76-4017-4DD3-A2FB-B68849CFB825}"/>
    <cellStyle name="20% - Accent2 15 4 3" xfId="21516" xr:uid="{00000000-0005-0000-0000-000029090000}"/>
    <cellStyle name="20% - Accent2 15 4 3 2" xfId="45348" xr:uid="{38FC74B0-FDD5-4739-9B6A-B8F1A821F257}"/>
    <cellStyle name="20% - Accent2 15 4 4" xfId="29470" xr:uid="{B905AADA-BB3B-4A62-B46E-7029D255C878}"/>
    <cellStyle name="20% - Accent2 15 5" xfId="9137" xr:uid="{00000000-0005-0000-0000-00002A090000}"/>
    <cellStyle name="20% - Accent2 15 5 2" xfId="17095" xr:uid="{00000000-0005-0000-0000-00002B090000}"/>
    <cellStyle name="20% - Accent2 15 5 2 2" xfId="40935" xr:uid="{F6649381-9BA6-4047-8669-5738C08FDEB3}"/>
    <cellStyle name="20% - Accent2 15 5 3" xfId="25039" xr:uid="{00000000-0005-0000-0000-00002C090000}"/>
    <cellStyle name="20% - Accent2 15 5 3 2" xfId="48871" xr:uid="{D784FB9D-9DB1-489D-8122-A03271A72CD2}"/>
    <cellStyle name="20% - Accent2 15 5 4" xfId="32994" xr:uid="{265B7E53-F7EA-4625-BA13-D8859178AF37}"/>
    <cellStyle name="20% - Accent2 15 6" xfId="10033" xr:uid="{00000000-0005-0000-0000-00002D090000}"/>
    <cellStyle name="20% - Accent2 15 6 2" xfId="33882" xr:uid="{A9B29B9F-5BD0-44A0-A85F-A1BCDE5E4D21}"/>
    <cellStyle name="20% - Accent2 15 7" xfId="17988" xr:uid="{00000000-0005-0000-0000-00002E090000}"/>
    <cellStyle name="20% - Accent2 15 7 2" xfId="41820" xr:uid="{43DE55EE-C114-4D60-BD3A-AEBDF72D6D5D}"/>
    <cellStyle name="20% - Accent2 15 8" xfId="25940" xr:uid="{9B62E8BD-D01B-44F3-8246-E09ED7F2AA55}"/>
    <cellStyle name="20% - Accent2 15_Exh G" xfId="2094" xr:uid="{00000000-0005-0000-0000-00002F090000}"/>
    <cellStyle name="20% - Accent2 16" xfId="841" xr:uid="{00000000-0005-0000-0000-000030090000}"/>
    <cellStyle name="20% - Accent2 16 2" xfId="1776" xr:uid="{00000000-0005-0000-0000-000031090000}"/>
    <cellStyle name="20% - Accent2 16 2 2" xfId="5296" xr:uid="{00000000-0005-0000-0000-000032090000}"/>
    <cellStyle name="20% - Accent2 16 2 2 2" xfId="8887" xr:uid="{00000000-0005-0000-0000-000033090000}"/>
    <cellStyle name="20% - Accent2 16 2 2 2 2" xfId="16857" xr:uid="{00000000-0005-0000-0000-000034090000}"/>
    <cellStyle name="20% - Accent2 16 2 2 2 2 2" xfId="40699" xr:uid="{6B5167F6-640A-4646-98B2-F77A2744DF27}"/>
    <cellStyle name="20% - Accent2 16 2 2 2 3" xfId="24803" xr:uid="{00000000-0005-0000-0000-000035090000}"/>
    <cellStyle name="20% - Accent2 16 2 2 2 3 2" xfId="48635" xr:uid="{E4AFC725-3A99-484C-B60F-2E97F8E498C8}"/>
    <cellStyle name="20% - Accent2 16 2 2 2 4" xfId="32758" xr:uid="{70891E5C-628E-415F-9C29-6A1BD29F41CB}"/>
    <cellStyle name="20% - Accent2 16 2 2 3" xfId="13319" xr:uid="{00000000-0005-0000-0000-000036090000}"/>
    <cellStyle name="20% - Accent2 16 2 2 3 2" xfId="37168" xr:uid="{E015548F-3BAA-4A50-A1B9-59CDC8EA302C}"/>
    <cellStyle name="20% - Accent2 16 2 2 4" xfId="21274" xr:uid="{00000000-0005-0000-0000-000037090000}"/>
    <cellStyle name="20% - Accent2 16 2 2 4 2" xfId="45106" xr:uid="{B467A9D2-2288-47B1-B142-B828C67D3C0B}"/>
    <cellStyle name="20% - Accent2 16 2 2 5" xfId="29227" xr:uid="{D96D2F2A-4BDC-45AA-9798-889A79F40C47}"/>
    <cellStyle name="20% - Accent2 16 2 3" xfId="7128" xr:uid="{00000000-0005-0000-0000-000038090000}"/>
    <cellStyle name="20% - Accent2 16 2 3 2" xfId="15099" xr:uid="{00000000-0005-0000-0000-000039090000}"/>
    <cellStyle name="20% - Accent2 16 2 3 2 2" xfId="38941" xr:uid="{01779BD4-5FB8-42C2-BB1E-14C7A8177F27}"/>
    <cellStyle name="20% - Accent2 16 2 3 3" xfId="23046" xr:uid="{00000000-0005-0000-0000-00003A090000}"/>
    <cellStyle name="20% - Accent2 16 2 3 3 2" xfId="46878" xr:uid="{D12B392C-CEE4-4974-8561-F207C6F903A6}"/>
    <cellStyle name="20% - Accent2 16 2 3 4" xfId="31000" xr:uid="{D07867FD-0535-4BF6-A40E-B35814814B44}"/>
    <cellStyle name="20% - Accent2 16 2 4" xfId="11563" xr:uid="{00000000-0005-0000-0000-00003B090000}"/>
    <cellStyle name="20% - Accent2 16 2 4 2" xfId="35412" xr:uid="{C0D10362-BE1B-4A52-A511-4E974144E743}"/>
    <cellStyle name="20% - Accent2 16 2 5" xfId="19518" xr:uid="{00000000-0005-0000-0000-00003C090000}"/>
    <cellStyle name="20% - Accent2 16 2 5 2" xfId="43350" xr:uid="{CCE0283F-4431-49AA-B5E5-88591A4AF6B4}"/>
    <cellStyle name="20% - Accent2 16 2 6" xfId="27470" xr:uid="{419BE7D4-5073-483D-9E3A-A0EBE5D0E6BD}"/>
    <cellStyle name="20% - Accent2 16 2_Exh G" xfId="2097" xr:uid="{00000000-0005-0000-0000-00003D090000}"/>
    <cellStyle name="20% - Accent2 16 3" xfId="4417" xr:uid="{00000000-0005-0000-0000-00003E090000}"/>
    <cellStyle name="20% - Accent2 16 3 2" xfId="8009" xr:uid="{00000000-0005-0000-0000-00003F090000}"/>
    <cellStyle name="20% - Accent2 16 3 2 2" xfId="15979" xr:uid="{00000000-0005-0000-0000-000040090000}"/>
    <cellStyle name="20% - Accent2 16 3 2 2 2" xfId="39821" xr:uid="{AB993AF4-A918-410A-B696-4F9609BFD1A5}"/>
    <cellStyle name="20% - Accent2 16 3 2 3" xfId="23925" xr:uid="{00000000-0005-0000-0000-000041090000}"/>
    <cellStyle name="20% - Accent2 16 3 2 3 2" xfId="47757" xr:uid="{C8BFD86E-65AA-4E58-9224-09B7B5AA1A6E}"/>
    <cellStyle name="20% - Accent2 16 3 2 4" xfId="31880" xr:uid="{0F55B395-377C-4043-89CB-619B667848A5}"/>
    <cellStyle name="20% - Accent2 16 3 3" xfId="12441" xr:uid="{00000000-0005-0000-0000-000042090000}"/>
    <cellStyle name="20% - Accent2 16 3 3 2" xfId="36290" xr:uid="{32F66E6A-FDCA-4DBC-A1E2-552874290F79}"/>
    <cellStyle name="20% - Accent2 16 3 4" xfId="20396" xr:uid="{00000000-0005-0000-0000-000043090000}"/>
    <cellStyle name="20% - Accent2 16 3 4 2" xfId="44228" xr:uid="{22922669-505A-4547-93C7-235AE16C8CE8}"/>
    <cellStyle name="20% - Accent2 16 3 5" xfId="28349" xr:uid="{BC1D0BFB-0437-4A9D-8BE1-E8E8780FCDB8}"/>
    <cellStyle name="20% - Accent2 16 4" xfId="6247" xr:uid="{00000000-0005-0000-0000-000044090000}"/>
    <cellStyle name="20% - Accent2 16 4 2" xfId="14221" xr:uid="{00000000-0005-0000-0000-000045090000}"/>
    <cellStyle name="20% - Accent2 16 4 2 2" xfId="38063" xr:uid="{414207EF-EEB2-4CFC-87FA-54793439B276}"/>
    <cellStyle name="20% - Accent2 16 4 3" xfId="22168" xr:uid="{00000000-0005-0000-0000-000046090000}"/>
    <cellStyle name="20% - Accent2 16 4 3 2" xfId="46000" xr:uid="{E3DF8871-B86A-4E9A-882C-B615687C37B1}"/>
    <cellStyle name="20% - Accent2 16 4 4" xfId="30122" xr:uid="{86A0C5F8-4C14-4355-AAFB-F0C48A4448A8}"/>
    <cellStyle name="20% - Accent2 16 5" xfId="9789" xr:uid="{00000000-0005-0000-0000-000047090000}"/>
    <cellStyle name="20% - Accent2 16 5 2" xfId="17747" xr:uid="{00000000-0005-0000-0000-000048090000}"/>
    <cellStyle name="20% - Accent2 16 5 2 2" xfId="41587" xr:uid="{5C43ABB8-4CA8-42FE-92CA-41D1EC30319B}"/>
    <cellStyle name="20% - Accent2 16 5 3" xfId="25691" xr:uid="{00000000-0005-0000-0000-000049090000}"/>
    <cellStyle name="20% - Accent2 16 5 3 2" xfId="49523" xr:uid="{9358ABEA-B740-4765-95DE-93D6100DE68E}"/>
    <cellStyle name="20% - Accent2 16 5 4" xfId="33646" xr:uid="{E852A7C1-D02F-4027-9705-C62103022656}"/>
    <cellStyle name="20% - Accent2 16 6" xfId="10685" xr:uid="{00000000-0005-0000-0000-00004A090000}"/>
    <cellStyle name="20% - Accent2 16 6 2" xfId="34534" xr:uid="{14FACD26-A376-4D5A-AC45-4E468ABCD987}"/>
    <cellStyle name="20% - Accent2 16 7" xfId="18640" xr:uid="{00000000-0005-0000-0000-00004B090000}"/>
    <cellStyle name="20% - Accent2 16 7 2" xfId="42472" xr:uid="{CD32E002-6D38-4361-A31C-85E46E2E8878}"/>
    <cellStyle name="20% - Accent2 16 8" xfId="26592" xr:uid="{05D09AED-372E-4987-BE54-7D3F61535D76}"/>
    <cellStyle name="20% - Accent2 16_Exh G" xfId="2096" xr:uid="{00000000-0005-0000-0000-00004C090000}"/>
    <cellStyle name="20% - Accent2 17" xfId="49785" xr:uid="{4EA6636B-C334-4ADA-B3CB-2D061A0EA5F7}"/>
    <cellStyle name="20% - Accent2 18" xfId="49825" xr:uid="{5E272441-C727-4E64-8C64-1AA74DACAC2B}"/>
    <cellStyle name="20% - Accent2 2" xfId="92" xr:uid="{00000000-0005-0000-0000-00004D090000}"/>
    <cellStyle name="20% - Accent2 2 10" xfId="17989" xr:uid="{00000000-0005-0000-0000-00004E090000}"/>
    <cellStyle name="20% - Accent2 2 10 2" xfId="41821" xr:uid="{31D6298C-143C-4A5C-9BCB-558C9841609D}"/>
    <cellStyle name="20% - Accent2 2 11" xfId="25941" xr:uid="{0168BF12-BF8D-4057-984A-CD3BCF609A5C}"/>
    <cellStyle name="20% - Accent2 2 12" xfId="49770" xr:uid="{4962DD1E-A98E-4B5C-BB81-6DB015CCF39F}"/>
    <cellStyle name="20% - Accent2 2 13" xfId="49798" xr:uid="{51AB3F9F-C239-4278-A4F8-72E29BD372DC}"/>
    <cellStyle name="20% - Accent2 2 14" xfId="49839" xr:uid="{6179E35A-8423-402B-A005-8C69CED0649E}"/>
    <cellStyle name="20% - Accent2 2 2" xfId="93" xr:uid="{00000000-0005-0000-0000-00004F090000}"/>
    <cellStyle name="20% - Accent2 2 2 10" xfId="25942" xr:uid="{BC0F7A98-DDD4-4CF4-AD24-2790E008D62F}"/>
    <cellStyle name="20% - Accent2 2 2 2" xfId="94" xr:uid="{00000000-0005-0000-0000-000050090000}"/>
    <cellStyle name="20% - Accent2 2 2 2 2" xfId="1120" xr:uid="{00000000-0005-0000-0000-000051090000}"/>
    <cellStyle name="20% - Accent2 2 2 2 2 2" xfId="4647" xr:uid="{00000000-0005-0000-0000-000052090000}"/>
    <cellStyle name="20% - Accent2 2 2 2 2 2 2" xfId="8238" xr:uid="{00000000-0005-0000-0000-000053090000}"/>
    <cellStyle name="20% - Accent2 2 2 2 2 2 2 2" xfId="16208" xr:uid="{00000000-0005-0000-0000-000054090000}"/>
    <cellStyle name="20% - Accent2 2 2 2 2 2 2 2 2" xfId="40050" xr:uid="{01296FB3-B098-4AFD-88CA-8D2A6E611FDF}"/>
    <cellStyle name="20% - Accent2 2 2 2 2 2 2 3" xfId="24154" xr:uid="{00000000-0005-0000-0000-000055090000}"/>
    <cellStyle name="20% - Accent2 2 2 2 2 2 2 3 2" xfId="47986" xr:uid="{315DF634-E3C6-45B0-B1CF-6CAFAFD3AC22}"/>
    <cellStyle name="20% - Accent2 2 2 2 2 2 2 4" xfId="32109" xr:uid="{8B4D9C88-A8AA-45AD-91DA-42916756FF6D}"/>
    <cellStyle name="20% - Accent2 2 2 2 2 2 3" xfId="12670" xr:uid="{00000000-0005-0000-0000-000056090000}"/>
    <cellStyle name="20% - Accent2 2 2 2 2 2 3 2" xfId="36519" xr:uid="{511A3E73-BFF4-490F-A930-622FB1604D86}"/>
    <cellStyle name="20% - Accent2 2 2 2 2 2 4" xfId="20625" xr:uid="{00000000-0005-0000-0000-000057090000}"/>
    <cellStyle name="20% - Accent2 2 2 2 2 2 4 2" xfId="44457" xr:uid="{26C3C5FE-E3E1-4D42-94CC-0EBE0D3DBC68}"/>
    <cellStyle name="20% - Accent2 2 2 2 2 2 5" xfId="28578" xr:uid="{44F0B204-24BF-4F31-BF02-2676BE9B373F}"/>
    <cellStyle name="20% - Accent2 2 2 2 2 3" xfId="6479" xr:uid="{00000000-0005-0000-0000-000058090000}"/>
    <cellStyle name="20% - Accent2 2 2 2 2 3 2" xfId="14450" xr:uid="{00000000-0005-0000-0000-000059090000}"/>
    <cellStyle name="20% - Accent2 2 2 2 2 3 2 2" xfId="38292" xr:uid="{F8D57828-A0B8-4261-8E0C-EDC1F0C3177C}"/>
    <cellStyle name="20% - Accent2 2 2 2 2 3 3" xfId="22397" xr:uid="{00000000-0005-0000-0000-00005A090000}"/>
    <cellStyle name="20% - Accent2 2 2 2 2 3 3 2" xfId="46229" xr:uid="{D3DFCDCD-7B75-4BF0-A6CB-CFE64EC2725A}"/>
    <cellStyle name="20% - Accent2 2 2 2 2 3 4" xfId="30351" xr:uid="{8A6CA0C4-1BCF-4EA6-9093-B147A51E53EB}"/>
    <cellStyle name="20% - Accent2 2 2 2 2 4" xfId="10914" xr:uid="{00000000-0005-0000-0000-00005B090000}"/>
    <cellStyle name="20% - Accent2 2 2 2 2 4 2" xfId="34763" xr:uid="{64804109-30FD-47C4-BF5D-533413D45CB2}"/>
    <cellStyle name="20% - Accent2 2 2 2 2 5" xfId="18869" xr:uid="{00000000-0005-0000-0000-00005C090000}"/>
    <cellStyle name="20% - Accent2 2 2 2 2 5 2" xfId="42701" xr:uid="{932F370C-0AF0-499A-BB78-C0A09C15DD85}"/>
    <cellStyle name="20% - Accent2 2 2 2 2 6" xfId="26821" xr:uid="{70C5BF1F-71A6-48D2-AADD-EF33E24DE10B}"/>
    <cellStyle name="20% - Accent2 2 2 2 2_Exh G" xfId="2101" xr:uid="{00000000-0005-0000-0000-00005D090000}"/>
    <cellStyle name="20% - Accent2 2 2 2 3" xfId="3768" xr:uid="{00000000-0005-0000-0000-00005E090000}"/>
    <cellStyle name="20% - Accent2 2 2 2 3 2" xfId="7360" xr:uid="{00000000-0005-0000-0000-00005F090000}"/>
    <cellStyle name="20% - Accent2 2 2 2 3 2 2" xfId="15330" xr:uid="{00000000-0005-0000-0000-000060090000}"/>
    <cellStyle name="20% - Accent2 2 2 2 3 2 2 2" xfId="39172" xr:uid="{255ADC1B-C161-49E0-BB24-4C8A9E26ED4B}"/>
    <cellStyle name="20% - Accent2 2 2 2 3 2 3" xfId="23276" xr:uid="{00000000-0005-0000-0000-000061090000}"/>
    <cellStyle name="20% - Accent2 2 2 2 3 2 3 2" xfId="47108" xr:uid="{3E93AEB6-C098-485E-A43E-32937D2EA59B}"/>
    <cellStyle name="20% - Accent2 2 2 2 3 2 4" xfId="31231" xr:uid="{38E64546-1071-42F3-A853-89A936E9D027}"/>
    <cellStyle name="20% - Accent2 2 2 2 3 3" xfId="11792" xr:uid="{00000000-0005-0000-0000-000062090000}"/>
    <cellStyle name="20% - Accent2 2 2 2 3 3 2" xfId="35641" xr:uid="{94FE0F94-3E1A-46F3-A9FA-057C55F9F5AF}"/>
    <cellStyle name="20% - Accent2 2 2 2 3 4" xfId="19747" xr:uid="{00000000-0005-0000-0000-000063090000}"/>
    <cellStyle name="20% - Accent2 2 2 2 3 4 2" xfId="43579" xr:uid="{3102E853-0BAE-4E1E-BBB5-AA9A6A5663BC}"/>
    <cellStyle name="20% - Accent2 2 2 2 3 5" xfId="27700" xr:uid="{AE56C487-5D83-49E1-BDD4-876A89D10840}"/>
    <cellStyle name="20% - Accent2 2 2 2 4" xfId="5588" xr:uid="{00000000-0005-0000-0000-000064090000}"/>
    <cellStyle name="20% - Accent2 2 2 2 4 2" xfId="13571" xr:uid="{00000000-0005-0000-0000-000065090000}"/>
    <cellStyle name="20% - Accent2 2 2 2 4 2 2" xfId="37414" xr:uid="{0ECDB4C4-C23E-4833-82C7-597CC0494463}"/>
    <cellStyle name="20% - Accent2 2 2 2 4 3" xfId="21519" xr:uid="{00000000-0005-0000-0000-000066090000}"/>
    <cellStyle name="20% - Accent2 2 2 2 4 3 2" xfId="45351" xr:uid="{42E9C925-BD7E-4183-94AD-51DA29AA5A57}"/>
    <cellStyle name="20% - Accent2 2 2 2 4 4" xfId="29473" xr:uid="{5427FFC9-D7C1-4528-A16D-8964B031BD48}"/>
    <cellStyle name="20% - Accent2 2 2 2 5" xfId="9140" xr:uid="{00000000-0005-0000-0000-000067090000}"/>
    <cellStyle name="20% - Accent2 2 2 2 5 2" xfId="17098" xr:uid="{00000000-0005-0000-0000-000068090000}"/>
    <cellStyle name="20% - Accent2 2 2 2 5 2 2" xfId="40938" xr:uid="{69FCB6E1-BC42-44B0-A8A3-CFC5A25569E1}"/>
    <cellStyle name="20% - Accent2 2 2 2 5 3" xfId="25042" xr:uid="{00000000-0005-0000-0000-000069090000}"/>
    <cellStyle name="20% - Accent2 2 2 2 5 3 2" xfId="48874" xr:uid="{4ABF78A2-592F-44C1-95B5-0A5084ECE2D4}"/>
    <cellStyle name="20% - Accent2 2 2 2 5 4" xfId="32997" xr:uid="{5BE4F90C-E6FB-4019-8F4F-2C908085A037}"/>
    <cellStyle name="20% - Accent2 2 2 2 6" xfId="10036" xr:uid="{00000000-0005-0000-0000-00006A090000}"/>
    <cellStyle name="20% - Accent2 2 2 2 6 2" xfId="33885" xr:uid="{7CB95DFD-E6AE-4587-A628-4CE001A88ABA}"/>
    <cellStyle name="20% - Accent2 2 2 2 7" xfId="17991" xr:uid="{00000000-0005-0000-0000-00006B090000}"/>
    <cellStyle name="20% - Accent2 2 2 2 7 2" xfId="41823" xr:uid="{60529DC0-29F8-4473-BEDA-D1A9E71EAB42}"/>
    <cellStyle name="20% - Accent2 2 2 2 8" xfId="25943" xr:uid="{75C046BA-CF20-4492-846E-E0E4791D52EA}"/>
    <cellStyle name="20% - Accent2 2 2 2_Exh G" xfId="2100" xr:uid="{00000000-0005-0000-0000-00006C090000}"/>
    <cellStyle name="20% - Accent2 2 2 3" xfId="873" xr:uid="{00000000-0005-0000-0000-00006D090000}"/>
    <cellStyle name="20% - Accent2 2 2 3 2" xfId="1803" xr:uid="{00000000-0005-0000-0000-00006E090000}"/>
    <cellStyle name="20% - Accent2 2 2 3 2 2" xfId="5320" xr:uid="{00000000-0005-0000-0000-00006F090000}"/>
    <cellStyle name="20% - Accent2 2 2 3 2 2 2" xfId="8911" xr:uid="{00000000-0005-0000-0000-000070090000}"/>
    <cellStyle name="20% - Accent2 2 2 3 2 2 2 2" xfId="16881" xr:uid="{00000000-0005-0000-0000-000071090000}"/>
    <cellStyle name="20% - Accent2 2 2 3 2 2 2 2 2" xfId="40723" xr:uid="{C1A3508B-6900-43A4-86D9-881CFE9485F2}"/>
    <cellStyle name="20% - Accent2 2 2 3 2 2 2 3" xfId="24827" xr:uid="{00000000-0005-0000-0000-000072090000}"/>
    <cellStyle name="20% - Accent2 2 2 3 2 2 2 3 2" xfId="48659" xr:uid="{9485495B-7EDB-4648-85EC-7CE60E0917DF}"/>
    <cellStyle name="20% - Accent2 2 2 3 2 2 2 4" xfId="32782" xr:uid="{260BDEAA-4F38-48E1-B584-5E67C82D0D91}"/>
    <cellStyle name="20% - Accent2 2 2 3 2 2 3" xfId="13343" xr:uid="{00000000-0005-0000-0000-000073090000}"/>
    <cellStyle name="20% - Accent2 2 2 3 2 2 3 2" xfId="37192" xr:uid="{0D5AFAF2-B660-4B46-827D-B93E347C9A69}"/>
    <cellStyle name="20% - Accent2 2 2 3 2 2 4" xfId="21298" xr:uid="{00000000-0005-0000-0000-000074090000}"/>
    <cellStyle name="20% - Accent2 2 2 3 2 2 4 2" xfId="45130" xr:uid="{71F470C7-A4BE-4532-9C4B-60F14A3B44F3}"/>
    <cellStyle name="20% - Accent2 2 2 3 2 2 5" xfId="29251" xr:uid="{2954EA88-8BA2-44C4-9A12-2E2D3E41F750}"/>
    <cellStyle name="20% - Accent2 2 2 3 2 3" xfId="7152" xr:uid="{00000000-0005-0000-0000-000075090000}"/>
    <cellStyle name="20% - Accent2 2 2 3 2 3 2" xfId="15123" xr:uid="{00000000-0005-0000-0000-000076090000}"/>
    <cellStyle name="20% - Accent2 2 2 3 2 3 2 2" xfId="38965" xr:uid="{EE425FEF-BF68-4235-81F1-B7A965E15BFF}"/>
    <cellStyle name="20% - Accent2 2 2 3 2 3 3" xfId="23070" xr:uid="{00000000-0005-0000-0000-000077090000}"/>
    <cellStyle name="20% - Accent2 2 2 3 2 3 3 2" xfId="46902" xr:uid="{7586F0C1-1E71-4F35-B40F-EAE15BD7E02A}"/>
    <cellStyle name="20% - Accent2 2 2 3 2 3 4" xfId="31024" xr:uid="{85108F0B-C059-4D69-ABE0-F2C2CC57CBE9}"/>
    <cellStyle name="20% - Accent2 2 2 3 2 4" xfId="11587" xr:uid="{00000000-0005-0000-0000-000078090000}"/>
    <cellStyle name="20% - Accent2 2 2 3 2 4 2" xfId="35436" xr:uid="{BE78169D-D52F-40AD-BDF9-F6747EAB4A65}"/>
    <cellStyle name="20% - Accent2 2 2 3 2 5" xfId="19542" xr:uid="{00000000-0005-0000-0000-000079090000}"/>
    <cellStyle name="20% - Accent2 2 2 3 2 5 2" xfId="43374" xr:uid="{F2DF711D-0F82-4B61-A881-5022DCB24A01}"/>
    <cellStyle name="20% - Accent2 2 2 3 2 6" xfId="27494" xr:uid="{18F8F47A-560A-4AD5-9B63-24179297847D}"/>
    <cellStyle name="20% - Accent2 2 2 3 2_Exh G" xfId="2103" xr:uid="{00000000-0005-0000-0000-00007A090000}"/>
    <cellStyle name="20% - Accent2 2 2 3 3" xfId="4441" xr:uid="{00000000-0005-0000-0000-00007B090000}"/>
    <cellStyle name="20% - Accent2 2 2 3 3 2" xfId="8033" xr:uid="{00000000-0005-0000-0000-00007C090000}"/>
    <cellStyle name="20% - Accent2 2 2 3 3 2 2" xfId="16003" xr:uid="{00000000-0005-0000-0000-00007D090000}"/>
    <cellStyle name="20% - Accent2 2 2 3 3 2 2 2" xfId="39845" xr:uid="{45311173-F03F-4AC9-A1FE-774A1AC8CE22}"/>
    <cellStyle name="20% - Accent2 2 2 3 3 2 3" xfId="23949" xr:uid="{00000000-0005-0000-0000-00007E090000}"/>
    <cellStyle name="20% - Accent2 2 2 3 3 2 3 2" xfId="47781" xr:uid="{5B43EC0E-CA5F-4850-B97B-F8A7EB582F95}"/>
    <cellStyle name="20% - Accent2 2 2 3 3 2 4" xfId="31904" xr:uid="{2ADC6FA2-68CC-49BA-A386-F8A305CB8447}"/>
    <cellStyle name="20% - Accent2 2 2 3 3 3" xfId="12465" xr:uid="{00000000-0005-0000-0000-00007F090000}"/>
    <cellStyle name="20% - Accent2 2 2 3 3 3 2" xfId="36314" xr:uid="{3BB032EB-540C-48E3-AB6E-8F94F4149AC0}"/>
    <cellStyle name="20% - Accent2 2 2 3 3 4" xfId="20420" xr:uid="{00000000-0005-0000-0000-000080090000}"/>
    <cellStyle name="20% - Accent2 2 2 3 3 4 2" xfId="44252" xr:uid="{4BF269F6-EBB0-48BB-8C45-B283E527AE7D}"/>
    <cellStyle name="20% - Accent2 2 2 3 3 5" xfId="28373" xr:uid="{9B61F414-4427-404A-8E9A-E4D0F9D01C46}"/>
    <cellStyle name="20% - Accent2 2 2 3 4" xfId="6271" xr:uid="{00000000-0005-0000-0000-000081090000}"/>
    <cellStyle name="20% - Accent2 2 2 3 4 2" xfId="14245" xr:uid="{00000000-0005-0000-0000-000082090000}"/>
    <cellStyle name="20% - Accent2 2 2 3 4 2 2" xfId="38087" xr:uid="{C6DF676B-34BE-4C67-BBE3-96BEAC0D6672}"/>
    <cellStyle name="20% - Accent2 2 2 3 4 3" xfId="22192" xr:uid="{00000000-0005-0000-0000-000083090000}"/>
    <cellStyle name="20% - Accent2 2 2 3 4 3 2" xfId="46024" xr:uid="{919A4AE0-0099-4B81-9267-D7E1123A1F95}"/>
    <cellStyle name="20% - Accent2 2 2 3 4 4" xfId="30146" xr:uid="{107FD317-CC10-4B8D-B09B-47412D9C6D15}"/>
    <cellStyle name="20% - Accent2 2 2 3 5" xfId="9813" xr:uid="{00000000-0005-0000-0000-000084090000}"/>
    <cellStyle name="20% - Accent2 2 2 3 5 2" xfId="17771" xr:uid="{00000000-0005-0000-0000-000085090000}"/>
    <cellStyle name="20% - Accent2 2 2 3 5 2 2" xfId="41611" xr:uid="{32BF9799-D721-4A61-94B3-0B3DE485485D}"/>
    <cellStyle name="20% - Accent2 2 2 3 5 3" xfId="25715" xr:uid="{00000000-0005-0000-0000-000086090000}"/>
    <cellStyle name="20% - Accent2 2 2 3 5 3 2" xfId="49547" xr:uid="{67BBC0A6-BAEC-4134-9254-A1560C8E3C1B}"/>
    <cellStyle name="20% - Accent2 2 2 3 5 4" xfId="33670" xr:uid="{CDA60CC9-5848-421B-A692-EF3B3A85188C}"/>
    <cellStyle name="20% - Accent2 2 2 3 6" xfId="10709" xr:uid="{00000000-0005-0000-0000-000087090000}"/>
    <cellStyle name="20% - Accent2 2 2 3 6 2" xfId="34558" xr:uid="{EAC6A21B-A7C9-4378-B168-D4CEE1DC1D36}"/>
    <cellStyle name="20% - Accent2 2 2 3 7" xfId="18664" xr:uid="{00000000-0005-0000-0000-000088090000}"/>
    <cellStyle name="20% - Accent2 2 2 3 7 2" xfId="42496" xr:uid="{C601EE66-6FF3-4EEE-8CA5-539792011199}"/>
    <cellStyle name="20% - Accent2 2 2 3 8" xfId="26616" xr:uid="{6A1CACF0-A163-48CA-9116-993A4D883801}"/>
    <cellStyle name="20% - Accent2 2 2 3_Exh G" xfId="2102" xr:uid="{00000000-0005-0000-0000-000089090000}"/>
    <cellStyle name="20% - Accent2 2 2 4" xfId="1119" xr:uid="{00000000-0005-0000-0000-00008A090000}"/>
    <cellStyle name="20% - Accent2 2 2 4 2" xfId="4646" xr:uid="{00000000-0005-0000-0000-00008B090000}"/>
    <cellStyle name="20% - Accent2 2 2 4 2 2" xfId="8237" xr:uid="{00000000-0005-0000-0000-00008C090000}"/>
    <cellStyle name="20% - Accent2 2 2 4 2 2 2" xfId="16207" xr:uid="{00000000-0005-0000-0000-00008D090000}"/>
    <cellStyle name="20% - Accent2 2 2 4 2 2 2 2" xfId="40049" xr:uid="{DA2A9FA9-1898-4D51-AEF2-0B1A7E21663B}"/>
    <cellStyle name="20% - Accent2 2 2 4 2 2 3" xfId="24153" xr:uid="{00000000-0005-0000-0000-00008E090000}"/>
    <cellStyle name="20% - Accent2 2 2 4 2 2 3 2" xfId="47985" xr:uid="{521B4E99-8170-484B-BF22-952A3DA5337F}"/>
    <cellStyle name="20% - Accent2 2 2 4 2 2 4" xfId="32108" xr:uid="{992B17C9-00EF-4873-AAB1-94135DE1C1FA}"/>
    <cellStyle name="20% - Accent2 2 2 4 2 3" xfId="12669" xr:uid="{00000000-0005-0000-0000-00008F090000}"/>
    <cellStyle name="20% - Accent2 2 2 4 2 3 2" xfId="36518" xr:uid="{CC855AC9-7BAB-4FFD-9D0F-B897571AC908}"/>
    <cellStyle name="20% - Accent2 2 2 4 2 4" xfId="20624" xr:uid="{00000000-0005-0000-0000-000090090000}"/>
    <cellStyle name="20% - Accent2 2 2 4 2 4 2" xfId="44456" xr:uid="{0D594234-88D0-4E3B-9E05-43EE0C11ABBD}"/>
    <cellStyle name="20% - Accent2 2 2 4 2 5" xfId="28577" xr:uid="{895BDDE4-DC5D-44F8-9BE9-E410E1BB76F0}"/>
    <cellStyle name="20% - Accent2 2 2 4 3" xfId="6478" xr:uid="{00000000-0005-0000-0000-000091090000}"/>
    <cellStyle name="20% - Accent2 2 2 4 3 2" xfId="14449" xr:uid="{00000000-0005-0000-0000-000092090000}"/>
    <cellStyle name="20% - Accent2 2 2 4 3 2 2" xfId="38291" xr:uid="{06E4C057-BD9B-43DE-9518-127BF934C10F}"/>
    <cellStyle name="20% - Accent2 2 2 4 3 3" xfId="22396" xr:uid="{00000000-0005-0000-0000-000093090000}"/>
    <cellStyle name="20% - Accent2 2 2 4 3 3 2" xfId="46228" xr:uid="{D0CFFB02-1C73-46AC-B566-7450244BC078}"/>
    <cellStyle name="20% - Accent2 2 2 4 3 4" xfId="30350" xr:uid="{4737871F-7173-4A1E-B825-D3885F0FA66F}"/>
    <cellStyle name="20% - Accent2 2 2 4 4" xfId="10913" xr:uid="{00000000-0005-0000-0000-000094090000}"/>
    <cellStyle name="20% - Accent2 2 2 4 4 2" xfId="34762" xr:uid="{258C5833-E30A-4E87-9409-3F0AFCDBBED6}"/>
    <cellStyle name="20% - Accent2 2 2 4 5" xfId="18868" xr:uid="{00000000-0005-0000-0000-000095090000}"/>
    <cellStyle name="20% - Accent2 2 2 4 5 2" xfId="42700" xr:uid="{111163BD-DDA0-4F98-84FB-0C6B54D75060}"/>
    <cellStyle name="20% - Accent2 2 2 4 6" xfId="26820" xr:uid="{4D11E403-14D7-461D-97D4-36FBE80040BB}"/>
    <cellStyle name="20% - Accent2 2 2 4_Exh G" xfId="2104" xr:uid="{00000000-0005-0000-0000-000096090000}"/>
    <cellStyle name="20% - Accent2 2 2 5" xfId="3767" xr:uid="{00000000-0005-0000-0000-000097090000}"/>
    <cellStyle name="20% - Accent2 2 2 5 2" xfId="7359" xr:uid="{00000000-0005-0000-0000-000098090000}"/>
    <cellStyle name="20% - Accent2 2 2 5 2 2" xfId="15329" xr:uid="{00000000-0005-0000-0000-000099090000}"/>
    <cellStyle name="20% - Accent2 2 2 5 2 2 2" xfId="39171" xr:uid="{6400269A-6D60-4CB4-A543-6C74DBB06E4A}"/>
    <cellStyle name="20% - Accent2 2 2 5 2 3" xfId="23275" xr:uid="{00000000-0005-0000-0000-00009A090000}"/>
    <cellStyle name="20% - Accent2 2 2 5 2 3 2" xfId="47107" xr:uid="{395B70B8-2217-4770-9C49-163CDB5F3DFC}"/>
    <cellStyle name="20% - Accent2 2 2 5 2 4" xfId="31230" xr:uid="{EC6F15C1-3876-427F-818E-4D4FAE8418B7}"/>
    <cellStyle name="20% - Accent2 2 2 5 3" xfId="11791" xr:uid="{00000000-0005-0000-0000-00009B090000}"/>
    <cellStyle name="20% - Accent2 2 2 5 3 2" xfId="35640" xr:uid="{4213D3C0-CCF8-4704-B898-94E2C45B8BF9}"/>
    <cellStyle name="20% - Accent2 2 2 5 4" xfId="19746" xr:uid="{00000000-0005-0000-0000-00009C090000}"/>
    <cellStyle name="20% - Accent2 2 2 5 4 2" xfId="43578" xr:uid="{DA66DF40-295A-402F-91A4-D2BA636947F9}"/>
    <cellStyle name="20% - Accent2 2 2 5 5" xfId="27699" xr:uid="{F70C9346-0685-468E-8404-F1201BBE7A77}"/>
    <cellStyle name="20% - Accent2 2 2 6" xfId="5587" xr:uid="{00000000-0005-0000-0000-00009D090000}"/>
    <cellStyle name="20% - Accent2 2 2 6 2" xfId="13570" xr:uid="{00000000-0005-0000-0000-00009E090000}"/>
    <cellStyle name="20% - Accent2 2 2 6 2 2" xfId="37413" xr:uid="{E0B2EFCA-707C-4E44-8F8A-D889C5BA5080}"/>
    <cellStyle name="20% - Accent2 2 2 6 3" xfId="21518" xr:uid="{00000000-0005-0000-0000-00009F090000}"/>
    <cellStyle name="20% - Accent2 2 2 6 3 2" xfId="45350" xr:uid="{A8F98910-206E-4CE4-BAD7-9C11480F3D41}"/>
    <cellStyle name="20% - Accent2 2 2 6 4" xfId="29472" xr:uid="{1CCA26D2-653C-411A-B9E6-5D2F1A718846}"/>
    <cellStyle name="20% - Accent2 2 2 7" xfId="9139" xr:uid="{00000000-0005-0000-0000-0000A0090000}"/>
    <cellStyle name="20% - Accent2 2 2 7 2" xfId="17097" xr:uid="{00000000-0005-0000-0000-0000A1090000}"/>
    <cellStyle name="20% - Accent2 2 2 7 2 2" xfId="40937" xr:uid="{A6F86335-A022-480E-9883-74F3B742AA22}"/>
    <cellStyle name="20% - Accent2 2 2 7 3" xfId="25041" xr:uid="{00000000-0005-0000-0000-0000A2090000}"/>
    <cellStyle name="20% - Accent2 2 2 7 3 2" xfId="48873" xr:uid="{429AA5BC-B8F0-4039-B1D5-61108DB6CF91}"/>
    <cellStyle name="20% - Accent2 2 2 7 4" xfId="32996" xr:uid="{61DB9849-E8B4-43DF-B126-02AF15C41894}"/>
    <cellStyle name="20% - Accent2 2 2 8" xfId="10035" xr:uid="{00000000-0005-0000-0000-0000A3090000}"/>
    <cellStyle name="20% - Accent2 2 2 8 2" xfId="33884" xr:uid="{052E7F99-45AF-4B63-B3C1-8E8CCBA6A36A}"/>
    <cellStyle name="20% - Accent2 2 2 9" xfId="17990" xr:uid="{00000000-0005-0000-0000-0000A4090000}"/>
    <cellStyle name="20% - Accent2 2 2 9 2" xfId="41822" xr:uid="{9E4AEFF8-D412-48C7-A7BF-57BFD5437F71}"/>
    <cellStyle name="20% - Accent2 2 2_Exh G" xfId="2099" xr:uid="{00000000-0005-0000-0000-0000A5090000}"/>
    <cellStyle name="20% - Accent2 2 3" xfId="95" xr:uid="{00000000-0005-0000-0000-0000A6090000}"/>
    <cellStyle name="20% - Accent2 2 3 2" xfId="1121" xr:uid="{00000000-0005-0000-0000-0000A7090000}"/>
    <cellStyle name="20% - Accent2 2 3 2 2" xfId="4648" xr:uid="{00000000-0005-0000-0000-0000A8090000}"/>
    <cellStyle name="20% - Accent2 2 3 2 2 2" xfId="8239" xr:uid="{00000000-0005-0000-0000-0000A9090000}"/>
    <cellStyle name="20% - Accent2 2 3 2 2 2 2" xfId="16209" xr:uid="{00000000-0005-0000-0000-0000AA090000}"/>
    <cellStyle name="20% - Accent2 2 3 2 2 2 2 2" xfId="40051" xr:uid="{91D089FF-7485-43A9-932B-CC4FC2ED0495}"/>
    <cellStyle name="20% - Accent2 2 3 2 2 2 3" xfId="24155" xr:uid="{00000000-0005-0000-0000-0000AB090000}"/>
    <cellStyle name="20% - Accent2 2 3 2 2 2 3 2" xfId="47987" xr:uid="{C068EA44-2B95-48FA-A97F-A375185CE09C}"/>
    <cellStyle name="20% - Accent2 2 3 2 2 2 4" xfId="32110" xr:uid="{1909C751-AC92-4B1A-8608-1468E337F93C}"/>
    <cellStyle name="20% - Accent2 2 3 2 2 3" xfId="12671" xr:uid="{00000000-0005-0000-0000-0000AC090000}"/>
    <cellStyle name="20% - Accent2 2 3 2 2 3 2" xfId="36520" xr:uid="{903E00E3-13CC-4BF0-9BB4-F2BFA002970C}"/>
    <cellStyle name="20% - Accent2 2 3 2 2 4" xfId="20626" xr:uid="{00000000-0005-0000-0000-0000AD090000}"/>
    <cellStyle name="20% - Accent2 2 3 2 2 4 2" xfId="44458" xr:uid="{C900C358-A7A6-4E79-A969-1429217F0791}"/>
    <cellStyle name="20% - Accent2 2 3 2 2 5" xfId="28579" xr:uid="{1C13B172-4189-4A4D-85BC-27188A2EE52D}"/>
    <cellStyle name="20% - Accent2 2 3 2 3" xfId="6480" xr:uid="{00000000-0005-0000-0000-0000AE090000}"/>
    <cellStyle name="20% - Accent2 2 3 2 3 2" xfId="14451" xr:uid="{00000000-0005-0000-0000-0000AF090000}"/>
    <cellStyle name="20% - Accent2 2 3 2 3 2 2" xfId="38293" xr:uid="{7DBFF511-469B-4AAC-9687-AD433BFD7186}"/>
    <cellStyle name="20% - Accent2 2 3 2 3 3" xfId="22398" xr:uid="{00000000-0005-0000-0000-0000B0090000}"/>
    <cellStyle name="20% - Accent2 2 3 2 3 3 2" xfId="46230" xr:uid="{BFFA5E92-180B-4F7B-B457-08C36F301AE3}"/>
    <cellStyle name="20% - Accent2 2 3 2 3 4" xfId="30352" xr:uid="{B6355A2B-82C8-4EFD-A8DE-F9EBC8EE807A}"/>
    <cellStyle name="20% - Accent2 2 3 2 4" xfId="10915" xr:uid="{00000000-0005-0000-0000-0000B1090000}"/>
    <cellStyle name="20% - Accent2 2 3 2 4 2" xfId="34764" xr:uid="{9C182585-56C9-43A2-B473-CFD24B0B9430}"/>
    <cellStyle name="20% - Accent2 2 3 2 5" xfId="18870" xr:uid="{00000000-0005-0000-0000-0000B2090000}"/>
    <cellStyle name="20% - Accent2 2 3 2 5 2" xfId="42702" xr:uid="{089CD9AD-01D7-4593-8513-F30F5489D78B}"/>
    <cellStyle name="20% - Accent2 2 3 2 6" xfId="26822" xr:uid="{6EC70B1B-D281-489D-A245-D22086ED9D85}"/>
    <cellStyle name="20% - Accent2 2 3 2_Exh G" xfId="2106" xr:uid="{00000000-0005-0000-0000-0000B3090000}"/>
    <cellStyle name="20% - Accent2 2 3 3" xfId="3769" xr:uid="{00000000-0005-0000-0000-0000B4090000}"/>
    <cellStyle name="20% - Accent2 2 3 3 2" xfId="7361" xr:uid="{00000000-0005-0000-0000-0000B5090000}"/>
    <cellStyle name="20% - Accent2 2 3 3 2 2" xfId="15331" xr:uid="{00000000-0005-0000-0000-0000B6090000}"/>
    <cellStyle name="20% - Accent2 2 3 3 2 2 2" xfId="39173" xr:uid="{52C19177-9A20-4CBC-92A4-5F53AC18AA62}"/>
    <cellStyle name="20% - Accent2 2 3 3 2 3" xfId="23277" xr:uid="{00000000-0005-0000-0000-0000B7090000}"/>
    <cellStyle name="20% - Accent2 2 3 3 2 3 2" xfId="47109" xr:uid="{6A8ACDE0-2735-4F85-9FC5-0C527F0B079E}"/>
    <cellStyle name="20% - Accent2 2 3 3 2 4" xfId="31232" xr:uid="{C6404840-D8DA-49C3-9119-5864D115371E}"/>
    <cellStyle name="20% - Accent2 2 3 3 3" xfId="11793" xr:uid="{00000000-0005-0000-0000-0000B8090000}"/>
    <cellStyle name="20% - Accent2 2 3 3 3 2" xfId="35642" xr:uid="{BAF3ECA0-58D4-4E7D-9941-506F3E738AB4}"/>
    <cellStyle name="20% - Accent2 2 3 3 4" xfId="19748" xr:uid="{00000000-0005-0000-0000-0000B9090000}"/>
    <cellStyle name="20% - Accent2 2 3 3 4 2" xfId="43580" xr:uid="{7FD1C30B-2BD4-4BB4-942A-9E84D3912759}"/>
    <cellStyle name="20% - Accent2 2 3 3 5" xfId="27701" xr:uid="{881136C6-06F5-43D0-AD00-C494F2BE583A}"/>
    <cellStyle name="20% - Accent2 2 3 4" xfId="5589" xr:uid="{00000000-0005-0000-0000-0000BA090000}"/>
    <cellStyle name="20% - Accent2 2 3 4 2" xfId="13572" xr:uid="{00000000-0005-0000-0000-0000BB090000}"/>
    <cellStyle name="20% - Accent2 2 3 4 2 2" xfId="37415" xr:uid="{2340A8EC-8AB3-4F9B-BBBB-4EAE3CE7727A}"/>
    <cellStyle name="20% - Accent2 2 3 4 3" xfId="21520" xr:uid="{00000000-0005-0000-0000-0000BC090000}"/>
    <cellStyle name="20% - Accent2 2 3 4 3 2" xfId="45352" xr:uid="{AD7BC1FB-140D-4D9C-8145-1D8854B739EB}"/>
    <cellStyle name="20% - Accent2 2 3 4 4" xfId="29474" xr:uid="{F067DEAC-4943-4099-A080-4EB6ADE53422}"/>
    <cellStyle name="20% - Accent2 2 3 5" xfId="9141" xr:uid="{00000000-0005-0000-0000-0000BD090000}"/>
    <cellStyle name="20% - Accent2 2 3 5 2" xfId="17099" xr:uid="{00000000-0005-0000-0000-0000BE090000}"/>
    <cellStyle name="20% - Accent2 2 3 5 2 2" xfId="40939" xr:uid="{0A9E2876-4B89-460C-8E9E-8BB915DF3E91}"/>
    <cellStyle name="20% - Accent2 2 3 5 3" xfId="25043" xr:uid="{00000000-0005-0000-0000-0000BF090000}"/>
    <cellStyle name="20% - Accent2 2 3 5 3 2" xfId="48875" xr:uid="{B166943A-8759-4C28-83EB-1E128EF890D5}"/>
    <cellStyle name="20% - Accent2 2 3 5 4" xfId="32998" xr:uid="{8F55E208-7368-4AB6-9C5D-F40F38CB6A08}"/>
    <cellStyle name="20% - Accent2 2 3 6" xfId="10037" xr:uid="{00000000-0005-0000-0000-0000C0090000}"/>
    <cellStyle name="20% - Accent2 2 3 6 2" xfId="33886" xr:uid="{552D1D5C-5688-4ED5-9FD6-54933DCA878C}"/>
    <cellStyle name="20% - Accent2 2 3 7" xfId="17992" xr:uid="{00000000-0005-0000-0000-0000C1090000}"/>
    <cellStyle name="20% - Accent2 2 3 7 2" xfId="41824" xr:uid="{1650662F-6557-478D-9133-F332D94A273C}"/>
    <cellStyle name="20% - Accent2 2 3 8" xfId="25944" xr:uid="{A2658F5C-DFC1-4645-B1A9-A4C983344987}"/>
    <cellStyle name="20% - Accent2 2 3_Exh G" xfId="2105" xr:uid="{00000000-0005-0000-0000-0000C2090000}"/>
    <cellStyle name="20% - Accent2 2 4" xfId="872" xr:uid="{00000000-0005-0000-0000-0000C3090000}"/>
    <cellStyle name="20% - Accent2 2 4 2" xfId="1802" xr:uid="{00000000-0005-0000-0000-0000C4090000}"/>
    <cellStyle name="20% - Accent2 2 4 2 2" xfId="5319" xr:uid="{00000000-0005-0000-0000-0000C5090000}"/>
    <cellStyle name="20% - Accent2 2 4 2 2 2" xfId="8910" xr:uid="{00000000-0005-0000-0000-0000C6090000}"/>
    <cellStyle name="20% - Accent2 2 4 2 2 2 2" xfId="16880" xr:uid="{00000000-0005-0000-0000-0000C7090000}"/>
    <cellStyle name="20% - Accent2 2 4 2 2 2 2 2" xfId="40722" xr:uid="{783115BC-2E53-491C-847F-2E2BAECAA5D4}"/>
    <cellStyle name="20% - Accent2 2 4 2 2 2 3" xfId="24826" xr:uid="{00000000-0005-0000-0000-0000C8090000}"/>
    <cellStyle name="20% - Accent2 2 4 2 2 2 3 2" xfId="48658" xr:uid="{1BDACCED-7929-4127-A30C-AEFE4483224B}"/>
    <cellStyle name="20% - Accent2 2 4 2 2 2 4" xfId="32781" xr:uid="{C563A5F4-2E56-43BF-882F-3109021E66A3}"/>
    <cellStyle name="20% - Accent2 2 4 2 2 3" xfId="13342" xr:uid="{00000000-0005-0000-0000-0000C9090000}"/>
    <cellStyle name="20% - Accent2 2 4 2 2 3 2" xfId="37191" xr:uid="{F728A5CC-1AA8-4C3D-BB46-EC2C40789357}"/>
    <cellStyle name="20% - Accent2 2 4 2 2 4" xfId="21297" xr:uid="{00000000-0005-0000-0000-0000CA090000}"/>
    <cellStyle name="20% - Accent2 2 4 2 2 4 2" xfId="45129" xr:uid="{7E838F90-DDFE-4EE0-891C-34BED0BCC20A}"/>
    <cellStyle name="20% - Accent2 2 4 2 2 5" xfId="29250" xr:uid="{7A004A85-B6F8-4B40-95A0-BBE581F3E2FA}"/>
    <cellStyle name="20% - Accent2 2 4 2 3" xfId="7151" xr:uid="{00000000-0005-0000-0000-0000CB090000}"/>
    <cellStyle name="20% - Accent2 2 4 2 3 2" xfId="15122" xr:uid="{00000000-0005-0000-0000-0000CC090000}"/>
    <cellStyle name="20% - Accent2 2 4 2 3 2 2" xfId="38964" xr:uid="{F3A5450E-9347-4EDF-A7F6-89316CB26F17}"/>
    <cellStyle name="20% - Accent2 2 4 2 3 3" xfId="23069" xr:uid="{00000000-0005-0000-0000-0000CD090000}"/>
    <cellStyle name="20% - Accent2 2 4 2 3 3 2" xfId="46901" xr:uid="{61620C5B-C708-4F32-80AB-05F783D0FC10}"/>
    <cellStyle name="20% - Accent2 2 4 2 3 4" xfId="31023" xr:uid="{AF79688B-F862-4362-BC19-24716EBAE3B4}"/>
    <cellStyle name="20% - Accent2 2 4 2 4" xfId="11586" xr:uid="{00000000-0005-0000-0000-0000CE090000}"/>
    <cellStyle name="20% - Accent2 2 4 2 4 2" xfId="35435" xr:uid="{1DA5B527-6DFA-4426-8245-2B3E7C94A43E}"/>
    <cellStyle name="20% - Accent2 2 4 2 5" xfId="19541" xr:uid="{00000000-0005-0000-0000-0000CF090000}"/>
    <cellStyle name="20% - Accent2 2 4 2 5 2" xfId="43373" xr:uid="{24F984F5-C8B4-420B-8A79-B91D748850D3}"/>
    <cellStyle name="20% - Accent2 2 4 2 6" xfId="27493" xr:uid="{03C95B09-6F85-46FB-BB44-9A82DF2C00C3}"/>
    <cellStyle name="20% - Accent2 2 4 2_Exh G" xfId="2108" xr:uid="{00000000-0005-0000-0000-0000D0090000}"/>
    <cellStyle name="20% - Accent2 2 4 3" xfId="4440" xr:uid="{00000000-0005-0000-0000-0000D1090000}"/>
    <cellStyle name="20% - Accent2 2 4 3 2" xfId="8032" xr:uid="{00000000-0005-0000-0000-0000D2090000}"/>
    <cellStyle name="20% - Accent2 2 4 3 2 2" xfId="16002" xr:uid="{00000000-0005-0000-0000-0000D3090000}"/>
    <cellStyle name="20% - Accent2 2 4 3 2 2 2" xfId="39844" xr:uid="{94848219-B4F1-4268-B1B3-823B2D40256F}"/>
    <cellStyle name="20% - Accent2 2 4 3 2 3" xfId="23948" xr:uid="{00000000-0005-0000-0000-0000D4090000}"/>
    <cellStyle name="20% - Accent2 2 4 3 2 3 2" xfId="47780" xr:uid="{22623AB1-62FB-4732-8DBB-811E0CB8E5D0}"/>
    <cellStyle name="20% - Accent2 2 4 3 2 4" xfId="31903" xr:uid="{F430F31E-4787-4ECA-A847-3B77359BD786}"/>
    <cellStyle name="20% - Accent2 2 4 3 3" xfId="12464" xr:uid="{00000000-0005-0000-0000-0000D5090000}"/>
    <cellStyle name="20% - Accent2 2 4 3 3 2" xfId="36313" xr:uid="{95CBEDC8-832E-45B6-95A6-6F7DC322DEA0}"/>
    <cellStyle name="20% - Accent2 2 4 3 4" xfId="20419" xr:uid="{00000000-0005-0000-0000-0000D6090000}"/>
    <cellStyle name="20% - Accent2 2 4 3 4 2" xfId="44251" xr:uid="{3A6890DA-049C-4CBF-B80B-7D1FE781909E}"/>
    <cellStyle name="20% - Accent2 2 4 3 5" xfId="28372" xr:uid="{4CE0BB9E-952A-4DBB-B5A0-2A5B10FFEEC3}"/>
    <cellStyle name="20% - Accent2 2 4 4" xfId="6270" xr:uid="{00000000-0005-0000-0000-0000D7090000}"/>
    <cellStyle name="20% - Accent2 2 4 4 2" xfId="14244" xr:uid="{00000000-0005-0000-0000-0000D8090000}"/>
    <cellStyle name="20% - Accent2 2 4 4 2 2" xfId="38086" xr:uid="{C6D2437C-4B09-44A1-A71A-03739EAB0B5C}"/>
    <cellStyle name="20% - Accent2 2 4 4 3" xfId="22191" xr:uid="{00000000-0005-0000-0000-0000D9090000}"/>
    <cellStyle name="20% - Accent2 2 4 4 3 2" xfId="46023" xr:uid="{7F34920F-964C-4C31-ACF6-66911D244FAF}"/>
    <cellStyle name="20% - Accent2 2 4 4 4" xfId="30145" xr:uid="{41A0E84C-6CBC-45FD-9140-DE31EF20B99A}"/>
    <cellStyle name="20% - Accent2 2 4 5" xfId="9812" xr:uid="{00000000-0005-0000-0000-0000DA090000}"/>
    <cellStyle name="20% - Accent2 2 4 5 2" xfId="17770" xr:uid="{00000000-0005-0000-0000-0000DB090000}"/>
    <cellStyle name="20% - Accent2 2 4 5 2 2" xfId="41610" xr:uid="{F747468D-96EF-41A6-B6AD-A67A1E570F44}"/>
    <cellStyle name="20% - Accent2 2 4 5 3" xfId="25714" xr:uid="{00000000-0005-0000-0000-0000DC090000}"/>
    <cellStyle name="20% - Accent2 2 4 5 3 2" xfId="49546" xr:uid="{53181502-5775-43DE-97E2-7BD251CFFC90}"/>
    <cellStyle name="20% - Accent2 2 4 5 4" xfId="33669" xr:uid="{2667ACC4-06BA-4FE0-A4EB-950979BFBC8A}"/>
    <cellStyle name="20% - Accent2 2 4 6" xfId="10708" xr:uid="{00000000-0005-0000-0000-0000DD090000}"/>
    <cellStyle name="20% - Accent2 2 4 6 2" xfId="34557" xr:uid="{BA0D7F4D-4467-49A4-A652-55F5C63612F8}"/>
    <cellStyle name="20% - Accent2 2 4 7" xfId="18663" xr:uid="{00000000-0005-0000-0000-0000DE090000}"/>
    <cellStyle name="20% - Accent2 2 4 7 2" xfId="42495" xr:uid="{2598F4CB-268D-43E6-A989-70C1E4CAF0B3}"/>
    <cellStyle name="20% - Accent2 2 4 8" xfId="26615" xr:uid="{EAF73305-6466-4A13-8C25-B6DDFA0A0123}"/>
    <cellStyle name="20% - Accent2 2 4_Exh G" xfId="2107" xr:uid="{00000000-0005-0000-0000-0000DF090000}"/>
    <cellStyle name="20% - Accent2 2 5" xfId="1118" xr:uid="{00000000-0005-0000-0000-0000E0090000}"/>
    <cellStyle name="20% - Accent2 2 5 2" xfId="4645" xr:uid="{00000000-0005-0000-0000-0000E1090000}"/>
    <cellStyle name="20% - Accent2 2 5 2 2" xfId="8236" xr:uid="{00000000-0005-0000-0000-0000E2090000}"/>
    <cellStyle name="20% - Accent2 2 5 2 2 2" xfId="16206" xr:uid="{00000000-0005-0000-0000-0000E3090000}"/>
    <cellStyle name="20% - Accent2 2 5 2 2 2 2" xfId="40048" xr:uid="{EBE2E643-7370-40AC-9904-970D0E9277A5}"/>
    <cellStyle name="20% - Accent2 2 5 2 2 3" xfId="24152" xr:uid="{00000000-0005-0000-0000-0000E4090000}"/>
    <cellStyle name="20% - Accent2 2 5 2 2 3 2" xfId="47984" xr:uid="{142DB62C-52F0-43FB-9B9D-626C2A1A1D60}"/>
    <cellStyle name="20% - Accent2 2 5 2 2 4" xfId="32107" xr:uid="{79ADB93E-BA1C-4123-849C-0F292829F030}"/>
    <cellStyle name="20% - Accent2 2 5 2 3" xfId="12668" xr:uid="{00000000-0005-0000-0000-0000E5090000}"/>
    <cellStyle name="20% - Accent2 2 5 2 3 2" xfId="36517" xr:uid="{E7864018-A57E-4890-93F8-640181F8951A}"/>
    <cellStyle name="20% - Accent2 2 5 2 4" xfId="20623" xr:uid="{00000000-0005-0000-0000-0000E6090000}"/>
    <cellStyle name="20% - Accent2 2 5 2 4 2" xfId="44455" xr:uid="{984EB972-24B0-4919-AACE-65A32E4A22B7}"/>
    <cellStyle name="20% - Accent2 2 5 2 5" xfId="28576" xr:uid="{F0FD6751-6290-4233-984F-F0EEDA009D69}"/>
    <cellStyle name="20% - Accent2 2 5 3" xfId="6477" xr:uid="{00000000-0005-0000-0000-0000E7090000}"/>
    <cellStyle name="20% - Accent2 2 5 3 2" xfId="14448" xr:uid="{00000000-0005-0000-0000-0000E8090000}"/>
    <cellStyle name="20% - Accent2 2 5 3 2 2" xfId="38290" xr:uid="{52E96876-8FF1-44D6-A984-6F255363543A}"/>
    <cellStyle name="20% - Accent2 2 5 3 3" xfId="22395" xr:uid="{00000000-0005-0000-0000-0000E9090000}"/>
    <cellStyle name="20% - Accent2 2 5 3 3 2" xfId="46227" xr:uid="{4641E9CF-24CB-42CC-8644-DE4BF4715621}"/>
    <cellStyle name="20% - Accent2 2 5 3 4" xfId="30349" xr:uid="{7A91CB9B-F138-41B9-9536-6325A0B0DE0B}"/>
    <cellStyle name="20% - Accent2 2 5 4" xfId="10912" xr:uid="{00000000-0005-0000-0000-0000EA090000}"/>
    <cellStyle name="20% - Accent2 2 5 4 2" xfId="34761" xr:uid="{C04F8254-FC5F-4F33-9982-1084A8B2CC51}"/>
    <cellStyle name="20% - Accent2 2 5 5" xfId="18867" xr:uid="{00000000-0005-0000-0000-0000EB090000}"/>
    <cellStyle name="20% - Accent2 2 5 5 2" xfId="42699" xr:uid="{425FAB8D-47E7-4F9E-A5FA-C7F9092A2603}"/>
    <cellStyle name="20% - Accent2 2 5 6" xfId="26819" xr:uid="{9A4E395F-F24C-4DD0-BD31-A3C6FFF43769}"/>
    <cellStyle name="20% - Accent2 2 5_Exh G" xfId="2109" xr:uid="{00000000-0005-0000-0000-0000EC090000}"/>
    <cellStyle name="20% - Accent2 2 6" xfId="3766" xr:uid="{00000000-0005-0000-0000-0000ED090000}"/>
    <cellStyle name="20% - Accent2 2 6 2" xfId="7358" xr:uid="{00000000-0005-0000-0000-0000EE090000}"/>
    <cellStyle name="20% - Accent2 2 6 2 2" xfId="15328" xr:uid="{00000000-0005-0000-0000-0000EF090000}"/>
    <cellStyle name="20% - Accent2 2 6 2 2 2" xfId="39170" xr:uid="{5D24907A-CA78-4F53-B82D-D423B7C27DA2}"/>
    <cellStyle name="20% - Accent2 2 6 2 3" xfId="23274" xr:uid="{00000000-0005-0000-0000-0000F0090000}"/>
    <cellStyle name="20% - Accent2 2 6 2 3 2" xfId="47106" xr:uid="{8DFD12EC-9F22-4CD9-892A-953350F28D1A}"/>
    <cellStyle name="20% - Accent2 2 6 2 4" xfId="31229" xr:uid="{95E9863F-1963-438E-9254-33F1D6DD753F}"/>
    <cellStyle name="20% - Accent2 2 6 3" xfId="11790" xr:uid="{00000000-0005-0000-0000-0000F1090000}"/>
    <cellStyle name="20% - Accent2 2 6 3 2" xfId="35639" xr:uid="{592B60C9-A9EB-4233-9F28-8552AB811E7A}"/>
    <cellStyle name="20% - Accent2 2 6 4" xfId="19745" xr:uid="{00000000-0005-0000-0000-0000F2090000}"/>
    <cellStyle name="20% - Accent2 2 6 4 2" xfId="43577" xr:uid="{55737E33-9480-4D27-909E-7EA0719EEB4B}"/>
    <cellStyle name="20% - Accent2 2 6 5" xfId="27698" xr:uid="{8EAD682D-6637-478C-90AE-0CEFA606DBBA}"/>
    <cellStyle name="20% - Accent2 2 7" xfId="5586" xr:uid="{00000000-0005-0000-0000-0000F3090000}"/>
    <cellStyle name="20% - Accent2 2 7 2" xfId="13569" xr:uid="{00000000-0005-0000-0000-0000F4090000}"/>
    <cellStyle name="20% - Accent2 2 7 2 2" xfId="37412" xr:uid="{576C1DD7-17E9-430B-95DF-7A5BBA481AFB}"/>
    <cellStyle name="20% - Accent2 2 7 3" xfId="21517" xr:uid="{00000000-0005-0000-0000-0000F5090000}"/>
    <cellStyle name="20% - Accent2 2 7 3 2" xfId="45349" xr:uid="{086E5E23-0F30-4DBF-80F0-3E2F51D549AB}"/>
    <cellStyle name="20% - Accent2 2 7 4" xfId="29471" xr:uid="{10E5E82C-0CFA-482C-BB3D-2D44B7B2B26D}"/>
    <cellStyle name="20% - Accent2 2 8" xfId="9138" xr:uid="{00000000-0005-0000-0000-0000F6090000}"/>
    <cellStyle name="20% - Accent2 2 8 2" xfId="17096" xr:uid="{00000000-0005-0000-0000-0000F7090000}"/>
    <cellStyle name="20% - Accent2 2 8 2 2" xfId="40936" xr:uid="{6A05655E-2E64-4497-92FC-BE2D1C8CB451}"/>
    <cellStyle name="20% - Accent2 2 8 3" xfId="25040" xr:uid="{00000000-0005-0000-0000-0000F8090000}"/>
    <cellStyle name="20% - Accent2 2 8 3 2" xfId="48872" xr:uid="{E68B3093-6BEC-4CF1-B308-9D25F4798CC6}"/>
    <cellStyle name="20% - Accent2 2 8 4" xfId="32995" xr:uid="{C7D800F1-57B1-4BB8-B6A3-C8544917702D}"/>
    <cellStyle name="20% - Accent2 2 9" xfId="10034" xr:uid="{00000000-0005-0000-0000-0000F9090000}"/>
    <cellStyle name="20% - Accent2 2 9 2" xfId="33883" xr:uid="{62CD2202-BA1C-4250-BE8F-B2303612589E}"/>
    <cellStyle name="20% - Accent2 2_Exh G" xfId="2098" xr:uid="{00000000-0005-0000-0000-0000FA090000}"/>
    <cellStyle name="20% - Accent2 3" xfId="96" xr:uid="{00000000-0005-0000-0000-0000FB090000}"/>
    <cellStyle name="20% - Accent2 3 10" xfId="17993" xr:uid="{00000000-0005-0000-0000-0000FC090000}"/>
    <cellStyle name="20% - Accent2 3 10 2" xfId="41825" xr:uid="{AC60A55B-681E-45E8-920B-046FEE656002}"/>
    <cellStyle name="20% - Accent2 3 11" xfId="25945" xr:uid="{E7B553F1-D557-49B5-8B46-B1C9E49CC6B0}"/>
    <cellStyle name="20% - Accent2 3 12" xfId="49756" xr:uid="{EB552E18-EDC7-4049-810A-36656014AA5F}"/>
    <cellStyle name="20% - Accent2 3 13" xfId="49810" xr:uid="{0CE10550-1644-4066-AFBA-FFF5DDAEEDEC}"/>
    <cellStyle name="20% - Accent2 3 2" xfId="97" xr:uid="{00000000-0005-0000-0000-0000FD090000}"/>
    <cellStyle name="20% - Accent2 3 2 10" xfId="25946" xr:uid="{323F8C5C-4EB3-4A3C-9510-756D09919C79}"/>
    <cellStyle name="20% - Accent2 3 2 2" xfId="98" xr:uid="{00000000-0005-0000-0000-0000FE090000}"/>
    <cellStyle name="20% - Accent2 3 2 2 2" xfId="1124" xr:uid="{00000000-0005-0000-0000-0000FF090000}"/>
    <cellStyle name="20% - Accent2 3 2 2 2 2" xfId="4651" xr:uid="{00000000-0005-0000-0000-0000000A0000}"/>
    <cellStyle name="20% - Accent2 3 2 2 2 2 2" xfId="8242" xr:uid="{00000000-0005-0000-0000-0000010A0000}"/>
    <cellStyle name="20% - Accent2 3 2 2 2 2 2 2" xfId="16212" xr:uid="{00000000-0005-0000-0000-0000020A0000}"/>
    <cellStyle name="20% - Accent2 3 2 2 2 2 2 2 2" xfId="40054" xr:uid="{6D5A6C83-CF22-4FD5-BF3A-C7DB2833D7B2}"/>
    <cellStyle name="20% - Accent2 3 2 2 2 2 2 3" xfId="24158" xr:uid="{00000000-0005-0000-0000-0000030A0000}"/>
    <cellStyle name="20% - Accent2 3 2 2 2 2 2 3 2" xfId="47990" xr:uid="{DF160201-90B6-4693-83C7-4CEAAA7D42A1}"/>
    <cellStyle name="20% - Accent2 3 2 2 2 2 2 4" xfId="32113" xr:uid="{2C20E6C9-BFBC-4F21-91AF-E1AFE005EF43}"/>
    <cellStyle name="20% - Accent2 3 2 2 2 2 3" xfId="12674" xr:uid="{00000000-0005-0000-0000-0000040A0000}"/>
    <cellStyle name="20% - Accent2 3 2 2 2 2 3 2" xfId="36523" xr:uid="{294A153C-E494-4EA7-905A-8101D1C6DC6A}"/>
    <cellStyle name="20% - Accent2 3 2 2 2 2 4" xfId="20629" xr:uid="{00000000-0005-0000-0000-0000050A0000}"/>
    <cellStyle name="20% - Accent2 3 2 2 2 2 4 2" xfId="44461" xr:uid="{B59AB36C-AF1B-436B-8217-25DFCF9FF1DE}"/>
    <cellStyle name="20% - Accent2 3 2 2 2 2 5" xfId="28582" xr:uid="{B686C12E-217B-42A1-83B0-91C95914643E}"/>
    <cellStyle name="20% - Accent2 3 2 2 2 3" xfId="6483" xr:uid="{00000000-0005-0000-0000-0000060A0000}"/>
    <cellStyle name="20% - Accent2 3 2 2 2 3 2" xfId="14454" xr:uid="{00000000-0005-0000-0000-0000070A0000}"/>
    <cellStyle name="20% - Accent2 3 2 2 2 3 2 2" xfId="38296" xr:uid="{A697B18E-F040-49CA-8623-98A9DFBAA8C8}"/>
    <cellStyle name="20% - Accent2 3 2 2 2 3 3" xfId="22401" xr:uid="{00000000-0005-0000-0000-0000080A0000}"/>
    <cellStyle name="20% - Accent2 3 2 2 2 3 3 2" xfId="46233" xr:uid="{2FEAC201-9957-4BEE-AF76-BB80F04B8E4C}"/>
    <cellStyle name="20% - Accent2 3 2 2 2 3 4" xfId="30355" xr:uid="{5106AD3D-7F89-4225-AAEF-C303C7B85A85}"/>
    <cellStyle name="20% - Accent2 3 2 2 2 4" xfId="10918" xr:uid="{00000000-0005-0000-0000-0000090A0000}"/>
    <cellStyle name="20% - Accent2 3 2 2 2 4 2" xfId="34767" xr:uid="{EB156382-4012-4B89-8113-D8D3BD039E60}"/>
    <cellStyle name="20% - Accent2 3 2 2 2 5" xfId="18873" xr:uid="{00000000-0005-0000-0000-00000A0A0000}"/>
    <cellStyle name="20% - Accent2 3 2 2 2 5 2" xfId="42705" xr:uid="{505C453F-4538-435B-94E5-986F1DA88166}"/>
    <cellStyle name="20% - Accent2 3 2 2 2 6" xfId="26825" xr:uid="{E65A523A-421E-4737-8407-BBCA8489F052}"/>
    <cellStyle name="20% - Accent2 3 2 2 2_Exh G" xfId="2113" xr:uid="{00000000-0005-0000-0000-00000B0A0000}"/>
    <cellStyle name="20% - Accent2 3 2 2 3" xfId="3772" xr:uid="{00000000-0005-0000-0000-00000C0A0000}"/>
    <cellStyle name="20% - Accent2 3 2 2 3 2" xfId="7364" xr:uid="{00000000-0005-0000-0000-00000D0A0000}"/>
    <cellStyle name="20% - Accent2 3 2 2 3 2 2" xfId="15334" xr:uid="{00000000-0005-0000-0000-00000E0A0000}"/>
    <cellStyle name="20% - Accent2 3 2 2 3 2 2 2" xfId="39176" xr:uid="{96567B30-A4CB-4922-B3E3-4E70AFBEF295}"/>
    <cellStyle name="20% - Accent2 3 2 2 3 2 3" xfId="23280" xr:uid="{00000000-0005-0000-0000-00000F0A0000}"/>
    <cellStyle name="20% - Accent2 3 2 2 3 2 3 2" xfId="47112" xr:uid="{E2A910A1-D7B2-4DB3-921E-FC34D930E982}"/>
    <cellStyle name="20% - Accent2 3 2 2 3 2 4" xfId="31235" xr:uid="{1D93DE25-704F-4CCB-BBDD-4FFF8B2610E6}"/>
    <cellStyle name="20% - Accent2 3 2 2 3 3" xfId="11796" xr:uid="{00000000-0005-0000-0000-0000100A0000}"/>
    <cellStyle name="20% - Accent2 3 2 2 3 3 2" xfId="35645" xr:uid="{D199F02C-D172-4284-A645-2BE3EDA72CC8}"/>
    <cellStyle name="20% - Accent2 3 2 2 3 4" xfId="19751" xr:uid="{00000000-0005-0000-0000-0000110A0000}"/>
    <cellStyle name="20% - Accent2 3 2 2 3 4 2" xfId="43583" xr:uid="{B27795A6-45A5-44F1-B268-6EFD037F9376}"/>
    <cellStyle name="20% - Accent2 3 2 2 3 5" xfId="27704" xr:uid="{8B4A89E2-2CDD-4E7C-A9FE-D98FE1BED582}"/>
    <cellStyle name="20% - Accent2 3 2 2 4" xfId="5592" xr:uid="{00000000-0005-0000-0000-0000120A0000}"/>
    <cellStyle name="20% - Accent2 3 2 2 4 2" xfId="13575" xr:uid="{00000000-0005-0000-0000-0000130A0000}"/>
    <cellStyle name="20% - Accent2 3 2 2 4 2 2" xfId="37418" xr:uid="{3BD598E0-6D09-4109-86DC-443508BFB535}"/>
    <cellStyle name="20% - Accent2 3 2 2 4 3" xfId="21523" xr:uid="{00000000-0005-0000-0000-0000140A0000}"/>
    <cellStyle name="20% - Accent2 3 2 2 4 3 2" xfId="45355" xr:uid="{E3846171-D22C-4C88-BE08-540B11FBCD19}"/>
    <cellStyle name="20% - Accent2 3 2 2 4 4" xfId="29477" xr:uid="{851BAE35-7833-46B2-A8DF-8291510BECF5}"/>
    <cellStyle name="20% - Accent2 3 2 2 5" xfId="9144" xr:uid="{00000000-0005-0000-0000-0000150A0000}"/>
    <cellStyle name="20% - Accent2 3 2 2 5 2" xfId="17102" xr:uid="{00000000-0005-0000-0000-0000160A0000}"/>
    <cellStyle name="20% - Accent2 3 2 2 5 2 2" xfId="40942" xr:uid="{55BE8370-7530-429E-91D0-0302AD772A1D}"/>
    <cellStyle name="20% - Accent2 3 2 2 5 3" xfId="25046" xr:uid="{00000000-0005-0000-0000-0000170A0000}"/>
    <cellStyle name="20% - Accent2 3 2 2 5 3 2" xfId="48878" xr:uid="{66479D54-925D-47F1-B0FC-79682BA53DA5}"/>
    <cellStyle name="20% - Accent2 3 2 2 5 4" xfId="33001" xr:uid="{7002E907-BF2C-44E9-AB98-01B0E85D4B13}"/>
    <cellStyle name="20% - Accent2 3 2 2 6" xfId="10040" xr:uid="{00000000-0005-0000-0000-0000180A0000}"/>
    <cellStyle name="20% - Accent2 3 2 2 6 2" xfId="33889" xr:uid="{3A42462A-ADE9-428E-8CAC-D0C02BB9EFB9}"/>
    <cellStyle name="20% - Accent2 3 2 2 7" xfId="17995" xr:uid="{00000000-0005-0000-0000-0000190A0000}"/>
    <cellStyle name="20% - Accent2 3 2 2 7 2" xfId="41827" xr:uid="{CF7211DC-E9BA-4FA6-B978-B66CEB067054}"/>
    <cellStyle name="20% - Accent2 3 2 2 8" xfId="25947" xr:uid="{80DA0824-3EE2-4FDC-866E-6359B9E83DDD}"/>
    <cellStyle name="20% - Accent2 3 2 2_Exh G" xfId="2112" xr:uid="{00000000-0005-0000-0000-00001A0A0000}"/>
    <cellStyle name="20% - Accent2 3 2 3" xfId="875" xr:uid="{00000000-0005-0000-0000-00001B0A0000}"/>
    <cellStyle name="20% - Accent2 3 2 3 2" xfId="1805" xr:uid="{00000000-0005-0000-0000-00001C0A0000}"/>
    <cellStyle name="20% - Accent2 3 2 3 2 2" xfId="5322" xr:uid="{00000000-0005-0000-0000-00001D0A0000}"/>
    <cellStyle name="20% - Accent2 3 2 3 2 2 2" xfId="8913" xr:uid="{00000000-0005-0000-0000-00001E0A0000}"/>
    <cellStyle name="20% - Accent2 3 2 3 2 2 2 2" xfId="16883" xr:uid="{00000000-0005-0000-0000-00001F0A0000}"/>
    <cellStyle name="20% - Accent2 3 2 3 2 2 2 2 2" xfId="40725" xr:uid="{44BC1435-CFAB-465E-99E7-1E4399F22E15}"/>
    <cellStyle name="20% - Accent2 3 2 3 2 2 2 3" xfId="24829" xr:uid="{00000000-0005-0000-0000-0000200A0000}"/>
    <cellStyle name="20% - Accent2 3 2 3 2 2 2 3 2" xfId="48661" xr:uid="{C8A1F721-F259-4968-BE77-E39684808BD5}"/>
    <cellStyle name="20% - Accent2 3 2 3 2 2 2 4" xfId="32784" xr:uid="{702E5C23-2AAC-49B6-9A3B-243D82586F81}"/>
    <cellStyle name="20% - Accent2 3 2 3 2 2 3" xfId="13345" xr:uid="{00000000-0005-0000-0000-0000210A0000}"/>
    <cellStyle name="20% - Accent2 3 2 3 2 2 3 2" xfId="37194" xr:uid="{DFB7AA7E-A6ED-4D00-B491-4264CC270AF1}"/>
    <cellStyle name="20% - Accent2 3 2 3 2 2 4" xfId="21300" xr:uid="{00000000-0005-0000-0000-0000220A0000}"/>
    <cellStyle name="20% - Accent2 3 2 3 2 2 4 2" xfId="45132" xr:uid="{B848D9D8-461F-4A62-A53A-382CC5C3B13E}"/>
    <cellStyle name="20% - Accent2 3 2 3 2 2 5" xfId="29253" xr:uid="{0CC69C30-4CE9-4137-A9E1-585D2D14EA43}"/>
    <cellStyle name="20% - Accent2 3 2 3 2 3" xfId="7154" xr:uid="{00000000-0005-0000-0000-0000230A0000}"/>
    <cellStyle name="20% - Accent2 3 2 3 2 3 2" xfId="15125" xr:uid="{00000000-0005-0000-0000-0000240A0000}"/>
    <cellStyle name="20% - Accent2 3 2 3 2 3 2 2" xfId="38967" xr:uid="{027C7651-CDCD-40C8-A26F-B44A388AED48}"/>
    <cellStyle name="20% - Accent2 3 2 3 2 3 3" xfId="23072" xr:uid="{00000000-0005-0000-0000-0000250A0000}"/>
    <cellStyle name="20% - Accent2 3 2 3 2 3 3 2" xfId="46904" xr:uid="{BEF26494-4261-4588-9DE1-59B4140703A2}"/>
    <cellStyle name="20% - Accent2 3 2 3 2 3 4" xfId="31026" xr:uid="{BB8CF01A-F40B-4674-BA7F-E2E9B1F08DF7}"/>
    <cellStyle name="20% - Accent2 3 2 3 2 4" xfId="11589" xr:uid="{00000000-0005-0000-0000-0000260A0000}"/>
    <cellStyle name="20% - Accent2 3 2 3 2 4 2" xfId="35438" xr:uid="{39771F4A-CE1C-4155-8464-26E8BAD3FA8E}"/>
    <cellStyle name="20% - Accent2 3 2 3 2 5" xfId="19544" xr:uid="{00000000-0005-0000-0000-0000270A0000}"/>
    <cellStyle name="20% - Accent2 3 2 3 2 5 2" xfId="43376" xr:uid="{7F778BB0-9D4D-46E7-8F87-60E212FE53C5}"/>
    <cellStyle name="20% - Accent2 3 2 3 2 6" xfId="27496" xr:uid="{B6036911-2A29-4415-9B62-317A77427DD0}"/>
    <cellStyle name="20% - Accent2 3 2 3 2_Exh G" xfId="2115" xr:uid="{00000000-0005-0000-0000-0000280A0000}"/>
    <cellStyle name="20% - Accent2 3 2 3 3" xfId="4443" xr:uid="{00000000-0005-0000-0000-0000290A0000}"/>
    <cellStyle name="20% - Accent2 3 2 3 3 2" xfId="8035" xr:uid="{00000000-0005-0000-0000-00002A0A0000}"/>
    <cellStyle name="20% - Accent2 3 2 3 3 2 2" xfId="16005" xr:uid="{00000000-0005-0000-0000-00002B0A0000}"/>
    <cellStyle name="20% - Accent2 3 2 3 3 2 2 2" xfId="39847" xr:uid="{50829CDB-A180-4861-AD57-332848F63A0B}"/>
    <cellStyle name="20% - Accent2 3 2 3 3 2 3" xfId="23951" xr:uid="{00000000-0005-0000-0000-00002C0A0000}"/>
    <cellStyle name="20% - Accent2 3 2 3 3 2 3 2" xfId="47783" xr:uid="{B600397B-D46B-4DAF-8AD0-C410A63B522A}"/>
    <cellStyle name="20% - Accent2 3 2 3 3 2 4" xfId="31906" xr:uid="{DF67EFCE-DD63-4B15-9169-4AB44D43444F}"/>
    <cellStyle name="20% - Accent2 3 2 3 3 3" xfId="12467" xr:uid="{00000000-0005-0000-0000-00002D0A0000}"/>
    <cellStyle name="20% - Accent2 3 2 3 3 3 2" xfId="36316" xr:uid="{480E60EB-DF48-4C82-AFA5-CD8C9B8ADAD1}"/>
    <cellStyle name="20% - Accent2 3 2 3 3 4" xfId="20422" xr:uid="{00000000-0005-0000-0000-00002E0A0000}"/>
    <cellStyle name="20% - Accent2 3 2 3 3 4 2" xfId="44254" xr:uid="{3EF70DE8-0FAC-4C1B-BE5E-99989D1AC106}"/>
    <cellStyle name="20% - Accent2 3 2 3 3 5" xfId="28375" xr:uid="{1832F9B6-E7B9-4C36-9C8C-857DEAFBAD63}"/>
    <cellStyle name="20% - Accent2 3 2 3 4" xfId="6273" xr:uid="{00000000-0005-0000-0000-00002F0A0000}"/>
    <cellStyle name="20% - Accent2 3 2 3 4 2" xfId="14247" xr:uid="{00000000-0005-0000-0000-0000300A0000}"/>
    <cellStyle name="20% - Accent2 3 2 3 4 2 2" xfId="38089" xr:uid="{95A8FDF6-DF9D-44C8-AE52-8DBE4B4EFBC1}"/>
    <cellStyle name="20% - Accent2 3 2 3 4 3" xfId="22194" xr:uid="{00000000-0005-0000-0000-0000310A0000}"/>
    <cellStyle name="20% - Accent2 3 2 3 4 3 2" xfId="46026" xr:uid="{96048AA5-3060-4058-AF35-AA30464511C7}"/>
    <cellStyle name="20% - Accent2 3 2 3 4 4" xfId="30148" xr:uid="{78804449-4AFB-4CAC-89A1-FD313A6D916D}"/>
    <cellStyle name="20% - Accent2 3 2 3 5" xfId="9815" xr:uid="{00000000-0005-0000-0000-0000320A0000}"/>
    <cellStyle name="20% - Accent2 3 2 3 5 2" xfId="17773" xr:uid="{00000000-0005-0000-0000-0000330A0000}"/>
    <cellStyle name="20% - Accent2 3 2 3 5 2 2" xfId="41613" xr:uid="{BE165769-62B9-4BA8-86FC-09D321C25BD4}"/>
    <cellStyle name="20% - Accent2 3 2 3 5 3" xfId="25717" xr:uid="{00000000-0005-0000-0000-0000340A0000}"/>
    <cellStyle name="20% - Accent2 3 2 3 5 3 2" xfId="49549" xr:uid="{B1791AA1-78E0-461F-8D30-1B6740A8C5C2}"/>
    <cellStyle name="20% - Accent2 3 2 3 5 4" xfId="33672" xr:uid="{BF398EB8-BEFE-42E1-A58C-E66B4E96A35B}"/>
    <cellStyle name="20% - Accent2 3 2 3 6" xfId="10711" xr:uid="{00000000-0005-0000-0000-0000350A0000}"/>
    <cellStyle name="20% - Accent2 3 2 3 6 2" xfId="34560" xr:uid="{D283AD33-A517-494D-B66F-8A0C19C79860}"/>
    <cellStyle name="20% - Accent2 3 2 3 7" xfId="18666" xr:uid="{00000000-0005-0000-0000-0000360A0000}"/>
    <cellStyle name="20% - Accent2 3 2 3 7 2" xfId="42498" xr:uid="{7A31CFC5-2911-4CD9-9712-AC7041AC8199}"/>
    <cellStyle name="20% - Accent2 3 2 3 8" xfId="26618" xr:uid="{9D43BC60-D73B-4642-8568-37159CA8B478}"/>
    <cellStyle name="20% - Accent2 3 2 3_Exh G" xfId="2114" xr:uid="{00000000-0005-0000-0000-0000370A0000}"/>
    <cellStyle name="20% - Accent2 3 2 4" xfId="1123" xr:uid="{00000000-0005-0000-0000-0000380A0000}"/>
    <cellStyle name="20% - Accent2 3 2 4 2" xfId="4650" xr:uid="{00000000-0005-0000-0000-0000390A0000}"/>
    <cellStyle name="20% - Accent2 3 2 4 2 2" xfId="8241" xr:uid="{00000000-0005-0000-0000-00003A0A0000}"/>
    <cellStyle name="20% - Accent2 3 2 4 2 2 2" xfId="16211" xr:uid="{00000000-0005-0000-0000-00003B0A0000}"/>
    <cellStyle name="20% - Accent2 3 2 4 2 2 2 2" xfId="40053" xr:uid="{FC0CFF49-F9D3-468C-9313-73F16B86E48D}"/>
    <cellStyle name="20% - Accent2 3 2 4 2 2 3" xfId="24157" xr:uid="{00000000-0005-0000-0000-00003C0A0000}"/>
    <cellStyle name="20% - Accent2 3 2 4 2 2 3 2" xfId="47989" xr:uid="{715AF71B-C052-4424-BA40-11C4F372F189}"/>
    <cellStyle name="20% - Accent2 3 2 4 2 2 4" xfId="32112" xr:uid="{7A8F419C-58A5-407F-A071-4F11579AB555}"/>
    <cellStyle name="20% - Accent2 3 2 4 2 3" xfId="12673" xr:uid="{00000000-0005-0000-0000-00003D0A0000}"/>
    <cellStyle name="20% - Accent2 3 2 4 2 3 2" xfId="36522" xr:uid="{2EA55858-AF10-45C1-A093-82A75407DA37}"/>
    <cellStyle name="20% - Accent2 3 2 4 2 4" xfId="20628" xr:uid="{00000000-0005-0000-0000-00003E0A0000}"/>
    <cellStyle name="20% - Accent2 3 2 4 2 4 2" xfId="44460" xr:uid="{1DB4C7ED-178B-455F-93A6-1C01CE2B3541}"/>
    <cellStyle name="20% - Accent2 3 2 4 2 5" xfId="28581" xr:uid="{6B431B90-C7E3-4921-959F-F05D2D4F677D}"/>
    <cellStyle name="20% - Accent2 3 2 4 3" xfId="6482" xr:uid="{00000000-0005-0000-0000-00003F0A0000}"/>
    <cellStyle name="20% - Accent2 3 2 4 3 2" xfId="14453" xr:uid="{00000000-0005-0000-0000-0000400A0000}"/>
    <cellStyle name="20% - Accent2 3 2 4 3 2 2" xfId="38295" xr:uid="{ACB90F45-BCBF-47D4-95AD-F4AF6AD86DD1}"/>
    <cellStyle name="20% - Accent2 3 2 4 3 3" xfId="22400" xr:uid="{00000000-0005-0000-0000-0000410A0000}"/>
    <cellStyle name="20% - Accent2 3 2 4 3 3 2" xfId="46232" xr:uid="{F970386E-62F0-4E61-BD1E-1E851F7014F5}"/>
    <cellStyle name="20% - Accent2 3 2 4 3 4" xfId="30354" xr:uid="{60975939-01F5-4F52-BC0A-5E6EA939D7F6}"/>
    <cellStyle name="20% - Accent2 3 2 4 4" xfId="10917" xr:uid="{00000000-0005-0000-0000-0000420A0000}"/>
    <cellStyle name="20% - Accent2 3 2 4 4 2" xfId="34766" xr:uid="{22CA1D76-3166-4921-844C-B38E3DF0B788}"/>
    <cellStyle name="20% - Accent2 3 2 4 5" xfId="18872" xr:uid="{00000000-0005-0000-0000-0000430A0000}"/>
    <cellStyle name="20% - Accent2 3 2 4 5 2" xfId="42704" xr:uid="{5E15C2B6-4BF4-4574-9DFE-ED072B0A5624}"/>
    <cellStyle name="20% - Accent2 3 2 4 6" xfId="26824" xr:uid="{3E106BE4-F5D7-4CB4-8CFF-D82D1BF5D004}"/>
    <cellStyle name="20% - Accent2 3 2 4_Exh G" xfId="2116" xr:uid="{00000000-0005-0000-0000-0000440A0000}"/>
    <cellStyle name="20% - Accent2 3 2 5" xfId="3771" xr:uid="{00000000-0005-0000-0000-0000450A0000}"/>
    <cellStyle name="20% - Accent2 3 2 5 2" xfId="7363" xr:uid="{00000000-0005-0000-0000-0000460A0000}"/>
    <cellStyle name="20% - Accent2 3 2 5 2 2" xfId="15333" xr:uid="{00000000-0005-0000-0000-0000470A0000}"/>
    <cellStyle name="20% - Accent2 3 2 5 2 2 2" xfId="39175" xr:uid="{4EF9983A-04BF-4B54-AF34-F1A6D96DF9C4}"/>
    <cellStyle name="20% - Accent2 3 2 5 2 3" xfId="23279" xr:uid="{00000000-0005-0000-0000-0000480A0000}"/>
    <cellStyle name="20% - Accent2 3 2 5 2 3 2" xfId="47111" xr:uid="{18EFD2A8-DDB4-45D4-BF7E-9B2FF5BDDB2E}"/>
    <cellStyle name="20% - Accent2 3 2 5 2 4" xfId="31234" xr:uid="{0CCEF200-5E3D-4637-B088-E853EC8EC05E}"/>
    <cellStyle name="20% - Accent2 3 2 5 3" xfId="11795" xr:uid="{00000000-0005-0000-0000-0000490A0000}"/>
    <cellStyle name="20% - Accent2 3 2 5 3 2" xfId="35644" xr:uid="{A624A123-314A-4EB8-BB4F-ABDB5C7F1D37}"/>
    <cellStyle name="20% - Accent2 3 2 5 4" xfId="19750" xr:uid="{00000000-0005-0000-0000-00004A0A0000}"/>
    <cellStyle name="20% - Accent2 3 2 5 4 2" xfId="43582" xr:uid="{2CFD6FA6-1707-4BB8-B237-6BBA93FEE9F3}"/>
    <cellStyle name="20% - Accent2 3 2 5 5" xfId="27703" xr:uid="{D5FB0792-2126-410D-BD3C-C67D4361E4AE}"/>
    <cellStyle name="20% - Accent2 3 2 6" xfId="5591" xr:uid="{00000000-0005-0000-0000-00004B0A0000}"/>
    <cellStyle name="20% - Accent2 3 2 6 2" xfId="13574" xr:uid="{00000000-0005-0000-0000-00004C0A0000}"/>
    <cellStyle name="20% - Accent2 3 2 6 2 2" xfId="37417" xr:uid="{12CC8821-1BAC-4317-9E97-6D64EF55862A}"/>
    <cellStyle name="20% - Accent2 3 2 6 3" xfId="21522" xr:uid="{00000000-0005-0000-0000-00004D0A0000}"/>
    <cellStyle name="20% - Accent2 3 2 6 3 2" xfId="45354" xr:uid="{2F888E5B-8339-41F7-A395-8071026A64A0}"/>
    <cellStyle name="20% - Accent2 3 2 6 4" xfId="29476" xr:uid="{5CF026C8-96BA-48C4-A270-916659CCD6B0}"/>
    <cellStyle name="20% - Accent2 3 2 7" xfId="9143" xr:uid="{00000000-0005-0000-0000-00004E0A0000}"/>
    <cellStyle name="20% - Accent2 3 2 7 2" xfId="17101" xr:uid="{00000000-0005-0000-0000-00004F0A0000}"/>
    <cellStyle name="20% - Accent2 3 2 7 2 2" xfId="40941" xr:uid="{0DBF3BE1-4094-41A0-9084-DF6686166C07}"/>
    <cellStyle name="20% - Accent2 3 2 7 3" xfId="25045" xr:uid="{00000000-0005-0000-0000-0000500A0000}"/>
    <cellStyle name="20% - Accent2 3 2 7 3 2" xfId="48877" xr:uid="{8FC01A5E-5CF8-400D-AB58-A67F32949381}"/>
    <cellStyle name="20% - Accent2 3 2 7 4" xfId="33000" xr:uid="{D162FD73-40C9-4018-8EFE-C899BECC2BA8}"/>
    <cellStyle name="20% - Accent2 3 2 8" xfId="10039" xr:uid="{00000000-0005-0000-0000-0000510A0000}"/>
    <cellStyle name="20% - Accent2 3 2 8 2" xfId="33888" xr:uid="{D4AE4BF9-77D8-4854-BD47-36129A422827}"/>
    <cellStyle name="20% - Accent2 3 2 9" xfId="17994" xr:uid="{00000000-0005-0000-0000-0000520A0000}"/>
    <cellStyle name="20% - Accent2 3 2 9 2" xfId="41826" xr:uid="{CAB4AA00-E8DD-4F20-9DD2-BAF491C01660}"/>
    <cellStyle name="20% - Accent2 3 2_Exh G" xfId="2111" xr:uid="{00000000-0005-0000-0000-0000530A0000}"/>
    <cellStyle name="20% - Accent2 3 3" xfId="99" xr:uid="{00000000-0005-0000-0000-0000540A0000}"/>
    <cellStyle name="20% - Accent2 3 3 2" xfId="1125" xr:uid="{00000000-0005-0000-0000-0000550A0000}"/>
    <cellStyle name="20% - Accent2 3 3 2 2" xfId="4652" xr:uid="{00000000-0005-0000-0000-0000560A0000}"/>
    <cellStyle name="20% - Accent2 3 3 2 2 2" xfId="8243" xr:uid="{00000000-0005-0000-0000-0000570A0000}"/>
    <cellStyle name="20% - Accent2 3 3 2 2 2 2" xfId="16213" xr:uid="{00000000-0005-0000-0000-0000580A0000}"/>
    <cellStyle name="20% - Accent2 3 3 2 2 2 2 2" xfId="40055" xr:uid="{974AD1EB-37E8-4B51-A3FA-EC5B0ACB9C5F}"/>
    <cellStyle name="20% - Accent2 3 3 2 2 2 3" xfId="24159" xr:uid="{00000000-0005-0000-0000-0000590A0000}"/>
    <cellStyle name="20% - Accent2 3 3 2 2 2 3 2" xfId="47991" xr:uid="{C581FD73-7E23-4A5E-8189-28C3A6E530B6}"/>
    <cellStyle name="20% - Accent2 3 3 2 2 2 4" xfId="32114" xr:uid="{1273F7B5-AAD4-46C2-830D-E6AEB3522B7E}"/>
    <cellStyle name="20% - Accent2 3 3 2 2 3" xfId="12675" xr:uid="{00000000-0005-0000-0000-00005A0A0000}"/>
    <cellStyle name="20% - Accent2 3 3 2 2 3 2" xfId="36524" xr:uid="{6485ACC4-CD1F-4151-B546-60E059355EEF}"/>
    <cellStyle name="20% - Accent2 3 3 2 2 4" xfId="20630" xr:uid="{00000000-0005-0000-0000-00005B0A0000}"/>
    <cellStyle name="20% - Accent2 3 3 2 2 4 2" xfId="44462" xr:uid="{E70FD4A4-D19E-44BF-B537-58B750F32BED}"/>
    <cellStyle name="20% - Accent2 3 3 2 2 5" xfId="28583" xr:uid="{D48A211E-C7E5-4D42-8090-1F3DFC6CB765}"/>
    <cellStyle name="20% - Accent2 3 3 2 3" xfId="6484" xr:uid="{00000000-0005-0000-0000-00005C0A0000}"/>
    <cellStyle name="20% - Accent2 3 3 2 3 2" xfId="14455" xr:uid="{00000000-0005-0000-0000-00005D0A0000}"/>
    <cellStyle name="20% - Accent2 3 3 2 3 2 2" xfId="38297" xr:uid="{815B4FDF-FA12-4370-9F87-D1F46EED4FC4}"/>
    <cellStyle name="20% - Accent2 3 3 2 3 3" xfId="22402" xr:uid="{00000000-0005-0000-0000-00005E0A0000}"/>
    <cellStyle name="20% - Accent2 3 3 2 3 3 2" xfId="46234" xr:uid="{A2435B39-9021-4550-8B22-DAE5EDD75384}"/>
    <cellStyle name="20% - Accent2 3 3 2 3 4" xfId="30356" xr:uid="{FA3563E6-3F38-49F1-BAE8-98F317A0E546}"/>
    <cellStyle name="20% - Accent2 3 3 2 4" xfId="10919" xr:uid="{00000000-0005-0000-0000-00005F0A0000}"/>
    <cellStyle name="20% - Accent2 3 3 2 4 2" xfId="34768" xr:uid="{90EA94D5-B5FA-4A41-9C3E-040693A9B744}"/>
    <cellStyle name="20% - Accent2 3 3 2 5" xfId="18874" xr:uid="{00000000-0005-0000-0000-0000600A0000}"/>
    <cellStyle name="20% - Accent2 3 3 2 5 2" xfId="42706" xr:uid="{A1D585A7-AAE2-4C1E-AB47-40CD1E3160A5}"/>
    <cellStyle name="20% - Accent2 3 3 2 6" xfId="26826" xr:uid="{12E8A6EB-241F-49E9-823A-F7D88E3B9BA7}"/>
    <cellStyle name="20% - Accent2 3 3 2_Exh G" xfId="2118" xr:uid="{00000000-0005-0000-0000-0000610A0000}"/>
    <cellStyle name="20% - Accent2 3 3 3" xfId="3773" xr:uid="{00000000-0005-0000-0000-0000620A0000}"/>
    <cellStyle name="20% - Accent2 3 3 3 2" xfId="7365" xr:uid="{00000000-0005-0000-0000-0000630A0000}"/>
    <cellStyle name="20% - Accent2 3 3 3 2 2" xfId="15335" xr:uid="{00000000-0005-0000-0000-0000640A0000}"/>
    <cellStyle name="20% - Accent2 3 3 3 2 2 2" xfId="39177" xr:uid="{6A17961A-E149-48E2-8CFF-BDF0A7E44A75}"/>
    <cellStyle name="20% - Accent2 3 3 3 2 3" xfId="23281" xr:uid="{00000000-0005-0000-0000-0000650A0000}"/>
    <cellStyle name="20% - Accent2 3 3 3 2 3 2" xfId="47113" xr:uid="{0D9CFC59-9F77-4783-B6C7-09BEE0BF14D3}"/>
    <cellStyle name="20% - Accent2 3 3 3 2 4" xfId="31236" xr:uid="{D4E6300A-A552-4CD6-9BF3-7A847DA5D143}"/>
    <cellStyle name="20% - Accent2 3 3 3 3" xfId="11797" xr:uid="{00000000-0005-0000-0000-0000660A0000}"/>
    <cellStyle name="20% - Accent2 3 3 3 3 2" xfId="35646" xr:uid="{C0024430-DF75-4AE9-8AF6-C7A4D19D039A}"/>
    <cellStyle name="20% - Accent2 3 3 3 4" xfId="19752" xr:uid="{00000000-0005-0000-0000-0000670A0000}"/>
    <cellStyle name="20% - Accent2 3 3 3 4 2" xfId="43584" xr:uid="{160B96A6-37D5-48E3-AE01-C6F09543ECC2}"/>
    <cellStyle name="20% - Accent2 3 3 3 5" xfId="27705" xr:uid="{2554032F-B688-404C-942B-895385731902}"/>
    <cellStyle name="20% - Accent2 3 3 4" xfId="5593" xr:uid="{00000000-0005-0000-0000-0000680A0000}"/>
    <cellStyle name="20% - Accent2 3 3 4 2" xfId="13576" xr:uid="{00000000-0005-0000-0000-0000690A0000}"/>
    <cellStyle name="20% - Accent2 3 3 4 2 2" xfId="37419" xr:uid="{3DFAA55B-8E97-436D-924A-FEA6F98394F6}"/>
    <cellStyle name="20% - Accent2 3 3 4 3" xfId="21524" xr:uid="{00000000-0005-0000-0000-00006A0A0000}"/>
    <cellStyle name="20% - Accent2 3 3 4 3 2" xfId="45356" xr:uid="{BE2BE118-9CF8-4852-81C6-27B78F5115D8}"/>
    <cellStyle name="20% - Accent2 3 3 4 4" xfId="29478" xr:uid="{2EF4000C-B975-4666-8B5C-C669B1D9E5AB}"/>
    <cellStyle name="20% - Accent2 3 3 5" xfId="9145" xr:uid="{00000000-0005-0000-0000-00006B0A0000}"/>
    <cellStyle name="20% - Accent2 3 3 5 2" xfId="17103" xr:uid="{00000000-0005-0000-0000-00006C0A0000}"/>
    <cellStyle name="20% - Accent2 3 3 5 2 2" xfId="40943" xr:uid="{504DC860-CE4D-4241-834B-65CF9DA46C49}"/>
    <cellStyle name="20% - Accent2 3 3 5 3" xfId="25047" xr:uid="{00000000-0005-0000-0000-00006D0A0000}"/>
    <cellStyle name="20% - Accent2 3 3 5 3 2" xfId="48879" xr:uid="{69C530B1-1176-4DB3-8BF3-D6B75EE74A20}"/>
    <cellStyle name="20% - Accent2 3 3 5 4" xfId="33002" xr:uid="{8A7F9B7F-A05D-48FD-A5F0-31616254912C}"/>
    <cellStyle name="20% - Accent2 3 3 6" xfId="10041" xr:uid="{00000000-0005-0000-0000-00006E0A0000}"/>
    <cellStyle name="20% - Accent2 3 3 6 2" xfId="33890" xr:uid="{E9B892B7-4A4A-4485-8FA4-1E062B5F11D2}"/>
    <cellStyle name="20% - Accent2 3 3 7" xfId="17996" xr:uid="{00000000-0005-0000-0000-00006F0A0000}"/>
    <cellStyle name="20% - Accent2 3 3 7 2" xfId="41828" xr:uid="{4962B82E-A437-4D89-A7F8-FE79B7C43D5A}"/>
    <cellStyle name="20% - Accent2 3 3 8" xfId="25948" xr:uid="{90AB2111-E08E-4BB8-86B3-1032DE541818}"/>
    <cellStyle name="20% - Accent2 3 3_Exh G" xfId="2117" xr:uid="{00000000-0005-0000-0000-0000700A0000}"/>
    <cellStyle name="20% - Accent2 3 4" xfId="874" xr:uid="{00000000-0005-0000-0000-0000710A0000}"/>
    <cellStyle name="20% - Accent2 3 4 2" xfId="1804" xr:uid="{00000000-0005-0000-0000-0000720A0000}"/>
    <cellStyle name="20% - Accent2 3 4 2 2" xfId="5321" xr:uid="{00000000-0005-0000-0000-0000730A0000}"/>
    <cellStyle name="20% - Accent2 3 4 2 2 2" xfId="8912" xr:uid="{00000000-0005-0000-0000-0000740A0000}"/>
    <cellStyle name="20% - Accent2 3 4 2 2 2 2" xfId="16882" xr:uid="{00000000-0005-0000-0000-0000750A0000}"/>
    <cellStyle name="20% - Accent2 3 4 2 2 2 2 2" xfId="40724" xr:uid="{F9DDE1D8-C127-45AC-A4C5-B3F54D2EC2D9}"/>
    <cellStyle name="20% - Accent2 3 4 2 2 2 3" xfId="24828" xr:uid="{00000000-0005-0000-0000-0000760A0000}"/>
    <cellStyle name="20% - Accent2 3 4 2 2 2 3 2" xfId="48660" xr:uid="{229D9AAD-6F28-4085-BACD-9C863A256F9F}"/>
    <cellStyle name="20% - Accent2 3 4 2 2 2 4" xfId="32783" xr:uid="{4097E240-5733-4256-A6CD-C2D6BCA0F0E3}"/>
    <cellStyle name="20% - Accent2 3 4 2 2 3" xfId="13344" xr:uid="{00000000-0005-0000-0000-0000770A0000}"/>
    <cellStyle name="20% - Accent2 3 4 2 2 3 2" xfId="37193" xr:uid="{E3BE9BA0-9C38-4BBE-BD87-663A7BF8C8EB}"/>
    <cellStyle name="20% - Accent2 3 4 2 2 4" xfId="21299" xr:uid="{00000000-0005-0000-0000-0000780A0000}"/>
    <cellStyle name="20% - Accent2 3 4 2 2 4 2" xfId="45131" xr:uid="{37C62D82-3956-46FD-9EE5-8726B6B67851}"/>
    <cellStyle name="20% - Accent2 3 4 2 2 5" xfId="29252" xr:uid="{56E53D8D-699F-4231-BC41-FC1E4BF76FFB}"/>
    <cellStyle name="20% - Accent2 3 4 2 3" xfId="7153" xr:uid="{00000000-0005-0000-0000-0000790A0000}"/>
    <cellStyle name="20% - Accent2 3 4 2 3 2" xfId="15124" xr:uid="{00000000-0005-0000-0000-00007A0A0000}"/>
    <cellStyle name="20% - Accent2 3 4 2 3 2 2" xfId="38966" xr:uid="{94AA5197-C155-458C-8C1A-CF6977F22CBE}"/>
    <cellStyle name="20% - Accent2 3 4 2 3 3" xfId="23071" xr:uid="{00000000-0005-0000-0000-00007B0A0000}"/>
    <cellStyle name="20% - Accent2 3 4 2 3 3 2" xfId="46903" xr:uid="{F6295A7E-86FD-4269-AE4B-4261A5F306E2}"/>
    <cellStyle name="20% - Accent2 3 4 2 3 4" xfId="31025" xr:uid="{D249C5FB-6514-412A-AF35-B486EFB2BA56}"/>
    <cellStyle name="20% - Accent2 3 4 2 4" xfId="11588" xr:uid="{00000000-0005-0000-0000-00007C0A0000}"/>
    <cellStyle name="20% - Accent2 3 4 2 4 2" xfId="35437" xr:uid="{1DC28380-E63F-47A8-8376-6A9B8B4B4C09}"/>
    <cellStyle name="20% - Accent2 3 4 2 5" xfId="19543" xr:uid="{00000000-0005-0000-0000-00007D0A0000}"/>
    <cellStyle name="20% - Accent2 3 4 2 5 2" xfId="43375" xr:uid="{84B3CB8B-E2E7-47D4-A723-DE48C77C727E}"/>
    <cellStyle name="20% - Accent2 3 4 2 6" xfId="27495" xr:uid="{586848BD-15BD-4C13-9A97-28705DFA27A6}"/>
    <cellStyle name="20% - Accent2 3 4 2_Exh G" xfId="2120" xr:uid="{00000000-0005-0000-0000-00007E0A0000}"/>
    <cellStyle name="20% - Accent2 3 4 3" xfId="4442" xr:uid="{00000000-0005-0000-0000-00007F0A0000}"/>
    <cellStyle name="20% - Accent2 3 4 3 2" xfId="8034" xr:uid="{00000000-0005-0000-0000-0000800A0000}"/>
    <cellStyle name="20% - Accent2 3 4 3 2 2" xfId="16004" xr:uid="{00000000-0005-0000-0000-0000810A0000}"/>
    <cellStyle name="20% - Accent2 3 4 3 2 2 2" xfId="39846" xr:uid="{52DFE8A9-0EAB-44BB-8C1B-B1C341E21838}"/>
    <cellStyle name="20% - Accent2 3 4 3 2 3" xfId="23950" xr:uid="{00000000-0005-0000-0000-0000820A0000}"/>
    <cellStyle name="20% - Accent2 3 4 3 2 3 2" xfId="47782" xr:uid="{89B7B11C-20D4-4F73-A72D-F2F3167938C9}"/>
    <cellStyle name="20% - Accent2 3 4 3 2 4" xfId="31905" xr:uid="{AD459E62-FC17-4F4B-B031-733B2B380720}"/>
    <cellStyle name="20% - Accent2 3 4 3 3" xfId="12466" xr:uid="{00000000-0005-0000-0000-0000830A0000}"/>
    <cellStyle name="20% - Accent2 3 4 3 3 2" xfId="36315" xr:uid="{E0C63955-12FF-4EC8-8635-6B4150666293}"/>
    <cellStyle name="20% - Accent2 3 4 3 4" xfId="20421" xr:uid="{00000000-0005-0000-0000-0000840A0000}"/>
    <cellStyle name="20% - Accent2 3 4 3 4 2" xfId="44253" xr:uid="{9BB7BB89-500C-4EBD-A3E5-F55DA15D9FC2}"/>
    <cellStyle name="20% - Accent2 3 4 3 5" xfId="28374" xr:uid="{7DAC1E9F-24B1-4D05-BEE9-0738C03BC069}"/>
    <cellStyle name="20% - Accent2 3 4 4" xfId="6272" xr:uid="{00000000-0005-0000-0000-0000850A0000}"/>
    <cellStyle name="20% - Accent2 3 4 4 2" xfId="14246" xr:uid="{00000000-0005-0000-0000-0000860A0000}"/>
    <cellStyle name="20% - Accent2 3 4 4 2 2" xfId="38088" xr:uid="{100232CD-73DA-4A7B-8A77-F8909E7584B8}"/>
    <cellStyle name="20% - Accent2 3 4 4 3" xfId="22193" xr:uid="{00000000-0005-0000-0000-0000870A0000}"/>
    <cellStyle name="20% - Accent2 3 4 4 3 2" xfId="46025" xr:uid="{A14F9DEC-F71E-41FE-9F4F-C40FAB6E3EFB}"/>
    <cellStyle name="20% - Accent2 3 4 4 4" xfId="30147" xr:uid="{A1CE9271-A35F-4F70-B848-CE7E7EDDC513}"/>
    <cellStyle name="20% - Accent2 3 4 5" xfId="9814" xr:uid="{00000000-0005-0000-0000-0000880A0000}"/>
    <cellStyle name="20% - Accent2 3 4 5 2" xfId="17772" xr:uid="{00000000-0005-0000-0000-0000890A0000}"/>
    <cellStyle name="20% - Accent2 3 4 5 2 2" xfId="41612" xr:uid="{C8436574-88A3-47DD-AEDC-C860DC544B0F}"/>
    <cellStyle name="20% - Accent2 3 4 5 3" xfId="25716" xr:uid="{00000000-0005-0000-0000-00008A0A0000}"/>
    <cellStyle name="20% - Accent2 3 4 5 3 2" xfId="49548" xr:uid="{AFF60EFC-2309-46CC-8FA0-C059FA607665}"/>
    <cellStyle name="20% - Accent2 3 4 5 4" xfId="33671" xr:uid="{11229F2F-DAE2-492D-9E3D-5EA543A58D02}"/>
    <cellStyle name="20% - Accent2 3 4 6" xfId="10710" xr:uid="{00000000-0005-0000-0000-00008B0A0000}"/>
    <cellStyle name="20% - Accent2 3 4 6 2" xfId="34559" xr:uid="{111CA56A-ED38-47DB-A341-EC1515D83E9B}"/>
    <cellStyle name="20% - Accent2 3 4 7" xfId="18665" xr:uid="{00000000-0005-0000-0000-00008C0A0000}"/>
    <cellStyle name="20% - Accent2 3 4 7 2" xfId="42497" xr:uid="{9B90224F-C308-4115-B88F-E2BC90625132}"/>
    <cellStyle name="20% - Accent2 3 4 8" xfId="26617" xr:uid="{8152C902-F54E-43E2-8A58-DB195CA6FCEB}"/>
    <cellStyle name="20% - Accent2 3 4_Exh G" xfId="2119" xr:uid="{00000000-0005-0000-0000-00008D0A0000}"/>
    <cellStyle name="20% - Accent2 3 5" xfId="1122" xr:uid="{00000000-0005-0000-0000-00008E0A0000}"/>
    <cellStyle name="20% - Accent2 3 5 2" xfId="4649" xr:uid="{00000000-0005-0000-0000-00008F0A0000}"/>
    <cellStyle name="20% - Accent2 3 5 2 2" xfId="8240" xr:uid="{00000000-0005-0000-0000-0000900A0000}"/>
    <cellStyle name="20% - Accent2 3 5 2 2 2" xfId="16210" xr:uid="{00000000-0005-0000-0000-0000910A0000}"/>
    <cellStyle name="20% - Accent2 3 5 2 2 2 2" xfId="40052" xr:uid="{A93A32F3-D85F-4BAF-82BC-D79C2D5BBF04}"/>
    <cellStyle name="20% - Accent2 3 5 2 2 3" xfId="24156" xr:uid="{00000000-0005-0000-0000-0000920A0000}"/>
    <cellStyle name="20% - Accent2 3 5 2 2 3 2" xfId="47988" xr:uid="{A6CFB074-E8FF-4000-8E80-666BEB5F0D24}"/>
    <cellStyle name="20% - Accent2 3 5 2 2 4" xfId="32111" xr:uid="{C49C9CB2-9D1A-49EF-8EB5-5D523F1B844A}"/>
    <cellStyle name="20% - Accent2 3 5 2 3" xfId="12672" xr:uid="{00000000-0005-0000-0000-0000930A0000}"/>
    <cellStyle name="20% - Accent2 3 5 2 3 2" xfId="36521" xr:uid="{BD456B1E-6730-4108-A305-1D4A11DACD57}"/>
    <cellStyle name="20% - Accent2 3 5 2 4" xfId="20627" xr:uid="{00000000-0005-0000-0000-0000940A0000}"/>
    <cellStyle name="20% - Accent2 3 5 2 4 2" xfId="44459" xr:uid="{E909DC0A-D9E9-433F-8DF0-1B92CE6D443F}"/>
    <cellStyle name="20% - Accent2 3 5 2 5" xfId="28580" xr:uid="{4BD3E449-FAB6-41DC-9FB8-76228AB92EA0}"/>
    <cellStyle name="20% - Accent2 3 5 3" xfId="6481" xr:uid="{00000000-0005-0000-0000-0000950A0000}"/>
    <cellStyle name="20% - Accent2 3 5 3 2" xfId="14452" xr:uid="{00000000-0005-0000-0000-0000960A0000}"/>
    <cellStyle name="20% - Accent2 3 5 3 2 2" xfId="38294" xr:uid="{7DA8032D-C3B1-4201-9018-4CE673EE58CF}"/>
    <cellStyle name="20% - Accent2 3 5 3 3" xfId="22399" xr:uid="{00000000-0005-0000-0000-0000970A0000}"/>
    <cellStyle name="20% - Accent2 3 5 3 3 2" xfId="46231" xr:uid="{58A813D7-9466-4EDF-B8E6-AC9D7C80A409}"/>
    <cellStyle name="20% - Accent2 3 5 3 4" xfId="30353" xr:uid="{05ADF54C-F2B5-4E8A-9175-997C3CCE98CA}"/>
    <cellStyle name="20% - Accent2 3 5 4" xfId="10916" xr:uid="{00000000-0005-0000-0000-0000980A0000}"/>
    <cellStyle name="20% - Accent2 3 5 4 2" xfId="34765" xr:uid="{3426EA18-843B-4AED-BAD3-4E9A879152B6}"/>
    <cellStyle name="20% - Accent2 3 5 5" xfId="18871" xr:uid="{00000000-0005-0000-0000-0000990A0000}"/>
    <cellStyle name="20% - Accent2 3 5 5 2" xfId="42703" xr:uid="{1F43D0DB-79A6-4BCC-A58C-EB8010AA4D43}"/>
    <cellStyle name="20% - Accent2 3 5 6" xfId="26823" xr:uid="{F76A5E25-A4D6-4D60-B26B-C6365DCD193D}"/>
    <cellStyle name="20% - Accent2 3 5_Exh G" xfId="2121" xr:uid="{00000000-0005-0000-0000-00009A0A0000}"/>
    <cellStyle name="20% - Accent2 3 6" xfId="3770" xr:uid="{00000000-0005-0000-0000-00009B0A0000}"/>
    <cellStyle name="20% - Accent2 3 6 2" xfId="7362" xr:uid="{00000000-0005-0000-0000-00009C0A0000}"/>
    <cellStyle name="20% - Accent2 3 6 2 2" xfId="15332" xr:uid="{00000000-0005-0000-0000-00009D0A0000}"/>
    <cellStyle name="20% - Accent2 3 6 2 2 2" xfId="39174" xr:uid="{C13F35C0-F9B2-48C8-B19A-17431FF843FC}"/>
    <cellStyle name="20% - Accent2 3 6 2 3" xfId="23278" xr:uid="{00000000-0005-0000-0000-00009E0A0000}"/>
    <cellStyle name="20% - Accent2 3 6 2 3 2" xfId="47110" xr:uid="{0B27ADAE-3387-47BC-B84C-C515B91C713E}"/>
    <cellStyle name="20% - Accent2 3 6 2 4" xfId="31233" xr:uid="{6EF00D4C-6B9A-4B10-B102-D1EF75507DBB}"/>
    <cellStyle name="20% - Accent2 3 6 3" xfId="11794" xr:uid="{00000000-0005-0000-0000-00009F0A0000}"/>
    <cellStyle name="20% - Accent2 3 6 3 2" xfId="35643" xr:uid="{B0CFDC66-3E75-43DF-A973-C97BE1456705}"/>
    <cellStyle name="20% - Accent2 3 6 4" xfId="19749" xr:uid="{00000000-0005-0000-0000-0000A00A0000}"/>
    <cellStyle name="20% - Accent2 3 6 4 2" xfId="43581" xr:uid="{23313EAF-32F8-4EE3-B837-0B9DC829D3B0}"/>
    <cellStyle name="20% - Accent2 3 6 5" xfId="27702" xr:uid="{DB3F9DC6-07CC-4831-AF96-CA9875989DE2}"/>
    <cellStyle name="20% - Accent2 3 7" xfId="5590" xr:uid="{00000000-0005-0000-0000-0000A10A0000}"/>
    <cellStyle name="20% - Accent2 3 7 2" xfId="13573" xr:uid="{00000000-0005-0000-0000-0000A20A0000}"/>
    <cellStyle name="20% - Accent2 3 7 2 2" xfId="37416" xr:uid="{70399C2E-557A-4A6B-A971-0EE3B177D56A}"/>
    <cellStyle name="20% - Accent2 3 7 3" xfId="21521" xr:uid="{00000000-0005-0000-0000-0000A30A0000}"/>
    <cellStyle name="20% - Accent2 3 7 3 2" xfId="45353" xr:uid="{419C2832-2DD8-4527-BF5D-27E810171D6A}"/>
    <cellStyle name="20% - Accent2 3 7 4" xfId="29475" xr:uid="{A9119550-D9A2-423A-9A42-87D31E9020C1}"/>
    <cellStyle name="20% - Accent2 3 8" xfId="9142" xr:uid="{00000000-0005-0000-0000-0000A40A0000}"/>
    <cellStyle name="20% - Accent2 3 8 2" xfId="17100" xr:uid="{00000000-0005-0000-0000-0000A50A0000}"/>
    <cellStyle name="20% - Accent2 3 8 2 2" xfId="40940" xr:uid="{FDD2E0E5-78B4-4EBD-AD49-88926227F6D0}"/>
    <cellStyle name="20% - Accent2 3 8 3" xfId="25044" xr:uid="{00000000-0005-0000-0000-0000A60A0000}"/>
    <cellStyle name="20% - Accent2 3 8 3 2" xfId="48876" xr:uid="{F453F858-3EF5-4D6B-854D-AFF8A15E3E74}"/>
    <cellStyle name="20% - Accent2 3 8 4" xfId="32999" xr:uid="{A129BF2D-8595-4FDE-A3DF-8F29C2758197}"/>
    <cellStyle name="20% - Accent2 3 9" xfId="10038" xr:uid="{00000000-0005-0000-0000-0000A70A0000}"/>
    <cellStyle name="20% - Accent2 3 9 2" xfId="33887" xr:uid="{E508614E-2762-4F9C-B1BC-C28FAF86D24F}"/>
    <cellStyle name="20% - Accent2 3_Exh G" xfId="2110" xr:uid="{00000000-0005-0000-0000-0000A80A0000}"/>
    <cellStyle name="20% - Accent2 4" xfId="100" xr:uid="{00000000-0005-0000-0000-0000A90A0000}"/>
    <cellStyle name="20% - Accent2 4 10" xfId="17997" xr:uid="{00000000-0005-0000-0000-0000AA0A0000}"/>
    <cellStyle name="20% - Accent2 4 10 2" xfId="41829" xr:uid="{51DFAD04-0D87-423E-B16D-44DAAED10556}"/>
    <cellStyle name="20% - Accent2 4 11" xfId="25949" xr:uid="{52B76F3F-3974-4491-B364-B65582AA9C00}"/>
    <cellStyle name="20% - Accent2 4 2" xfId="101" xr:uid="{00000000-0005-0000-0000-0000AB0A0000}"/>
    <cellStyle name="20% - Accent2 4 2 10" xfId="25950" xr:uid="{C2F7EC9B-1A4A-4B60-AC23-922ACD113DC1}"/>
    <cellStyle name="20% - Accent2 4 2 2" xfId="102" xr:uid="{00000000-0005-0000-0000-0000AC0A0000}"/>
    <cellStyle name="20% - Accent2 4 2 2 2" xfId="1128" xr:uid="{00000000-0005-0000-0000-0000AD0A0000}"/>
    <cellStyle name="20% - Accent2 4 2 2 2 2" xfId="4655" xr:uid="{00000000-0005-0000-0000-0000AE0A0000}"/>
    <cellStyle name="20% - Accent2 4 2 2 2 2 2" xfId="8246" xr:uid="{00000000-0005-0000-0000-0000AF0A0000}"/>
    <cellStyle name="20% - Accent2 4 2 2 2 2 2 2" xfId="16216" xr:uid="{00000000-0005-0000-0000-0000B00A0000}"/>
    <cellStyle name="20% - Accent2 4 2 2 2 2 2 2 2" xfId="40058" xr:uid="{4025E225-BA69-426E-AE88-0F0E0FED0CA7}"/>
    <cellStyle name="20% - Accent2 4 2 2 2 2 2 3" xfId="24162" xr:uid="{00000000-0005-0000-0000-0000B10A0000}"/>
    <cellStyle name="20% - Accent2 4 2 2 2 2 2 3 2" xfId="47994" xr:uid="{F89AB8FE-ACA8-4181-B53B-750E74F5AF5A}"/>
    <cellStyle name="20% - Accent2 4 2 2 2 2 2 4" xfId="32117" xr:uid="{78525B41-0B1B-4502-B288-53B367E46AE7}"/>
    <cellStyle name="20% - Accent2 4 2 2 2 2 3" xfId="12678" xr:uid="{00000000-0005-0000-0000-0000B20A0000}"/>
    <cellStyle name="20% - Accent2 4 2 2 2 2 3 2" xfId="36527" xr:uid="{E7FE22C6-97A1-4303-8475-7D8C1A4F31AF}"/>
    <cellStyle name="20% - Accent2 4 2 2 2 2 4" xfId="20633" xr:uid="{00000000-0005-0000-0000-0000B30A0000}"/>
    <cellStyle name="20% - Accent2 4 2 2 2 2 4 2" xfId="44465" xr:uid="{2C0C9D37-26A7-4E38-A85C-2C603698D627}"/>
    <cellStyle name="20% - Accent2 4 2 2 2 2 5" xfId="28586" xr:uid="{7225BB7E-9503-44A7-8C04-70A25F7B4D7A}"/>
    <cellStyle name="20% - Accent2 4 2 2 2 3" xfId="6487" xr:uid="{00000000-0005-0000-0000-0000B40A0000}"/>
    <cellStyle name="20% - Accent2 4 2 2 2 3 2" xfId="14458" xr:uid="{00000000-0005-0000-0000-0000B50A0000}"/>
    <cellStyle name="20% - Accent2 4 2 2 2 3 2 2" xfId="38300" xr:uid="{DC90291B-ECAF-4EF9-A637-E9EEC2A407AC}"/>
    <cellStyle name="20% - Accent2 4 2 2 2 3 3" xfId="22405" xr:uid="{00000000-0005-0000-0000-0000B60A0000}"/>
    <cellStyle name="20% - Accent2 4 2 2 2 3 3 2" xfId="46237" xr:uid="{B84923BB-54BE-457E-96DC-7D488F318634}"/>
    <cellStyle name="20% - Accent2 4 2 2 2 3 4" xfId="30359" xr:uid="{684F415F-6287-4910-832B-820848F5E21A}"/>
    <cellStyle name="20% - Accent2 4 2 2 2 4" xfId="10922" xr:uid="{00000000-0005-0000-0000-0000B70A0000}"/>
    <cellStyle name="20% - Accent2 4 2 2 2 4 2" xfId="34771" xr:uid="{33E6DCC1-A755-478E-A9E8-F00FD4D30420}"/>
    <cellStyle name="20% - Accent2 4 2 2 2 5" xfId="18877" xr:uid="{00000000-0005-0000-0000-0000B80A0000}"/>
    <cellStyle name="20% - Accent2 4 2 2 2 5 2" xfId="42709" xr:uid="{7A80272E-724E-41B0-BEAA-FD2D6FBF2848}"/>
    <cellStyle name="20% - Accent2 4 2 2 2 6" xfId="26829" xr:uid="{26F64487-0B82-4763-9B4E-9CE9AC377129}"/>
    <cellStyle name="20% - Accent2 4 2 2 2_Exh G" xfId="2125" xr:uid="{00000000-0005-0000-0000-0000B90A0000}"/>
    <cellStyle name="20% - Accent2 4 2 2 3" xfId="3776" xr:uid="{00000000-0005-0000-0000-0000BA0A0000}"/>
    <cellStyle name="20% - Accent2 4 2 2 3 2" xfId="7368" xr:uid="{00000000-0005-0000-0000-0000BB0A0000}"/>
    <cellStyle name="20% - Accent2 4 2 2 3 2 2" xfId="15338" xr:uid="{00000000-0005-0000-0000-0000BC0A0000}"/>
    <cellStyle name="20% - Accent2 4 2 2 3 2 2 2" xfId="39180" xr:uid="{625E9C2E-D0E6-47A7-8D5C-F7F65C623584}"/>
    <cellStyle name="20% - Accent2 4 2 2 3 2 3" xfId="23284" xr:uid="{00000000-0005-0000-0000-0000BD0A0000}"/>
    <cellStyle name="20% - Accent2 4 2 2 3 2 3 2" xfId="47116" xr:uid="{88D9F7D2-7BD8-4521-B6F1-8FACA5439483}"/>
    <cellStyle name="20% - Accent2 4 2 2 3 2 4" xfId="31239" xr:uid="{BCCF8544-FE57-4BF8-94A0-98B506A57D79}"/>
    <cellStyle name="20% - Accent2 4 2 2 3 3" xfId="11800" xr:uid="{00000000-0005-0000-0000-0000BE0A0000}"/>
    <cellStyle name="20% - Accent2 4 2 2 3 3 2" xfId="35649" xr:uid="{217B632D-2A0F-4B49-96B7-FB62FA5CFBD4}"/>
    <cellStyle name="20% - Accent2 4 2 2 3 4" xfId="19755" xr:uid="{00000000-0005-0000-0000-0000BF0A0000}"/>
    <cellStyle name="20% - Accent2 4 2 2 3 4 2" xfId="43587" xr:uid="{2AD598A8-7770-4BD3-89BA-CAB8CDB54F59}"/>
    <cellStyle name="20% - Accent2 4 2 2 3 5" xfId="27708" xr:uid="{706BA935-7B2B-432A-9A15-8CC9B32CBE45}"/>
    <cellStyle name="20% - Accent2 4 2 2 4" xfId="5596" xr:uid="{00000000-0005-0000-0000-0000C00A0000}"/>
    <cellStyle name="20% - Accent2 4 2 2 4 2" xfId="13579" xr:uid="{00000000-0005-0000-0000-0000C10A0000}"/>
    <cellStyle name="20% - Accent2 4 2 2 4 2 2" xfId="37422" xr:uid="{FF1CDA6F-8AF7-42C1-8A0C-080E218F84A7}"/>
    <cellStyle name="20% - Accent2 4 2 2 4 3" xfId="21527" xr:uid="{00000000-0005-0000-0000-0000C20A0000}"/>
    <cellStyle name="20% - Accent2 4 2 2 4 3 2" xfId="45359" xr:uid="{BD85AC32-C4FB-4AFE-8BEC-151409B69E60}"/>
    <cellStyle name="20% - Accent2 4 2 2 4 4" xfId="29481" xr:uid="{4ECAB4EF-2A26-4141-A3E7-4DBBD0E8A431}"/>
    <cellStyle name="20% - Accent2 4 2 2 5" xfId="9148" xr:uid="{00000000-0005-0000-0000-0000C30A0000}"/>
    <cellStyle name="20% - Accent2 4 2 2 5 2" xfId="17106" xr:uid="{00000000-0005-0000-0000-0000C40A0000}"/>
    <cellStyle name="20% - Accent2 4 2 2 5 2 2" xfId="40946" xr:uid="{2B6D71C1-3534-4DF3-A3A1-CC8C49B3CCC3}"/>
    <cellStyle name="20% - Accent2 4 2 2 5 3" xfId="25050" xr:uid="{00000000-0005-0000-0000-0000C50A0000}"/>
    <cellStyle name="20% - Accent2 4 2 2 5 3 2" xfId="48882" xr:uid="{B114FCC0-7650-40F2-9D5C-079245F732B1}"/>
    <cellStyle name="20% - Accent2 4 2 2 5 4" xfId="33005" xr:uid="{AEC538A4-0F8B-42B5-A90B-6947F221D48B}"/>
    <cellStyle name="20% - Accent2 4 2 2 6" xfId="10044" xr:uid="{00000000-0005-0000-0000-0000C60A0000}"/>
    <cellStyle name="20% - Accent2 4 2 2 6 2" xfId="33893" xr:uid="{16F184B8-6E17-42C0-9C21-A0E3B1CFAF49}"/>
    <cellStyle name="20% - Accent2 4 2 2 7" xfId="17999" xr:uid="{00000000-0005-0000-0000-0000C70A0000}"/>
    <cellStyle name="20% - Accent2 4 2 2 7 2" xfId="41831" xr:uid="{98B26822-7FBA-4221-8F71-4D845FE15628}"/>
    <cellStyle name="20% - Accent2 4 2 2 8" xfId="25951" xr:uid="{186D309C-C1DE-4883-804C-C42E6965D2BE}"/>
    <cellStyle name="20% - Accent2 4 2 2_Exh G" xfId="2124" xr:uid="{00000000-0005-0000-0000-0000C80A0000}"/>
    <cellStyle name="20% - Accent2 4 2 3" xfId="877" xr:uid="{00000000-0005-0000-0000-0000C90A0000}"/>
    <cellStyle name="20% - Accent2 4 2 3 2" xfId="1807" xr:uid="{00000000-0005-0000-0000-0000CA0A0000}"/>
    <cellStyle name="20% - Accent2 4 2 3 2 2" xfId="5324" xr:uid="{00000000-0005-0000-0000-0000CB0A0000}"/>
    <cellStyle name="20% - Accent2 4 2 3 2 2 2" xfId="8915" xr:uid="{00000000-0005-0000-0000-0000CC0A0000}"/>
    <cellStyle name="20% - Accent2 4 2 3 2 2 2 2" xfId="16885" xr:uid="{00000000-0005-0000-0000-0000CD0A0000}"/>
    <cellStyle name="20% - Accent2 4 2 3 2 2 2 2 2" xfId="40727" xr:uid="{787EAA7E-9BB0-488A-829A-25A4D2A97F7D}"/>
    <cellStyle name="20% - Accent2 4 2 3 2 2 2 3" xfId="24831" xr:uid="{00000000-0005-0000-0000-0000CE0A0000}"/>
    <cellStyle name="20% - Accent2 4 2 3 2 2 2 3 2" xfId="48663" xr:uid="{A4C437A9-9DE2-4C99-ACDD-11C8FEB9D4CD}"/>
    <cellStyle name="20% - Accent2 4 2 3 2 2 2 4" xfId="32786" xr:uid="{643B1DBF-FC70-4CF6-B063-EC66935E9821}"/>
    <cellStyle name="20% - Accent2 4 2 3 2 2 3" xfId="13347" xr:uid="{00000000-0005-0000-0000-0000CF0A0000}"/>
    <cellStyle name="20% - Accent2 4 2 3 2 2 3 2" xfId="37196" xr:uid="{CAD68C36-DFD7-4B99-AB00-D88392B79F1A}"/>
    <cellStyle name="20% - Accent2 4 2 3 2 2 4" xfId="21302" xr:uid="{00000000-0005-0000-0000-0000D00A0000}"/>
    <cellStyle name="20% - Accent2 4 2 3 2 2 4 2" xfId="45134" xr:uid="{4DCFBE34-3453-435D-AD9B-EDB58E5B3383}"/>
    <cellStyle name="20% - Accent2 4 2 3 2 2 5" xfId="29255" xr:uid="{0DB5A524-73AC-4B74-8489-06FC52CB99B5}"/>
    <cellStyle name="20% - Accent2 4 2 3 2 3" xfId="7156" xr:uid="{00000000-0005-0000-0000-0000D10A0000}"/>
    <cellStyle name="20% - Accent2 4 2 3 2 3 2" xfId="15127" xr:uid="{00000000-0005-0000-0000-0000D20A0000}"/>
    <cellStyle name="20% - Accent2 4 2 3 2 3 2 2" xfId="38969" xr:uid="{F04FCC7E-41CB-4A21-AFBC-2AF81C90722F}"/>
    <cellStyle name="20% - Accent2 4 2 3 2 3 3" xfId="23074" xr:uid="{00000000-0005-0000-0000-0000D30A0000}"/>
    <cellStyle name="20% - Accent2 4 2 3 2 3 3 2" xfId="46906" xr:uid="{0C930FCD-BFFE-4CC3-8B2C-B11B3D67D110}"/>
    <cellStyle name="20% - Accent2 4 2 3 2 3 4" xfId="31028" xr:uid="{D7DE551E-DA12-4EA8-B51C-90C55E7A6997}"/>
    <cellStyle name="20% - Accent2 4 2 3 2 4" xfId="11591" xr:uid="{00000000-0005-0000-0000-0000D40A0000}"/>
    <cellStyle name="20% - Accent2 4 2 3 2 4 2" xfId="35440" xr:uid="{D001A8E2-5A45-4D58-B7D4-E05F12EFAAD7}"/>
    <cellStyle name="20% - Accent2 4 2 3 2 5" xfId="19546" xr:uid="{00000000-0005-0000-0000-0000D50A0000}"/>
    <cellStyle name="20% - Accent2 4 2 3 2 5 2" xfId="43378" xr:uid="{41C8E076-FCE2-4F18-A60B-C7570F715C1E}"/>
    <cellStyle name="20% - Accent2 4 2 3 2 6" xfId="27498" xr:uid="{31EF162C-BD79-4D30-BB1E-4008800D1773}"/>
    <cellStyle name="20% - Accent2 4 2 3 2_Exh G" xfId="2127" xr:uid="{00000000-0005-0000-0000-0000D60A0000}"/>
    <cellStyle name="20% - Accent2 4 2 3 3" xfId="4445" xr:uid="{00000000-0005-0000-0000-0000D70A0000}"/>
    <cellStyle name="20% - Accent2 4 2 3 3 2" xfId="8037" xr:uid="{00000000-0005-0000-0000-0000D80A0000}"/>
    <cellStyle name="20% - Accent2 4 2 3 3 2 2" xfId="16007" xr:uid="{00000000-0005-0000-0000-0000D90A0000}"/>
    <cellStyle name="20% - Accent2 4 2 3 3 2 2 2" xfId="39849" xr:uid="{93286FDF-7251-4323-AEEB-E2525E00A5B3}"/>
    <cellStyle name="20% - Accent2 4 2 3 3 2 3" xfId="23953" xr:uid="{00000000-0005-0000-0000-0000DA0A0000}"/>
    <cellStyle name="20% - Accent2 4 2 3 3 2 3 2" xfId="47785" xr:uid="{D807FD9A-4CA0-4D3B-80D6-11B95938868A}"/>
    <cellStyle name="20% - Accent2 4 2 3 3 2 4" xfId="31908" xr:uid="{0602C8DC-6E8C-4014-9569-5C035F65335A}"/>
    <cellStyle name="20% - Accent2 4 2 3 3 3" xfId="12469" xr:uid="{00000000-0005-0000-0000-0000DB0A0000}"/>
    <cellStyle name="20% - Accent2 4 2 3 3 3 2" xfId="36318" xr:uid="{8C72436B-4FAB-46DB-9EA6-B3851637B025}"/>
    <cellStyle name="20% - Accent2 4 2 3 3 4" xfId="20424" xr:uid="{00000000-0005-0000-0000-0000DC0A0000}"/>
    <cellStyle name="20% - Accent2 4 2 3 3 4 2" xfId="44256" xr:uid="{97271703-F674-4541-9877-52D5368175F8}"/>
    <cellStyle name="20% - Accent2 4 2 3 3 5" xfId="28377" xr:uid="{1C35A5E3-95BD-4E45-A1DC-A44D3A70329B}"/>
    <cellStyle name="20% - Accent2 4 2 3 4" xfId="6275" xr:uid="{00000000-0005-0000-0000-0000DD0A0000}"/>
    <cellStyle name="20% - Accent2 4 2 3 4 2" xfId="14249" xr:uid="{00000000-0005-0000-0000-0000DE0A0000}"/>
    <cellStyle name="20% - Accent2 4 2 3 4 2 2" xfId="38091" xr:uid="{86AB7F0D-9E5E-4879-89C1-EF8E0B657EC4}"/>
    <cellStyle name="20% - Accent2 4 2 3 4 3" xfId="22196" xr:uid="{00000000-0005-0000-0000-0000DF0A0000}"/>
    <cellStyle name="20% - Accent2 4 2 3 4 3 2" xfId="46028" xr:uid="{95B7A735-0456-4A1D-B670-B6B53FFBCDC5}"/>
    <cellStyle name="20% - Accent2 4 2 3 4 4" xfId="30150" xr:uid="{0D51605E-BD30-4673-92BF-A75C5C543528}"/>
    <cellStyle name="20% - Accent2 4 2 3 5" xfId="9817" xr:uid="{00000000-0005-0000-0000-0000E00A0000}"/>
    <cellStyle name="20% - Accent2 4 2 3 5 2" xfId="17775" xr:uid="{00000000-0005-0000-0000-0000E10A0000}"/>
    <cellStyle name="20% - Accent2 4 2 3 5 2 2" xfId="41615" xr:uid="{48E33C1D-C9DB-4096-928F-7FE30D93E45E}"/>
    <cellStyle name="20% - Accent2 4 2 3 5 3" xfId="25719" xr:uid="{00000000-0005-0000-0000-0000E20A0000}"/>
    <cellStyle name="20% - Accent2 4 2 3 5 3 2" xfId="49551" xr:uid="{45300BB4-318F-4C3F-AFBE-3C3AEC6496E3}"/>
    <cellStyle name="20% - Accent2 4 2 3 5 4" xfId="33674" xr:uid="{BE23B913-59B6-4BC9-9A10-0E581AF35891}"/>
    <cellStyle name="20% - Accent2 4 2 3 6" xfId="10713" xr:uid="{00000000-0005-0000-0000-0000E30A0000}"/>
    <cellStyle name="20% - Accent2 4 2 3 6 2" xfId="34562" xr:uid="{ACD09E15-33D9-40CE-A1BF-60EAEF115402}"/>
    <cellStyle name="20% - Accent2 4 2 3 7" xfId="18668" xr:uid="{00000000-0005-0000-0000-0000E40A0000}"/>
    <cellStyle name="20% - Accent2 4 2 3 7 2" xfId="42500" xr:uid="{468EAFD5-7B34-4DD7-8C87-0ECD08552AC4}"/>
    <cellStyle name="20% - Accent2 4 2 3 8" xfId="26620" xr:uid="{59AB9D80-E34F-40FB-84B5-5DF00B426DA5}"/>
    <cellStyle name="20% - Accent2 4 2 3_Exh G" xfId="2126" xr:uid="{00000000-0005-0000-0000-0000E50A0000}"/>
    <cellStyle name="20% - Accent2 4 2 4" xfId="1127" xr:uid="{00000000-0005-0000-0000-0000E60A0000}"/>
    <cellStyle name="20% - Accent2 4 2 4 2" xfId="4654" xr:uid="{00000000-0005-0000-0000-0000E70A0000}"/>
    <cellStyle name="20% - Accent2 4 2 4 2 2" xfId="8245" xr:uid="{00000000-0005-0000-0000-0000E80A0000}"/>
    <cellStyle name="20% - Accent2 4 2 4 2 2 2" xfId="16215" xr:uid="{00000000-0005-0000-0000-0000E90A0000}"/>
    <cellStyle name="20% - Accent2 4 2 4 2 2 2 2" xfId="40057" xr:uid="{8D0997B0-8CA1-4381-8A84-87337E26F1CC}"/>
    <cellStyle name="20% - Accent2 4 2 4 2 2 3" xfId="24161" xr:uid="{00000000-0005-0000-0000-0000EA0A0000}"/>
    <cellStyle name="20% - Accent2 4 2 4 2 2 3 2" xfId="47993" xr:uid="{DF19D84B-31EE-476C-AC3C-4920C728EE83}"/>
    <cellStyle name="20% - Accent2 4 2 4 2 2 4" xfId="32116" xr:uid="{77FA14E5-5F46-4376-8256-21325D8DBF19}"/>
    <cellStyle name="20% - Accent2 4 2 4 2 3" xfId="12677" xr:uid="{00000000-0005-0000-0000-0000EB0A0000}"/>
    <cellStyle name="20% - Accent2 4 2 4 2 3 2" xfId="36526" xr:uid="{55B61F94-B6A9-4199-94AA-CB2AF02EB72E}"/>
    <cellStyle name="20% - Accent2 4 2 4 2 4" xfId="20632" xr:uid="{00000000-0005-0000-0000-0000EC0A0000}"/>
    <cellStyle name="20% - Accent2 4 2 4 2 4 2" xfId="44464" xr:uid="{C037FE92-138F-496D-BEF6-7ECA7EF88BB8}"/>
    <cellStyle name="20% - Accent2 4 2 4 2 5" xfId="28585" xr:uid="{350D03B6-AEC8-4318-B820-F4134B6AA836}"/>
    <cellStyle name="20% - Accent2 4 2 4 3" xfId="6486" xr:uid="{00000000-0005-0000-0000-0000ED0A0000}"/>
    <cellStyle name="20% - Accent2 4 2 4 3 2" xfId="14457" xr:uid="{00000000-0005-0000-0000-0000EE0A0000}"/>
    <cellStyle name="20% - Accent2 4 2 4 3 2 2" xfId="38299" xr:uid="{004C19FA-F4DE-4E21-A2AE-B95C32D9A917}"/>
    <cellStyle name="20% - Accent2 4 2 4 3 3" xfId="22404" xr:uid="{00000000-0005-0000-0000-0000EF0A0000}"/>
    <cellStyle name="20% - Accent2 4 2 4 3 3 2" xfId="46236" xr:uid="{C37B7FCF-364A-4776-8205-5FCE78B4E26C}"/>
    <cellStyle name="20% - Accent2 4 2 4 3 4" xfId="30358" xr:uid="{3A0B254D-50C3-44E1-9E8A-457360099C7B}"/>
    <cellStyle name="20% - Accent2 4 2 4 4" xfId="10921" xr:uid="{00000000-0005-0000-0000-0000F00A0000}"/>
    <cellStyle name="20% - Accent2 4 2 4 4 2" xfId="34770" xr:uid="{BF994B3B-BFF1-4386-AB6B-0FD7A434F48E}"/>
    <cellStyle name="20% - Accent2 4 2 4 5" xfId="18876" xr:uid="{00000000-0005-0000-0000-0000F10A0000}"/>
    <cellStyle name="20% - Accent2 4 2 4 5 2" xfId="42708" xr:uid="{1647F13B-D19D-4CCA-AF03-E2DF5ABF3E71}"/>
    <cellStyle name="20% - Accent2 4 2 4 6" xfId="26828" xr:uid="{B0F66319-CA59-4B5E-A50D-477B0AAA6518}"/>
    <cellStyle name="20% - Accent2 4 2 4_Exh G" xfId="2128" xr:uid="{00000000-0005-0000-0000-0000F20A0000}"/>
    <cellStyle name="20% - Accent2 4 2 5" xfId="3775" xr:uid="{00000000-0005-0000-0000-0000F30A0000}"/>
    <cellStyle name="20% - Accent2 4 2 5 2" xfId="7367" xr:uid="{00000000-0005-0000-0000-0000F40A0000}"/>
    <cellStyle name="20% - Accent2 4 2 5 2 2" xfId="15337" xr:uid="{00000000-0005-0000-0000-0000F50A0000}"/>
    <cellStyle name="20% - Accent2 4 2 5 2 2 2" xfId="39179" xr:uid="{96EB0141-7017-4104-B347-73BC49B0100F}"/>
    <cellStyle name="20% - Accent2 4 2 5 2 3" xfId="23283" xr:uid="{00000000-0005-0000-0000-0000F60A0000}"/>
    <cellStyle name="20% - Accent2 4 2 5 2 3 2" xfId="47115" xr:uid="{0B45C978-8446-4A4E-AF76-566C363088B3}"/>
    <cellStyle name="20% - Accent2 4 2 5 2 4" xfId="31238" xr:uid="{B8E48757-C324-49D5-9786-5B5CD915700C}"/>
    <cellStyle name="20% - Accent2 4 2 5 3" xfId="11799" xr:uid="{00000000-0005-0000-0000-0000F70A0000}"/>
    <cellStyle name="20% - Accent2 4 2 5 3 2" xfId="35648" xr:uid="{85617E5A-59F2-4B2D-A3FC-4D3D0FAD20B5}"/>
    <cellStyle name="20% - Accent2 4 2 5 4" xfId="19754" xr:uid="{00000000-0005-0000-0000-0000F80A0000}"/>
    <cellStyle name="20% - Accent2 4 2 5 4 2" xfId="43586" xr:uid="{B2579C77-476E-4E9E-A6D9-6E297ECD5A78}"/>
    <cellStyle name="20% - Accent2 4 2 5 5" xfId="27707" xr:uid="{929338B4-25B7-4B35-9D2B-C461D6A3B046}"/>
    <cellStyle name="20% - Accent2 4 2 6" xfId="5595" xr:uid="{00000000-0005-0000-0000-0000F90A0000}"/>
    <cellStyle name="20% - Accent2 4 2 6 2" xfId="13578" xr:uid="{00000000-0005-0000-0000-0000FA0A0000}"/>
    <cellStyle name="20% - Accent2 4 2 6 2 2" xfId="37421" xr:uid="{D9C1FAE8-97F0-49BB-B43C-2B0B423AFA78}"/>
    <cellStyle name="20% - Accent2 4 2 6 3" xfId="21526" xr:uid="{00000000-0005-0000-0000-0000FB0A0000}"/>
    <cellStyle name="20% - Accent2 4 2 6 3 2" xfId="45358" xr:uid="{482A33EA-95C5-4A8C-9282-5F0C6A80DBD8}"/>
    <cellStyle name="20% - Accent2 4 2 6 4" xfId="29480" xr:uid="{C3CAD9DE-BD12-4F2F-A6CF-3BB015FA94E6}"/>
    <cellStyle name="20% - Accent2 4 2 7" xfId="9147" xr:uid="{00000000-0005-0000-0000-0000FC0A0000}"/>
    <cellStyle name="20% - Accent2 4 2 7 2" xfId="17105" xr:uid="{00000000-0005-0000-0000-0000FD0A0000}"/>
    <cellStyle name="20% - Accent2 4 2 7 2 2" xfId="40945" xr:uid="{916597D5-C6B6-4708-9DB8-D31DFC0E9670}"/>
    <cellStyle name="20% - Accent2 4 2 7 3" xfId="25049" xr:uid="{00000000-0005-0000-0000-0000FE0A0000}"/>
    <cellStyle name="20% - Accent2 4 2 7 3 2" xfId="48881" xr:uid="{E9ECE8C4-CF61-4CFC-9711-F5F1C6CA08CC}"/>
    <cellStyle name="20% - Accent2 4 2 7 4" xfId="33004" xr:uid="{FA10235E-8D4E-431E-9DB3-C2EFF6F26197}"/>
    <cellStyle name="20% - Accent2 4 2 8" xfId="10043" xr:uid="{00000000-0005-0000-0000-0000FF0A0000}"/>
    <cellStyle name="20% - Accent2 4 2 8 2" xfId="33892" xr:uid="{AF22F9E6-13AC-4084-B198-8FCACA8690BB}"/>
    <cellStyle name="20% - Accent2 4 2 9" xfId="17998" xr:uid="{00000000-0005-0000-0000-0000000B0000}"/>
    <cellStyle name="20% - Accent2 4 2 9 2" xfId="41830" xr:uid="{8B630367-1E35-4A2F-BB89-2BEDE2EBB060}"/>
    <cellStyle name="20% - Accent2 4 2_Exh G" xfId="2123" xr:uid="{00000000-0005-0000-0000-0000010B0000}"/>
    <cellStyle name="20% - Accent2 4 3" xfId="103" xr:uid="{00000000-0005-0000-0000-0000020B0000}"/>
    <cellStyle name="20% - Accent2 4 3 2" xfId="1129" xr:uid="{00000000-0005-0000-0000-0000030B0000}"/>
    <cellStyle name="20% - Accent2 4 3 2 2" xfId="4656" xr:uid="{00000000-0005-0000-0000-0000040B0000}"/>
    <cellStyle name="20% - Accent2 4 3 2 2 2" xfId="8247" xr:uid="{00000000-0005-0000-0000-0000050B0000}"/>
    <cellStyle name="20% - Accent2 4 3 2 2 2 2" xfId="16217" xr:uid="{00000000-0005-0000-0000-0000060B0000}"/>
    <cellStyle name="20% - Accent2 4 3 2 2 2 2 2" xfId="40059" xr:uid="{34497475-C614-488F-A18C-9E1BBC587A96}"/>
    <cellStyle name="20% - Accent2 4 3 2 2 2 3" xfId="24163" xr:uid="{00000000-0005-0000-0000-0000070B0000}"/>
    <cellStyle name="20% - Accent2 4 3 2 2 2 3 2" xfId="47995" xr:uid="{102DBC62-CF44-4631-B014-1C179B7F02B3}"/>
    <cellStyle name="20% - Accent2 4 3 2 2 2 4" xfId="32118" xr:uid="{7119D459-1514-4532-88F9-F5F1A50E8E3E}"/>
    <cellStyle name="20% - Accent2 4 3 2 2 3" xfId="12679" xr:uid="{00000000-0005-0000-0000-0000080B0000}"/>
    <cellStyle name="20% - Accent2 4 3 2 2 3 2" xfId="36528" xr:uid="{E3EC3608-F6B7-42D9-B49B-551DC4356916}"/>
    <cellStyle name="20% - Accent2 4 3 2 2 4" xfId="20634" xr:uid="{00000000-0005-0000-0000-0000090B0000}"/>
    <cellStyle name="20% - Accent2 4 3 2 2 4 2" xfId="44466" xr:uid="{E2B5CFE4-78E0-4118-A2CC-0680AD810358}"/>
    <cellStyle name="20% - Accent2 4 3 2 2 5" xfId="28587" xr:uid="{A921ABA5-769B-453F-9CB7-6A5BFA1467EE}"/>
    <cellStyle name="20% - Accent2 4 3 2 3" xfId="6488" xr:uid="{00000000-0005-0000-0000-00000A0B0000}"/>
    <cellStyle name="20% - Accent2 4 3 2 3 2" xfId="14459" xr:uid="{00000000-0005-0000-0000-00000B0B0000}"/>
    <cellStyle name="20% - Accent2 4 3 2 3 2 2" xfId="38301" xr:uid="{B3C64B0E-71F0-45EE-9B5A-AA54E8F672AC}"/>
    <cellStyle name="20% - Accent2 4 3 2 3 3" xfId="22406" xr:uid="{00000000-0005-0000-0000-00000C0B0000}"/>
    <cellStyle name="20% - Accent2 4 3 2 3 3 2" xfId="46238" xr:uid="{B9F829F3-EAD7-4413-83C0-863209FA568F}"/>
    <cellStyle name="20% - Accent2 4 3 2 3 4" xfId="30360" xr:uid="{EF9381AE-0EA1-4D9B-8D49-74D76D660ABB}"/>
    <cellStyle name="20% - Accent2 4 3 2 4" xfId="10923" xr:uid="{00000000-0005-0000-0000-00000D0B0000}"/>
    <cellStyle name="20% - Accent2 4 3 2 4 2" xfId="34772" xr:uid="{756BA879-6094-4EBF-841C-9ADBD79CBF12}"/>
    <cellStyle name="20% - Accent2 4 3 2 5" xfId="18878" xr:uid="{00000000-0005-0000-0000-00000E0B0000}"/>
    <cellStyle name="20% - Accent2 4 3 2 5 2" xfId="42710" xr:uid="{80DABA56-1318-43FC-ABC1-93AB35346F03}"/>
    <cellStyle name="20% - Accent2 4 3 2 6" xfId="26830" xr:uid="{F9AB388D-A4C4-4584-AACD-1A63D2563904}"/>
    <cellStyle name="20% - Accent2 4 3 2_Exh G" xfId="2130" xr:uid="{00000000-0005-0000-0000-00000F0B0000}"/>
    <cellStyle name="20% - Accent2 4 3 3" xfId="3777" xr:uid="{00000000-0005-0000-0000-0000100B0000}"/>
    <cellStyle name="20% - Accent2 4 3 3 2" xfId="7369" xr:uid="{00000000-0005-0000-0000-0000110B0000}"/>
    <cellStyle name="20% - Accent2 4 3 3 2 2" xfId="15339" xr:uid="{00000000-0005-0000-0000-0000120B0000}"/>
    <cellStyle name="20% - Accent2 4 3 3 2 2 2" xfId="39181" xr:uid="{49A6C9E5-662D-4D46-B789-9C264B534248}"/>
    <cellStyle name="20% - Accent2 4 3 3 2 3" xfId="23285" xr:uid="{00000000-0005-0000-0000-0000130B0000}"/>
    <cellStyle name="20% - Accent2 4 3 3 2 3 2" xfId="47117" xr:uid="{1427C033-7DF4-4DA3-BC17-430B1E8A2372}"/>
    <cellStyle name="20% - Accent2 4 3 3 2 4" xfId="31240" xr:uid="{D39FDFDF-F34A-45D6-8FEA-FEBC53A00AAA}"/>
    <cellStyle name="20% - Accent2 4 3 3 3" xfId="11801" xr:uid="{00000000-0005-0000-0000-0000140B0000}"/>
    <cellStyle name="20% - Accent2 4 3 3 3 2" xfId="35650" xr:uid="{F820B12B-B758-4849-8EEF-0741FBCA04D4}"/>
    <cellStyle name="20% - Accent2 4 3 3 4" xfId="19756" xr:uid="{00000000-0005-0000-0000-0000150B0000}"/>
    <cellStyle name="20% - Accent2 4 3 3 4 2" xfId="43588" xr:uid="{02AA11BC-EDF7-4DEE-AE9A-EBD271F36D73}"/>
    <cellStyle name="20% - Accent2 4 3 3 5" xfId="27709" xr:uid="{D4C1CBFD-9B21-410E-9F85-1CF24F0A6C49}"/>
    <cellStyle name="20% - Accent2 4 3 4" xfId="5597" xr:uid="{00000000-0005-0000-0000-0000160B0000}"/>
    <cellStyle name="20% - Accent2 4 3 4 2" xfId="13580" xr:uid="{00000000-0005-0000-0000-0000170B0000}"/>
    <cellStyle name="20% - Accent2 4 3 4 2 2" xfId="37423" xr:uid="{629E6E60-0AB8-4262-AD7C-F774F36FF942}"/>
    <cellStyle name="20% - Accent2 4 3 4 3" xfId="21528" xr:uid="{00000000-0005-0000-0000-0000180B0000}"/>
    <cellStyle name="20% - Accent2 4 3 4 3 2" xfId="45360" xr:uid="{7F38BB0F-E2B4-4C56-9F9C-DF57EF3970E2}"/>
    <cellStyle name="20% - Accent2 4 3 4 4" xfId="29482" xr:uid="{0824F795-2BA2-44B8-BB16-A445E7014CED}"/>
    <cellStyle name="20% - Accent2 4 3 5" xfId="9149" xr:uid="{00000000-0005-0000-0000-0000190B0000}"/>
    <cellStyle name="20% - Accent2 4 3 5 2" xfId="17107" xr:uid="{00000000-0005-0000-0000-00001A0B0000}"/>
    <cellStyle name="20% - Accent2 4 3 5 2 2" xfId="40947" xr:uid="{21AB7D4F-CED3-4743-8445-CEDFE5F09C85}"/>
    <cellStyle name="20% - Accent2 4 3 5 3" xfId="25051" xr:uid="{00000000-0005-0000-0000-00001B0B0000}"/>
    <cellStyle name="20% - Accent2 4 3 5 3 2" xfId="48883" xr:uid="{5038E684-C9C9-416A-BFCE-C26F7C661222}"/>
    <cellStyle name="20% - Accent2 4 3 5 4" xfId="33006" xr:uid="{A24443BB-66FA-408C-ADF3-AF3C1440E50A}"/>
    <cellStyle name="20% - Accent2 4 3 6" xfId="10045" xr:uid="{00000000-0005-0000-0000-00001C0B0000}"/>
    <cellStyle name="20% - Accent2 4 3 6 2" xfId="33894" xr:uid="{97B61E8D-78DB-462B-A0BB-E98C75E2AD9B}"/>
    <cellStyle name="20% - Accent2 4 3 7" xfId="18000" xr:uid="{00000000-0005-0000-0000-00001D0B0000}"/>
    <cellStyle name="20% - Accent2 4 3 7 2" xfId="41832" xr:uid="{F3998C07-BFB8-42BC-B4E6-E73FF3D527CC}"/>
    <cellStyle name="20% - Accent2 4 3 8" xfId="25952" xr:uid="{ABFE936F-9A4D-40F2-BD3A-BC6ABB3DCC95}"/>
    <cellStyle name="20% - Accent2 4 3_Exh G" xfId="2129" xr:uid="{00000000-0005-0000-0000-00001E0B0000}"/>
    <cellStyle name="20% - Accent2 4 4" xfId="876" xr:uid="{00000000-0005-0000-0000-00001F0B0000}"/>
    <cellStyle name="20% - Accent2 4 4 2" xfId="1806" xr:uid="{00000000-0005-0000-0000-0000200B0000}"/>
    <cellStyle name="20% - Accent2 4 4 2 2" xfId="5323" xr:uid="{00000000-0005-0000-0000-0000210B0000}"/>
    <cellStyle name="20% - Accent2 4 4 2 2 2" xfId="8914" xr:uid="{00000000-0005-0000-0000-0000220B0000}"/>
    <cellStyle name="20% - Accent2 4 4 2 2 2 2" xfId="16884" xr:uid="{00000000-0005-0000-0000-0000230B0000}"/>
    <cellStyle name="20% - Accent2 4 4 2 2 2 2 2" xfId="40726" xr:uid="{62D957D0-6A90-4A9B-9EBF-AC7F8230C148}"/>
    <cellStyle name="20% - Accent2 4 4 2 2 2 3" xfId="24830" xr:uid="{00000000-0005-0000-0000-0000240B0000}"/>
    <cellStyle name="20% - Accent2 4 4 2 2 2 3 2" xfId="48662" xr:uid="{2D8A5475-0D75-4767-9EAD-CD6098367310}"/>
    <cellStyle name="20% - Accent2 4 4 2 2 2 4" xfId="32785" xr:uid="{F800DD78-0BE0-4736-BB05-B033A51E4149}"/>
    <cellStyle name="20% - Accent2 4 4 2 2 3" xfId="13346" xr:uid="{00000000-0005-0000-0000-0000250B0000}"/>
    <cellStyle name="20% - Accent2 4 4 2 2 3 2" xfId="37195" xr:uid="{A8D2A2A1-FFBD-4A40-8640-18825FF9F3C3}"/>
    <cellStyle name="20% - Accent2 4 4 2 2 4" xfId="21301" xr:uid="{00000000-0005-0000-0000-0000260B0000}"/>
    <cellStyle name="20% - Accent2 4 4 2 2 4 2" xfId="45133" xr:uid="{48F32209-C630-4A62-AE9E-68BCB5DA34C0}"/>
    <cellStyle name="20% - Accent2 4 4 2 2 5" xfId="29254" xr:uid="{D9939C6C-4249-4CE4-8691-C0910CA79460}"/>
    <cellStyle name="20% - Accent2 4 4 2 3" xfId="7155" xr:uid="{00000000-0005-0000-0000-0000270B0000}"/>
    <cellStyle name="20% - Accent2 4 4 2 3 2" xfId="15126" xr:uid="{00000000-0005-0000-0000-0000280B0000}"/>
    <cellStyle name="20% - Accent2 4 4 2 3 2 2" xfId="38968" xr:uid="{AB183644-2638-41A2-88D5-9D7BD1E031D3}"/>
    <cellStyle name="20% - Accent2 4 4 2 3 3" xfId="23073" xr:uid="{00000000-0005-0000-0000-0000290B0000}"/>
    <cellStyle name="20% - Accent2 4 4 2 3 3 2" xfId="46905" xr:uid="{3CE61187-A4DF-4E82-80C4-0F0570ED499C}"/>
    <cellStyle name="20% - Accent2 4 4 2 3 4" xfId="31027" xr:uid="{9916593D-219D-4B63-B9DA-AD81167C2E30}"/>
    <cellStyle name="20% - Accent2 4 4 2 4" xfId="11590" xr:uid="{00000000-0005-0000-0000-00002A0B0000}"/>
    <cellStyle name="20% - Accent2 4 4 2 4 2" xfId="35439" xr:uid="{DBB457F7-2DD8-4326-87FF-7C33A3F49D3E}"/>
    <cellStyle name="20% - Accent2 4 4 2 5" xfId="19545" xr:uid="{00000000-0005-0000-0000-00002B0B0000}"/>
    <cellStyle name="20% - Accent2 4 4 2 5 2" xfId="43377" xr:uid="{52C6E9C5-1976-45F0-B14F-9657D40DDB88}"/>
    <cellStyle name="20% - Accent2 4 4 2 6" xfId="27497" xr:uid="{68B6D6DB-4E14-4734-8AFC-FD9980B2EE3F}"/>
    <cellStyle name="20% - Accent2 4 4 2_Exh G" xfId="2132" xr:uid="{00000000-0005-0000-0000-00002C0B0000}"/>
    <cellStyle name="20% - Accent2 4 4 3" xfId="4444" xr:uid="{00000000-0005-0000-0000-00002D0B0000}"/>
    <cellStyle name="20% - Accent2 4 4 3 2" xfId="8036" xr:uid="{00000000-0005-0000-0000-00002E0B0000}"/>
    <cellStyle name="20% - Accent2 4 4 3 2 2" xfId="16006" xr:uid="{00000000-0005-0000-0000-00002F0B0000}"/>
    <cellStyle name="20% - Accent2 4 4 3 2 2 2" xfId="39848" xr:uid="{A962F570-37F4-4D56-A7D4-465E21AA6BE1}"/>
    <cellStyle name="20% - Accent2 4 4 3 2 3" xfId="23952" xr:uid="{00000000-0005-0000-0000-0000300B0000}"/>
    <cellStyle name="20% - Accent2 4 4 3 2 3 2" xfId="47784" xr:uid="{E963DFFA-6AF5-4A53-86A2-A8F155EE80DB}"/>
    <cellStyle name="20% - Accent2 4 4 3 2 4" xfId="31907" xr:uid="{DD48CC7B-2F02-457C-9BD3-26F9346A0747}"/>
    <cellStyle name="20% - Accent2 4 4 3 3" xfId="12468" xr:uid="{00000000-0005-0000-0000-0000310B0000}"/>
    <cellStyle name="20% - Accent2 4 4 3 3 2" xfId="36317" xr:uid="{3F739243-A303-4A87-AC1B-CC1EE44068F2}"/>
    <cellStyle name="20% - Accent2 4 4 3 4" xfId="20423" xr:uid="{00000000-0005-0000-0000-0000320B0000}"/>
    <cellStyle name="20% - Accent2 4 4 3 4 2" xfId="44255" xr:uid="{D82BD764-23D3-4F6F-BC2B-4A1DFC3197C5}"/>
    <cellStyle name="20% - Accent2 4 4 3 5" xfId="28376" xr:uid="{6F26099B-DF43-4E15-94A8-175689391B48}"/>
    <cellStyle name="20% - Accent2 4 4 4" xfId="6274" xr:uid="{00000000-0005-0000-0000-0000330B0000}"/>
    <cellStyle name="20% - Accent2 4 4 4 2" xfId="14248" xr:uid="{00000000-0005-0000-0000-0000340B0000}"/>
    <cellStyle name="20% - Accent2 4 4 4 2 2" xfId="38090" xr:uid="{BA862DCA-05DC-4F66-B0C4-5C25AA878627}"/>
    <cellStyle name="20% - Accent2 4 4 4 3" xfId="22195" xr:uid="{00000000-0005-0000-0000-0000350B0000}"/>
    <cellStyle name="20% - Accent2 4 4 4 3 2" xfId="46027" xr:uid="{167ABAB2-D5DA-4A84-87F6-7B43F83A10EF}"/>
    <cellStyle name="20% - Accent2 4 4 4 4" xfId="30149" xr:uid="{2EB9DD83-8DC2-49BB-8BAE-7F2DE1139087}"/>
    <cellStyle name="20% - Accent2 4 4 5" xfId="9816" xr:uid="{00000000-0005-0000-0000-0000360B0000}"/>
    <cellStyle name="20% - Accent2 4 4 5 2" xfId="17774" xr:uid="{00000000-0005-0000-0000-0000370B0000}"/>
    <cellStyle name="20% - Accent2 4 4 5 2 2" xfId="41614" xr:uid="{5C5633C4-DDBA-41B1-9CE8-05E1BEF024A7}"/>
    <cellStyle name="20% - Accent2 4 4 5 3" xfId="25718" xr:uid="{00000000-0005-0000-0000-0000380B0000}"/>
    <cellStyle name="20% - Accent2 4 4 5 3 2" xfId="49550" xr:uid="{9FBE74E4-4AA9-4B78-8710-F7FE9B01CA78}"/>
    <cellStyle name="20% - Accent2 4 4 5 4" xfId="33673" xr:uid="{2208E90C-2FD8-4336-B640-9E6B8EFE9993}"/>
    <cellStyle name="20% - Accent2 4 4 6" xfId="10712" xr:uid="{00000000-0005-0000-0000-0000390B0000}"/>
    <cellStyle name="20% - Accent2 4 4 6 2" xfId="34561" xr:uid="{A307558D-E8AE-4268-946D-9751462AE74F}"/>
    <cellStyle name="20% - Accent2 4 4 7" xfId="18667" xr:uid="{00000000-0005-0000-0000-00003A0B0000}"/>
    <cellStyle name="20% - Accent2 4 4 7 2" xfId="42499" xr:uid="{1E75B799-3586-4FC0-8E53-418018BE48F3}"/>
    <cellStyle name="20% - Accent2 4 4 8" xfId="26619" xr:uid="{C5CB5E28-0922-4941-8A4E-7DC30A31AF99}"/>
    <cellStyle name="20% - Accent2 4 4_Exh G" xfId="2131" xr:uid="{00000000-0005-0000-0000-00003B0B0000}"/>
    <cellStyle name="20% - Accent2 4 5" xfId="1126" xr:uid="{00000000-0005-0000-0000-00003C0B0000}"/>
    <cellStyle name="20% - Accent2 4 5 2" xfId="4653" xr:uid="{00000000-0005-0000-0000-00003D0B0000}"/>
    <cellStyle name="20% - Accent2 4 5 2 2" xfId="8244" xr:uid="{00000000-0005-0000-0000-00003E0B0000}"/>
    <cellStyle name="20% - Accent2 4 5 2 2 2" xfId="16214" xr:uid="{00000000-0005-0000-0000-00003F0B0000}"/>
    <cellStyle name="20% - Accent2 4 5 2 2 2 2" xfId="40056" xr:uid="{1BF7C059-9591-4DEC-AFD5-00C347245651}"/>
    <cellStyle name="20% - Accent2 4 5 2 2 3" xfId="24160" xr:uid="{00000000-0005-0000-0000-0000400B0000}"/>
    <cellStyle name="20% - Accent2 4 5 2 2 3 2" xfId="47992" xr:uid="{28361B62-E1A3-4235-8BF5-5ED159965CA9}"/>
    <cellStyle name="20% - Accent2 4 5 2 2 4" xfId="32115" xr:uid="{108BEDAC-F528-434C-A503-A3DC535BF6D3}"/>
    <cellStyle name="20% - Accent2 4 5 2 3" xfId="12676" xr:uid="{00000000-0005-0000-0000-0000410B0000}"/>
    <cellStyle name="20% - Accent2 4 5 2 3 2" xfId="36525" xr:uid="{FB9974DE-D9D2-4912-B8F2-3AB0A60A7F51}"/>
    <cellStyle name="20% - Accent2 4 5 2 4" xfId="20631" xr:uid="{00000000-0005-0000-0000-0000420B0000}"/>
    <cellStyle name="20% - Accent2 4 5 2 4 2" xfId="44463" xr:uid="{FF9C139E-5139-4EED-88E3-1B0EDB311C1A}"/>
    <cellStyle name="20% - Accent2 4 5 2 5" xfId="28584" xr:uid="{455F7B16-08BC-439C-AAEA-BD273C2BE256}"/>
    <cellStyle name="20% - Accent2 4 5 3" xfId="6485" xr:uid="{00000000-0005-0000-0000-0000430B0000}"/>
    <cellStyle name="20% - Accent2 4 5 3 2" xfId="14456" xr:uid="{00000000-0005-0000-0000-0000440B0000}"/>
    <cellStyle name="20% - Accent2 4 5 3 2 2" xfId="38298" xr:uid="{D820CD3E-CC71-4F6B-899A-8E86CE75B20A}"/>
    <cellStyle name="20% - Accent2 4 5 3 3" xfId="22403" xr:uid="{00000000-0005-0000-0000-0000450B0000}"/>
    <cellStyle name="20% - Accent2 4 5 3 3 2" xfId="46235" xr:uid="{787342D1-1D50-4F65-8EA3-F0683E40A024}"/>
    <cellStyle name="20% - Accent2 4 5 3 4" xfId="30357" xr:uid="{040EC78B-833E-4A62-918C-0329E8B680A3}"/>
    <cellStyle name="20% - Accent2 4 5 4" xfId="10920" xr:uid="{00000000-0005-0000-0000-0000460B0000}"/>
    <cellStyle name="20% - Accent2 4 5 4 2" xfId="34769" xr:uid="{69504657-D753-45EE-A74A-D482F24B4539}"/>
    <cellStyle name="20% - Accent2 4 5 5" xfId="18875" xr:uid="{00000000-0005-0000-0000-0000470B0000}"/>
    <cellStyle name="20% - Accent2 4 5 5 2" xfId="42707" xr:uid="{26CF4F04-9617-44BC-B5C6-9F5FAA7C58D7}"/>
    <cellStyle name="20% - Accent2 4 5 6" xfId="26827" xr:uid="{A50B3B62-0FC4-4F43-AEFC-466906A10370}"/>
    <cellStyle name="20% - Accent2 4 5_Exh G" xfId="2133" xr:uid="{00000000-0005-0000-0000-0000480B0000}"/>
    <cellStyle name="20% - Accent2 4 6" xfId="3774" xr:uid="{00000000-0005-0000-0000-0000490B0000}"/>
    <cellStyle name="20% - Accent2 4 6 2" xfId="7366" xr:uid="{00000000-0005-0000-0000-00004A0B0000}"/>
    <cellStyle name="20% - Accent2 4 6 2 2" xfId="15336" xr:uid="{00000000-0005-0000-0000-00004B0B0000}"/>
    <cellStyle name="20% - Accent2 4 6 2 2 2" xfId="39178" xr:uid="{4C158336-58D5-4447-9006-484B76E33EBA}"/>
    <cellStyle name="20% - Accent2 4 6 2 3" xfId="23282" xr:uid="{00000000-0005-0000-0000-00004C0B0000}"/>
    <cellStyle name="20% - Accent2 4 6 2 3 2" xfId="47114" xr:uid="{EDCD80F5-AF8C-4A65-888B-A3CF6AACA104}"/>
    <cellStyle name="20% - Accent2 4 6 2 4" xfId="31237" xr:uid="{F68D3CAF-0B72-4099-8CF9-59317DE85CFC}"/>
    <cellStyle name="20% - Accent2 4 6 3" xfId="11798" xr:uid="{00000000-0005-0000-0000-00004D0B0000}"/>
    <cellStyle name="20% - Accent2 4 6 3 2" xfId="35647" xr:uid="{168A9968-A1EA-475B-A7DB-108D688FD796}"/>
    <cellStyle name="20% - Accent2 4 6 4" xfId="19753" xr:uid="{00000000-0005-0000-0000-00004E0B0000}"/>
    <cellStyle name="20% - Accent2 4 6 4 2" xfId="43585" xr:uid="{80F87C50-0549-4713-AD53-B0F8A5532892}"/>
    <cellStyle name="20% - Accent2 4 6 5" xfId="27706" xr:uid="{D8B264B5-F5A8-438D-8EF0-25FE23A76955}"/>
    <cellStyle name="20% - Accent2 4 7" xfId="5594" xr:uid="{00000000-0005-0000-0000-00004F0B0000}"/>
    <cellStyle name="20% - Accent2 4 7 2" xfId="13577" xr:uid="{00000000-0005-0000-0000-0000500B0000}"/>
    <cellStyle name="20% - Accent2 4 7 2 2" xfId="37420" xr:uid="{5B0C2381-4676-4E1D-B78C-745771E051DD}"/>
    <cellStyle name="20% - Accent2 4 7 3" xfId="21525" xr:uid="{00000000-0005-0000-0000-0000510B0000}"/>
    <cellStyle name="20% - Accent2 4 7 3 2" xfId="45357" xr:uid="{466496DB-246E-4FB4-8FF6-5F9910287DB8}"/>
    <cellStyle name="20% - Accent2 4 7 4" xfId="29479" xr:uid="{B6851D21-B09A-4764-B946-1CCD56A5F482}"/>
    <cellStyle name="20% - Accent2 4 8" xfId="9146" xr:uid="{00000000-0005-0000-0000-0000520B0000}"/>
    <cellStyle name="20% - Accent2 4 8 2" xfId="17104" xr:uid="{00000000-0005-0000-0000-0000530B0000}"/>
    <cellStyle name="20% - Accent2 4 8 2 2" xfId="40944" xr:uid="{4729277C-A05D-445C-867A-497A798C4BBC}"/>
    <cellStyle name="20% - Accent2 4 8 3" xfId="25048" xr:uid="{00000000-0005-0000-0000-0000540B0000}"/>
    <cellStyle name="20% - Accent2 4 8 3 2" xfId="48880" xr:uid="{BB804909-F814-4091-AF40-D4D15C7C2BC5}"/>
    <cellStyle name="20% - Accent2 4 8 4" xfId="33003" xr:uid="{DC1BB712-8084-4C4A-8A08-06709E58C71D}"/>
    <cellStyle name="20% - Accent2 4 9" xfId="10042" xr:uid="{00000000-0005-0000-0000-0000550B0000}"/>
    <cellStyle name="20% - Accent2 4 9 2" xfId="33891" xr:uid="{EDEB3C8A-CF9D-4567-9D09-06D5C4AA0409}"/>
    <cellStyle name="20% - Accent2 4_Exh G" xfId="2122" xr:uid="{00000000-0005-0000-0000-0000560B0000}"/>
    <cellStyle name="20% - Accent2 5" xfId="104" xr:uid="{00000000-0005-0000-0000-0000570B0000}"/>
    <cellStyle name="20% - Accent2 5 10" xfId="18001" xr:uid="{00000000-0005-0000-0000-0000580B0000}"/>
    <cellStyle name="20% - Accent2 5 10 2" xfId="41833" xr:uid="{73C4B018-E291-4BA5-86E6-FBEDABE49922}"/>
    <cellStyle name="20% - Accent2 5 11" xfId="25953" xr:uid="{C79CD5BE-1440-4EAF-8DA8-CCEAED75F23F}"/>
    <cellStyle name="20% - Accent2 5 2" xfId="105" xr:uid="{00000000-0005-0000-0000-0000590B0000}"/>
    <cellStyle name="20% - Accent2 5 2 2" xfId="106" xr:uid="{00000000-0005-0000-0000-00005A0B0000}"/>
    <cellStyle name="20% - Accent2 5 2 2 2" xfId="1132" xr:uid="{00000000-0005-0000-0000-00005B0B0000}"/>
    <cellStyle name="20% - Accent2 5 2 2 2 2" xfId="4659" xr:uid="{00000000-0005-0000-0000-00005C0B0000}"/>
    <cellStyle name="20% - Accent2 5 2 2 2 2 2" xfId="8250" xr:uid="{00000000-0005-0000-0000-00005D0B0000}"/>
    <cellStyle name="20% - Accent2 5 2 2 2 2 2 2" xfId="16220" xr:uid="{00000000-0005-0000-0000-00005E0B0000}"/>
    <cellStyle name="20% - Accent2 5 2 2 2 2 2 2 2" xfId="40062" xr:uid="{A5D8D929-BF0F-4013-8704-EECCFA983A4B}"/>
    <cellStyle name="20% - Accent2 5 2 2 2 2 2 3" xfId="24166" xr:uid="{00000000-0005-0000-0000-00005F0B0000}"/>
    <cellStyle name="20% - Accent2 5 2 2 2 2 2 3 2" xfId="47998" xr:uid="{2B1EB3D3-A038-4D0D-ABE2-3AD2C10E91E9}"/>
    <cellStyle name="20% - Accent2 5 2 2 2 2 2 4" xfId="32121" xr:uid="{0143C563-AFB4-49F1-80F6-E10A2F287F59}"/>
    <cellStyle name="20% - Accent2 5 2 2 2 2 3" xfId="12682" xr:uid="{00000000-0005-0000-0000-0000600B0000}"/>
    <cellStyle name="20% - Accent2 5 2 2 2 2 3 2" xfId="36531" xr:uid="{8965B982-9D9C-4C7C-BD37-88538041F38E}"/>
    <cellStyle name="20% - Accent2 5 2 2 2 2 4" xfId="20637" xr:uid="{00000000-0005-0000-0000-0000610B0000}"/>
    <cellStyle name="20% - Accent2 5 2 2 2 2 4 2" xfId="44469" xr:uid="{10417B5A-46F2-4A13-8137-A3B9E2739246}"/>
    <cellStyle name="20% - Accent2 5 2 2 2 2 5" xfId="28590" xr:uid="{47A967F2-ED9F-4D88-8D4F-2D6A8CC714E0}"/>
    <cellStyle name="20% - Accent2 5 2 2 2 3" xfId="6491" xr:uid="{00000000-0005-0000-0000-0000620B0000}"/>
    <cellStyle name="20% - Accent2 5 2 2 2 3 2" xfId="14462" xr:uid="{00000000-0005-0000-0000-0000630B0000}"/>
    <cellStyle name="20% - Accent2 5 2 2 2 3 2 2" xfId="38304" xr:uid="{902C25DB-6FCF-49F6-B6F7-856932EF257D}"/>
    <cellStyle name="20% - Accent2 5 2 2 2 3 3" xfId="22409" xr:uid="{00000000-0005-0000-0000-0000640B0000}"/>
    <cellStyle name="20% - Accent2 5 2 2 2 3 3 2" xfId="46241" xr:uid="{3D213E20-91F5-440D-9DBF-FC63BBE424D7}"/>
    <cellStyle name="20% - Accent2 5 2 2 2 3 4" xfId="30363" xr:uid="{CD1986A0-E219-48F4-B8DD-3EE3EA3FAD83}"/>
    <cellStyle name="20% - Accent2 5 2 2 2 4" xfId="10926" xr:uid="{00000000-0005-0000-0000-0000650B0000}"/>
    <cellStyle name="20% - Accent2 5 2 2 2 4 2" xfId="34775" xr:uid="{7C8FE375-B0CB-4A5C-8C4A-0C73C6C6ED47}"/>
    <cellStyle name="20% - Accent2 5 2 2 2 5" xfId="18881" xr:uid="{00000000-0005-0000-0000-0000660B0000}"/>
    <cellStyle name="20% - Accent2 5 2 2 2 5 2" xfId="42713" xr:uid="{BA9A4B29-B052-4ABD-9683-2C3F504C9BB4}"/>
    <cellStyle name="20% - Accent2 5 2 2 2 6" xfId="26833" xr:uid="{A5B094BC-907B-492E-A48F-47DE1615120C}"/>
    <cellStyle name="20% - Accent2 5 2 2 2_Exh G" xfId="2137" xr:uid="{00000000-0005-0000-0000-0000670B0000}"/>
    <cellStyle name="20% - Accent2 5 2 2 3" xfId="3780" xr:uid="{00000000-0005-0000-0000-0000680B0000}"/>
    <cellStyle name="20% - Accent2 5 2 2 3 2" xfId="7372" xr:uid="{00000000-0005-0000-0000-0000690B0000}"/>
    <cellStyle name="20% - Accent2 5 2 2 3 2 2" xfId="15342" xr:uid="{00000000-0005-0000-0000-00006A0B0000}"/>
    <cellStyle name="20% - Accent2 5 2 2 3 2 2 2" xfId="39184" xr:uid="{FECBAB14-A54A-40FD-A69A-8B0AD931B0CC}"/>
    <cellStyle name="20% - Accent2 5 2 2 3 2 3" xfId="23288" xr:uid="{00000000-0005-0000-0000-00006B0B0000}"/>
    <cellStyle name="20% - Accent2 5 2 2 3 2 3 2" xfId="47120" xr:uid="{7B53245D-A390-404B-9F06-73B1B8667573}"/>
    <cellStyle name="20% - Accent2 5 2 2 3 2 4" xfId="31243" xr:uid="{CFA08CD5-31F1-4D35-9931-DDF8BC9228B7}"/>
    <cellStyle name="20% - Accent2 5 2 2 3 3" xfId="11804" xr:uid="{00000000-0005-0000-0000-00006C0B0000}"/>
    <cellStyle name="20% - Accent2 5 2 2 3 3 2" xfId="35653" xr:uid="{797A8820-5E0C-4A71-A9C0-FA8AEFA29AF6}"/>
    <cellStyle name="20% - Accent2 5 2 2 3 4" xfId="19759" xr:uid="{00000000-0005-0000-0000-00006D0B0000}"/>
    <cellStyle name="20% - Accent2 5 2 2 3 4 2" xfId="43591" xr:uid="{D1C0DA36-AFC7-48DC-B3B2-86D5A7B8902E}"/>
    <cellStyle name="20% - Accent2 5 2 2 3 5" xfId="27712" xr:uid="{24FEE5B3-4F76-4E70-B269-9046D34EC0A5}"/>
    <cellStyle name="20% - Accent2 5 2 2 4" xfId="5600" xr:uid="{00000000-0005-0000-0000-00006E0B0000}"/>
    <cellStyle name="20% - Accent2 5 2 2 4 2" xfId="13583" xr:uid="{00000000-0005-0000-0000-00006F0B0000}"/>
    <cellStyle name="20% - Accent2 5 2 2 4 2 2" xfId="37426" xr:uid="{C2D11988-8BAA-40A3-8ECC-D106E320F5CC}"/>
    <cellStyle name="20% - Accent2 5 2 2 4 3" xfId="21531" xr:uid="{00000000-0005-0000-0000-0000700B0000}"/>
    <cellStyle name="20% - Accent2 5 2 2 4 3 2" xfId="45363" xr:uid="{B22ABE0C-D3FE-45F8-B98E-7F8E5C367506}"/>
    <cellStyle name="20% - Accent2 5 2 2 4 4" xfId="29485" xr:uid="{61FA6312-40FF-4B15-AD13-BFC3263B54DB}"/>
    <cellStyle name="20% - Accent2 5 2 2 5" xfId="9152" xr:uid="{00000000-0005-0000-0000-0000710B0000}"/>
    <cellStyle name="20% - Accent2 5 2 2 5 2" xfId="17110" xr:uid="{00000000-0005-0000-0000-0000720B0000}"/>
    <cellStyle name="20% - Accent2 5 2 2 5 2 2" xfId="40950" xr:uid="{E84FB657-7658-4CF9-A3D8-BF4D9EE28012}"/>
    <cellStyle name="20% - Accent2 5 2 2 5 3" xfId="25054" xr:uid="{00000000-0005-0000-0000-0000730B0000}"/>
    <cellStyle name="20% - Accent2 5 2 2 5 3 2" xfId="48886" xr:uid="{A1E8E56C-1AD9-4948-AA0E-C992449BD321}"/>
    <cellStyle name="20% - Accent2 5 2 2 5 4" xfId="33009" xr:uid="{785A1012-7B12-4A40-B7BF-C42D80D470A2}"/>
    <cellStyle name="20% - Accent2 5 2 2 6" xfId="10048" xr:uid="{00000000-0005-0000-0000-0000740B0000}"/>
    <cellStyle name="20% - Accent2 5 2 2 6 2" xfId="33897" xr:uid="{CCAF495D-9F15-425F-A563-9AA954E59AEB}"/>
    <cellStyle name="20% - Accent2 5 2 2 7" xfId="18003" xr:uid="{00000000-0005-0000-0000-0000750B0000}"/>
    <cellStyle name="20% - Accent2 5 2 2 7 2" xfId="41835" xr:uid="{DE69A84F-4A6A-42E6-944B-5A65FC988140}"/>
    <cellStyle name="20% - Accent2 5 2 2 8" xfId="25955" xr:uid="{448CFB12-56CF-45E7-9AEF-761613A6132B}"/>
    <cellStyle name="20% - Accent2 5 2 2_Exh G" xfId="2136" xr:uid="{00000000-0005-0000-0000-0000760B0000}"/>
    <cellStyle name="20% - Accent2 5 2 3" xfId="1131" xr:uid="{00000000-0005-0000-0000-0000770B0000}"/>
    <cellStyle name="20% - Accent2 5 2 3 2" xfId="4658" xr:uid="{00000000-0005-0000-0000-0000780B0000}"/>
    <cellStyle name="20% - Accent2 5 2 3 2 2" xfId="8249" xr:uid="{00000000-0005-0000-0000-0000790B0000}"/>
    <cellStyle name="20% - Accent2 5 2 3 2 2 2" xfId="16219" xr:uid="{00000000-0005-0000-0000-00007A0B0000}"/>
    <cellStyle name="20% - Accent2 5 2 3 2 2 2 2" xfId="40061" xr:uid="{C5FD7E81-A3D2-4BDD-8086-300C354A057D}"/>
    <cellStyle name="20% - Accent2 5 2 3 2 2 3" xfId="24165" xr:uid="{00000000-0005-0000-0000-00007B0B0000}"/>
    <cellStyle name="20% - Accent2 5 2 3 2 2 3 2" xfId="47997" xr:uid="{CA177743-87D1-4810-B417-119DA951AADA}"/>
    <cellStyle name="20% - Accent2 5 2 3 2 2 4" xfId="32120" xr:uid="{A23AB186-746B-4A45-B3CC-92101E9886B3}"/>
    <cellStyle name="20% - Accent2 5 2 3 2 3" xfId="12681" xr:uid="{00000000-0005-0000-0000-00007C0B0000}"/>
    <cellStyle name="20% - Accent2 5 2 3 2 3 2" xfId="36530" xr:uid="{3FF035A2-2B6F-402E-95ED-635AD10834DF}"/>
    <cellStyle name="20% - Accent2 5 2 3 2 4" xfId="20636" xr:uid="{00000000-0005-0000-0000-00007D0B0000}"/>
    <cellStyle name="20% - Accent2 5 2 3 2 4 2" xfId="44468" xr:uid="{38DCF11D-7791-491D-81FB-B1806BB36506}"/>
    <cellStyle name="20% - Accent2 5 2 3 2 5" xfId="28589" xr:uid="{95AF05F0-CD9F-4A06-8529-C771616CD76A}"/>
    <cellStyle name="20% - Accent2 5 2 3 3" xfId="6490" xr:uid="{00000000-0005-0000-0000-00007E0B0000}"/>
    <cellStyle name="20% - Accent2 5 2 3 3 2" xfId="14461" xr:uid="{00000000-0005-0000-0000-00007F0B0000}"/>
    <cellStyle name="20% - Accent2 5 2 3 3 2 2" xfId="38303" xr:uid="{690CD144-31EE-4E6F-9755-F73E2939CE02}"/>
    <cellStyle name="20% - Accent2 5 2 3 3 3" xfId="22408" xr:uid="{00000000-0005-0000-0000-0000800B0000}"/>
    <cellStyle name="20% - Accent2 5 2 3 3 3 2" xfId="46240" xr:uid="{7BE11A33-BBCF-4A20-86B4-59DCA0295B76}"/>
    <cellStyle name="20% - Accent2 5 2 3 3 4" xfId="30362" xr:uid="{7BB9F2CB-A26D-4814-99B6-071E6C29E739}"/>
    <cellStyle name="20% - Accent2 5 2 3 4" xfId="10925" xr:uid="{00000000-0005-0000-0000-0000810B0000}"/>
    <cellStyle name="20% - Accent2 5 2 3 4 2" xfId="34774" xr:uid="{C2390B7D-DA5A-4D19-83EA-63095FE49EED}"/>
    <cellStyle name="20% - Accent2 5 2 3 5" xfId="18880" xr:uid="{00000000-0005-0000-0000-0000820B0000}"/>
    <cellStyle name="20% - Accent2 5 2 3 5 2" xfId="42712" xr:uid="{582C053C-E857-44B8-95A0-653967700CAE}"/>
    <cellStyle name="20% - Accent2 5 2 3 6" xfId="26832" xr:uid="{9E7D1339-18B2-4AB5-AD20-F45822286C26}"/>
    <cellStyle name="20% - Accent2 5 2 3_Exh G" xfId="2138" xr:uid="{00000000-0005-0000-0000-0000830B0000}"/>
    <cellStyle name="20% - Accent2 5 2 4" xfId="3779" xr:uid="{00000000-0005-0000-0000-0000840B0000}"/>
    <cellStyle name="20% - Accent2 5 2 4 2" xfId="7371" xr:uid="{00000000-0005-0000-0000-0000850B0000}"/>
    <cellStyle name="20% - Accent2 5 2 4 2 2" xfId="15341" xr:uid="{00000000-0005-0000-0000-0000860B0000}"/>
    <cellStyle name="20% - Accent2 5 2 4 2 2 2" xfId="39183" xr:uid="{7D4D5F36-C52D-41F3-98E4-AB141921EA98}"/>
    <cellStyle name="20% - Accent2 5 2 4 2 3" xfId="23287" xr:uid="{00000000-0005-0000-0000-0000870B0000}"/>
    <cellStyle name="20% - Accent2 5 2 4 2 3 2" xfId="47119" xr:uid="{07470D21-C0A2-4168-AFCB-032453E46988}"/>
    <cellStyle name="20% - Accent2 5 2 4 2 4" xfId="31242" xr:uid="{4F4A6D8C-B6C0-453C-84D5-B0D5DB6057AA}"/>
    <cellStyle name="20% - Accent2 5 2 4 3" xfId="11803" xr:uid="{00000000-0005-0000-0000-0000880B0000}"/>
    <cellStyle name="20% - Accent2 5 2 4 3 2" xfId="35652" xr:uid="{7246E44F-8B0D-4CFE-995D-1EC07599B9DA}"/>
    <cellStyle name="20% - Accent2 5 2 4 4" xfId="19758" xr:uid="{00000000-0005-0000-0000-0000890B0000}"/>
    <cellStyle name="20% - Accent2 5 2 4 4 2" xfId="43590" xr:uid="{E8957537-8A09-406D-95C5-5EC6CDD60F1C}"/>
    <cellStyle name="20% - Accent2 5 2 4 5" xfId="27711" xr:uid="{411445EA-B7F5-4CD0-A686-1895062979E9}"/>
    <cellStyle name="20% - Accent2 5 2 5" xfId="5599" xr:uid="{00000000-0005-0000-0000-00008A0B0000}"/>
    <cellStyle name="20% - Accent2 5 2 5 2" xfId="13582" xr:uid="{00000000-0005-0000-0000-00008B0B0000}"/>
    <cellStyle name="20% - Accent2 5 2 5 2 2" xfId="37425" xr:uid="{E084D6FD-81B8-444C-9DB0-724BA45B76EB}"/>
    <cellStyle name="20% - Accent2 5 2 5 3" xfId="21530" xr:uid="{00000000-0005-0000-0000-00008C0B0000}"/>
    <cellStyle name="20% - Accent2 5 2 5 3 2" xfId="45362" xr:uid="{5DEC69E5-4B0C-4D2B-AB47-C265A68B1F0A}"/>
    <cellStyle name="20% - Accent2 5 2 5 4" xfId="29484" xr:uid="{7B862A02-60D5-4658-82EE-C13AE922CFEA}"/>
    <cellStyle name="20% - Accent2 5 2 6" xfId="9151" xr:uid="{00000000-0005-0000-0000-00008D0B0000}"/>
    <cellStyle name="20% - Accent2 5 2 6 2" xfId="17109" xr:uid="{00000000-0005-0000-0000-00008E0B0000}"/>
    <cellStyle name="20% - Accent2 5 2 6 2 2" xfId="40949" xr:uid="{B54FFDF7-D709-428A-9B89-9A909CA37843}"/>
    <cellStyle name="20% - Accent2 5 2 6 3" xfId="25053" xr:uid="{00000000-0005-0000-0000-00008F0B0000}"/>
    <cellStyle name="20% - Accent2 5 2 6 3 2" xfId="48885" xr:uid="{AF246105-5475-46FE-86D9-E0C77A255887}"/>
    <cellStyle name="20% - Accent2 5 2 6 4" xfId="33008" xr:uid="{5B5BBB76-D537-44A2-B6ED-5DEA0EC36124}"/>
    <cellStyle name="20% - Accent2 5 2 7" xfId="10047" xr:uid="{00000000-0005-0000-0000-0000900B0000}"/>
    <cellStyle name="20% - Accent2 5 2 7 2" xfId="33896" xr:uid="{FFDD8E98-6C51-426A-9B8E-25A839D1F914}"/>
    <cellStyle name="20% - Accent2 5 2 8" xfId="18002" xr:uid="{00000000-0005-0000-0000-0000910B0000}"/>
    <cellStyle name="20% - Accent2 5 2 8 2" xfId="41834" xr:uid="{F8BC9D2A-F3AD-4B87-B550-ED6BF3C40810}"/>
    <cellStyle name="20% - Accent2 5 2 9" xfId="25954" xr:uid="{B3A697B4-3ADB-4B98-833C-152D04E5778C}"/>
    <cellStyle name="20% - Accent2 5 2_Exh G" xfId="2135" xr:uid="{00000000-0005-0000-0000-0000920B0000}"/>
    <cellStyle name="20% - Accent2 5 3" xfId="107" xr:uid="{00000000-0005-0000-0000-0000930B0000}"/>
    <cellStyle name="20% - Accent2 5 3 2" xfId="1133" xr:uid="{00000000-0005-0000-0000-0000940B0000}"/>
    <cellStyle name="20% - Accent2 5 3 2 2" xfId="4660" xr:uid="{00000000-0005-0000-0000-0000950B0000}"/>
    <cellStyle name="20% - Accent2 5 3 2 2 2" xfId="8251" xr:uid="{00000000-0005-0000-0000-0000960B0000}"/>
    <cellStyle name="20% - Accent2 5 3 2 2 2 2" xfId="16221" xr:uid="{00000000-0005-0000-0000-0000970B0000}"/>
    <cellStyle name="20% - Accent2 5 3 2 2 2 2 2" xfId="40063" xr:uid="{DE07C57C-41D1-4985-BE91-8285444A8BBB}"/>
    <cellStyle name="20% - Accent2 5 3 2 2 2 3" xfId="24167" xr:uid="{00000000-0005-0000-0000-0000980B0000}"/>
    <cellStyle name="20% - Accent2 5 3 2 2 2 3 2" xfId="47999" xr:uid="{031E837E-EAB7-4F03-83EE-EDB521ED0F91}"/>
    <cellStyle name="20% - Accent2 5 3 2 2 2 4" xfId="32122" xr:uid="{D8DC2D33-9C58-4B5C-B034-2AF7F96D1415}"/>
    <cellStyle name="20% - Accent2 5 3 2 2 3" xfId="12683" xr:uid="{00000000-0005-0000-0000-0000990B0000}"/>
    <cellStyle name="20% - Accent2 5 3 2 2 3 2" xfId="36532" xr:uid="{0A2BFF34-5080-458B-B644-D76EFAE4F44F}"/>
    <cellStyle name="20% - Accent2 5 3 2 2 4" xfId="20638" xr:uid="{00000000-0005-0000-0000-00009A0B0000}"/>
    <cellStyle name="20% - Accent2 5 3 2 2 4 2" xfId="44470" xr:uid="{4247B05D-121A-4D48-931D-372E12DFB32E}"/>
    <cellStyle name="20% - Accent2 5 3 2 2 5" xfId="28591" xr:uid="{254683DD-9D3B-47A7-91E7-128C3EE543A4}"/>
    <cellStyle name="20% - Accent2 5 3 2 3" xfId="6492" xr:uid="{00000000-0005-0000-0000-00009B0B0000}"/>
    <cellStyle name="20% - Accent2 5 3 2 3 2" xfId="14463" xr:uid="{00000000-0005-0000-0000-00009C0B0000}"/>
    <cellStyle name="20% - Accent2 5 3 2 3 2 2" xfId="38305" xr:uid="{CD6ED8FD-1D3F-41B6-8059-B02FFD932E84}"/>
    <cellStyle name="20% - Accent2 5 3 2 3 3" xfId="22410" xr:uid="{00000000-0005-0000-0000-00009D0B0000}"/>
    <cellStyle name="20% - Accent2 5 3 2 3 3 2" xfId="46242" xr:uid="{BFF6AC2A-690D-4BFB-97AD-0BA6DCB086AC}"/>
    <cellStyle name="20% - Accent2 5 3 2 3 4" xfId="30364" xr:uid="{4B5F1932-4DB2-44A2-A553-74EE9C3E4A61}"/>
    <cellStyle name="20% - Accent2 5 3 2 4" xfId="10927" xr:uid="{00000000-0005-0000-0000-00009E0B0000}"/>
    <cellStyle name="20% - Accent2 5 3 2 4 2" xfId="34776" xr:uid="{1ED2109C-F734-46D6-8DB9-F0D88C32F939}"/>
    <cellStyle name="20% - Accent2 5 3 2 5" xfId="18882" xr:uid="{00000000-0005-0000-0000-00009F0B0000}"/>
    <cellStyle name="20% - Accent2 5 3 2 5 2" xfId="42714" xr:uid="{C6125B20-781D-4122-ACB6-D1486130854A}"/>
    <cellStyle name="20% - Accent2 5 3 2 6" xfId="26834" xr:uid="{E582E6F5-278A-4A99-B4F4-71F5BC96EEFF}"/>
    <cellStyle name="20% - Accent2 5 3 2_Exh G" xfId="2140" xr:uid="{00000000-0005-0000-0000-0000A00B0000}"/>
    <cellStyle name="20% - Accent2 5 3 3" xfId="3781" xr:uid="{00000000-0005-0000-0000-0000A10B0000}"/>
    <cellStyle name="20% - Accent2 5 3 3 2" xfId="7373" xr:uid="{00000000-0005-0000-0000-0000A20B0000}"/>
    <cellStyle name="20% - Accent2 5 3 3 2 2" xfId="15343" xr:uid="{00000000-0005-0000-0000-0000A30B0000}"/>
    <cellStyle name="20% - Accent2 5 3 3 2 2 2" xfId="39185" xr:uid="{3B3FE30D-9006-4A17-94DD-DE3D0058EC5C}"/>
    <cellStyle name="20% - Accent2 5 3 3 2 3" xfId="23289" xr:uid="{00000000-0005-0000-0000-0000A40B0000}"/>
    <cellStyle name="20% - Accent2 5 3 3 2 3 2" xfId="47121" xr:uid="{E12FC9E7-ABCA-4DC3-B3D3-209E4A9DDD40}"/>
    <cellStyle name="20% - Accent2 5 3 3 2 4" xfId="31244" xr:uid="{BE5A05CB-C8E2-46F2-A117-6C0DCBF80913}"/>
    <cellStyle name="20% - Accent2 5 3 3 3" xfId="11805" xr:uid="{00000000-0005-0000-0000-0000A50B0000}"/>
    <cellStyle name="20% - Accent2 5 3 3 3 2" xfId="35654" xr:uid="{BA620F8C-FA6F-45E1-AE2A-A75766C4C0AF}"/>
    <cellStyle name="20% - Accent2 5 3 3 4" xfId="19760" xr:uid="{00000000-0005-0000-0000-0000A60B0000}"/>
    <cellStyle name="20% - Accent2 5 3 3 4 2" xfId="43592" xr:uid="{6B274C66-BBCD-4CE4-8D42-38CCC7BAB522}"/>
    <cellStyle name="20% - Accent2 5 3 3 5" xfId="27713" xr:uid="{2D0A1ED2-4556-42DF-B98F-A14B5889EB8E}"/>
    <cellStyle name="20% - Accent2 5 3 4" xfId="5601" xr:uid="{00000000-0005-0000-0000-0000A70B0000}"/>
    <cellStyle name="20% - Accent2 5 3 4 2" xfId="13584" xr:uid="{00000000-0005-0000-0000-0000A80B0000}"/>
    <cellStyle name="20% - Accent2 5 3 4 2 2" xfId="37427" xr:uid="{2E8716C3-5B23-471D-B11E-7BBB94D69161}"/>
    <cellStyle name="20% - Accent2 5 3 4 3" xfId="21532" xr:uid="{00000000-0005-0000-0000-0000A90B0000}"/>
    <cellStyle name="20% - Accent2 5 3 4 3 2" xfId="45364" xr:uid="{FE739D64-9B0C-4E96-9110-4DFBF99D65E4}"/>
    <cellStyle name="20% - Accent2 5 3 4 4" xfId="29486" xr:uid="{610F258A-8281-4FF9-A47B-369F6D1068C7}"/>
    <cellStyle name="20% - Accent2 5 3 5" xfId="9153" xr:uid="{00000000-0005-0000-0000-0000AA0B0000}"/>
    <cellStyle name="20% - Accent2 5 3 5 2" xfId="17111" xr:uid="{00000000-0005-0000-0000-0000AB0B0000}"/>
    <cellStyle name="20% - Accent2 5 3 5 2 2" xfId="40951" xr:uid="{00719A62-C29D-4C87-A8CD-6CA5BC32D887}"/>
    <cellStyle name="20% - Accent2 5 3 5 3" xfId="25055" xr:uid="{00000000-0005-0000-0000-0000AC0B0000}"/>
    <cellStyle name="20% - Accent2 5 3 5 3 2" xfId="48887" xr:uid="{2B4B20E3-9648-4A36-AB7C-8AA8AA674C84}"/>
    <cellStyle name="20% - Accent2 5 3 5 4" xfId="33010" xr:uid="{FE11ECF7-C62D-49F3-8857-D4144C2B4A36}"/>
    <cellStyle name="20% - Accent2 5 3 6" xfId="10049" xr:uid="{00000000-0005-0000-0000-0000AD0B0000}"/>
    <cellStyle name="20% - Accent2 5 3 6 2" xfId="33898" xr:uid="{A0F37D89-CD08-49AC-8E8A-E7805ED190F4}"/>
    <cellStyle name="20% - Accent2 5 3 7" xfId="18004" xr:uid="{00000000-0005-0000-0000-0000AE0B0000}"/>
    <cellStyle name="20% - Accent2 5 3 7 2" xfId="41836" xr:uid="{AA15363C-81BD-43EB-B251-375444BDCCD3}"/>
    <cellStyle name="20% - Accent2 5 3 8" xfId="25956" xr:uid="{6E0CC1A4-6366-425B-A7B2-B025FACAA853}"/>
    <cellStyle name="20% - Accent2 5 3_Exh G" xfId="2139" xr:uid="{00000000-0005-0000-0000-0000AF0B0000}"/>
    <cellStyle name="20% - Accent2 5 4" xfId="878" xr:uid="{00000000-0005-0000-0000-0000B00B0000}"/>
    <cellStyle name="20% - Accent2 5 5" xfId="1130" xr:uid="{00000000-0005-0000-0000-0000B10B0000}"/>
    <cellStyle name="20% - Accent2 5 5 2" xfId="4657" xr:uid="{00000000-0005-0000-0000-0000B20B0000}"/>
    <cellStyle name="20% - Accent2 5 5 2 2" xfId="8248" xr:uid="{00000000-0005-0000-0000-0000B30B0000}"/>
    <cellStyle name="20% - Accent2 5 5 2 2 2" xfId="16218" xr:uid="{00000000-0005-0000-0000-0000B40B0000}"/>
    <cellStyle name="20% - Accent2 5 5 2 2 2 2" xfId="40060" xr:uid="{DB8E850E-1849-45AC-A000-69F778FB7453}"/>
    <cellStyle name="20% - Accent2 5 5 2 2 3" xfId="24164" xr:uid="{00000000-0005-0000-0000-0000B50B0000}"/>
    <cellStyle name="20% - Accent2 5 5 2 2 3 2" xfId="47996" xr:uid="{5EFE7ACA-C31C-492F-A8C4-B048AF754699}"/>
    <cellStyle name="20% - Accent2 5 5 2 2 4" xfId="32119" xr:uid="{B2CA9C6A-F63A-4385-A36F-73DA22FF45AB}"/>
    <cellStyle name="20% - Accent2 5 5 2 3" xfId="12680" xr:uid="{00000000-0005-0000-0000-0000B60B0000}"/>
    <cellStyle name="20% - Accent2 5 5 2 3 2" xfId="36529" xr:uid="{E055D0A9-742B-4849-BB60-D49605DF2F47}"/>
    <cellStyle name="20% - Accent2 5 5 2 4" xfId="20635" xr:uid="{00000000-0005-0000-0000-0000B70B0000}"/>
    <cellStyle name="20% - Accent2 5 5 2 4 2" xfId="44467" xr:uid="{A85D02F7-EE06-48EF-86BF-B50C3B62D03B}"/>
    <cellStyle name="20% - Accent2 5 5 2 5" xfId="28588" xr:uid="{E44D9BE7-422C-4209-B51A-ADCD16F13991}"/>
    <cellStyle name="20% - Accent2 5 5 3" xfId="6489" xr:uid="{00000000-0005-0000-0000-0000B80B0000}"/>
    <cellStyle name="20% - Accent2 5 5 3 2" xfId="14460" xr:uid="{00000000-0005-0000-0000-0000B90B0000}"/>
    <cellStyle name="20% - Accent2 5 5 3 2 2" xfId="38302" xr:uid="{BE28F3CF-4527-4AB2-B49C-A8E50988B140}"/>
    <cellStyle name="20% - Accent2 5 5 3 3" xfId="22407" xr:uid="{00000000-0005-0000-0000-0000BA0B0000}"/>
    <cellStyle name="20% - Accent2 5 5 3 3 2" xfId="46239" xr:uid="{977AA1A4-D499-499E-A5C3-DFDB151EFF7D}"/>
    <cellStyle name="20% - Accent2 5 5 3 4" xfId="30361" xr:uid="{0DCA061A-9467-4AEF-AACD-15576DE87754}"/>
    <cellStyle name="20% - Accent2 5 5 4" xfId="10924" xr:uid="{00000000-0005-0000-0000-0000BB0B0000}"/>
    <cellStyle name="20% - Accent2 5 5 4 2" xfId="34773" xr:uid="{E5667430-6F4B-43A6-B99F-30859C962710}"/>
    <cellStyle name="20% - Accent2 5 5 5" xfId="18879" xr:uid="{00000000-0005-0000-0000-0000BC0B0000}"/>
    <cellStyle name="20% - Accent2 5 5 5 2" xfId="42711" xr:uid="{5A7BEB6E-1109-4D4E-9A4F-48EC2A3BC432}"/>
    <cellStyle name="20% - Accent2 5 5 6" xfId="26831" xr:uid="{4D3DE87D-4AC5-4D60-B640-4C0777EDDCF9}"/>
    <cellStyle name="20% - Accent2 5 5_Exh G" xfId="2141" xr:uid="{00000000-0005-0000-0000-0000BD0B0000}"/>
    <cellStyle name="20% - Accent2 5 6" xfId="3778" xr:uid="{00000000-0005-0000-0000-0000BE0B0000}"/>
    <cellStyle name="20% - Accent2 5 6 2" xfId="7370" xr:uid="{00000000-0005-0000-0000-0000BF0B0000}"/>
    <cellStyle name="20% - Accent2 5 6 2 2" xfId="15340" xr:uid="{00000000-0005-0000-0000-0000C00B0000}"/>
    <cellStyle name="20% - Accent2 5 6 2 2 2" xfId="39182" xr:uid="{2CC15F4E-7F92-47D7-9949-F4157753BE07}"/>
    <cellStyle name="20% - Accent2 5 6 2 3" xfId="23286" xr:uid="{00000000-0005-0000-0000-0000C10B0000}"/>
    <cellStyle name="20% - Accent2 5 6 2 3 2" xfId="47118" xr:uid="{83463516-5ADF-4147-99A2-970DA6F7417C}"/>
    <cellStyle name="20% - Accent2 5 6 2 4" xfId="31241" xr:uid="{54F92A9E-1BBF-41AA-818F-8EE93758C1A6}"/>
    <cellStyle name="20% - Accent2 5 6 3" xfId="11802" xr:uid="{00000000-0005-0000-0000-0000C20B0000}"/>
    <cellStyle name="20% - Accent2 5 6 3 2" xfId="35651" xr:uid="{C7DD6D81-4616-42B1-B08C-82B53CB8A4FB}"/>
    <cellStyle name="20% - Accent2 5 6 4" xfId="19757" xr:uid="{00000000-0005-0000-0000-0000C30B0000}"/>
    <cellStyle name="20% - Accent2 5 6 4 2" xfId="43589" xr:uid="{568859BD-DD68-489B-AB90-0E4D06B549C4}"/>
    <cellStyle name="20% - Accent2 5 6 5" xfId="27710" xr:uid="{49B4A9CD-E976-4DA1-8398-582A187FDAAB}"/>
    <cellStyle name="20% - Accent2 5 7" xfId="5598" xr:uid="{00000000-0005-0000-0000-0000C40B0000}"/>
    <cellStyle name="20% - Accent2 5 7 2" xfId="13581" xr:uid="{00000000-0005-0000-0000-0000C50B0000}"/>
    <cellStyle name="20% - Accent2 5 7 2 2" xfId="37424" xr:uid="{AD63C1CC-8876-4502-9D97-1D720BA5AD40}"/>
    <cellStyle name="20% - Accent2 5 7 3" xfId="21529" xr:uid="{00000000-0005-0000-0000-0000C60B0000}"/>
    <cellStyle name="20% - Accent2 5 7 3 2" xfId="45361" xr:uid="{A166DDAD-D64F-452E-827F-55052282334F}"/>
    <cellStyle name="20% - Accent2 5 7 4" xfId="29483" xr:uid="{34143261-A2F1-4C94-9294-D278807D0FBB}"/>
    <cellStyle name="20% - Accent2 5 8" xfId="9150" xr:uid="{00000000-0005-0000-0000-0000C70B0000}"/>
    <cellStyle name="20% - Accent2 5 8 2" xfId="17108" xr:uid="{00000000-0005-0000-0000-0000C80B0000}"/>
    <cellStyle name="20% - Accent2 5 8 2 2" xfId="40948" xr:uid="{6CCA0737-544A-4F58-B656-AD4EA625A29E}"/>
    <cellStyle name="20% - Accent2 5 8 3" xfId="25052" xr:uid="{00000000-0005-0000-0000-0000C90B0000}"/>
    <cellStyle name="20% - Accent2 5 8 3 2" xfId="48884" xr:uid="{98A76F01-97FF-4B4C-B864-1C592C1759F8}"/>
    <cellStyle name="20% - Accent2 5 8 4" xfId="33007" xr:uid="{F469FCB7-6891-4D8A-988F-87A9797AB724}"/>
    <cellStyle name="20% - Accent2 5 9" xfId="10046" xr:uid="{00000000-0005-0000-0000-0000CA0B0000}"/>
    <cellStyle name="20% - Accent2 5 9 2" xfId="33895" xr:uid="{1AA656C4-D0D1-4F7D-A9D2-6F6F45F13A9D}"/>
    <cellStyle name="20% - Accent2 5_Exh G" xfId="2134" xr:uid="{00000000-0005-0000-0000-0000CB0B0000}"/>
    <cellStyle name="20% - Accent2 6" xfId="108" xr:uid="{00000000-0005-0000-0000-0000CC0B0000}"/>
    <cellStyle name="20% - Accent2 6 10" xfId="18005" xr:uid="{00000000-0005-0000-0000-0000CD0B0000}"/>
    <cellStyle name="20% - Accent2 6 10 2" xfId="41837" xr:uid="{4E1A2A8D-2D17-43D7-92CA-6F9AB6909634}"/>
    <cellStyle name="20% - Accent2 6 11" xfId="25957" xr:uid="{FC587D53-42B0-46AA-9CDF-DC868D4957B8}"/>
    <cellStyle name="20% - Accent2 6 2" xfId="109" xr:uid="{00000000-0005-0000-0000-0000CE0B0000}"/>
    <cellStyle name="20% - Accent2 6 2 2" xfId="110" xr:uid="{00000000-0005-0000-0000-0000CF0B0000}"/>
    <cellStyle name="20% - Accent2 6 2 2 2" xfId="1136" xr:uid="{00000000-0005-0000-0000-0000D00B0000}"/>
    <cellStyle name="20% - Accent2 6 2 2 2 2" xfId="4663" xr:uid="{00000000-0005-0000-0000-0000D10B0000}"/>
    <cellStyle name="20% - Accent2 6 2 2 2 2 2" xfId="8254" xr:uid="{00000000-0005-0000-0000-0000D20B0000}"/>
    <cellStyle name="20% - Accent2 6 2 2 2 2 2 2" xfId="16224" xr:uid="{00000000-0005-0000-0000-0000D30B0000}"/>
    <cellStyle name="20% - Accent2 6 2 2 2 2 2 2 2" xfId="40066" xr:uid="{74788208-2934-4F87-940E-A199BD575AC4}"/>
    <cellStyle name="20% - Accent2 6 2 2 2 2 2 3" xfId="24170" xr:uid="{00000000-0005-0000-0000-0000D40B0000}"/>
    <cellStyle name="20% - Accent2 6 2 2 2 2 2 3 2" xfId="48002" xr:uid="{92CE8A66-D91E-4B16-8284-7EF1B324E506}"/>
    <cellStyle name="20% - Accent2 6 2 2 2 2 2 4" xfId="32125" xr:uid="{E6E7A39E-7BFF-404B-AEF7-913D4E6773CF}"/>
    <cellStyle name="20% - Accent2 6 2 2 2 2 3" xfId="12686" xr:uid="{00000000-0005-0000-0000-0000D50B0000}"/>
    <cellStyle name="20% - Accent2 6 2 2 2 2 3 2" xfId="36535" xr:uid="{25410E85-B972-4C04-A0FD-B1B8A3486AF6}"/>
    <cellStyle name="20% - Accent2 6 2 2 2 2 4" xfId="20641" xr:uid="{00000000-0005-0000-0000-0000D60B0000}"/>
    <cellStyle name="20% - Accent2 6 2 2 2 2 4 2" xfId="44473" xr:uid="{3CAFBBE1-79A0-4752-946B-36157B35CB4D}"/>
    <cellStyle name="20% - Accent2 6 2 2 2 2 5" xfId="28594" xr:uid="{1C9E29AE-090B-43AC-8C94-7C52D332F80E}"/>
    <cellStyle name="20% - Accent2 6 2 2 2 3" xfId="6495" xr:uid="{00000000-0005-0000-0000-0000D70B0000}"/>
    <cellStyle name="20% - Accent2 6 2 2 2 3 2" xfId="14466" xr:uid="{00000000-0005-0000-0000-0000D80B0000}"/>
    <cellStyle name="20% - Accent2 6 2 2 2 3 2 2" xfId="38308" xr:uid="{CDCF9B69-BAF2-4311-8939-4DF16AC3293E}"/>
    <cellStyle name="20% - Accent2 6 2 2 2 3 3" xfId="22413" xr:uid="{00000000-0005-0000-0000-0000D90B0000}"/>
    <cellStyle name="20% - Accent2 6 2 2 2 3 3 2" xfId="46245" xr:uid="{36257A18-ED99-49CC-889D-F8AC25D40A85}"/>
    <cellStyle name="20% - Accent2 6 2 2 2 3 4" xfId="30367" xr:uid="{14CC1119-0FCB-492D-8AA1-4CDE9643B39E}"/>
    <cellStyle name="20% - Accent2 6 2 2 2 4" xfId="10930" xr:uid="{00000000-0005-0000-0000-0000DA0B0000}"/>
    <cellStyle name="20% - Accent2 6 2 2 2 4 2" xfId="34779" xr:uid="{7D5FA303-8029-4D29-916E-4A3FCEE495D2}"/>
    <cellStyle name="20% - Accent2 6 2 2 2 5" xfId="18885" xr:uid="{00000000-0005-0000-0000-0000DB0B0000}"/>
    <cellStyle name="20% - Accent2 6 2 2 2 5 2" xfId="42717" xr:uid="{933D9AA3-84F9-4245-836B-E1A211645A0A}"/>
    <cellStyle name="20% - Accent2 6 2 2 2 6" xfId="26837" xr:uid="{8691C318-A8EB-43C4-8918-9F05F34B3453}"/>
    <cellStyle name="20% - Accent2 6 2 2 2_Exh G" xfId="2145" xr:uid="{00000000-0005-0000-0000-0000DC0B0000}"/>
    <cellStyle name="20% - Accent2 6 2 2 3" xfId="3784" xr:uid="{00000000-0005-0000-0000-0000DD0B0000}"/>
    <cellStyle name="20% - Accent2 6 2 2 3 2" xfId="7376" xr:uid="{00000000-0005-0000-0000-0000DE0B0000}"/>
    <cellStyle name="20% - Accent2 6 2 2 3 2 2" xfId="15346" xr:uid="{00000000-0005-0000-0000-0000DF0B0000}"/>
    <cellStyle name="20% - Accent2 6 2 2 3 2 2 2" xfId="39188" xr:uid="{7ED31645-64C4-4E41-BF0D-475ADD990294}"/>
    <cellStyle name="20% - Accent2 6 2 2 3 2 3" xfId="23292" xr:uid="{00000000-0005-0000-0000-0000E00B0000}"/>
    <cellStyle name="20% - Accent2 6 2 2 3 2 3 2" xfId="47124" xr:uid="{3F22B487-4A19-4E48-AE8F-37F0CAC9BDD4}"/>
    <cellStyle name="20% - Accent2 6 2 2 3 2 4" xfId="31247" xr:uid="{EAC2B9FB-9223-4471-8447-CAD949533C3B}"/>
    <cellStyle name="20% - Accent2 6 2 2 3 3" xfId="11808" xr:uid="{00000000-0005-0000-0000-0000E10B0000}"/>
    <cellStyle name="20% - Accent2 6 2 2 3 3 2" xfId="35657" xr:uid="{E23AFF06-DF63-4D55-B482-143B3B301656}"/>
    <cellStyle name="20% - Accent2 6 2 2 3 4" xfId="19763" xr:uid="{00000000-0005-0000-0000-0000E20B0000}"/>
    <cellStyle name="20% - Accent2 6 2 2 3 4 2" xfId="43595" xr:uid="{86B435D1-D2EB-4AD4-A3ED-DD2D5F9C1D28}"/>
    <cellStyle name="20% - Accent2 6 2 2 3 5" xfId="27716" xr:uid="{69537D67-AD8E-4FEA-B8BB-45B76DC94AD9}"/>
    <cellStyle name="20% - Accent2 6 2 2 4" xfId="5604" xr:uid="{00000000-0005-0000-0000-0000E30B0000}"/>
    <cellStyle name="20% - Accent2 6 2 2 4 2" xfId="13587" xr:uid="{00000000-0005-0000-0000-0000E40B0000}"/>
    <cellStyle name="20% - Accent2 6 2 2 4 2 2" xfId="37430" xr:uid="{8B1F4C50-52BC-4EC7-AC98-1686B0D21ABE}"/>
    <cellStyle name="20% - Accent2 6 2 2 4 3" xfId="21535" xr:uid="{00000000-0005-0000-0000-0000E50B0000}"/>
    <cellStyle name="20% - Accent2 6 2 2 4 3 2" xfId="45367" xr:uid="{6AA3E2E6-5EAB-4401-8FF0-6231B6C49355}"/>
    <cellStyle name="20% - Accent2 6 2 2 4 4" xfId="29489" xr:uid="{4C4840AD-3BCA-4CD2-867F-C3555439B52F}"/>
    <cellStyle name="20% - Accent2 6 2 2 5" xfId="9156" xr:uid="{00000000-0005-0000-0000-0000E60B0000}"/>
    <cellStyle name="20% - Accent2 6 2 2 5 2" xfId="17114" xr:uid="{00000000-0005-0000-0000-0000E70B0000}"/>
    <cellStyle name="20% - Accent2 6 2 2 5 2 2" xfId="40954" xr:uid="{7F430466-16A2-43A8-B012-3F3642D65864}"/>
    <cellStyle name="20% - Accent2 6 2 2 5 3" xfId="25058" xr:uid="{00000000-0005-0000-0000-0000E80B0000}"/>
    <cellStyle name="20% - Accent2 6 2 2 5 3 2" xfId="48890" xr:uid="{765584C8-8B69-4CE1-BF81-0BB8193D384F}"/>
    <cellStyle name="20% - Accent2 6 2 2 5 4" xfId="33013" xr:uid="{C690C2A4-F0FD-4C7B-BEF9-D3D90CD9EB33}"/>
    <cellStyle name="20% - Accent2 6 2 2 6" xfId="10052" xr:uid="{00000000-0005-0000-0000-0000E90B0000}"/>
    <cellStyle name="20% - Accent2 6 2 2 6 2" xfId="33901" xr:uid="{D83F041C-64FF-4305-BF08-F6E7C2159435}"/>
    <cellStyle name="20% - Accent2 6 2 2 7" xfId="18007" xr:uid="{00000000-0005-0000-0000-0000EA0B0000}"/>
    <cellStyle name="20% - Accent2 6 2 2 7 2" xfId="41839" xr:uid="{2BA044A4-5D7D-4688-9313-474EB47300C8}"/>
    <cellStyle name="20% - Accent2 6 2 2 8" xfId="25959" xr:uid="{0472172D-56DC-4471-A58A-69C4A6D84C5E}"/>
    <cellStyle name="20% - Accent2 6 2 2_Exh G" xfId="2144" xr:uid="{00000000-0005-0000-0000-0000EB0B0000}"/>
    <cellStyle name="20% - Accent2 6 2 3" xfId="1135" xr:uid="{00000000-0005-0000-0000-0000EC0B0000}"/>
    <cellStyle name="20% - Accent2 6 2 3 2" xfId="4662" xr:uid="{00000000-0005-0000-0000-0000ED0B0000}"/>
    <cellStyle name="20% - Accent2 6 2 3 2 2" xfId="8253" xr:uid="{00000000-0005-0000-0000-0000EE0B0000}"/>
    <cellStyle name="20% - Accent2 6 2 3 2 2 2" xfId="16223" xr:uid="{00000000-0005-0000-0000-0000EF0B0000}"/>
    <cellStyle name="20% - Accent2 6 2 3 2 2 2 2" xfId="40065" xr:uid="{3C5A23B9-1DB1-4606-A26A-61F7051154F8}"/>
    <cellStyle name="20% - Accent2 6 2 3 2 2 3" xfId="24169" xr:uid="{00000000-0005-0000-0000-0000F00B0000}"/>
    <cellStyle name="20% - Accent2 6 2 3 2 2 3 2" xfId="48001" xr:uid="{404DC781-8B25-4FA4-B55E-B2AC4133A544}"/>
    <cellStyle name="20% - Accent2 6 2 3 2 2 4" xfId="32124" xr:uid="{B803A046-A3EE-42D2-A36C-D421C3705BD0}"/>
    <cellStyle name="20% - Accent2 6 2 3 2 3" xfId="12685" xr:uid="{00000000-0005-0000-0000-0000F10B0000}"/>
    <cellStyle name="20% - Accent2 6 2 3 2 3 2" xfId="36534" xr:uid="{552B895C-A38B-4D76-9001-E4000C9C99AB}"/>
    <cellStyle name="20% - Accent2 6 2 3 2 4" xfId="20640" xr:uid="{00000000-0005-0000-0000-0000F20B0000}"/>
    <cellStyle name="20% - Accent2 6 2 3 2 4 2" xfId="44472" xr:uid="{EB963F03-AFFD-4F80-B4CC-9A4558D24571}"/>
    <cellStyle name="20% - Accent2 6 2 3 2 5" xfId="28593" xr:uid="{05E02FDF-E6A1-40CA-A82F-1F3E126DCFEB}"/>
    <cellStyle name="20% - Accent2 6 2 3 3" xfId="6494" xr:uid="{00000000-0005-0000-0000-0000F30B0000}"/>
    <cellStyle name="20% - Accent2 6 2 3 3 2" xfId="14465" xr:uid="{00000000-0005-0000-0000-0000F40B0000}"/>
    <cellStyle name="20% - Accent2 6 2 3 3 2 2" xfId="38307" xr:uid="{CB72C2CE-B20E-4777-967E-4CF6AC9F24A5}"/>
    <cellStyle name="20% - Accent2 6 2 3 3 3" xfId="22412" xr:uid="{00000000-0005-0000-0000-0000F50B0000}"/>
    <cellStyle name="20% - Accent2 6 2 3 3 3 2" xfId="46244" xr:uid="{B3020C40-AA4F-4C18-B0B9-3F8D2B446BB3}"/>
    <cellStyle name="20% - Accent2 6 2 3 3 4" xfId="30366" xr:uid="{5543938E-3966-44DA-9178-A98FED26E3D4}"/>
    <cellStyle name="20% - Accent2 6 2 3 4" xfId="10929" xr:uid="{00000000-0005-0000-0000-0000F60B0000}"/>
    <cellStyle name="20% - Accent2 6 2 3 4 2" xfId="34778" xr:uid="{D65EC0A7-1E2E-4F44-9909-172B12DC6EF5}"/>
    <cellStyle name="20% - Accent2 6 2 3 5" xfId="18884" xr:uid="{00000000-0005-0000-0000-0000F70B0000}"/>
    <cellStyle name="20% - Accent2 6 2 3 5 2" xfId="42716" xr:uid="{441DEABD-CFDC-482A-93E8-3F6455F6EDD5}"/>
    <cellStyle name="20% - Accent2 6 2 3 6" xfId="26836" xr:uid="{6EBC9FE9-2435-4A51-B946-62EB781DB410}"/>
    <cellStyle name="20% - Accent2 6 2 3_Exh G" xfId="2146" xr:uid="{00000000-0005-0000-0000-0000F80B0000}"/>
    <cellStyle name="20% - Accent2 6 2 4" xfId="3783" xr:uid="{00000000-0005-0000-0000-0000F90B0000}"/>
    <cellStyle name="20% - Accent2 6 2 4 2" xfId="7375" xr:uid="{00000000-0005-0000-0000-0000FA0B0000}"/>
    <cellStyle name="20% - Accent2 6 2 4 2 2" xfId="15345" xr:uid="{00000000-0005-0000-0000-0000FB0B0000}"/>
    <cellStyle name="20% - Accent2 6 2 4 2 2 2" xfId="39187" xr:uid="{9415A5D4-1808-4B78-A59B-954BEB6BE093}"/>
    <cellStyle name="20% - Accent2 6 2 4 2 3" xfId="23291" xr:uid="{00000000-0005-0000-0000-0000FC0B0000}"/>
    <cellStyle name="20% - Accent2 6 2 4 2 3 2" xfId="47123" xr:uid="{4B93888C-44B4-4AB6-AC02-EBBACAC6D267}"/>
    <cellStyle name="20% - Accent2 6 2 4 2 4" xfId="31246" xr:uid="{5D2A98F3-5C94-4906-84B8-D153B32FF5DB}"/>
    <cellStyle name="20% - Accent2 6 2 4 3" xfId="11807" xr:uid="{00000000-0005-0000-0000-0000FD0B0000}"/>
    <cellStyle name="20% - Accent2 6 2 4 3 2" xfId="35656" xr:uid="{C278E1C7-F415-42D1-B507-5182818E8B7F}"/>
    <cellStyle name="20% - Accent2 6 2 4 4" xfId="19762" xr:uid="{00000000-0005-0000-0000-0000FE0B0000}"/>
    <cellStyle name="20% - Accent2 6 2 4 4 2" xfId="43594" xr:uid="{74B69A6F-AB3E-4823-B5B9-6430E15F5ED2}"/>
    <cellStyle name="20% - Accent2 6 2 4 5" xfId="27715" xr:uid="{65A829FA-FFAB-454D-A452-6E5288E9FECE}"/>
    <cellStyle name="20% - Accent2 6 2 5" xfId="5603" xr:uid="{00000000-0005-0000-0000-0000FF0B0000}"/>
    <cellStyle name="20% - Accent2 6 2 5 2" xfId="13586" xr:uid="{00000000-0005-0000-0000-0000000C0000}"/>
    <cellStyle name="20% - Accent2 6 2 5 2 2" xfId="37429" xr:uid="{49919122-26EF-4788-8350-BBE5F9C0A1F4}"/>
    <cellStyle name="20% - Accent2 6 2 5 3" xfId="21534" xr:uid="{00000000-0005-0000-0000-0000010C0000}"/>
    <cellStyle name="20% - Accent2 6 2 5 3 2" xfId="45366" xr:uid="{E6368992-B1CF-48E9-9D54-A66E1659CDFF}"/>
    <cellStyle name="20% - Accent2 6 2 5 4" xfId="29488" xr:uid="{96A1821C-2108-4DBE-AAE3-07446743307F}"/>
    <cellStyle name="20% - Accent2 6 2 6" xfId="9155" xr:uid="{00000000-0005-0000-0000-0000020C0000}"/>
    <cellStyle name="20% - Accent2 6 2 6 2" xfId="17113" xr:uid="{00000000-0005-0000-0000-0000030C0000}"/>
    <cellStyle name="20% - Accent2 6 2 6 2 2" xfId="40953" xr:uid="{813DC7E2-ECD3-44A0-AE2B-BDE077904AD9}"/>
    <cellStyle name="20% - Accent2 6 2 6 3" xfId="25057" xr:uid="{00000000-0005-0000-0000-0000040C0000}"/>
    <cellStyle name="20% - Accent2 6 2 6 3 2" xfId="48889" xr:uid="{A20F0172-04D0-4384-A2E8-12905E9DE3A7}"/>
    <cellStyle name="20% - Accent2 6 2 6 4" xfId="33012" xr:uid="{E4AAA2DA-E6C3-4D95-9C0B-20A725EB8D67}"/>
    <cellStyle name="20% - Accent2 6 2 7" xfId="10051" xr:uid="{00000000-0005-0000-0000-0000050C0000}"/>
    <cellStyle name="20% - Accent2 6 2 7 2" xfId="33900" xr:uid="{E9D67EA1-CA4A-4ED6-B266-3847E8C01704}"/>
    <cellStyle name="20% - Accent2 6 2 8" xfId="18006" xr:uid="{00000000-0005-0000-0000-0000060C0000}"/>
    <cellStyle name="20% - Accent2 6 2 8 2" xfId="41838" xr:uid="{926F65A7-4774-4B99-BEF1-1D1D88876827}"/>
    <cellStyle name="20% - Accent2 6 2 9" xfId="25958" xr:uid="{98D16D82-DA3E-4860-A405-64275FACDD09}"/>
    <cellStyle name="20% - Accent2 6 2_Exh G" xfId="2143" xr:uid="{00000000-0005-0000-0000-0000070C0000}"/>
    <cellStyle name="20% - Accent2 6 3" xfId="111" xr:uid="{00000000-0005-0000-0000-0000080C0000}"/>
    <cellStyle name="20% - Accent2 6 3 2" xfId="1137" xr:uid="{00000000-0005-0000-0000-0000090C0000}"/>
    <cellStyle name="20% - Accent2 6 3 2 2" xfId="4664" xr:uid="{00000000-0005-0000-0000-00000A0C0000}"/>
    <cellStyle name="20% - Accent2 6 3 2 2 2" xfId="8255" xr:uid="{00000000-0005-0000-0000-00000B0C0000}"/>
    <cellStyle name="20% - Accent2 6 3 2 2 2 2" xfId="16225" xr:uid="{00000000-0005-0000-0000-00000C0C0000}"/>
    <cellStyle name="20% - Accent2 6 3 2 2 2 2 2" xfId="40067" xr:uid="{63FEA3D8-1436-489F-B10C-4FFCC4755FE4}"/>
    <cellStyle name="20% - Accent2 6 3 2 2 2 3" xfId="24171" xr:uid="{00000000-0005-0000-0000-00000D0C0000}"/>
    <cellStyle name="20% - Accent2 6 3 2 2 2 3 2" xfId="48003" xr:uid="{68B6EF15-C57A-4610-B7C3-235E4B57F004}"/>
    <cellStyle name="20% - Accent2 6 3 2 2 2 4" xfId="32126" xr:uid="{A275864E-7D27-47E1-BE53-55EA120B4E10}"/>
    <cellStyle name="20% - Accent2 6 3 2 2 3" xfId="12687" xr:uid="{00000000-0005-0000-0000-00000E0C0000}"/>
    <cellStyle name="20% - Accent2 6 3 2 2 3 2" xfId="36536" xr:uid="{035745A7-93DE-46B9-8547-69E81326DB86}"/>
    <cellStyle name="20% - Accent2 6 3 2 2 4" xfId="20642" xr:uid="{00000000-0005-0000-0000-00000F0C0000}"/>
    <cellStyle name="20% - Accent2 6 3 2 2 4 2" xfId="44474" xr:uid="{D817AF46-42AE-44B4-A7EE-3F23D42DD966}"/>
    <cellStyle name="20% - Accent2 6 3 2 2 5" xfId="28595" xr:uid="{AE046255-B330-4C8C-9AC2-3F0956677A3B}"/>
    <cellStyle name="20% - Accent2 6 3 2 3" xfId="6496" xr:uid="{00000000-0005-0000-0000-0000100C0000}"/>
    <cellStyle name="20% - Accent2 6 3 2 3 2" xfId="14467" xr:uid="{00000000-0005-0000-0000-0000110C0000}"/>
    <cellStyle name="20% - Accent2 6 3 2 3 2 2" xfId="38309" xr:uid="{1AE5D3E5-6DF4-4980-B144-46B11207C1E0}"/>
    <cellStyle name="20% - Accent2 6 3 2 3 3" xfId="22414" xr:uid="{00000000-0005-0000-0000-0000120C0000}"/>
    <cellStyle name="20% - Accent2 6 3 2 3 3 2" xfId="46246" xr:uid="{B325A738-D845-46D9-A56F-E6269AC4E325}"/>
    <cellStyle name="20% - Accent2 6 3 2 3 4" xfId="30368" xr:uid="{89048035-4E45-4394-B958-0CE043F98B6C}"/>
    <cellStyle name="20% - Accent2 6 3 2 4" xfId="10931" xr:uid="{00000000-0005-0000-0000-0000130C0000}"/>
    <cellStyle name="20% - Accent2 6 3 2 4 2" xfId="34780" xr:uid="{CA6D0D39-17A1-4470-B6AA-1EB42BCFF141}"/>
    <cellStyle name="20% - Accent2 6 3 2 5" xfId="18886" xr:uid="{00000000-0005-0000-0000-0000140C0000}"/>
    <cellStyle name="20% - Accent2 6 3 2 5 2" xfId="42718" xr:uid="{5977C4F5-296F-443E-A3A9-90F51ACB9A0D}"/>
    <cellStyle name="20% - Accent2 6 3 2 6" xfId="26838" xr:uid="{751A2098-0DB7-4B2C-8A9C-9247C2FE305D}"/>
    <cellStyle name="20% - Accent2 6 3 2_Exh G" xfId="2148" xr:uid="{00000000-0005-0000-0000-0000150C0000}"/>
    <cellStyle name="20% - Accent2 6 3 3" xfId="3785" xr:uid="{00000000-0005-0000-0000-0000160C0000}"/>
    <cellStyle name="20% - Accent2 6 3 3 2" xfId="7377" xr:uid="{00000000-0005-0000-0000-0000170C0000}"/>
    <cellStyle name="20% - Accent2 6 3 3 2 2" xfId="15347" xr:uid="{00000000-0005-0000-0000-0000180C0000}"/>
    <cellStyle name="20% - Accent2 6 3 3 2 2 2" xfId="39189" xr:uid="{A1F923BC-A7F1-4B1C-A0AE-324951094772}"/>
    <cellStyle name="20% - Accent2 6 3 3 2 3" xfId="23293" xr:uid="{00000000-0005-0000-0000-0000190C0000}"/>
    <cellStyle name="20% - Accent2 6 3 3 2 3 2" xfId="47125" xr:uid="{0FBE9A1D-E65E-446D-B37B-775EC7F75276}"/>
    <cellStyle name="20% - Accent2 6 3 3 2 4" xfId="31248" xr:uid="{83A26F5D-96B0-44F7-92A6-B743854F8E0E}"/>
    <cellStyle name="20% - Accent2 6 3 3 3" xfId="11809" xr:uid="{00000000-0005-0000-0000-00001A0C0000}"/>
    <cellStyle name="20% - Accent2 6 3 3 3 2" xfId="35658" xr:uid="{59747A19-8316-4515-A6A5-74070ACC6F85}"/>
    <cellStyle name="20% - Accent2 6 3 3 4" xfId="19764" xr:uid="{00000000-0005-0000-0000-00001B0C0000}"/>
    <cellStyle name="20% - Accent2 6 3 3 4 2" xfId="43596" xr:uid="{7F149BFA-407D-4282-A2DB-2846A362E9E2}"/>
    <cellStyle name="20% - Accent2 6 3 3 5" xfId="27717" xr:uid="{2C8E91E8-262E-4930-B68A-921A286E2545}"/>
    <cellStyle name="20% - Accent2 6 3 4" xfId="5605" xr:uid="{00000000-0005-0000-0000-00001C0C0000}"/>
    <cellStyle name="20% - Accent2 6 3 4 2" xfId="13588" xr:uid="{00000000-0005-0000-0000-00001D0C0000}"/>
    <cellStyle name="20% - Accent2 6 3 4 2 2" xfId="37431" xr:uid="{07B4B4FD-3AA6-4AF0-97D1-1E776A6E564B}"/>
    <cellStyle name="20% - Accent2 6 3 4 3" xfId="21536" xr:uid="{00000000-0005-0000-0000-00001E0C0000}"/>
    <cellStyle name="20% - Accent2 6 3 4 3 2" xfId="45368" xr:uid="{34A55591-52D8-4200-96D1-012109C61B71}"/>
    <cellStyle name="20% - Accent2 6 3 4 4" xfId="29490" xr:uid="{B2FC53F5-7CFF-4381-84EB-0EC32B8C740A}"/>
    <cellStyle name="20% - Accent2 6 3 5" xfId="9157" xr:uid="{00000000-0005-0000-0000-00001F0C0000}"/>
    <cellStyle name="20% - Accent2 6 3 5 2" xfId="17115" xr:uid="{00000000-0005-0000-0000-0000200C0000}"/>
    <cellStyle name="20% - Accent2 6 3 5 2 2" xfId="40955" xr:uid="{F4832575-7B55-4674-881B-E58E578DF56D}"/>
    <cellStyle name="20% - Accent2 6 3 5 3" xfId="25059" xr:uid="{00000000-0005-0000-0000-0000210C0000}"/>
    <cellStyle name="20% - Accent2 6 3 5 3 2" xfId="48891" xr:uid="{8E4394AF-7744-4FB7-A057-F82A56BF7DDC}"/>
    <cellStyle name="20% - Accent2 6 3 5 4" xfId="33014" xr:uid="{719594AD-834E-4904-BBA9-C2EC3CBDAEE6}"/>
    <cellStyle name="20% - Accent2 6 3 6" xfId="10053" xr:uid="{00000000-0005-0000-0000-0000220C0000}"/>
    <cellStyle name="20% - Accent2 6 3 6 2" xfId="33902" xr:uid="{873F653E-9AD2-4AF3-9FE4-6AA786276D79}"/>
    <cellStyle name="20% - Accent2 6 3 7" xfId="18008" xr:uid="{00000000-0005-0000-0000-0000230C0000}"/>
    <cellStyle name="20% - Accent2 6 3 7 2" xfId="41840" xr:uid="{7F339D36-C55F-4C61-98EB-777222317ECA}"/>
    <cellStyle name="20% - Accent2 6 3 8" xfId="25960" xr:uid="{210E58E8-A8FC-4521-A026-1E96B5AD6A36}"/>
    <cellStyle name="20% - Accent2 6 3_Exh G" xfId="2147" xr:uid="{00000000-0005-0000-0000-0000240C0000}"/>
    <cellStyle name="20% - Accent2 6 4" xfId="879" xr:uid="{00000000-0005-0000-0000-0000250C0000}"/>
    <cellStyle name="20% - Accent2 6 4 2" xfId="1808" xr:uid="{00000000-0005-0000-0000-0000260C0000}"/>
    <cellStyle name="20% - Accent2 6 4 2 2" xfId="5325" xr:uid="{00000000-0005-0000-0000-0000270C0000}"/>
    <cellStyle name="20% - Accent2 6 4 2 2 2" xfId="8916" xr:uid="{00000000-0005-0000-0000-0000280C0000}"/>
    <cellStyle name="20% - Accent2 6 4 2 2 2 2" xfId="16886" xr:uid="{00000000-0005-0000-0000-0000290C0000}"/>
    <cellStyle name="20% - Accent2 6 4 2 2 2 2 2" xfId="40728" xr:uid="{E52CF486-8C7E-459F-86AC-07BA10E73290}"/>
    <cellStyle name="20% - Accent2 6 4 2 2 2 3" xfId="24832" xr:uid="{00000000-0005-0000-0000-00002A0C0000}"/>
    <cellStyle name="20% - Accent2 6 4 2 2 2 3 2" xfId="48664" xr:uid="{F9D5D8F6-4640-4415-BBC0-E6DEA7AE9C63}"/>
    <cellStyle name="20% - Accent2 6 4 2 2 2 4" xfId="32787" xr:uid="{B6B6BBB8-948A-4E57-B362-9910FA535DB7}"/>
    <cellStyle name="20% - Accent2 6 4 2 2 3" xfId="13348" xr:uid="{00000000-0005-0000-0000-00002B0C0000}"/>
    <cellStyle name="20% - Accent2 6 4 2 2 3 2" xfId="37197" xr:uid="{2F38D8BD-1269-491B-B509-9D1B04FA1384}"/>
    <cellStyle name="20% - Accent2 6 4 2 2 4" xfId="21303" xr:uid="{00000000-0005-0000-0000-00002C0C0000}"/>
    <cellStyle name="20% - Accent2 6 4 2 2 4 2" xfId="45135" xr:uid="{C24A6338-6842-4E5C-96E6-0F2DE8A9D9AC}"/>
    <cellStyle name="20% - Accent2 6 4 2 2 5" xfId="29256" xr:uid="{85981997-1327-415A-85C1-C00E20DE5FBF}"/>
    <cellStyle name="20% - Accent2 6 4 2 3" xfId="7157" xr:uid="{00000000-0005-0000-0000-00002D0C0000}"/>
    <cellStyle name="20% - Accent2 6 4 2 3 2" xfId="15128" xr:uid="{00000000-0005-0000-0000-00002E0C0000}"/>
    <cellStyle name="20% - Accent2 6 4 2 3 2 2" xfId="38970" xr:uid="{6730F9A8-B85D-4E4E-B1A6-42B3D80500AD}"/>
    <cellStyle name="20% - Accent2 6 4 2 3 3" xfId="23075" xr:uid="{00000000-0005-0000-0000-00002F0C0000}"/>
    <cellStyle name="20% - Accent2 6 4 2 3 3 2" xfId="46907" xr:uid="{0A928EEA-7C23-40AB-B0FB-2B11B3293363}"/>
    <cellStyle name="20% - Accent2 6 4 2 3 4" xfId="31029" xr:uid="{F0B869B8-8AEC-4D7A-BA16-2A87480943ED}"/>
    <cellStyle name="20% - Accent2 6 4 2 4" xfId="11592" xr:uid="{00000000-0005-0000-0000-0000300C0000}"/>
    <cellStyle name="20% - Accent2 6 4 2 4 2" xfId="35441" xr:uid="{E1F0D004-EA19-4192-8062-B7F7631D9A90}"/>
    <cellStyle name="20% - Accent2 6 4 2 5" xfId="19547" xr:uid="{00000000-0005-0000-0000-0000310C0000}"/>
    <cellStyle name="20% - Accent2 6 4 2 5 2" xfId="43379" xr:uid="{BE13CEC4-6190-4FE9-84F8-96BA8BA45211}"/>
    <cellStyle name="20% - Accent2 6 4 2 6" xfId="27499" xr:uid="{BF19BA41-A617-4C3D-BA6C-ADF8E399CFFC}"/>
    <cellStyle name="20% - Accent2 6 4 2_Exh G" xfId="2150" xr:uid="{00000000-0005-0000-0000-0000320C0000}"/>
    <cellStyle name="20% - Accent2 6 4 3" xfId="4446" xr:uid="{00000000-0005-0000-0000-0000330C0000}"/>
    <cellStyle name="20% - Accent2 6 4 3 2" xfId="8038" xr:uid="{00000000-0005-0000-0000-0000340C0000}"/>
    <cellStyle name="20% - Accent2 6 4 3 2 2" xfId="16008" xr:uid="{00000000-0005-0000-0000-0000350C0000}"/>
    <cellStyle name="20% - Accent2 6 4 3 2 2 2" xfId="39850" xr:uid="{E0B25F0A-0663-415A-8593-D54AA8468A54}"/>
    <cellStyle name="20% - Accent2 6 4 3 2 3" xfId="23954" xr:uid="{00000000-0005-0000-0000-0000360C0000}"/>
    <cellStyle name="20% - Accent2 6 4 3 2 3 2" xfId="47786" xr:uid="{D1B7A68C-0396-4F60-9AA8-BC43D9433912}"/>
    <cellStyle name="20% - Accent2 6 4 3 2 4" xfId="31909" xr:uid="{DB2BE462-2213-4EFA-82E6-25A06D5DB8A8}"/>
    <cellStyle name="20% - Accent2 6 4 3 3" xfId="12470" xr:uid="{00000000-0005-0000-0000-0000370C0000}"/>
    <cellStyle name="20% - Accent2 6 4 3 3 2" xfId="36319" xr:uid="{0E8E7018-F284-46D9-A35F-3050D6F0386E}"/>
    <cellStyle name="20% - Accent2 6 4 3 4" xfId="20425" xr:uid="{00000000-0005-0000-0000-0000380C0000}"/>
    <cellStyle name="20% - Accent2 6 4 3 4 2" xfId="44257" xr:uid="{1865ACD4-6AF3-471A-ADA9-47922478F3F0}"/>
    <cellStyle name="20% - Accent2 6 4 3 5" xfId="28378" xr:uid="{1B0161A1-2E19-4C3F-8082-DE22B6FE5B11}"/>
    <cellStyle name="20% - Accent2 6 4 4" xfId="6276" xr:uid="{00000000-0005-0000-0000-0000390C0000}"/>
    <cellStyle name="20% - Accent2 6 4 4 2" xfId="14250" xr:uid="{00000000-0005-0000-0000-00003A0C0000}"/>
    <cellStyle name="20% - Accent2 6 4 4 2 2" xfId="38092" xr:uid="{F396255C-2338-4CEC-97B4-26842402DEDA}"/>
    <cellStyle name="20% - Accent2 6 4 4 3" xfId="22197" xr:uid="{00000000-0005-0000-0000-00003B0C0000}"/>
    <cellStyle name="20% - Accent2 6 4 4 3 2" xfId="46029" xr:uid="{CE39650F-008B-4790-8D1E-46E374BECAD9}"/>
    <cellStyle name="20% - Accent2 6 4 4 4" xfId="30151" xr:uid="{4F2F4FFF-3167-47FF-A9D6-63C2FEC60A6E}"/>
    <cellStyle name="20% - Accent2 6 4 5" xfId="9818" xr:uid="{00000000-0005-0000-0000-00003C0C0000}"/>
    <cellStyle name="20% - Accent2 6 4 5 2" xfId="17776" xr:uid="{00000000-0005-0000-0000-00003D0C0000}"/>
    <cellStyle name="20% - Accent2 6 4 5 2 2" xfId="41616" xr:uid="{FB96E43E-981F-49D5-AF28-4BEC9A0F22AD}"/>
    <cellStyle name="20% - Accent2 6 4 5 3" xfId="25720" xr:uid="{00000000-0005-0000-0000-00003E0C0000}"/>
    <cellStyle name="20% - Accent2 6 4 5 3 2" xfId="49552" xr:uid="{46A107BF-3E40-441F-A98C-1C5EE658BC8B}"/>
    <cellStyle name="20% - Accent2 6 4 5 4" xfId="33675" xr:uid="{B5B91906-FE87-4AD3-9177-88E23E46940B}"/>
    <cellStyle name="20% - Accent2 6 4 6" xfId="10714" xr:uid="{00000000-0005-0000-0000-00003F0C0000}"/>
    <cellStyle name="20% - Accent2 6 4 6 2" xfId="34563" xr:uid="{7C6EAF35-869F-4CC1-9776-67EB92CD8A48}"/>
    <cellStyle name="20% - Accent2 6 4 7" xfId="18669" xr:uid="{00000000-0005-0000-0000-0000400C0000}"/>
    <cellStyle name="20% - Accent2 6 4 7 2" xfId="42501" xr:uid="{3981893A-CD6F-4895-B889-105DE35BDDED}"/>
    <cellStyle name="20% - Accent2 6 4 8" xfId="26621" xr:uid="{C18FC513-3864-45C5-B93F-0C284D35D955}"/>
    <cellStyle name="20% - Accent2 6 4_Exh G" xfId="2149" xr:uid="{00000000-0005-0000-0000-0000410C0000}"/>
    <cellStyle name="20% - Accent2 6 5" xfId="1134" xr:uid="{00000000-0005-0000-0000-0000420C0000}"/>
    <cellStyle name="20% - Accent2 6 5 2" xfId="4661" xr:uid="{00000000-0005-0000-0000-0000430C0000}"/>
    <cellStyle name="20% - Accent2 6 5 2 2" xfId="8252" xr:uid="{00000000-0005-0000-0000-0000440C0000}"/>
    <cellStyle name="20% - Accent2 6 5 2 2 2" xfId="16222" xr:uid="{00000000-0005-0000-0000-0000450C0000}"/>
    <cellStyle name="20% - Accent2 6 5 2 2 2 2" xfId="40064" xr:uid="{AFBDC77E-ACBA-4F60-8EA4-918E34D8B0CF}"/>
    <cellStyle name="20% - Accent2 6 5 2 2 3" xfId="24168" xr:uid="{00000000-0005-0000-0000-0000460C0000}"/>
    <cellStyle name="20% - Accent2 6 5 2 2 3 2" xfId="48000" xr:uid="{CC77224A-07F7-4A5A-8841-FCF2318EB57B}"/>
    <cellStyle name="20% - Accent2 6 5 2 2 4" xfId="32123" xr:uid="{F1BB71F0-AFF4-46EF-8D61-60B9C4A04567}"/>
    <cellStyle name="20% - Accent2 6 5 2 3" xfId="12684" xr:uid="{00000000-0005-0000-0000-0000470C0000}"/>
    <cellStyle name="20% - Accent2 6 5 2 3 2" xfId="36533" xr:uid="{71E430A7-8F36-48C5-833F-E6410152A3A6}"/>
    <cellStyle name="20% - Accent2 6 5 2 4" xfId="20639" xr:uid="{00000000-0005-0000-0000-0000480C0000}"/>
    <cellStyle name="20% - Accent2 6 5 2 4 2" xfId="44471" xr:uid="{078D04AF-4A40-4BB6-8A2D-ED219C85B32D}"/>
    <cellStyle name="20% - Accent2 6 5 2 5" xfId="28592" xr:uid="{3B7B9D74-C56D-4A30-97BC-9D791A76FFC4}"/>
    <cellStyle name="20% - Accent2 6 5 3" xfId="6493" xr:uid="{00000000-0005-0000-0000-0000490C0000}"/>
    <cellStyle name="20% - Accent2 6 5 3 2" xfId="14464" xr:uid="{00000000-0005-0000-0000-00004A0C0000}"/>
    <cellStyle name="20% - Accent2 6 5 3 2 2" xfId="38306" xr:uid="{55848DAE-DCF0-409E-BBF3-8822A0B1777F}"/>
    <cellStyle name="20% - Accent2 6 5 3 3" xfId="22411" xr:uid="{00000000-0005-0000-0000-00004B0C0000}"/>
    <cellStyle name="20% - Accent2 6 5 3 3 2" xfId="46243" xr:uid="{B22CADC4-C527-4527-9406-2FB6888EAF78}"/>
    <cellStyle name="20% - Accent2 6 5 3 4" xfId="30365" xr:uid="{6132A121-8003-4D48-BF1A-2A2F617E98E8}"/>
    <cellStyle name="20% - Accent2 6 5 4" xfId="10928" xr:uid="{00000000-0005-0000-0000-00004C0C0000}"/>
    <cellStyle name="20% - Accent2 6 5 4 2" xfId="34777" xr:uid="{8B9543A5-445A-4645-9D78-EDF9104BADCC}"/>
    <cellStyle name="20% - Accent2 6 5 5" xfId="18883" xr:uid="{00000000-0005-0000-0000-00004D0C0000}"/>
    <cellStyle name="20% - Accent2 6 5 5 2" xfId="42715" xr:uid="{F8A079D7-2130-4FD2-AFE3-75E31D0FACF7}"/>
    <cellStyle name="20% - Accent2 6 5 6" xfId="26835" xr:uid="{F8317AF9-4D21-4108-9471-96D01E442344}"/>
    <cellStyle name="20% - Accent2 6 5_Exh G" xfId="2151" xr:uid="{00000000-0005-0000-0000-00004E0C0000}"/>
    <cellStyle name="20% - Accent2 6 6" xfId="3782" xr:uid="{00000000-0005-0000-0000-00004F0C0000}"/>
    <cellStyle name="20% - Accent2 6 6 2" xfId="7374" xr:uid="{00000000-0005-0000-0000-0000500C0000}"/>
    <cellStyle name="20% - Accent2 6 6 2 2" xfId="15344" xr:uid="{00000000-0005-0000-0000-0000510C0000}"/>
    <cellStyle name="20% - Accent2 6 6 2 2 2" xfId="39186" xr:uid="{145A655B-E2F5-43B5-A935-296D8669A112}"/>
    <cellStyle name="20% - Accent2 6 6 2 3" xfId="23290" xr:uid="{00000000-0005-0000-0000-0000520C0000}"/>
    <cellStyle name="20% - Accent2 6 6 2 3 2" xfId="47122" xr:uid="{121C5970-1271-4CB9-8CD4-E3BCE57FB340}"/>
    <cellStyle name="20% - Accent2 6 6 2 4" xfId="31245" xr:uid="{EEA7F0FD-13B9-42A3-9EAC-5FFA2359C67C}"/>
    <cellStyle name="20% - Accent2 6 6 3" xfId="11806" xr:uid="{00000000-0005-0000-0000-0000530C0000}"/>
    <cellStyle name="20% - Accent2 6 6 3 2" xfId="35655" xr:uid="{79EDC1BE-DC8A-448F-BB17-1212CD0DF922}"/>
    <cellStyle name="20% - Accent2 6 6 4" xfId="19761" xr:uid="{00000000-0005-0000-0000-0000540C0000}"/>
    <cellStyle name="20% - Accent2 6 6 4 2" xfId="43593" xr:uid="{E6148975-2055-4661-9EC3-A8A7154199DE}"/>
    <cellStyle name="20% - Accent2 6 6 5" xfId="27714" xr:uid="{1D7240DB-CF84-40D3-B8C5-F1241B1BB185}"/>
    <cellStyle name="20% - Accent2 6 7" xfId="5602" xr:uid="{00000000-0005-0000-0000-0000550C0000}"/>
    <cellStyle name="20% - Accent2 6 7 2" xfId="13585" xr:uid="{00000000-0005-0000-0000-0000560C0000}"/>
    <cellStyle name="20% - Accent2 6 7 2 2" xfId="37428" xr:uid="{B639A273-9520-4AD8-B58D-A43E312BF4D3}"/>
    <cellStyle name="20% - Accent2 6 7 3" xfId="21533" xr:uid="{00000000-0005-0000-0000-0000570C0000}"/>
    <cellStyle name="20% - Accent2 6 7 3 2" xfId="45365" xr:uid="{ADDD73EF-9647-40C9-AEDF-0D71032B3008}"/>
    <cellStyle name="20% - Accent2 6 7 4" xfId="29487" xr:uid="{19D41192-B705-4057-92CA-142776B510AF}"/>
    <cellStyle name="20% - Accent2 6 8" xfId="9154" xr:uid="{00000000-0005-0000-0000-0000580C0000}"/>
    <cellStyle name="20% - Accent2 6 8 2" xfId="17112" xr:uid="{00000000-0005-0000-0000-0000590C0000}"/>
    <cellStyle name="20% - Accent2 6 8 2 2" xfId="40952" xr:uid="{49750992-8D45-4158-8894-63FA08DD27BD}"/>
    <cellStyle name="20% - Accent2 6 8 3" xfId="25056" xr:uid="{00000000-0005-0000-0000-00005A0C0000}"/>
    <cellStyle name="20% - Accent2 6 8 3 2" xfId="48888" xr:uid="{50C40D9D-DFFE-4F60-80E5-AB1A8F57312F}"/>
    <cellStyle name="20% - Accent2 6 8 4" xfId="33011" xr:uid="{1556CD18-3230-4D4D-ADA1-3B0F5B68FFF9}"/>
    <cellStyle name="20% - Accent2 6 9" xfId="10050" xr:uid="{00000000-0005-0000-0000-00005B0C0000}"/>
    <cellStyle name="20% - Accent2 6 9 2" xfId="33899" xr:uid="{EBB03102-713F-4D3F-AF04-4114F82FF85B}"/>
    <cellStyle name="20% - Accent2 6_Exh G" xfId="2142" xr:uid="{00000000-0005-0000-0000-00005C0C0000}"/>
    <cellStyle name="20% - Accent2 7" xfId="112" xr:uid="{00000000-0005-0000-0000-00005D0C0000}"/>
    <cellStyle name="20% - Accent2 7 10" xfId="18009" xr:uid="{00000000-0005-0000-0000-00005E0C0000}"/>
    <cellStyle name="20% - Accent2 7 10 2" xfId="41841" xr:uid="{02466E02-4735-44C4-BA0D-20E168547407}"/>
    <cellStyle name="20% - Accent2 7 11" xfId="25961" xr:uid="{9C41E04B-4BFD-4FB4-9C78-836D321B3864}"/>
    <cellStyle name="20% - Accent2 7 2" xfId="113" xr:uid="{00000000-0005-0000-0000-00005F0C0000}"/>
    <cellStyle name="20% - Accent2 7 2 2" xfId="114" xr:uid="{00000000-0005-0000-0000-0000600C0000}"/>
    <cellStyle name="20% - Accent2 7 2 2 2" xfId="1140" xr:uid="{00000000-0005-0000-0000-0000610C0000}"/>
    <cellStyle name="20% - Accent2 7 2 2 2 2" xfId="4667" xr:uid="{00000000-0005-0000-0000-0000620C0000}"/>
    <cellStyle name="20% - Accent2 7 2 2 2 2 2" xfId="8258" xr:uid="{00000000-0005-0000-0000-0000630C0000}"/>
    <cellStyle name="20% - Accent2 7 2 2 2 2 2 2" xfId="16228" xr:uid="{00000000-0005-0000-0000-0000640C0000}"/>
    <cellStyle name="20% - Accent2 7 2 2 2 2 2 2 2" xfId="40070" xr:uid="{12DFACA3-623A-4586-8FEC-08EFD44268E6}"/>
    <cellStyle name="20% - Accent2 7 2 2 2 2 2 3" xfId="24174" xr:uid="{00000000-0005-0000-0000-0000650C0000}"/>
    <cellStyle name="20% - Accent2 7 2 2 2 2 2 3 2" xfId="48006" xr:uid="{7AB019B8-42AD-453B-9035-0ED3599B4E0C}"/>
    <cellStyle name="20% - Accent2 7 2 2 2 2 2 4" xfId="32129" xr:uid="{CC99C915-EC89-473F-884E-BD4A0D394A52}"/>
    <cellStyle name="20% - Accent2 7 2 2 2 2 3" xfId="12690" xr:uid="{00000000-0005-0000-0000-0000660C0000}"/>
    <cellStyle name="20% - Accent2 7 2 2 2 2 3 2" xfId="36539" xr:uid="{DF9BD85A-550E-49F6-8ECB-F5E00B54F1DB}"/>
    <cellStyle name="20% - Accent2 7 2 2 2 2 4" xfId="20645" xr:uid="{00000000-0005-0000-0000-0000670C0000}"/>
    <cellStyle name="20% - Accent2 7 2 2 2 2 4 2" xfId="44477" xr:uid="{54A0EF41-D13E-44F4-BA10-C7E6437BCD15}"/>
    <cellStyle name="20% - Accent2 7 2 2 2 2 5" xfId="28598" xr:uid="{3F9B36A3-DB4A-4AD1-9284-AD66F190275A}"/>
    <cellStyle name="20% - Accent2 7 2 2 2 3" xfId="6499" xr:uid="{00000000-0005-0000-0000-0000680C0000}"/>
    <cellStyle name="20% - Accent2 7 2 2 2 3 2" xfId="14470" xr:uid="{00000000-0005-0000-0000-0000690C0000}"/>
    <cellStyle name="20% - Accent2 7 2 2 2 3 2 2" xfId="38312" xr:uid="{975EB476-7D2D-4262-87AE-B833CEE01918}"/>
    <cellStyle name="20% - Accent2 7 2 2 2 3 3" xfId="22417" xr:uid="{00000000-0005-0000-0000-00006A0C0000}"/>
    <cellStyle name="20% - Accent2 7 2 2 2 3 3 2" xfId="46249" xr:uid="{E389E574-7E24-44B4-8380-7AD4DBD41006}"/>
    <cellStyle name="20% - Accent2 7 2 2 2 3 4" xfId="30371" xr:uid="{022133B5-E849-4CB3-83C0-8F742546EEF9}"/>
    <cellStyle name="20% - Accent2 7 2 2 2 4" xfId="10934" xr:uid="{00000000-0005-0000-0000-00006B0C0000}"/>
    <cellStyle name="20% - Accent2 7 2 2 2 4 2" xfId="34783" xr:uid="{291BF0CA-0598-4292-97FD-DA299FBE93EE}"/>
    <cellStyle name="20% - Accent2 7 2 2 2 5" xfId="18889" xr:uid="{00000000-0005-0000-0000-00006C0C0000}"/>
    <cellStyle name="20% - Accent2 7 2 2 2 5 2" xfId="42721" xr:uid="{FEB7D144-9A7B-4E7B-A181-DE6CD0E714CE}"/>
    <cellStyle name="20% - Accent2 7 2 2 2 6" xfId="26841" xr:uid="{94046AA7-D78E-412E-B59D-6C86010D1AE3}"/>
    <cellStyle name="20% - Accent2 7 2 2 2_Exh G" xfId="2155" xr:uid="{00000000-0005-0000-0000-00006D0C0000}"/>
    <cellStyle name="20% - Accent2 7 2 2 3" xfId="3788" xr:uid="{00000000-0005-0000-0000-00006E0C0000}"/>
    <cellStyle name="20% - Accent2 7 2 2 3 2" xfId="7380" xr:uid="{00000000-0005-0000-0000-00006F0C0000}"/>
    <cellStyle name="20% - Accent2 7 2 2 3 2 2" xfId="15350" xr:uid="{00000000-0005-0000-0000-0000700C0000}"/>
    <cellStyle name="20% - Accent2 7 2 2 3 2 2 2" xfId="39192" xr:uid="{13363617-33B4-4995-979F-1BB8068F237B}"/>
    <cellStyle name="20% - Accent2 7 2 2 3 2 3" xfId="23296" xr:uid="{00000000-0005-0000-0000-0000710C0000}"/>
    <cellStyle name="20% - Accent2 7 2 2 3 2 3 2" xfId="47128" xr:uid="{DB4354A6-C0D7-4A12-BCDD-C5FB1782C945}"/>
    <cellStyle name="20% - Accent2 7 2 2 3 2 4" xfId="31251" xr:uid="{BD2411E9-FD72-458C-835E-D3F2CB732795}"/>
    <cellStyle name="20% - Accent2 7 2 2 3 3" xfId="11812" xr:uid="{00000000-0005-0000-0000-0000720C0000}"/>
    <cellStyle name="20% - Accent2 7 2 2 3 3 2" xfId="35661" xr:uid="{E01EEEEA-A59D-4918-B503-22B05A86CB04}"/>
    <cellStyle name="20% - Accent2 7 2 2 3 4" xfId="19767" xr:uid="{00000000-0005-0000-0000-0000730C0000}"/>
    <cellStyle name="20% - Accent2 7 2 2 3 4 2" xfId="43599" xr:uid="{1D1123FA-F37A-4E4B-B2EC-FDBC1CD9A48D}"/>
    <cellStyle name="20% - Accent2 7 2 2 3 5" xfId="27720" xr:uid="{D8FC8BB4-F96B-4140-AB38-ADB012F28A68}"/>
    <cellStyle name="20% - Accent2 7 2 2 4" xfId="5608" xr:uid="{00000000-0005-0000-0000-0000740C0000}"/>
    <cellStyle name="20% - Accent2 7 2 2 4 2" xfId="13591" xr:uid="{00000000-0005-0000-0000-0000750C0000}"/>
    <cellStyle name="20% - Accent2 7 2 2 4 2 2" xfId="37434" xr:uid="{B9541C72-FD4E-47C5-BDA7-584096C6B8E7}"/>
    <cellStyle name="20% - Accent2 7 2 2 4 3" xfId="21539" xr:uid="{00000000-0005-0000-0000-0000760C0000}"/>
    <cellStyle name="20% - Accent2 7 2 2 4 3 2" xfId="45371" xr:uid="{3032611F-D7A7-4DEB-A129-E31303846BD5}"/>
    <cellStyle name="20% - Accent2 7 2 2 4 4" xfId="29493" xr:uid="{99723820-F0A8-4D19-AC06-FA0EC700D557}"/>
    <cellStyle name="20% - Accent2 7 2 2 5" xfId="9160" xr:uid="{00000000-0005-0000-0000-0000770C0000}"/>
    <cellStyle name="20% - Accent2 7 2 2 5 2" xfId="17118" xr:uid="{00000000-0005-0000-0000-0000780C0000}"/>
    <cellStyle name="20% - Accent2 7 2 2 5 2 2" xfId="40958" xr:uid="{D3D8B4D2-1BC2-4A08-B0C8-F7CB902E3A21}"/>
    <cellStyle name="20% - Accent2 7 2 2 5 3" xfId="25062" xr:uid="{00000000-0005-0000-0000-0000790C0000}"/>
    <cellStyle name="20% - Accent2 7 2 2 5 3 2" xfId="48894" xr:uid="{698ED7EB-8B56-470E-B784-EA4B85CA2C3D}"/>
    <cellStyle name="20% - Accent2 7 2 2 5 4" xfId="33017" xr:uid="{1C043BA2-D03E-40B2-A7FC-E78046E6F484}"/>
    <cellStyle name="20% - Accent2 7 2 2 6" xfId="10056" xr:uid="{00000000-0005-0000-0000-00007A0C0000}"/>
    <cellStyle name="20% - Accent2 7 2 2 6 2" xfId="33905" xr:uid="{F4A073D2-7C03-4EE7-ACAA-BDF5E37DF910}"/>
    <cellStyle name="20% - Accent2 7 2 2 7" xfId="18011" xr:uid="{00000000-0005-0000-0000-00007B0C0000}"/>
    <cellStyle name="20% - Accent2 7 2 2 7 2" xfId="41843" xr:uid="{0E64D98A-B7C2-48B9-BE5B-97B47DDCB481}"/>
    <cellStyle name="20% - Accent2 7 2 2 8" xfId="25963" xr:uid="{DCA9A178-4C7A-460D-ACD9-E0FB46E0B524}"/>
    <cellStyle name="20% - Accent2 7 2 2_Exh G" xfId="2154" xr:uid="{00000000-0005-0000-0000-00007C0C0000}"/>
    <cellStyle name="20% - Accent2 7 2 3" xfId="1139" xr:uid="{00000000-0005-0000-0000-00007D0C0000}"/>
    <cellStyle name="20% - Accent2 7 2 3 2" xfId="4666" xr:uid="{00000000-0005-0000-0000-00007E0C0000}"/>
    <cellStyle name="20% - Accent2 7 2 3 2 2" xfId="8257" xr:uid="{00000000-0005-0000-0000-00007F0C0000}"/>
    <cellStyle name="20% - Accent2 7 2 3 2 2 2" xfId="16227" xr:uid="{00000000-0005-0000-0000-0000800C0000}"/>
    <cellStyle name="20% - Accent2 7 2 3 2 2 2 2" xfId="40069" xr:uid="{C10D6A7D-BB80-45BA-AE0D-3006B8C68C23}"/>
    <cellStyle name="20% - Accent2 7 2 3 2 2 3" xfId="24173" xr:uid="{00000000-0005-0000-0000-0000810C0000}"/>
    <cellStyle name="20% - Accent2 7 2 3 2 2 3 2" xfId="48005" xr:uid="{76676CD4-2DC9-44C5-AE86-A5B9ADA51275}"/>
    <cellStyle name="20% - Accent2 7 2 3 2 2 4" xfId="32128" xr:uid="{23B9B65B-918C-4853-BBF7-218105A9DD57}"/>
    <cellStyle name="20% - Accent2 7 2 3 2 3" xfId="12689" xr:uid="{00000000-0005-0000-0000-0000820C0000}"/>
    <cellStyle name="20% - Accent2 7 2 3 2 3 2" xfId="36538" xr:uid="{FCAA6E46-E8C7-493E-A763-AC93B4F4FCA7}"/>
    <cellStyle name="20% - Accent2 7 2 3 2 4" xfId="20644" xr:uid="{00000000-0005-0000-0000-0000830C0000}"/>
    <cellStyle name="20% - Accent2 7 2 3 2 4 2" xfId="44476" xr:uid="{CCA63600-1C16-45EF-BFE2-BEBB966028F8}"/>
    <cellStyle name="20% - Accent2 7 2 3 2 5" xfId="28597" xr:uid="{FE36CE99-F423-4B2F-891F-23B4CDF2CDDC}"/>
    <cellStyle name="20% - Accent2 7 2 3 3" xfId="6498" xr:uid="{00000000-0005-0000-0000-0000840C0000}"/>
    <cellStyle name="20% - Accent2 7 2 3 3 2" xfId="14469" xr:uid="{00000000-0005-0000-0000-0000850C0000}"/>
    <cellStyle name="20% - Accent2 7 2 3 3 2 2" xfId="38311" xr:uid="{5197143D-6168-4263-8A6C-E86254020509}"/>
    <cellStyle name="20% - Accent2 7 2 3 3 3" xfId="22416" xr:uid="{00000000-0005-0000-0000-0000860C0000}"/>
    <cellStyle name="20% - Accent2 7 2 3 3 3 2" xfId="46248" xr:uid="{BD1A35ED-32A1-4545-9CE1-39DBC283CF6B}"/>
    <cellStyle name="20% - Accent2 7 2 3 3 4" xfId="30370" xr:uid="{2456DEE1-270A-4065-8EB1-337C1114F786}"/>
    <cellStyle name="20% - Accent2 7 2 3 4" xfId="10933" xr:uid="{00000000-0005-0000-0000-0000870C0000}"/>
    <cellStyle name="20% - Accent2 7 2 3 4 2" xfId="34782" xr:uid="{4EFFC89D-6CA6-4D3D-BBA6-E6C3A4DD238B}"/>
    <cellStyle name="20% - Accent2 7 2 3 5" xfId="18888" xr:uid="{00000000-0005-0000-0000-0000880C0000}"/>
    <cellStyle name="20% - Accent2 7 2 3 5 2" xfId="42720" xr:uid="{1C7291DD-4287-40D6-8116-0B76075165BB}"/>
    <cellStyle name="20% - Accent2 7 2 3 6" xfId="26840" xr:uid="{52745342-EB27-47F5-BA9C-907147D39D9F}"/>
    <cellStyle name="20% - Accent2 7 2 3_Exh G" xfId="2156" xr:uid="{00000000-0005-0000-0000-0000890C0000}"/>
    <cellStyle name="20% - Accent2 7 2 4" xfId="3787" xr:uid="{00000000-0005-0000-0000-00008A0C0000}"/>
    <cellStyle name="20% - Accent2 7 2 4 2" xfId="7379" xr:uid="{00000000-0005-0000-0000-00008B0C0000}"/>
    <cellStyle name="20% - Accent2 7 2 4 2 2" xfId="15349" xr:uid="{00000000-0005-0000-0000-00008C0C0000}"/>
    <cellStyle name="20% - Accent2 7 2 4 2 2 2" xfId="39191" xr:uid="{0BB36994-826A-4BAA-AC9D-F7C0FB1DF6F7}"/>
    <cellStyle name="20% - Accent2 7 2 4 2 3" xfId="23295" xr:uid="{00000000-0005-0000-0000-00008D0C0000}"/>
    <cellStyle name="20% - Accent2 7 2 4 2 3 2" xfId="47127" xr:uid="{6AE780BE-A37C-4E53-8B07-CA6DD1215E2B}"/>
    <cellStyle name="20% - Accent2 7 2 4 2 4" xfId="31250" xr:uid="{1979A817-355F-4412-9AF8-C98B96341DA0}"/>
    <cellStyle name="20% - Accent2 7 2 4 3" xfId="11811" xr:uid="{00000000-0005-0000-0000-00008E0C0000}"/>
    <cellStyle name="20% - Accent2 7 2 4 3 2" xfId="35660" xr:uid="{5023C302-2E0E-48D6-9E53-60AD7860AAE7}"/>
    <cellStyle name="20% - Accent2 7 2 4 4" xfId="19766" xr:uid="{00000000-0005-0000-0000-00008F0C0000}"/>
    <cellStyle name="20% - Accent2 7 2 4 4 2" xfId="43598" xr:uid="{69F817FB-05FE-4B59-90A0-46785C63C80A}"/>
    <cellStyle name="20% - Accent2 7 2 4 5" xfId="27719" xr:uid="{625B6349-576E-4FFE-936E-DCCCFFEF47B0}"/>
    <cellStyle name="20% - Accent2 7 2 5" xfId="5607" xr:uid="{00000000-0005-0000-0000-0000900C0000}"/>
    <cellStyle name="20% - Accent2 7 2 5 2" xfId="13590" xr:uid="{00000000-0005-0000-0000-0000910C0000}"/>
    <cellStyle name="20% - Accent2 7 2 5 2 2" xfId="37433" xr:uid="{2B57EE3C-D43B-485B-BE46-6D31D9EAC5EE}"/>
    <cellStyle name="20% - Accent2 7 2 5 3" xfId="21538" xr:uid="{00000000-0005-0000-0000-0000920C0000}"/>
    <cellStyle name="20% - Accent2 7 2 5 3 2" xfId="45370" xr:uid="{C6A8F852-7323-4E1D-9E49-2609BFF2C42F}"/>
    <cellStyle name="20% - Accent2 7 2 5 4" xfId="29492" xr:uid="{6BAC45F8-3531-4F03-8714-94FEB8A0E576}"/>
    <cellStyle name="20% - Accent2 7 2 6" xfId="9159" xr:uid="{00000000-0005-0000-0000-0000930C0000}"/>
    <cellStyle name="20% - Accent2 7 2 6 2" xfId="17117" xr:uid="{00000000-0005-0000-0000-0000940C0000}"/>
    <cellStyle name="20% - Accent2 7 2 6 2 2" xfId="40957" xr:uid="{FEA4960A-3B69-4277-92A3-20FFB432E03D}"/>
    <cellStyle name="20% - Accent2 7 2 6 3" xfId="25061" xr:uid="{00000000-0005-0000-0000-0000950C0000}"/>
    <cellStyle name="20% - Accent2 7 2 6 3 2" xfId="48893" xr:uid="{300E2879-7BEF-4E39-AEB3-B4C64F700E09}"/>
    <cellStyle name="20% - Accent2 7 2 6 4" xfId="33016" xr:uid="{534E5BB1-3D6A-4B63-8DCC-9DAAD3ED331D}"/>
    <cellStyle name="20% - Accent2 7 2 7" xfId="10055" xr:uid="{00000000-0005-0000-0000-0000960C0000}"/>
    <cellStyle name="20% - Accent2 7 2 7 2" xfId="33904" xr:uid="{A8A83ACC-FBB2-4679-8B88-C753F28B2956}"/>
    <cellStyle name="20% - Accent2 7 2 8" xfId="18010" xr:uid="{00000000-0005-0000-0000-0000970C0000}"/>
    <cellStyle name="20% - Accent2 7 2 8 2" xfId="41842" xr:uid="{02874BC8-8CD4-41F5-B21C-7D2BE881EBD3}"/>
    <cellStyle name="20% - Accent2 7 2 9" xfId="25962" xr:uid="{CA1276F8-DC63-48F8-BFD1-844198609303}"/>
    <cellStyle name="20% - Accent2 7 2_Exh G" xfId="2153" xr:uid="{00000000-0005-0000-0000-0000980C0000}"/>
    <cellStyle name="20% - Accent2 7 3" xfId="115" xr:uid="{00000000-0005-0000-0000-0000990C0000}"/>
    <cellStyle name="20% - Accent2 7 3 2" xfId="1141" xr:uid="{00000000-0005-0000-0000-00009A0C0000}"/>
    <cellStyle name="20% - Accent2 7 3 2 2" xfId="4668" xr:uid="{00000000-0005-0000-0000-00009B0C0000}"/>
    <cellStyle name="20% - Accent2 7 3 2 2 2" xfId="8259" xr:uid="{00000000-0005-0000-0000-00009C0C0000}"/>
    <cellStyle name="20% - Accent2 7 3 2 2 2 2" xfId="16229" xr:uid="{00000000-0005-0000-0000-00009D0C0000}"/>
    <cellStyle name="20% - Accent2 7 3 2 2 2 2 2" xfId="40071" xr:uid="{35E783F4-A24F-4015-8EDC-691E301D9463}"/>
    <cellStyle name="20% - Accent2 7 3 2 2 2 3" xfId="24175" xr:uid="{00000000-0005-0000-0000-00009E0C0000}"/>
    <cellStyle name="20% - Accent2 7 3 2 2 2 3 2" xfId="48007" xr:uid="{D92C2F38-1FF1-4B9B-BC92-9DD6A1B96907}"/>
    <cellStyle name="20% - Accent2 7 3 2 2 2 4" xfId="32130" xr:uid="{DE611773-5C70-439B-BC9A-C4059BB2BFC6}"/>
    <cellStyle name="20% - Accent2 7 3 2 2 3" xfId="12691" xr:uid="{00000000-0005-0000-0000-00009F0C0000}"/>
    <cellStyle name="20% - Accent2 7 3 2 2 3 2" xfId="36540" xr:uid="{4C403768-778C-40A0-AEC1-4900C156CDC2}"/>
    <cellStyle name="20% - Accent2 7 3 2 2 4" xfId="20646" xr:uid="{00000000-0005-0000-0000-0000A00C0000}"/>
    <cellStyle name="20% - Accent2 7 3 2 2 4 2" xfId="44478" xr:uid="{BF580222-4F53-4C91-B649-8F1EE92F39BA}"/>
    <cellStyle name="20% - Accent2 7 3 2 2 5" xfId="28599" xr:uid="{1A3F76D0-FD29-423A-81FB-0A60C7849CE7}"/>
    <cellStyle name="20% - Accent2 7 3 2 3" xfId="6500" xr:uid="{00000000-0005-0000-0000-0000A10C0000}"/>
    <cellStyle name="20% - Accent2 7 3 2 3 2" xfId="14471" xr:uid="{00000000-0005-0000-0000-0000A20C0000}"/>
    <cellStyle name="20% - Accent2 7 3 2 3 2 2" xfId="38313" xr:uid="{C7BBAB7E-E1E4-4305-BBD9-C334E3AFC9A1}"/>
    <cellStyle name="20% - Accent2 7 3 2 3 3" xfId="22418" xr:uid="{00000000-0005-0000-0000-0000A30C0000}"/>
    <cellStyle name="20% - Accent2 7 3 2 3 3 2" xfId="46250" xr:uid="{DF1B7C6F-3A81-4C6A-985A-387FF0177BD2}"/>
    <cellStyle name="20% - Accent2 7 3 2 3 4" xfId="30372" xr:uid="{ADB0FE6D-5FDE-4FFA-86B5-F56C0D09356E}"/>
    <cellStyle name="20% - Accent2 7 3 2 4" xfId="10935" xr:uid="{00000000-0005-0000-0000-0000A40C0000}"/>
    <cellStyle name="20% - Accent2 7 3 2 4 2" xfId="34784" xr:uid="{41F95A1B-97F6-4F85-A108-AB9F3FDC988D}"/>
    <cellStyle name="20% - Accent2 7 3 2 5" xfId="18890" xr:uid="{00000000-0005-0000-0000-0000A50C0000}"/>
    <cellStyle name="20% - Accent2 7 3 2 5 2" xfId="42722" xr:uid="{297A1DC9-72BF-4D6F-98F3-B65697FC41C6}"/>
    <cellStyle name="20% - Accent2 7 3 2 6" xfId="26842" xr:uid="{74DF31CB-4836-4D98-80E5-B918F52253BD}"/>
    <cellStyle name="20% - Accent2 7 3 2_Exh G" xfId="2158" xr:uid="{00000000-0005-0000-0000-0000A60C0000}"/>
    <cellStyle name="20% - Accent2 7 3 3" xfId="3789" xr:uid="{00000000-0005-0000-0000-0000A70C0000}"/>
    <cellStyle name="20% - Accent2 7 3 3 2" xfId="7381" xr:uid="{00000000-0005-0000-0000-0000A80C0000}"/>
    <cellStyle name="20% - Accent2 7 3 3 2 2" xfId="15351" xr:uid="{00000000-0005-0000-0000-0000A90C0000}"/>
    <cellStyle name="20% - Accent2 7 3 3 2 2 2" xfId="39193" xr:uid="{B87A63C9-2EAC-4737-BDCD-329AF1FF3649}"/>
    <cellStyle name="20% - Accent2 7 3 3 2 3" xfId="23297" xr:uid="{00000000-0005-0000-0000-0000AA0C0000}"/>
    <cellStyle name="20% - Accent2 7 3 3 2 3 2" xfId="47129" xr:uid="{BC1E4A43-C056-4B9F-A6AF-ACE71D407F31}"/>
    <cellStyle name="20% - Accent2 7 3 3 2 4" xfId="31252" xr:uid="{7E2D8A73-6DC7-45F0-8521-CA990E664150}"/>
    <cellStyle name="20% - Accent2 7 3 3 3" xfId="11813" xr:uid="{00000000-0005-0000-0000-0000AB0C0000}"/>
    <cellStyle name="20% - Accent2 7 3 3 3 2" xfId="35662" xr:uid="{4932C265-BA60-4269-B6CF-45707B8F82FE}"/>
    <cellStyle name="20% - Accent2 7 3 3 4" xfId="19768" xr:uid="{00000000-0005-0000-0000-0000AC0C0000}"/>
    <cellStyle name="20% - Accent2 7 3 3 4 2" xfId="43600" xr:uid="{7BB9172F-F46F-4FC2-A57D-41D2D89B2966}"/>
    <cellStyle name="20% - Accent2 7 3 3 5" xfId="27721" xr:uid="{E89B64F4-AE27-41AA-9A29-FA8828BC5B2B}"/>
    <cellStyle name="20% - Accent2 7 3 4" xfId="5609" xr:uid="{00000000-0005-0000-0000-0000AD0C0000}"/>
    <cellStyle name="20% - Accent2 7 3 4 2" xfId="13592" xr:uid="{00000000-0005-0000-0000-0000AE0C0000}"/>
    <cellStyle name="20% - Accent2 7 3 4 2 2" xfId="37435" xr:uid="{C87517B4-20E8-4336-A373-21A1E7E440BC}"/>
    <cellStyle name="20% - Accent2 7 3 4 3" xfId="21540" xr:uid="{00000000-0005-0000-0000-0000AF0C0000}"/>
    <cellStyle name="20% - Accent2 7 3 4 3 2" xfId="45372" xr:uid="{4064B4CE-42BC-4489-89DF-D77ADE6AD885}"/>
    <cellStyle name="20% - Accent2 7 3 4 4" xfId="29494" xr:uid="{716764B7-8516-4245-9C7C-47985A0652C5}"/>
    <cellStyle name="20% - Accent2 7 3 5" xfId="9161" xr:uid="{00000000-0005-0000-0000-0000B00C0000}"/>
    <cellStyle name="20% - Accent2 7 3 5 2" xfId="17119" xr:uid="{00000000-0005-0000-0000-0000B10C0000}"/>
    <cellStyle name="20% - Accent2 7 3 5 2 2" xfId="40959" xr:uid="{7A10EDCD-3CF7-4549-84B8-85985E5DD66C}"/>
    <cellStyle name="20% - Accent2 7 3 5 3" xfId="25063" xr:uid="{00000000-0005-0000-0000-0000B20C0000}"/>
    <cellStyle name="20% - Accent2 7 3 5 3 2" xfId="48895" xr:uid="{4C2E90BA-4B61-436E-B49C-715D79422438}"/>
    <cellStyle name="20% - Accent2 7 3 5 4" xfId="33018" xr:uid="{D98E66F4-1846-42CF-BC2A-7A1AEF5403F5}"/>
    <cellStyle name="20% - Accent2 7 3 6" xfId="10057" xr:uid="{00000000-0005-0000-0000-0000B30C0000}"/>
    <cellStyle name="20% - Accent2 7 3 6 2" xfId="33906" xr:uid="{8B000DDA-2E46-4CDB-AFBE-4B9BDE0FA924}"/>
    <cellStyle name="20% - Accent2 7 3 7" xfId="18012" xr:uid="{00000000-0005-0000-0000-0000B40C0000}"/>
    <cellStyle name="20% - Accent2 7 3 7 2" xfId="41844" xr:uid="{63F64516-949F-41DF-A210-8EA252F85F50}"/>
    <cellStyle name="20% - Accent2 7 3 8" xfId="25964" xr:uid="{C2A33086-5331-4590-A7C6-C77CA7B67F17}"/>
    <cellStyle name="20% - Accent2 7 3_Exh G" xfId="2157" xr:uid="{00000000-0005-0000-0000-0000B50C0000}"/>
    <cellStyle name="20% - Accent2 7 4" xfId="880" xr:uid="{00000000-0005-0000-0000-0000B60C0000}"/>
    <cellStyle name="20% - Accent2 7 4 2" xfId="1809" xr:uid="{00000000-0005-0000-0000-0000B70C0000}"/>
    <cellStyle name="20% - Accent2 7 4 2 2" xfId="5326" xr:uid="{00000000-0005-0000-0000-0000B80C0000}"/>
    <cellStyle name="20% - Accent2 7 4 2 2 2" xfId="8917" xr:uid="{00000000-0005-0000-0000-0000B90C0000}"/>
    <cellStyle name="20% - Accent2 7 4 2 2 2 2" xfId="16887" xr:uid="{00000000-0005-0000-0000-0000BA0C0000}"/>
    <cellStyle name="20% - Accent2 7 4 2 2 2 2 2" xfId="40729" xr:uid="{135627AE-38FA-40C6-AF8E-199B5097611F}"/>
    <cellStyle name="20% - Accent2 7 4 2 2 2 3" xfId="24833" xr:uid="{00000000-0005-0000-0000-0000BB0C0000}"/>
    <cellStyle name="20% - Accent2 7 4 2 2 2 3 2" xfId="48665" xr:uid="{161D725A-6FAF-47DD-9C96-32D4ED8DCAC5}"/>
    <cellStyle name="20% - Accent2 7 4 2 2 2 4" xfId="32788" xr:uid="{EDFD59AD-9B79-4087-9FD7-A3836F65899B}"/>
    <cellStyle name="20% - Accent2 7 4 2 2 3" xfId="13349" xr:uid="{00000000-0005-0000-0000-0000BC0C0000}"/>
    <cellStyle name="20% - Accent2 7 4 2 2 3 2" xfId="37198" xr:uid="{611B9656-5403-45FD-9682-2057805256D9}"/>
    <cellStyle name="20% - Accent2 7 4 2 2 4" xfId="21304" xr:uid="{00000000-0005-0000-0000-0000BD0C0000}"/>
    <cellStyle name="20% - Accent2 7 4 2 2 4 2" xfId="45136" xr:uid="{CFDE6EC9-24F7-4541-B040-476F99CD8926}"/>
    <cellStyle name="20% - Accent2 7 4 2 2 5" xfId="29257" xr:uid="{FBF095A1-EE6D-42D1-BBF3-1220F55D8494}"/>
    <cellStyle name="20% - Accent2 7 4 2 3" xfId="7158" xr:uid="{00000000-0005-0000-0000-0000BE0C0000}"/>
    <cellStyle name="20% - Accent2 7 4 2 3 2" xfId="15129" xr:uid="{00000000-0005-0000-0000-0000BF0C0000}"/>
    <cellStyle name="20% - Accent2 7 4 2 3 2 2" xfId="38971" xr:uid="{A69A97C0-7279-4987-9CAD-A7CEB9506137}"/>
    <cellStyle name="20% - Accent2 7 4 2 3 3" xfId="23076" xr:uid="{00000000-0005-0000-0000-0000C00C0000}"/>
    <cellStyle name="20% - Accent2 7 4 2 3 3 2" xfId="46908" xr:uid="{E84AD352-CAA4-4574-B9A1-8CC34BA54B33}"/>
    <cellStyle name="20% - Accent2 7 4 2 3 4" xfId="31030" xr:uid="{1ED1A566-3B6D-4BCB-B2F6-49DD607207B7}"/>
    <cellStyle name="20% - Accent2 7 4 2 4" xfId="11593" xr:uid="{00000000-0005-0000-0000-0000C10C0000}"/>
    <cellStyle name="20% - Accent2 7 4 2 4 2" xfId="35442" xr:uid="{CA10137A-1851-4F75-9A19-298AF17486DD}"/>
    <cellStyle name="20% - Accent2 7 4 2 5" xfId="19548" xr:uid="{00000000-0005-0000-0000-0000C20C0000}"/>
    <cellStyle name="20% - Accent2 7 4 2 5 2" xfId="43380" xr:uid="{F275B0EF-FE6D-4EBE-A843-440ED9E98805}"/>
    <cellStyle name="20% - Accent2 7 4 2 6" xfId="27500" xr:uid="{9FAAFBFE-4211-4484-8F4B-80188872C5EC}"/>
    <cellStyle name="20% - Accent2 7 4 2_Exh G" xfId="2160" xr:uid="{00000000-0005-0000-0000-0000C30C0000}"/>
    <cellStyle name="20% - Accent2 7 4 3" xfId="4447" xr:uid="{00000000-0005-0000-0000-0000C40C0000}"/>
    <cellStyle name="20% - Accent2 7 4 3 2" xfId="8039" xr:uid="{00000000-0005-0000-0000-0000C50C0000}"/>
    <cellStyle name="20% - Accent2 7 4 3 2 2" xfId="16009" xr:uid="{00000000-0005-0000-0000-0000C60C0000}"/>
    <cellStyle name="20% - Accent2 7 4 3 2 2 2" xfId="39851" xr:uid="{21C284B1-805A-4044-A4CE-9174C96C70D4}"/>
    <cellStyle name="20% - Accent2 7 4 3 2 3" xfId="23955" xr:uid="{00000000-0005-0000-0000-0000C70C0000}"/>
    <cellStyle name="20% - Accent2 7 4 3 2 3 2" xfId="47787" xr:uid="{9D548983-6EE8-4640-A126-A2A1CA01D989}"/>
    <cellStyle name="20% - Accent2 7 4 3 2 4" xfId="31910" xr:uid="{FCC17E8D-B417-4D39-A9EF-7C378841EFEE}"/>
    <cellStyle name="20% - Accent2 7 4 3 3" xfId="12471" xr:uid="{00000000-0005-0000-0000-0000C80C0000}"/>
    <cellStyle name="20% - Accent2 7 4 3 3 2" xfId="36320" xr:uid="{7BA890D7-B441-47A6-8728-4B797B43746D}"/>
    <cellStyle name="20% - Accent2 7 4 3 4" xfId="20426" xr:uid="{00000000-0005-0000-0000-0000C90C0000}"/>
    <cellStyle name="20% - Accent2 7 4 3 4 2" xfId="44258" xr:uid="{1ECB392E-9BFE-4935-AC7E-8C27CB3E8723}"/>
    <cellStyle name="20% - Accent2 7 4 3 5" xfId="28379" xr:uid="{72A62A07-6458-4827-A51E-87817F3346C5}"/>
    <cellStyle name="20% - Accent2 7 4 4" xfId="6277" xr:uid="{00000000-0005-0000-0000-0000CA0C0000}"/>
    <cellStyle name="20% - Accent2 7 4 4 2" xfId="14251" xr:uid="{00000000-0005-0000-0000-0000CB0C0000}"/>
    <cellStyle name="20% - Accent2 7 4 4 2 2" xfId="38093" xr:uid="{19295D53-D664-4BAC-853B-026EF41B2C1B}"/>
    <cellStyle name="20% - Accent2 7 4 4 3" xfId="22198" xr:uid="{00000000-0005-0000-0000-0000CC0C0000}"/>
    <cellStyle name="20% - Accent2 7 4 4 3 2" xfId="46030" xr:uid="{356F5C59-7190-43F4-BAEE-40D486AB342B}"/>
    <cellStyle name="20% - Accent2 7 4 4 4" xfId="30152" xr:uid="{B06DEEE2-0823-4B25-B1CE-09262B65A030}"/>
    <cellStyle name="20% - Accent2 7 4 5" xfId="9819" xr:uid="{00000000-0005-0000-0000-0000CD0C0000}"/>
    <cellStyle name="20% - Accent2 7 4 5 2" xfId="17777" xr:uid="{00000000-0005-0000-0000-0000CE0C0000}"/>
    <cellStyle name="20% - Accent2 7 4 5 2 2" xfId="41617" xr:uid="{14268896-AF1D-49B7-ADA1-EF8C14ACB6AB}"/>
    <cellStyle name="20% - Accent2 7 4 5 3" xfId="25721" xr:uid="{00000000-0005-0000-0000-0000CF0C0000}"/>
    <cellStyle name="20% - Accent2 7 4 5 3 2" xfId="49553" xr:uid="{A9EAC33D-BF27-4BD7-B328-AA40BD5195C8}"/>
    <cellStyle name="20% - Accent2 7 4 5 4" xfId="33676" xr:uid="{C2FB1686-3414-439A-8E52-FACF1839E441}"/>
    <cellStyle name="20% - Accent2 7 4 6" xfId="10715" xr:uid="{00000000-0005-0000-0000-0000D00C0000}"/>
    <cellStyle name="20% - Accent2 7 4 6 2" xfId="34564" xr:uid="{421C66B3-A1BD-4E6B-B287-6E41B09A5754}"/>
    <cellStyle name="20% - Accent2 7 4 7" xfId="18670" xr:uid="{00000000-0005-0000-0000-0000D10C0000}"/>
    <cellStyle name="20% - Accent2 7 4 7 2" xfId="42502" xr:uid="{AA99946C-D860-4A80-9652-670E0E2325A4}"/>
    <cellStyle name="20% - Accent2 7 4 8" xfId="26622" xr:uid="{F56EDF74-66F8-4245-B36A-D6ED9FB0527B}"/>
    <cellStyle name="20% - Accent2 7 4_Exh G" xfId="2159" xr:uid="{00000000-0005-0000-0000-0000D20C0000}"/>
    <cellStyle name="20% - Accent2 7 5" xfId="1138" xr:uid="{00000000-0005-0000-0000-0000D30C0000}"/>
    <cellStyle name="20% - Accent2 7 5 2" xfId="4665" xr:uid="{00000000-0005-0000-0000-0000D40C0000}"/>
    <cellStyle name="20% - Accent2 7 5 2 2" xfId="8256" xr:uid="{00000000-0005-0000-0000-0000D50C0000}"/>
    <cellStyle name="20% - Accent2 7 5 2 2 2" xfId="16226" xr:uid="{00000000-0005-0000-0000-0000D60C0000}"/>
    <cellStyle name="20% - Accent2 7 5 2 2 2 2" xfId="40068" xr:uid="{172207B8-D42A-4810-A15D-D1A5B1307D7B}"/>
    <cellStyle name="20% - Accent2 7 5 2 2 3" xfId="24172" xr:uid="{00000000-0005-0000-0000-0000D70C0000}"/>
    <cellStyle name="20% - Accent2 7 5 2 2 3 2" xfId="48004" xr:uid="{166E9E86-2AB2-44CD-9CE7-1BAABB8CB34C}"/>
    <cellStyle name="20% - Accent2 7 5 2 2 4" xfId="32127" xr:uid="{A67C38DD-6597-47FF-B3DE-613E6B758D1C}"/>
    <cellStyle name="20% - Accent2 7 5 2 3" xfId="12688" xr:uid="{00000000-0005-0000-0000-0000D80C0000}"/>
    <cellStyle name="20% - Accent2 7 5 2 3 2" xfId="36537" xr:uid="{26DFCE2F-8F8B-4395-BB0B-84C140038C58}"/>
    <cellStyle name="20% - Accent2 7 5 2 4" xfId="20643" xr:uid="{00000000-0005-0000-0000-0000D90C0000}"/>
    <cellStyle name="20% - Accent2 7 5 2 4 2" xfId="44475" xr:uid="{BDBDC2B3-8A1C-44DA-A38A-56EF6FBA0DDB}"/>
    <cellStyle name="20% - Accent2 7 5 2 5" xfId="28596" xr:uid="{AA82DDDC-0509-45E0-94C9-6E3DA3D35AAF}"/>
    <cellStyle name="20% - Accent2 7 5 3" xfId="6497" xr:uid="{00000000-0005-0000-0000-0000DA0C0000}"/>
    <cellStyle name="20% - Accent2 7 5 3 2" xfId="14468" xr:uid="{00000000-0005-0000-0000-0000DB0C0000}"/>
    <cellStyle name="20% - Accent2 7 5 3 2 2" xfId="38310" xr:uid="{5185B5E3-7064-45D3-982F-2F867DEB2E7D}"/>
    <cellStyle name="20% - Accent2 7 5 3 3" xfId="22415" xr:uid="{00000000-0005-0000-0000-0000DC0C0000}"/>
    <cellStyle name="20% - Accent2 7 5 3 3 2" xfId="46247" xr:uid="{99DF88BA-6AA4-4AF7-9051-C701E5B0A982}"/>
    <cellStyle name="20% - Accent2 7 5 3 4" xfId="30369" xr:uid="{3624AF52-9685-4CFC-B148-78A9BA51093E}"/>
    <cellStyle name="20% - Accent2 7 5 4" xfId="10932" xr:uid="{00000000-0005-0000-0000-0000DD0C0000}"/>
    <cellStyle name="20% - Accent2 7 5 4 2" xfId="34781" xr:uid="{55B028DF-B457-44FF-BCB4-96744B620926}"/>
    <cellStyle name="20% - Accent2 7 5 5" xfId="18887" xr:uid="{00000000-0005-0000-0000-0000DE0C0000}"/>
    <cellStyle name="20% - Accent2 7 5 5 2" xfId="42719" xr:uid="{80AD0585-317E-4228-9AAD-FED281A8B4B9}"/>
    <cellStyle name="20% - Accent2 7 5 6" xfId="26839" xr:uid="{CDD5E3A7-7E33-4DBB-8808-CC5D4E576E26}"/>
    <cellStyle name="20% - Accent2 7 5_Exh G" xfId="2161" xr:uid="{00000000-0005-0000-0000-0000DF0C0000}"/>
    <cellStyle name="20% - Accent2 7 6" xfId="3786" xr:uid="{00000000-0005-0000-0000-0000E00C0000}"/>
    <cellStyle name="20% - Accent2 7 6 2" xfId="7378" xr:uid="{00000000-0005-0000-0000-0000E10C0000}"/>
    <cellStyle name="20% - Accent2 7 6 2 2" xfId="15348" xr:uid="{00000000-0005-0000-0000-0000E20C0000}"/>
    <cellStyle name="20% - Accent2 7 6 2 2 2" xfId="39190" xr:uid="{F1EB0200-4D39-44DE-9877-C44E6AD48CD8}"/>
    <cellStyle name="20% - Accent2 7 6 2 3" xfId="23294" xr:uid="{00000000-0005-0000-0000-0000E30C0000}"/>
    <cellStyle name="20% - Accent2 7 6 2 3 2" xfId="47126" xr:uid="{1C51EB1E-15DA-4A74-9245-C324F9F27AAE}"/>
    <cellStyle name="20% - Accent2 7 6 2 4" xfId="31249" xr:uid="{9E52163F-0290-4DA6-8542-3C7D63F522AF}"/>
    <cellStyle name="20% - Accent2 7 6 3" xfId="11810" xr:uid="{00000000-0005-0000-0000-0000E40C0000}"/>
    <cellStyle name="20% - Accent2 7 6 3 2" xfId="35659" xr:uid="{68394077-111D-4E6B-9561-08C9ED288C7C}"/>
    <cellStyle name="20% - Accent2 7 6 4" xfId="19765" xr:uid="{00000000-0005-0000-0000-0000E50C0000}"/>
    <cellStyle name="20% - Accent2 7 6 4 2" xfId="43597" xr:uid="{FAE19F53-80B6-436B-A58F-B60EE6FDA184}"/>
    <cellStyle name="20% - Accent2 7 6 5" xfId="27718" xr:uid="{A5527079-224D-4C5E-994E-B28EC70F612C}"/>
    <cellStyle name="20% - Accent2 7 7" xfId="5606" xr:uid="{00000000-0005-0000-0000-0000E60C0000}"/>
    <cellStyle name="20% - Accent2 7 7 2" xfId="13589" xr:uid="{00000000-0005-0000-0000-0000E70C0000}"/>
    <cellStyle name="20% - Accent2 7 7 2 2" xfId="37432" xr:uid="{AA317410-9C6B-46FD-A134-86B18F672E6B}"/>
    <cellStyle name="20% - Accent2 7 7 3" xfId="21537" xr:uid="{00000000-0005-0000-0000-0000E80C0000}"/>
    <cellStyle name="20% - Accent2 7 7 3 2" xfId="45369" xr:uid="{54C9D09A-351B-4FA4-A33E-81F452503A6F}"/>
    <cellStyle name="20% - Accent2 7 7 4" xfId="29491" xr:uid="{CCF4426E-BB85-4761-86EE-1BA93C46C0FE}"/>
    <cellStyle name="20% - Accent2 7 8" xfId="9158" xr:uid="{00000000-0005-0000-0000-0000E90C0000}"/>
    <cellStyle name="20% - Accent2 7 8 2" xfId="17116" xr:uid="{00000000-0005-0000-0000-0000EA0C0000}"/>
    <cellStyle name="20% - Accent2 7 8 2 2" xfId="40956" xr:uid="{5FE87E09-72B9-4543-AB4D-7D134742CEDE}"/>
    <cellStyle name="20% - Accent2 7 8 3" xfId="25060" xr:uid="{00000000-0005-0000-0000-0000EB0C0000}"/>
    <cellStyle name="20% - Accent2 7 8 3 2" xfId="48892" xr:uid="{A2BD0013-0932-4CD8-A86C-C106599CF580}"/>
    <cellStyle name="20% - Accent2 7 8 4" xfId="33015" xr:uid="{078EE1EB-1CA2-4FB9-9E1A-DA369E457023}"/>
    <cellStyle name="20% - Accent2 7 9" xfId="10054" xr:uid="{00000000-0005-0000-0000-0000EC0C0000}"/>
    <cellStyle name="20% - Accent2 7 9 2" xfId="33903" xr:uid="{F88E5B83-1FDE-4D3A-835B-B174FCA7BDED}"/>
    <cellStyle name="20% - Accent2 7_Exh G" xfId="2152" xr:uid="{00000000-0005-0000-0000-0000ED0C0000}"/>
    <cellStyle name="20% - Accent2 8" xfId="116" xr:uid="{00000000-0005-0000-0000-0000EE0C0000}"/>
    <cellStyle name="20% - Accent2 8 10" xfId="18013" xr:uid="{00000000-0005-0000-0000-0000EF0C0000}"/>
    <cellStyle name="20% - Accent2 8 10 2" xfId="41845" xr:uid="{76642124-33D8-4E0D-A231-0AD9C23D304D}"/>
    <cellStyle name="20% - Accent2 8 11" xfId="25965" xr:uid="{025AB490-A20F-4E70-B8B8-DEF9F7BB675E}"/>
    <cellStyle name="20% - Accent2 8 2" xfId="117" xr:uid="{00000000-0005-0000-0000-0000F00C0000}"/>
    <cellStyle name="20% - Accent2 8 2 2" xfId="118" xr:uid="{00000000-0005-0000-0000-0000F10C0000}"/>
    <cellStyle name="20% - Accent2 8 2 2 2" xfId="1144" xr:uid="{00000000-0005-0000-0000-0000F20C0000}"/>
    <cellStyle name="20% - Accent2 8 2 2 2 2" xfId="4671" xr:uid="{00000000-0005-0000-0000-0000F30C0000}"/>
    <cellStyle name="20% - Accent2 8 2 2 2 2 2" xfId="8262" xr:uid="{00000000-0005-0000-0000-0000F40C0000}"/>
    <cellStyle name="20% - Accent2 8 2 2 2 2 2 2" xfId="16232" xr:uid="{00000000-0005-0000-0000-0000F50C0000}"/>
    <cellStyle name="20% - Accent2 8 2 2 2 2 2 2 2" xfId="40074" xr:uid="{98E4C55D-FB7E-49C3-9609-73605BA7AB85}"/>
    <cellStyle name="20% - Accent2 8 2 2 2 2 2 3" xfId="24178" xr:uid="{00000000-0005-0000-0000-0000F60C0000}"/>
    <cellStyle name="20% - Accent2 8 2 2 2 2 2 3 2" xfId="48010" xr:uid="{E607675E-3AD5-4A5F-9C17-12C9492397F0}"/>
    <cellStyle name="20% - Accent2 8 2 2 2 2 2 4" xfId="32133" xr:uid="{C5C3F718-5CD3-4F4A-B54A-9069517DEAB3}"/>
    <cellStyle name="20% - Accent2 8 2 2 2 2 3" xfId="12694" xr:uid="{00000000-0005-0000-0000-0000F70C0000}"/>
    <cellStyle name="20% - Accent2 8 2 2 2 2 3 2" xfId="36543" xr:uid="{DF70BAA7-E455-4376-8CC4-8BDE1586927A}"/>
    <cellStyle name="20% - Accent2 8 2 2 2 2 4" xfId="20649" xr:uid="{00000000-0005-0000-0000-0000F80C0000}"/>
    <cellStyle name="20% - Accent2 8 2 2 2 2 4 2" xfId="44481" xr:uid="{8F7392FE-DD0E-4F4D-ACF4-5CC7CC502815}"/>
    <cellStyle name="20% - Accent2 8 2 2 2 2 5" xfId="28602" xr:uid="{F3CCA7E6-7249-44CE-8C8A-6F5394C9F2FC}"/>
    <cellStyle name="20% - Accent2 8 2 2 2 3" xfId="6503" xr:uid="{00000000-0005-0000-0000-0000F90C0000}"/>
    <cellStyle name="20% - Accent2 8 2 2 2 3 2" xfId="14474" xr:uid="{00000000-0005-0000-0000-0000FA0C0000}"/>
    <cellStyle name="20% - Accent2 8 2 2 2 3 2 2" xfId="38316" xr:uid="{1298E9C1-1833-4019-90F8-73F4BD592E4F}"/>
    <cellStyle name="20% - Accent2 8 2 2 2 3 3" xfId="22421" xr:uid="{00000000-0005-0000-0000-0000FB0C0000}"/>
    <cellStyle name="20% - Accent2 8 2 2 2 3 3 2" xfId="46253" xr:uid="{6A2E45CC-6079-4041-A923-E3EBC0FB333D}"/>
    <cellStyle name="20% - Accent2 8 2 2 2 3 4" xfId="30375" xr:uid="{C3CDCDAC-618B-4A50-8592-ED8EC2B7514C}"/>
    <cellStyle name="20% - Accent2 8 2 2 2 4" xfId="10938" xr:uid="{00000000-0005-0000-0000-0000FC0C0000}"/>
    <cellStyle name="20% - Accent2 8 2 2 2 4 2" xfId="34787" xr:uid="{E085723B-CFB5-4DB1-8EB5-FCFCAAA3FEC9}"/>
    <cellStyle name="20% - Accent2 8 2 2 2 5" xfId="18893" xr:uid="{00000000-0005-0000-0000-0000FD0C0000}"/>
    <cellStyle name="20% - Accent2 8 2 2 2 5 2" xfId="42725" xr:uid="{76682270-AA6C-4FAE-B87F-BF2A5E1BFA74}"/>
    <cellStyle name="20% - Accent2 8 2 2 2 6" xfId="26845" xr:uid="{82F8BC75-5DA9-46A9-99FA-3A4D7ED04F30}"/>
    <cellStyle name="20% - Accent2 8 2 2 2_Exh G" xfId="2165" xr:uid="{00000000-0005-0000-0000-0000FE0C0000}"/>
    <cellStyle name="20% - Accent2 8 2 2 3" xfId="3792" xr:uid="{00000000-0005-0000-0000-0000FF0C0000}"/>
    <cellStyle name="20% - Accent2 8 2 2 3 2" xfId="7384" xr:uid="{00000000-0005-0000-0000-0000000D0000}"/>
    <cellStyle name="20% - Accent2 8 2 2 3 2 2" xfId="15354" xr:uid="{00000000-0005-0000-0000-0000010D0000}"/>
    <cellStyle name="20% - Accent2 8 2 2 3 2 2 2" xfId="39196" xr:uid="{F63E782B-4AAE-4F0E-8A31-271EF7E8E629}"/>
    <cellStyle name="20% - Accent2 8 2 2 3 2 3" xfId="23300" xr:uid="{00000000-0005-0000-0000-0000020D0000}"/>
    <cellStyle name="20% - Accent2 8 2 2 3 2 3 2" xfId="47132" xr:uid="{AA2CDD0D-B012-4E01-B108-0CFCB91F19A0}"/>
    <cellStyle name="20% - Accent2 8 2 2 3 2 4" xfId="31255" xr:uid="{6D12E4DB-437A-4655-81E1-09873C64BECF}"/>
    <cellStyle name="20% - Accent2 8 2 2 3 3" xfId="11816" xr:uid="{00000000-0005-0000-0000-0000030D0000}"/>
    <cellStyle name="20% - Accent2 8 2 2 3 3 2" xfId="35665" xr:uid="{9DCCD684-7F94-42BD-88A6-638B73BC6F16}"/>
    <cellStyle name="20% - Accent2 8 2 2 3 4" xfId="19771" xr:uid="{00000000-0005-0000-0000-0000040D0000}"/>
    <cellStyle name="20% - Accent2 8 2 2 3 4 2" xfId="43603" xr:uid="{5A9EB0DA-B409-4A2F-A7F1-30A489837627}"/>
    <cellStyle name="20% - Accent2 8 2 2 3 5" xfId="27724" xr:uid="{F8E6D09E-3060-4D67-A123-862389CB6ED6}"/>
    <cellStyle name="20% - Accent2 8 2 2 4" xfId="5612" xr:uid="{00000000-0005-0000-0000-0000050D0000}"/>
    <cellStyle name="20% - Accent2 8 2 2 4 2" xfId="13595" xr:uid="{00000000-0005-0000-0000-0000060D0000}"/>
    <cellStyle name="20% - Accent2 8 2 2 4 2 2" xfId="37438" xr:uid="{22822929-8E93-4601-9F0F-E70E095464FE}"/>
    <cellStyle name="20% - Accent2 8 2 2 4 3" xfId="21543" xr:uid="{00000000-0005-0000-0000-0000070D0000}"/>
    <cellStyle name="20% - Accent2 8 2 2 4 3 2" xfId="45375" xr:uid="{CBE605F9-A91B-4038-B7B1-EA7326F3AE6B}"/>
    <cellStyle name="20% - Accent2 8 2 2 4 4" xfId="29497" xr:uid="{BD747125-ABF6-4D37-9A63-F0DAA0610512}"/>
    <cellStyle name="20% - Accent2 8 2 2 5" xfId="9164" xr:uid="{00000000-0005-0000-0000-0000080D0000}"/>
    <cellStyle name="20% - Accent2 8 2 2 5 2" xfId="17122" xr:uid="{00000000-0005-0000-0000-0000090D0000}"/>
    <cellStyle name="20% - Accent2 8 2 2 5 2 2" xfId="40962" xr:uid="{60967961-D8E8-4CF6-BCDA-DE4C0C33413F}"/>
    <cellStyle name="20% - Accent2 8 2 2 5 3" xfId="25066" xr:uid="{00000000-0005-0000-0000-00000A0D0000}"/>
    <cellStyle name="20% - Accent2 8 2 2 5 3 2" xfId="48898" xr:uid="{6CCC42B2-C8B2-4A3A-B246-FF40811010E8}"/>
    <cellStyle name="20% - Accent2 8 2 2 5 4" xfId="33021" xr:uid="{16A34608-20F9-4114-A608-D4D864FEDFA0}"/>
    <cellStyle name="20% - Accent2 8 2 2 6" xfId="10060" xr:uid="{00000000-0005-0000-0000-00000B0D0000}"/>
    <cellStyle name="20% - Accent2 8 2 2 6 2" xfId="33909" xr:uid="{8FE0DDED-1195-47DE-AB84-74AC3E8BCD8D}"/>
    <cellStyle name="20% - Accent2 8 2 2 7" xfId="18015" xr:uid="{00000000-0005-0000-0000-00000C0D0000}"/>
    <cellStyle name="20% - Accent2 8 2 2 7 2" xfId="41847" xr:uid="{CAAFB560-631F-4305-A3EB-8D6DE5056D18}"/>
    <cellStyle name="20% - Accent2 8 2 2 8" xfId="25967" xr:uid="{92693498-426D-4247-B27B-47EDD1199F6B}"/>
    <cellStyle name="20% - Accent2 8 2 2_Exh G" xfId="2164" xr:uid="{00000000-0005-0000-0000-00000D0D0000}"/>
    <cellStyle name="20% - Accent2 8 2 3" xfId="1143" xr:uid="{00000000-0005-0000-0000-00000E0D0000}"/>
    <cellStyle name="20% - Accent2 8 2 3 2" xfId="4670" xr:uid="{00000000-0005-0000-0000-00000F0D0000}"/>
    <cellStyle name="20% - Accent2 8 2 3 2 2" xfId="8261" xr:uid="{00000000-0005-0000-0000-0000100D0000}"/>
    <cellStyle name="20% - Accent2 8 2 3 2 2 2" xfId="16231" xr:uid="{00000000-0005-0000-0000-0000110D0000}"/>
    <cellStyle name="20% - Accent2 8 2 3 2 2 2 2" xfId="40073" xr:uid="{3E35D278-5106-4842-B48B-2A1A4E1737E5}"/>
    <cellStyle name="20% - Accent2 8 2 3 2 2 3" xfId="24177" xr:uid="{00000000-0005-0000-0000-0000120D0000}"/>
    <cellStyle name="20% - Accent2 8 2 3 2 2 3 2" xfId="48009" xr:uid="{79BCEDE3-6BCA-495D-8C8C-1E9C9B8B0598}"/>
    <cellStyle name="20% - Accent2 8 2 3 2 2 4" xfId="32132" xr:uid="{0D98F144-91FA-4790-A05F-C56EA80C0F18}"/>
    <cellStyle name="20% - Accent2 8 2 3 2 3" xfId="12693" xr:uid="{00000000-0005-0000-0000-0000130D0000}"/>
    <cellStyle name="20% - Accent2 8 2 3 2 3 2" xfId="36542" xr:uid="{76155279-1DFA-41F2-903F-EC4BB0EF165F}"/>
    <cellStyle name="20% - Accent2 8 2 3 2 4" xfId="20648" xr:uid="{00000000-0005-0000-0000-0000140D0000}"/>
    <cellStyle name="20% - Accent2 8 2 3 2 4 2" xfId="44480" xr:uid="{FC67E286-1568-4402-8D85-02EF22A93B52}"/>
    <cellStyle name="20% - Accent2 8 2 3 2 5" xfId="28601" xr:uid="{2B4EAC58-6215-4FC9-9677-414B75BDC1DF}"/>
    <cellStyle name="20% - Accent2 8 2 3 3" xfId="6502" xr:uid="{00000000-0005-0000-0000-0000150D0000}"/>
    <cellStyle name="20% - Accent2 8 2 3 3 2" xfId="14473" xr:uid="{00000000-0005-0000-0000-0000160D0000}"/>
    <cellStyle name="20% - Accent2 8 2 3 3 2 2" xfId="38315" xr:uid="{A98239D7-26DE-45C0-B7E4-8C59696E346E}"/>
    <cellStyle name="20% - Accent2 8 2 3 3 3" xfId="22420" xr:uid="{00000000-0005-0000-0000-0000170D0000}"/>
    <cellStyle name="20% - Accent2 8 2 3 3 3 2" xfId="46252" xr:uid="{0C84451F-0363-421F-9F45-0DF5E134D30F}"/>
    <cellStyle name="20% - Accent2 8 2 3 3 4" xfId="30374" xr:uid="{33507F4B-0EC5-41CA-9576-2E06CBE20502}"/>
    <cellStyle name="20% - Accent2 8 2 3 4" xfId="10937" xr:uid="{00000000-0005-0000-0000-0000180D0000}"/>
    <cellStyle name="20% - Accent2 8 2 3 4 2" xfId="34786" xr:uid="{64B1EBDE-DAD8-4E8E-B437-53C12281A825}"/>
    <cellStyle name="20% - Accent2 8 2 3 5" xfId="18892" xr:uid="{00000000-0005-0000-0000-0000190D0000}"/>
    <cellStyle name="20% - Accent2 8 2 3 5 2" xfId="42724" xr:uid="{F4074E93-FBAD-41DC-B996-A6DB39B442C4}"/>
    <cellStyle name="20% - Accent2 8 2 3 6" xfId="26844" xr:uid="{4394392D-832F-4D80-9A4A-BE37FD01982F}"/>
    <cellStyle name="20% - Accent2 8 2 3_Exh G" xfId="2166" xr:uid="{00000000-0005-0000-0000-00001A0D0000}"/>
    <cellStyle name="20% - Accent2 8 2 4" xfId="3791" xr:uid="{00000000-0005-0000-0000-00001B0D0000}"/>
    <cellStyle name="20% - Accent2 8 2 4 2" xfId="7383" xr:uid="{00000000-0005-0000-0000-00001C0D0000}"/>
    <cellStyle name="20% - Accent2 8 2 4 2 2" xfId="15353" xr:uid="{00000000-0005-0000-0000-00001D0D0000}"/>
    <cellStyle name="20% - Accent2 8 2 4 2 2 2" xfId="39195" xr:uid="{C00D98E6-9F1B-45E8-96D2-66D1CCD75914}"/>
    <cellStyle name="20% - Accent2 8 2 4 2 3" xfId="23299" xr:uid="{00000000-0005-0000-0000-00001E0D0000}"/>
    <cellStyle name="20% - Accent2 8 2 4 2 3 2" xfId="47131" xr:uid="{3B43B284-8664-4F52-98B6-36DB7AF6B56B}"/>
    <cellStyle name="20% - Accent2 8 2 4 2 4" xfId="31254" xr:uid="{224B78FC-D500-4355-90F9-A0787A7713B9}"/>
    <cellStyle name="20% - Accent2 8 2 4 3" xfId="11815" xr:uid="{00000000-0005-0000-0000-00001F0D0000}"/>
    <cellStyle name="20% - Accent2 8 2 4 3 2" xfId="35664" xr:uid="{1369CC90-6738-4DB8-A3A0-165B932C9680}"/>
    <cellStyle name="20% - Accent2 8 2 4 4" xfId="19770" xr:uid="{00000000-0005-0000-0000-0000200D0000}"/>
    <cellStyle name="20% - Accent2 8 2 4 4 2" xfId="43602" xr:uid="{EC7EBEDF-3918-4293-BF5F-4BB5A6592CF4}"/>
    <cellStyle name="20% - Accent2 8 2 4 5" xfId="27723" xr:uid="{D973F34D-B4FA-45E1-A87B-AD3FE54EF9D1}"/>
    <cellStyle name="20% - Accent2 8 2 5" xfId="5611" xr:uid="{00000000-0005-0000-0000-0000210D0000}"/>
    <cellStyle name="20% - Accent2 8 2 5 2" xfId="13594" xr:uid="{00000000-0005-0000-0000-0000220D0000}"/>
    <cellStyle name="20% - Accent2 8 2 5 2 2" xfId="37437" xr:uid="{5D607C32-0E21-47FB-BF66-EB5A2F268BD3}"/>
    <cellStyle name="20% - Accent2 8 2 5 3" xfId="21542" xr:uid="{00000000-0005-0000-0000-0000230D0000}"/>
    <cellStyle name="20% - Accent2 8 2 5 3 2" xfId="45374" xr:uid="{03E52642-E7FC-4C48-BD75-6BC24C77226B}"/>
    <cellStyle name="20% - Accent2 8 2 5 4" xfId="29496" xr:uid="{52E636A9-B2F7-4BB2-BF74-575C08E13B00}"/>
    <cellStyle name="20% - Accent2 8 2 6" xfId="9163" xr:uid="{00000000-0005-0000-0000-0000240D0000}"/>
    <cellStyle name="20% - Accent2 8 2 6 2" xfId="17121" xr:uid="{00000000-0005-0000-0000-0000250D0000}"/>
    <cellStyle name="20% - Accent2 8 2 6 2 2" xfId="40961" xr:uid="{43E728AD-49D2-4DF3-A7E5-9547E2A1EBB8}"/>
    <cellStyle name="20% - Accent2 8 2 6 3" xfId="25065" xr:uid="{00000000-0005-0000-0000-0000260D0000}"/>
    <cellStyle name="20% - Accent2 8 2 6 3 2" xfId="48897" xr:uid="{902C665D-82F6-409E-8F3C-2000AD7B64FE}"/>
    <cellStyle name="20% - Accent2 8 2 6 4" xfId="33020" xr:uid="{2F2F26AD-BB4E-4D5D-98DF-12371E28CFB4}"/>
    <cellStyle name="20% - Accent2 8 2 7" xfId="10059" xr:uid="{00000000-0005-0000-0000-0000270D0000}"/>
    <cellStyle name="20% - Accent2 8 2 7 2" xfId="33908" xr:uid="{2DE36C2E-C20B-40B9-B38B-C510FBC6F589}"/>
    <cellStyle name="20% - Accent2 8 2 8" xfId="18014" xr:uid="{00000000-0005-0000-0000-0000280D0000}"/>
    <cellStyle name="20% - Accent2 8 2 8 2" xfId="41846" xr:uid="{13338CEC-784D-4AC9-B10F-DF80F26B5E8B}"/>
    <cellStyle name="20% - Accent2 8 2 9" xfId="25966" xr:uid="{C670D294-4725-4C95-B0D0-258A98C9384A}"/>
    <cellStyle name="20% - Accent2 8 2_Exh G" xfId="2163" xr:uid="{00000000-0005-0000-0000-0000290D0000}"/>
    <cellStyle name="20% - Accent2 8 3" xfId="119" xr:uid="{00000000-0005-0000-0000-00002A0D0000}"/>
    <cellStyle name="20% - Accent2 8 3 2" xfId="1145" xr:uid="{00000000-0005-0000-0000-00002B0D0000}"/>
    <cellStyle name="20% - Accent2 8 3 2 2" xfId="4672" xr:uid="{00000000-0005-0000-0000-00002C0D0000}"/>
    <cellStyle name="20% - Accent2 8 3 2 2 2" xfId="8263" xr:uid="{00000000-0005-0000-0000-00002D0D0000}"/>
    <cellStyle name="20% - Accent2 8 3 2 2 2 2" xfId="16233" xr:uid="{00000000-0005-0000-0000-00002E0D0000}"/>
    <cellStyle name="20% - Accent2 8 3 2 2 2 2 2" xfId="40075" xr:uid="{17CBC662-3A31-4D7E-90EF-E8AF630DCE02}"/>
    <cellStyle name="20% - Accent2 8 3 2 2 2 3" xfId="24179" xr:uid="{00000000-0005-0000-0000-00002F0D0000}"/>
    <cellStyle name="20% - Accent2 8 3 2 2 2 3 2" xfId="48011" xr:uid="{151A7CD2-2A59-4DA5-B741-EB8AE8ED87CC}"/>
    <cellStyle name="20% - Accent2 8 3 2 2 2 4" xfId="32134" xr:uid="{28E497D7-20BD-4E11-A63A-C638BD9CC90E}"/>
    <cellStyle name="20% - Accent2 8 3 2 2 3" xfId="12695" xr:uid="{00000000-0005-0000-0000-0000300D0000}"/>
    <cellStyle name="20% - Accent2 8 3 2 2 3 2" xfId="36544" xr:uid="{36EB222E-C33B-4DB5-AD99-990FB12474F0}"/>
    <cellStyle name="20% - Accent2 8 3 2 2 4" xfId="20650" xr:uid="{00000000-0005-0000-0000-0000310D0000}"/>
    <cellStyle name="20% - Accent2 8 3 2 2 4 2" xfId="44482" xr:uid="{D2F8C631-1FE5-4222-BAE4-7E4EB895F7E9}"/>
    <cellStyle name="20% - Accent2 8 3 2 2 5" xfId="28603" xr:uid="{575309FD-F042-4363-9A1B-90092822372E}"/>
    <cellStyle name="20% - Accent2 8 3 2 3" xfId="6504" xr:uid="{00000000-0005-0000-0000-0000320D0000}"/>
    <cellStyle name="20% - Accent2 8 3 2 3 2" xfId="14475" xr:uid="{00000000-0005-0000-0000-0000330D0000}"/>
    <cellStyle name="20% - Accent2 8 3 2 3 2 2" xfId="38317" xr:uid="{4288AC14-AC31-457C-9B8C-F679A834BD32}"/>
    <cellStyle name="20% - Accent2 8 3 2 3 3" xfId="22422" xr:uid="{00000000-0005-0000-0000-0000340D0000}"/>
    <cellStyle name="20% - Accent2 8 3 2 3 3 2" xfId="46254" xr:uid="{375BAAB5-E3C7-45B3-AE05-7434C44563C9}"/>
    <cellStyle name="20% - Accent2 8 3 2 3 4" xfId="30376" xr:uid="{EA6D87E9-584F-4C50-A225-506487A3CE93}"/>
    <cellStyle name="20% - Accent2 8 3 2 4" xfId="10939" xr:uid="{00000000-0005-0000-0000-0000350D0000}"/>
    <cellStyle name="20% - Accent2 8 3 2 4 2" xfId="34788" xr:uid="{B3E711AF-222B-401B-9CCE-AF34B98C40F1}"/>
    <cellStyle name="20% - Accent2 8 3 2 5" xfId="18894" xr:uid="{00000000-0005-0000-0000-0000360D0000}"/>
    <cellStyle name="20% - Accent2 8 3 2 5 2" xfId="42726" xr:uid="{DB38AD33-9419-4032-AE57-2744209F5061}"/>
    <cellStyle name="20% - Accent2 8 3 2 6" xfId="26846" xr:uid="{48EFC853-15C4-4175-B933-528A448C2325}"/>
    <cellStyle name="20% - Accent2 8 3 2_Exh G" xfId="2168" xr:uid="{00000000-0005-0000-0000-0000370D0000}"/>
    <cellStyle name="20% - Accent2 8 3 3" xfId="3793" xr:uid="{00000000-0005-0000-0000-0000380D0000}"/>
    <cellStyle name="20% - Accent2 8 3 3 2" xfId="7385" xr:uid="{00000000-0005-0000-0000-0000390D0000}"/>
    <cellStyle name="20% - Accent2 8 3 3 2 2" xfId="15355" xr:uid="{00000000-0005-0000-0000-00003A0D0000}"/>
    <cellStyle name="20% - Accent2 8 3 3 2 2 2" xfId="39197" xr:uid="{40648471-3D5B-46D6-84D9-932204BAF575}"/>
    <cellStyle name="20% - Accent2 8 3 3 2 3" xfId="23301" xr:uid="{00000000-0005-0000-0000-00003B0D0000}"/>
    <cellStyle name="20% - Accent2 8 3 3 2 3 2" xfId="47133" xr:uid="{678D2470-45D8-4332-905E-CA309B185957}"/>
    <cellStyle name="20% - Accent2 8 3 3 2 4" xfId="31256" xr:uid="{B97059A0-8884-491D-A762-D623DDFE1001}"/>
    <cellStyle name="20% - Accent2 8 3 3 3" xfId="11817" xr:uid="{00000000-0005-0000-0000-00003C0D0000}"/>
    <cellStyle name="20% - Accent2 8 3 3 3 2" xfId="35666" xr:uid="{4BFBE8F3-F70D-4842-979C-E50BD2C49301}"/>
    <cellStyle name="20% - Accent2 8 3 3 4" xfId="19772" xr:uid="{00000000-0005-0000-0000-00003D0D0000}"/>
    <cellStyle name="20% - Accent2 8 3 3 4 2" xfId="43604" xr:uid="{D5B73E77-375B-4744-9C40-070CAF40ADC1}"/>
    <cellStyle name="20% - Accent2 8 3 3 5" xfId="27725" xr:uid="{AB2AADF5-1528-4BC9-88FD-C25428C010C3}"/>
    <cellStyle name="20% - Accent2 8 3 4" xfId="5613" xr:uid="{00000000-0005-0000-0000-00003E0D0000}"/>
    <cellStyle name="20% - Accent2 8 3 4 2" xfId="13596" xr:uid="{00000000-0005-0000-0000-00003F0D0000}"/>
    <cellStyle name="20% - Accent2 8 3 4 2 2" xfId="37439" xr:uid="{65045AF5-61BD-493A-9DE5-BB53A49E328A}"/>
    <cellStyle name="20% - Accent2 8 3 4 3" xfId="21544" xr:uid="{00000000-0005-0000-0000-0000400D0000}"/>
    <cellStyle name="20% - Accent2 8 3 4 3 2" xfId="45376" xr:uid="{510C1E4B-F83E-4CE4-A3D2-38954767DD00}"/>
    <cellStyle name="20% - Accent2 8 3 4 4" xfId="29498" xr:uid="{D1DCF024-A40A-4688-9AAA-FC259D156111}"/>
    <cellStyle name="20% - Accent2 8 3 5" xfId="9165" xr:uid="{00000000-0005-0000-0000-0000410D0000}"/>
    <cellStyle name="20% - Accent2 8 3 5 2" xfId="17123" xr:uid="{00000000-0005-0000-0000-0000420D0000}"/>
    <cellStyle name="20% - Accent2 8 3 5 2 2" xfId="40963" xr:uid="{3B469EE7-A9C8-4C32-A120-263033E79568}"/>
    <cellStyle name="20% - Accent2 8 3 5 3" xfId="25067" xr:uid="{00000000-0005-0000-0000-0000430D0000}"/>
    <cellStyle name="20% - Accent2 8 3 5 3 2" xfId="48899" xr:uid="{460F4FDB-1548-44AE-A9BA-A7C516F2B88E}"/>
    <cellStyle name="20% - Accent2 8 3 5 4" xfId="33022" xr:uid="{DA41E0FC-6FD5-4A4C-B5D7-59CC74FFF223}"/>
    <cellStyle name="20% - Accent2 8 3 6" xfId="10061" xr:uid="{00000000-0005-0000-0000-0000440D0000}"/>
    <cellStyle name="20% - Accent2 8 3 6 2" xfId="33910" xr:uid="{D0691AF6-0F4C-4BDC-B58E-69F8613FFEA8}"/>
    <cellStyle name="20% - Accent2 8 3 7" xfId="18016" xr:uid="{00000000-0005-0000-0000-0000450D0000}"/>
    <cellStyle name="20% - Accent2 8 3 7 2" xfId="41848" xr:uid="{FC2F39F2-251A-42B0-B515-1F40BA217BE9}"/>
    <cellStyle name="20% - Accent2 8 3 8" xfId="25968" xr:uid="{B80A7B71-394C-4805-8DD5-02BF424FD205}"/>
    <cellStyle name="20% - Accent2 8 3_Exh G" xfId="2167" xr:uid="{00000000-0005-0000-0000-0000460D0000}"/>
    <cellStyle name="20% - Accent2 8 4" xfId="881" xr:uid="{00000000-0005-0000-0000-0000470D0000}"/>
    <cellStyle name="20% - Accent2 8 4 2" xfId="1810" xr:uid="{00000000-0005-0000-0000-0000480D0000}"/>
    <cellStyle name="20% - Accent2 8 4 2 2" xfId="5327" xr:uid="{00000000-0005-0000-0000-0000490D0000}"/>
    <cellStyle name="20% - Accent2 8 4 2 2 2" xfId="8918" xr:uid="{00000000-0005-0000-0000-00004A0D0000}"/>
    <cellStyle name="20% - Accent2 8 4 2 2 2 2" xfId="16888" xr:uid="{00000000-0005-0000-0000-00004B0D0000}"/>
    <cellStyle name="20% - Accent2 8 4 2 2 2 2 2" xfId="40730" xr:uid="{34AF2371-90DA-40A2-B722-3EC0E42B8A4C}"/>
    <cellStyle name="20% - Accent2 8 4 2 2 2 3" xfId="24834" xr:uid="{00000000-0005-0000-0000-00004C0D0000}"/>
    <cellStyle name="20% - Accent2 8 4 2 2 2 3 2" xfId="48666" xr:uid="{0F216D5D-6515-42D4-91CB-942A52D6E649}"/>
    <cellStyle name="20% - Accent2 8 4 2 2 2 4" xfId="32789" xr:uid="{FCA1A412-00D2-47E6-BB81-C87292973292}"/>
    <cellStyle name="20% - Accent2 8 4 2 2 3" xfId="13350" xr:uid="{00000000-0005-0000-0000-00004D0D0000}"/>
    <cellStyle name="20% - Accent2 8 4 2 2 3 2" xfId="37199" xr:uid="{33449B50-C21C-457C-9916-13C639206497}"/>
    <cellStyle name="20% - Accent2 8 4 2 2 4" xfId="21305" xr:uid="{00000000-0005-0000-0000-00004E0D0000}"/>
    <cellStyle name="20% - Accent2 8 4 2 2 4 2" xfId="45137" xr:uid="{A9A52950-9E3D-4FC4-8613-9E072E11585B}"/>
    <cellStyle name="20% - Accent2 8 4 2 2 5" xfId="29258" xr:uid="{BC0D5B12-5076-4D61-B425-731451356176}"/>
    <cellStyle name="20% - Accent2 8 4 2 3" xfId="7159" xr:uid="{00000000-0005-0000-0000-00004F0D0000}"/>
    <cellStyle name="20% - Accent2 8 4 2 3 2" xfId="15130" xr:uid="{00000000-0005-0000-0000-0000500D0000}"/>
    <cellStyle name="20% - Accent2 8 4 2 3 2 2" xfId="38972" xr:uid="{4970911F-7C89-4BE0-AEBB-ED4E24B57228}"/>
    <cellStyle name="20% - Accent2 8 4 2 3 3" xfId="23077" xr:uid="{00000000-0005-0000-0000-0000510D0000}"/>
    <cellStyle name="20% - Accent2 8 4 2 3 3 2" xfId="46909" xr:uid="{96AE97F2-AB04-4C37-989A-32FB722D5A08}"/>
    <cellStyle name="20% - Accent2 8 4 2 3 4" xfId="31031" xr:uid="{035E048A-6154-498B-8FB5-C151FC5E721F}"/>
    <cellStyle name="20% - Accent2 8 4 2 4" xfId="11594" xr:uid="{00000000-0005-0000-0000-0000520D0000}"/>
    <cellStyle name="20% - Accent2 8 4 2 4 2" xfId="35443" xr:uid="{46CFBA0E-410A-445D-91A1-77B8698A47E1}"/>
    <cellStyle name="20% - Accent2 8 4 2 5" xfId="19549" xr:uid="{00000000-0005-0000-0000-0000530D0000}"/>
    <cellStyle name="20% - Accent2 8 4 2 5 2" xfId="43381" xr:uid="{FB2BA175-5178-4697-9391-2A00503F7795}"/>
    <cellStyle name="20% - Accent2 8 4 2 6" xfId="27501" xr:uid="{024ADA64-A145-46CE-B355-343EC64D7C7F}"/>
    <cellStyle name="20% - Accent2 8 4 2_Exh G" xfId="2170" xr:uid="{00000000-0005-0000-0000-0000540D0000}"/>
    <cellStyle name="20% - Accent2 8 4 3" xfId="4448" xr:uid="{00000000-0005-0000-0000-0000550D0000}"/>
    <cellStyle name="20% - Accent2 8 4 3 2" xfId="8040" xr:uid="{00000000-0005-0000-0000-0000560D0000}"/>
    <cellStyle name="20% - Accent2 8 4 3 2 2" xfId="16010" xr:uid="{00000000-0005-0000-0000-0000570D0000}"/>
    <cellStyle name="20% - Accent2 8 4 3 2 2 2" xfId="39852" xr:uid="{C3BBFA34-77F6-4986-8CC8-21D99403291A}"/>
    <cellStyle name="20% - Accent2 8 4 3 2 3" xfId="23956" xr:uid="{00000000-0005-0000-0000-0000580D0000}"/>
    <cellStyle name="20% - Accent2 8 4 3 2 3 2" xfId="47788" xr:uid="{15A77B0A-9722-4816-83D1-EBBC2FE01E8B}"/>
    <cellStyle name="20% - Accent2 8 4 3 2 4" xfId="31911" xr:uid="{08C26BE5-DA95-4242-8318-64B843B0C3D9}"/>
    <cellStyle name="20% - Accent2 8 4 3 3" xfId="12472" xr:uid="{00000000-0005-0000-0000-0000590D0000}"/>
    <cellStyle name="20% - Accent2 8 4 3 3 2" xfId="36321" xr:uid="{9F2DC0B9-E3E2-460A-B199-1891BC0252D5}"/>
    <cellStyle name="20% - Accent2 8 4 3 4" xfId="20427" xr:uid="{00000000-0005-0000-0000-00005A0D0000}"/>
    <cellStyle name="20% - Accent2 8 4 3 4 2" xfId="44259" xr:uid="{3FF901E6-FE78-4D86-A20A-23A2B2566280}"/>
    <cellStyle name="20% - Accent2 8 4 3 5" xfId="28380" xr:uid="{0CDD8FA2-0170-422B-A42E-F119615B2924}"/>
    <cellStyle name="20% - Accent2 8 4 4" xfId="6278" xr:uid="{00000000-0005-0000-0000-00005B0D0000}"/>
    <cellStyle name="20% - Accent2 8 4 4 2" xfId="14252" xr:uid="{00000000-0005-0000-0000-00005C0D0000}"/>
    <cellStyle name="20% - Accent2 8 4 4 2 2" xfId="38094" xr:uid="{F69F884C-C3CA-440A-B055-596181830619}"/>
    <cellStyle name="20% - Accent2 8 4 4 3" xfId="22199" xr:uid="{00000000-0005-0000-0000-00005D0D0000}"/>
    <cellStyle name="20% - Accent2 8 4 4 3 2" xfId="46031" xr:uid="{426F1514-4455-422E-B0E5-872916CF18EA}"/>
    <cellStyle name="20% - Accent2 8 4 4 4" xfId="30153" xr:uid="{A0DC582D-04AB-496F-AEBC-A1D7611436BC}"/>
    <cellStyle name="20% - Accent2 8 4 5" xfId="9820" xr:uid="{00000000-0005-0000-0000-00005E0D0000}"/>
    <cellStyle name="20% - Accent2 8 4 5 2" xfId="17778" xr:uid="{00000000-0005-0000-0000-00005F0D0000}"/>
    <cellStyle name="20% - Accent2 8 4 5 2 2" xfId="41618" xr:uid="{02734A81-E9BB-47B3-8F18-35ED44BE8DD8}"/>
    <cellStyle name="20% - Accent2 8 4 5 3" xfId="25722" xr:uid="{00000000-0005-0000-0000-0000600D0000}"/>
    <cellStyle name="20% - Accent2 8 4 5 3 2" xfId="49554" xr:uid="{DAEA4321-F335-4B26-B612-118D52570640}"/>
    <cellStyle name="20% - Accent2 8 4 5 4" xfId="33677" xr:uid="{13AD9546-E98C-415F-B281-728AF1761452}"/>
    <cellStyle name="20% - Accent2 8 4 6" xfId="10716" xr:uid="{00000000-0005-0000-0000-0000610D0000}"/>
    <cellStyle name="20% - Accent2 8 4 6 2" xfId="34565" xr:uid="{A4FA42EE-96CF-4D61-A5B1-970D4011B350}"/>
    <cellStyle name="20% - Accent2 8 4 7" xfId="18671" xr:uid="{00000000-0005-0000-0000-0000620D0000}"/>
    <cellStyle name="20% - Accent2 8 4 7 2" xfId="42503" xr:uid="{777DA295-1F27-4FE9-B28C-7D629603528D}"/>
    <cellStyle name="20% - Accent2 8 4 8" xfId="26623" xr:uid="{94B28AF6-CA70-4961-ACE0-6B5CADAE38FB}"/>
    <cellStyle name="20% - Accent2 8 4_Exh G" xfId="2169" xr:uid="{00000000-0005-0000-0000-0000630D0000}"/>
    <cellStyle name="20% - Accent2 8 5" xfId="1142" xr:uid="{00000000-0005-0000-0000-0000640D0000}"/>
    <cellStyle name="20% - Accent2 8 5 2" xfId="4669" xr:uid="{00000000-0005-0000-0000-0000650D0000}"/>
    <cellStyle name="20% - Accent2 8 5 2 2" xfId="8260" xr:uid="{00000000-0005-0000-0000-0000660D0000}"/>
    <cellStyle name="20% - Accent2 8 5 2 2 2" xfId="16230" xr:uid="{00000000-0005-0000-0000-0000670D0000}"/>
    <cellStyle name="20% - Accent2 8 5 2 2 2 2" xfId="40072" xr:uid="{3EF2C22E-ED91-42A6-BCB1-F9E148E10522}"/>
    <cellStyle name="20% - Accent2 8 5 2 2 3" xfId="24176" xr:uid="{00000000-0005-0000-0000-0000680D0000}"/>
    <cellStyle name="20% - Accent2 8 5 2 2 3 2" xfId="48008" xr:uid="{1485DE29-9F18-444C-A727-D7A654D8C7AC}"/>
    <cellStyle name="20% - Accent2 8 5 2 2 4" xfId="32131" xr:uid="{175D59E5-3FBA-4B67-AA1B-398EE5E02E1F}"/>
    <cellStyle name="20% - Accent2 8 5 2 3" xfId="12692" xr:uid="{00000000-0005-0000-0000-0000690D0000}"/>
    <cellStyle name="20% - Accent2 8 5 2 3 2" xfId="36541" xr:uid="{331E757D-C411-433E-B261-82D2039DBBB9}"/>
    <cellStyle name="20% - Accent2 8 5 2 4" xfId="20647" xr:uid="{00000000-0005-0000-0000-00006A0D0000}"/>
    <cellStyle name="20% - Accent2 8 5 2 4 2" xfId="44479" xr:uid="{E45E3E26-FBCC-48CD-8393-8697BFFC556E}"/>
    <cellStyle name="20% - Accent2 8 5 2 5" xfId="28600" xr:uid="{72614A16-04BF-47F8-AE47-3E0961EE9A5F}"/>
    <cellStyle name="20% - Accent2 8 5 3" xfId="6501" xr:uid="{00000000-0005-0000-0000-00006B0D0000}"/>
    <cellStyle name="20% - Accent2 8 5 3 2" xfId="14472" xr:uid="{00000000-0005-0000-0000-00006C0D0000}"/>
    <cellStyle name="20% - Accent2 8 5 3 2 2" xfId="38314" xr:uid="{5C5947A4-E655-4A0A-AE95-662A3CB85D48}"/>
    <cellStyle name="20% - Accent2 8 5 3 3" xfId="22419" xr:uid="{00000000-0005-0000-0000-00006D0D0000}"/>
    <cellStyle name="20% - Accent2 8 5 3 3 2" xfId="46251" xr:uid="{783B0836-9DDA-4F0F-A9B3-DB9B10156763}"/>
    <cellStyle name="20% - Accent2 8 5 3 4" xfId="30373" xr:uid="{B6ED2B9A-0F97-4109-8FF9-1C440B595A85}"/>
    <cellStyle name="20% - Accent2 8 5 4" xfId="10936" xr:uid="{00000000-0005-0000-0000-00006E0D0000}"/>
    <cellStyle name="20% - Accent2 8 5 4 2" xfId="34785" xr:uid="{16989D95-0583-4333-ACFA-5A12609D3CCB}"/>
    <cellStyle name="20% - Accent2 8 5 5" xfId="18891" xr:uid="{00000000-0005-0000-0000-00006F0D0000}"/>
    <cellStyle name="20% - Accent2 8 5 5 2" xfId="42723" xr:uid="{3B6BB4E4-C54F-459B-8C1A-6ED942B031AC}"/>
    <cellStyle name="20% - Accent2 8 5 6" xfId="26843" xr:uid="{0C07FB5D-6DB1-4A26-8657-45B00F2D3EBA}"/>
    <cellStyle name="20% - Accent2 8 5_Exh G" xfId="2171" xr:uid="{00000000-0005-0000-0000-0000700D0000}"/>
    <cellStyle name="20% - Accent2 8 6" xfId="3790" xr:uid="{00000000-0005-0000-0000-0000710D0000}"/>
    <cellStyle name="20% - Accent2 8 6 2" xfId="7382" xr:uid="{00000000-0005-0000-0000-0000720D0000}"/>
    <cellStyle name="20% - Accent2 8 6 2 2" xfId="15352" xr:uid="{00000000-0005-0000-0000-0000730D0000}"/>
    <cellStyle name="20% - Accent2 8 6 2 2 2" xfId="39194" xr:uid="{24B55CF1-D928-4C56-A7E6-B68A4F6DACA1}"/>
    <cellStyle name="20% - Accent2 8 6 2 3" xfId="23298" xr:uid="{00000000-0005-0000-0000-0000740D0000}"/>
    <cellStyle name="20% - Accent2 8 6 2 3 2" xfId="47130" xr:uid="{9E878E2E-F7D3-415E-A9C5-AECBC20A31A1}"/>
    <cellStyle name="20% - Accent2 8 6 2 4" xfId="31253" xr:uid="{432B474D-BB92-4A96-A4F2-9EBC6399C4EF}"/>
    <cellStyle name="20% - Accent2 8 6 3" xfId="11814" xr:uid="{00000000-0005-0000-0000-0000750D0000}"/>
    <cellStyle name="20% - Accent2 8 6 3 2" xfId="35663" xr:uid="{19B0EFDA-34C3-46B8-8BE4-832FA0CEEE98}"/>
    <cellStyle name="20% - Accent2 8 6 4" xfId="19769" xr:uid="{00000000-0005-0000-0000-0000760D0000}"/>
    <cellStyle name="20% - Accent2 8 6 4 2" xfId="43601" xr:uid="{2F913A22-8AE0-4EF5-B448-A87A09422CBE}"/>
    <cellStyle name="20% - Accent2 8 6 5" xfId="27722" xr:uid="{459D7EAB-1EA5-4E72-B48E-EDF08328CD4F}"/>
    <cellStyle name="20% - Accent2 8 7" xfId="5610" xr:uid="{00000000-0005-0000-0000-0000770D0000}"/>
    <cellStyle name="20% - Accent2 8 7 2" xfId="13593" xr:uid="{00000000-0005-0000-0000-0000780D0000}"/>
    <cellStyle name="20% - Accent2 8 7 2 2" xfId="37436" xr:uid="{9CBF2FA4-77FC-48FA-B27C-19F9CF7FC233}"/>
    <cellStyle name="20% - Accent2 8 7 3" xfId="21541" xr:uid="{00000000-0005-0000-0000-0000790D0000}"/>
    <cellStyle name="20% - Accent2 8 7 3 2" xfId="45373" xr:uid="{33DA3673-3E91-40C0-B364-87E7F677219C}"/>
    <cellStyle name="20% - Accent2 8 7 4" xfId="29495" xr:uid="{5B27044A-970A-4B44-9880-C27CF1C0DBE4}"/>
    <cellStyle name="20% - Accent2 8 8" xfId="9162" xr:uid="{00000000-0005-0000-0000-00007A0D0000}"/>
    <cellStyle name="20% - Accent2 8 8 2" xfId="17120" xr:uid="{00000000-0005-0000-0000-00007B0D0000}"/>
    <cellStyle name="20% - Accent2 8 8 2 2" xfId="40960" xr:uid="{66E93F97-47C4-4210-82B9-AF0174EA3992}"/>
    <cellStyle name="20% - Accent2 8 8 3" xfId="25064" xr:uid="{00000000-0005-0000-0000-00007C0D0000}"/>
    <cellStyle name="20% - Accent2 8 8 3 2" xfId="48896" xr:uid="{2CC3A6A0-BE74-49C6-BD0C-1FFC637B77B8}"/>
    <cellStyle name="20% - Accent2 8 8 4" xfId="33019" xr:uid="{BA406549-49F6-404E-904B-C51224C6518E}"/>
    <cellStyle name="20% - Accent2 8 9" xfId="10058" xr:uid="{00000000-0005-0000-0000-00007D0D0000}"/>
    <cellStyle name="20% - Accent2 8 9 2" xfId="33907" xr:uid="{409BFA3E-0EFA-451D-9F32-BF2C9A708B7B}"/>
    <cellStyle name="20% - Accent2 8_Exh G" xfId="2162" xr:uid="{00000000-0005-0000-0000-00007E0D0000}"/>
    <cellStyle name="20% - Accent2 9" xfId="120" xr:uid="{00000000-0005-0000-0000-00007F0D0000}"/>
    <cellStyle name="20% - Accent2 9 10" xfId="18017" xr:uid="{00000000-0005-0000-0000-0000800D0000}"/>
    <cellStyle name="20% - Accent2 9 10 2" xfId="41849" xr:uid="{C941BED9-C77D-4CDF-89F3-F712FFDE4AF3}"/>
    <cellStyle name="20% - Accent2 9 11" xfId="25969" xr:uid="{6727140E-DAE8-4796-9753-11B672485D0F}"/>
    <cellStyle name="20% - Accent2 9 2" xfId="121" xr:uid="{00000000-0005-0000-0000-0000810D0000}"/>
    <cellStyle name="20% - Accent2 9 2 2" xfId="122" xr:uid="{00000000-0005-0000-0000-0000820D0000}"/>
    <cellStyle name="20% - Accent2 9 2 2 2" xfId="1148" xr:uid="{00000000-0005-0000-0000-0000830D0000}"/>
    <cellStyle name="20% - Accent2 9 2 2 2 2" xfId="4675" xr:uid="{00000000-0005-0000-0000-0000840D0000}"/>
    <cellStyle name="20% - Accent2 9 2 2 2 2 2" xfId="8266" xr:uid="{00000000-0005-0000-0000-0000850D0000}"/>
    <cellStyle name="20% - Accent2 9 2 2 2 2 2 2" xfId="16236" xr:uid="{00000000-0005-0000-0000-0000860D0000}"/>
    <cellStyle name="20% - Accent2 9 2 2 2 2 2 2 2" xfId="40078" xr:uid="{E97F9D27-9961-48EB-912C-ED9D6BDB2420}"/>
    <cellStyle name="20% - Accent2 9 2 2 2 2 2 3" xfId="24182" xr:uid="{00000000-0005-0000-0000-0000870D0000}"/>
    <cellStyle name="20% - Accent2 9 2 2 2 2 2 3 2" xfId="48014" xr:uid="{B088879F-06C0-4327-8056-5DB7B3358C19}"/>
    <cellStyle name="20% - Accent2 9 2 2 2 2 2 4" xfId="32137" xr:uid="{E81162BF-7E59-4320-9CC8-6D14F8BCA1E0}"/>
    <cellStyle name="20% - Accent2 9 2 2 2 2 3" xfId="12698" xr:uid="{00000000-0005-0000-0000-0000880D0000}"/>
    <cellStyle name="20% - Accent2 9 2 2 2 2 3 2" xfId="36547" xr:uid="{A175A32A-EB6C-40E8-BBCF-C6CE99F1D51F}"/>
    <cellStyle name="20% - Accent2 9 2 2 2 2 4" xfId="20653" xr:uid="{00000000-0005-0000-0000-0000890D0000}"/>
    <cellStyle name="20% - Accent2 9 2 2 2 2 4 2" xfId="44485" xr:uid="{D9AD78B3-87CE-4753-A9F4-D7391726EC82}"/>
    <cellStyle name="20% - Accent2 9 2 2 2 2 5" xfId="28606" xr:uid="{A5FF663B-C71A-4C6E-87E3-8AEDA1A6E6FA}"/>
    <cellStyle name="20% - Accent2 9 2 2 2 3" xfId="6507" xr:uid="{00000000-0005-0000-0000-00008A0D0000}"/>
    <cellStyle name="20% - Accent2 9 2 2 2 3 2" xfId="14478" xr:uid="{00000000-0005-0000-0000-00008B0D0000}"/>
    <cellStyle name="20% - Accent2 9 2 2 2 3 2 2" xfId="38320" xr:uid="{AD77F9E3-ADF0-49EF-8711-5C51A3C82D43}"/>
    <cellStyle name="20% - Accent2 9 2 2 2 3 3" xfId="22425" xr:uid="{00000000-0005-0000-0000-00008C0D0000}"/>
    <cellStyle name="20% - Accent2 9 2 2 2 3 3 2" xfId="46257" xr:uid="{62E52691-A709-4055-B1CB-F1A5A89A498A}"/>
    <cellStyle name="20% - Accent2 9 2 2 2 3 4" xfId="30379" xr:uid="{7E87999B-F78B-4FF2-B2D5-CAE0BA31B4E2}"/>
    <cellStyle name="20% - Accent2 9 2 2 2 4" xfId="10942" xr:uid="{00000000-0005-0000-0000-00008D0D0000}"/>
    <cellStyle name="20% - Accent2 9 2 2 2 4 2" xfId="34791" xr:uid="{B38391CD-858F-466F-8972-8C9E5823FBE5}"/>
    <cellStyle name="20% - Accent2 9 2 2 2 5" xfId="18897" xr:uid="{00000000-0005-0000-0000-00008E0D0000}"/>
    <cellStyle name="20% - Accent2 9 2 2 2 5 2" xfId="42729" xr:uid="{96A7AB5C-D96C-4D8D-A4D5-AB2D532F8EAA}"/>
    <cellStyle name="20% - Accent2 9 2 2 2 6" xfId="26849" xr:uid="{69A8EE4E-E1CB-4435-8670-F32BF314C13D}"/>
    <cellStyle name="20% - Accent2 9 2 2 2_Exh G" xfId="2175" xr:uid="{00000000-0005-0000-0000-00008F0D0000}"/>
    <cellStyle name="20% - Accent2 9 2 2 3" xfId="3796" xr:uid="{00000000-0005-0000-0000-0000900D0000}"/>
    <cellStyle name="20% - Accent2 9 2 2 3 2" xfId="7388" xr:uid="{00000000-0005-0000-0000-0000910D0000}"/>
    <cellStyle name="20% - Accent2 9 2 2 3 2 2" xfId="15358" xr:uid="{00000000-0005-0000-0000-0000920D0000}"/>
    <cellStyle name="20% - Accent2 9 2 2 3 2 2 2" xfId="39200" xr:uid="{49592A65-EE57-419A-8331-9D5234A0A059}"/>
    <cellStyle name="20% - Accent2 9 2 2 3 2 3" xfId="23304" xr:uid="{00000000-0005-0000-0000-0000930D0000}"/>
    <cellStyle name="20% - Accent2 9 2 2 3 2 3 2" xfId="47136" xr:uid="{038F7B5F-1530-483D-A69C-02A1873DC262}"/>
    <cellStyle name="20% - Accent2 9 2 2 3 2 4" xfId="31259" xr:uid="{F7940F84-A478-48AB-8028-C99AAC581082}"/>
    <cellStyle name="20% - Accent2 9 2 2 3 3" xfId="11820" xr:uid="{00000000-0005-0000-0000-0000940D0000}"/>
    <cellStyle name="20% - Accent2 9 2 2 3 3 2" xfId="35669" xr:uid="{A3138724-05A9-438F-A855-581172331F2D}"/>
    <cellStyle name="20% - Accent2 9 2 2 3 4" xfId="19775" xr:uid="{00000000-0005-0000-0000-0000950D0000}"/>
    <cellStyle name="20% - Accent2 9 2 2 3 4 2" xfId="43607" xr:uid="{8A829CBC-871D-40D1-A09E-D8F3F84425C3}"/>
    <cellStyle name="20% - Accent2 9 2 2 3 5" xfId="27728" xr:uid="{B910283D-8E16-4A78-8E4B-FF4951699CA7}"/>
    <cellStyle name="20% - Accent2 9 2 2 4" xfId="5616" xr:uid="{00000000-0005-0000-0000-0000960D0000}"/>
    <cellStyle name="20% - Accent2 9 2 2 4 2" xfId="13599" xr:uid="{00000000-0005-0000-0000-0000970D0000}"/>
    <cellStyle name="20% - Accent2 9 2 2 4 2 2" xfId="37442" xr:uid="{D1B4AD03-41DC-4D61-BFE7-91B6BC1E2474}"/>
    <cellStyle name="20% - Accent2 9 2 2 4 3" xfId="21547" xr:uid="{00000000-0005-0000-0000-0000980D0000}"/>
    <cellStyle name="20% - Accent2 9 2 2 4 3 2" xfId="45379" xr:uid="{32482041-642B-49DB-856F-6C6C01EE1EA3}"/>
    <cellStyle name="20% - Accent2 9 2 2 4 4" xfId="29501" xr:uid="{8B9CC86E-2C78-418C-98D6-BC69FB1C0C69}"/>
    <cellStyle name="20% - Accent2 9 2 2 5" xfId="9168" xr:uid="{00000000-0005-0000-0000-0000990D0000}"/>
    <cellStyle name="20% - Accent2 9 2 2 5 2" xfId="17126" xr:uid="{00000000-0005-0000-0000-00009A0D0000}"/>
    <cellStyle name="20% - Accent2 9 2 2 5 2 2" xfId="40966" xr:uid="{6E718AAD-7ED5-47DF-93FF-FC5124415E3F}"/>
    <cellStyle name="20% - Accent2 9 2 2 5 3" xfId="25070" xr:uid="{00000000-0005-0000-0000-00009B0D0000}"/>
    <cellStyle name="20% - Accent2 9 2 2 5 3 2" xfId="48902" xr:uid="{1F7D737F-30DB-4EEA-AE07-C81300F3584C}"/>
    <cellStyle name="20% - Accent2 9 2 2 5 4" xfId="33025" xr:uid="{A372520E-2F48-42DC-9FFB-3C7AE77360FD}"/>
    <cellStyle name="20% - Accent2 9 2 2 6" xfId="10064" xr:uid="{00000000-0005-0000-0000-00009C0D0000}"/>
    <cellStyle name="20% - Accent2 9 2 2 6 2" xfId="33913" xr:uid="{226218CB-A012-4248-A3AA-1154233DA89E}"/>
    <cellStyle name="20% - Accent2 9 2 2 7" xfId="18019" xr:uid="{00000000-0005-0000-0000-00009D0D0000}"/>
    <cellStyle name="20% - Accent2 9 2 2 7 2" xfId="41851" xr:uid="{8F7C2B36-05C4-486B-BDA5-D4B0A7E19987}"/>
    <cellStyle name="20% - Accent2 9 2 2 8" xfId="25971" xr:uid="{229EF98D-E0CC-4B13-A7CB-10CF6CC19F01}"/>
    <cellStyle name="20% - Accent2 9 2 2_Exh G" xfId="2174" xr:uid="{00000000-0005-0000-0000-00009E0D0000}"/>
    <cellStyle name="20% - Accent2 9 2 3" xfId="1147" xr:uid="{00000000-0005-0000-0000-00009F0D0000}"/>
    <cellStyle name="20% - Accent2 9 2 3 2" xfId="4674" xr:uid="{00000000-0005-0000-0000-0000A00D0000}"/>
    <cellStyle name="20% - Accent2 9 2 3 2 2" xfId="8265" xr:uid="{00000000-0005-0000-0000-0000A10D0000}"/>
    <cellStyle name="20% - Accent2 9 2 3 2 2 2" xfId="16235" xr:uid="{00000000-0005-0000-0000-0000A20D0000}"/>
    <cellStyle name="20% - Accent2 9 2 3 2 2 2 2" xfId="40077" xr:uid="{7D916317-74C3-4CC3-9ACB-AA65295D058D}"/>
    <cellStyle name="20% - Accent2 9 2 3 2 2 3" xfId="24181" xr:uid="{00000000-0005-0000-0000-0000A30D0000}"/>
    <cellStyle name="20% - Accent2 9 2 3 2 2 3 2" xfId="48013" xr:uid="{602548BC-A7A9-4978-8398-A8A18673452A}"/>
    <cellStyle name="20% - Accent2 9 2 3 2 2 4" xfId="32136" xr:uid="{1827D43E-A894-4BC2-9976-D7CA94F85EB3}"/>
    <cellStyle name="20% - Accent2 9 2 3 2 3" xfId="12697" xr:uid="{00000000-0005-0000-0000-0000A40D0000}"/>
    <cellStyle name="20% - Accent2 9 2 3 2 3 2" xfId="36546" xr:uid="{EF8514E3-7A8F-4944-B135-5ADD1C93867E}"/>
    <cellStyle name="20% - Accent2 9 2 3 2 4" xfId="20652" xr:uid="{00000000-0005-0000-0000-0000A50D0000}"/>
    <cellStyle name="20% - Accent2 9 2 3 2 4 2" xfId="44484" xr:uid="{608CA598-07F8-487C-8164-B2CF0FEDC4C3}"/>
    <cellStyle name="20% - Accent2 9 2 3 2 5" xfId="28605" xr:uid="{2CDF7BD3-5AF7-49E4-8490-8C5E77CC1BD0}"/>
    <cellStyle name="20% - Accent2 9 2 3 3" xfId="6506" xr:uid="{00000000-0005-0000-0000-0000A60D0000}"/>
    <cellStyle name="20% - Accent2 9 2 3 3 2" xfId="14477" xr:uid="{00000000-0005-0000-0000-0000A70D0000}"/>
    <cellStyle name="20% - Accent2 9 2 3 3 2 2" xfId="38319" xr:uid="{46F38894-4FE8-4E39-B2FF-4BBCC26AE9C9}"/>
    <cellStyle name="20% - Accent2 9 2 3 3 3" xfId="22424" xr:uid="{00000000-0005-0000-0000-0000A80D0000}"/>
    <cellStyle name="20% - Accent2 9 2 3 3 3 2" xfId="46256" xr:uid="{28B5D8E8-9790-40FC-92F5-6E637E40B19C}"/>
    <cellStyle name="20% - Accent2 9 2 3 3 4" xfId="30378" xr:uid="{DDE91804-5944-4FAA-999C-CD642883CC88}"/>
    <cellStyle name="20% - Accent2 9 2 3 4" xfId="10941" xr:uid="{00000000-0005-0000-0000-0000A90D0000}"/>
    <cellStyle name="20% - Accent2 9 2 3 4 2" xfId="34790" xr:uid="{222C14A3-3524-43EA-8EB1-78953D635AC9}"/>
    <cellStyle name="20% - Accent2 9 2 3 5" xfId="18896" xr:uid="{00000000-0005-0000-0000-0000AA0D0000}"/>
    <cellStyle name="20% - Accent2 9 2 3 5 2" xfId="42728" xr:uid="{79A04696-2638-4C17-A764-C5AF90E68453}"/>
    <cellStyle name="20% - Accent2 9 2 3 6" xfId="26848" xr:uid="{5B09119B-7B4B-4DA8-9982-979474CC79D4}"/>
    <cellStyle name="20% - Accent2 9 2 3_Exh G" xfId="2176" xr:uid="{00000000-0005-0000-0000-0000AB0D0000}"/>
    <cellStyle name="20% - Accent2 9 2 4" xfId="3795" xr:uid="{00000000-0005-0000-0000-0000AC0D0000}"/>
    <cellStyle name="20% - Accent2 9 2 4 2" xfId="7387" xr:uid="{00000000-0005-0000-0000-0000AD0D0000}"/>
    <cellStyle name="20% - Accent2 9 2 4 2 2" xfId="15357" xr:uid="{00000000-0005-0000-0000-0000AE0D0000}"/>
    <cellStyle name="20% - Accent2 9 2 4 2 2 2" xfId="39199" xr:uid="{B4331543-FCBB-4402-923F-643AD8E031FF}"/>
    <cellStyle name="20% - Accent2 9 2 4 2 3" xfId="23303" xr:uid="{00000000-0005-0000-0000-0000AF0D0000}"/>
    <cellStyle name="20% - Accent2 9 2 4 2 3 2" xfId="47135" xr:uid="{99776114-B9A6-4434-B9E8-75E5D83EA0E0}"/>
    <cellStyle name="20% - Accent2 9 2 4 2 4" xfId="31258" xr:uid="{1E2C7A0C-61AD-4E0D-9952-5A90747FE627}"/>
    <cellStyle name="20% - Accent2 9 2 4 3" xfId="11819" xr:uid="{00000000-0005-0000-0000-0000B00D0000}"/>
    <cellStyle name="20% - Accent2 9 2 4 3 2" xfId="35668" xr:uid="{6B7D525F-385B-4573-8F20-C867460C5DEB}"/>
    <cellStyle name="20% - Accent2 9 2 4 4" xfId="19774" xr:uid="{00000000-0005-0000-0000-0000B10D0000}"/>
    <cellStyle name="20% - Accent2 9 2 4 4 2" xfId="43606" xr:uid="{E926B0D3-E20F-4A91-90D4-8B1DAE0F1EAB}"/>
    <cellStyle name="20% - Accent2 9 2 4 5" xfId="27727" xr:uid="{A27911C5-D61D-49D6-A0B2-3C9A42935FA7}"/>
    <cellStyle name="20% - Accent2 9 2 5" xfId="5615" xr:uid="{00000000-0005-0000-0000-0000B20D0000}"/>
    <cellStyle name="20% - Accent2 9 2 5 2" xfId="13598" xr:uid="{00000000-0005-0000-0000-0000B30D0000}"/>
    <cellStyle name="20% - Accent2 9 2 5 2 2" xfId="37441" xr:uid="{29D67AD0-4557-4A3D-83B0-5C3DE7B3B7EB}"/>
    <cellStyle name="20% - Accent2 9 2 5 3" xfId="21546" xr:uid="{00000000-0005-0000-0000-0000B40D0000}"/>
    <cellStyle name="20% - Accent2 9 2 5 3 2" xfId="45378" xr:uid="{F1E57235-B9CC-4BDF-BE62-19986028DD63}"/>
    <cellStyle name="20% - Accent2 9 2 5 4" xfId="29500" xr:uid="{5F37A538-E1DB-4F78-8C0D-FF6D05174F0C}"/>
    <cellStyle name="20% - Accent2 9 2 6" xfId="9167" xr:uid="{00000000-0005-0000-0000-0000B50D0000}"/>
    <cellStyle name="20% - Accent2 9 2 6 2" xfId="17125" xr:uid="{00000000-0005-0000-0000-0000B60D0000}"/>
    <cellStyle name="20% - Accent2 9 2 6 2 2" xfId="40965" xr:uid="{D92E7086-B5D2-4B38-98D9-EFFBCB78F3FE}"/>
    <cellStyle name="20% - Accent2 9 2 6 3" xfId="25069" xr:uid="{00000000-0005-0000-0000-0000B70D0000}"/>
    <cellStyle name="20% - Accent2 9 2 6 3 2" xfId="48901" xr:uid="{1AF1397B-ADD8-4BC7-B7B5-CFF3E58AB4D0}"/>
    <cellStyle name="20% - Accent2 9 2 6 4" xfId="33024" xr:uid="{35FFE49E-3BFA-4639-9961-61B4E9089C2D}"/>
    <cellStyle name="20% - Accent2 9 2 7" xfId="10063" xr:uid="{00000000-0005-0000-0000-0000B80D0000}"/>
    <cellStyle name="20% - Accent2 9 2 7 2" xfId="33912" xr:uid="{6A0B60B6-71EA-4C1B-8AD2-7E2E68F686BF}"/>
    <cellStyle name="20% - Accent2 9 2 8" xfId="18018" xr:uid="{00000000-0005-0000-0000-0000B90D0000}"/>
    <cellStyle name="20% - Accent2 9 2 8 2" xfId="41850" xr:uid="{E89325B5-40EB-44DC-A16B-5DFD35C003A5}"/>
    <cellStyle name="20% - Accent2 9 2 9" xfId="25970" xr:uid="{7B4CBDBF-5C34-49B0-851A-A6E33EB4A968}"/>
    <cellStyle name="20% - Accent2 9 2_Exh G" xfId="2173" xr:uid="{00000000-0005-0000-0000-0000BA0D0000}"/>
    <cellStyle name="20% - Accent2 9 3" xfId="123" xr:uid="{00000000-0005-0000-0000-0000BB0D0000}"/>
    <cellStyle name="20% - Accent2 9 3 2" xfId="1149" xr:uid="{00000000-0005-0000-0000-0000BC0D0000}"/>
    <cellStyle name="20% - Accent2 9 3 2 2" xfId="4676" xr:uid="{00000000-0005-0000-0000-0000BD0D0000}"/>
    <cellStyle name="20% - Accent2 9 3 2 2 2" xfId="8267" xr:uid="{00000000-0005-0000-0000-0000BE0D0000}"/>
    <cellStyle name="20% - Accent2 9 3 2 2 2 2" xfId="16237" xr:uid="{00000000-0005-0000-0000-0000BF0D0000}"/>
    <cellStyle name="20% - Accent2 9 3 2 2 2 2 2" xfId="40079" xr:uid="{1A54CE07-E86D-4690-BC06-D4FCA0DED9D9}"/>
    <cellStyle name="20% - Accent2 9 3 2 2 2 3" xfId="24183" xr:uid="{00000000-0005-0000-0000-0000C00D0000}"/>
    <cellStyle name="20% - Accent2 9 3 2 2 2 3 2" xfId="48015" xr:uid="{EC62F35F-9550-4D9F-8039-B1D2FB7B4F02}"/>
    <cellStyle name="20% - Accent2 9 3 2 2 2 4" xfId="32138" xr:uid="{A843F50F-AC80-4284-B4A1-2AA992F4A2B1}"/>
    <cellStyle name="20% - Accent2 9 3 2 2 3" xfId="12699" xr:uid="{00000000-0005-0000-0000-0000C10D0000}"/>
    <cellStyle name="20% - Accent2 9 3 2 2 3 2" xfId="36548" xr:uid="{216341BE-560C-40C9-B8E3-31BB701C3945}"/>
    <cellStyle name="20% - Accent2 9 3 2 2 4" xfId="20654" xr:uid="{00000000-0005-0000-0000-0000C20D0000}"/>
    <cellStyle name="20% - Accent2 9 3 2 2 4 2" xfId="44486" xr:uid="{072ABEC1-6769-4361-A69D-D29B47CE9AAF}"/>
    <cellStyle name="20% - Accent2 9 3 2 2 5" xfId="28607" xr:uid="{19BE960E-D830-443A-AAE5-E71398E245EE}"/>
    <cellStyle name="20% - Accent2 9 3 2 3" xfId="6508" xr:uid="{00000000-0005-0000-0000-0000C30D0000}"/>
    <cellStyle name="20% - Accent2 9 3 2 3 2" xfId="14479" xr:uid="{00000000-0005-0000-0000-0000C40D0000}"/>
    <cellStyle name="20% - Accent2 9 3 2 3 2 2" xfId="38321" xr:uid="{1B79D50D-4304-43C0-8251-2AF7F539345A}"/>
    <cellStyle name="20% - Accent2 9 3 2 3 3" xfId="22426" xr:uid="{00000000-0005-0000-0000-0000C50D0000}"/>
    <cellStyle name="20% - Accent2 9 3 2 3 3 2" xfId="46258" xr:uid="{1855E073-71A7-467E-869A-41E878D71C53}"/>
    <cellStyle name="20% - Accent2 9 3 2 3 4" xfId="30380" xr:uid="{350A8DCA-5E58-4504-9112-98715B326C8B}"/>
    <cellStyle name="20% - Accent2 9 3 2 4" xfId="10943" xr:uid="{00000000-0005-0000-0000-0000C60D0000}"/>
    <cellStyle name="20% - Accent2 9 3 2 4 2" xfId="34792" xr:uid="{96853D6F-D18D-4399-B7E9-C5297E957BFC}"/>
    <cellStyle name="20% - Accent2 9 3 2 5" xfId="18898" xr:uid="{00000000-0005-0000-0000-0000C70D0000}"/>
    <cellStyle name="20% - Accent2 9 3 2 5 2" xfId="42730" xr:uid="{0F9E8426-8D60-41E9-816D-D45E412A58CB}"/>
    <cellStyle name="20% - Accent2 9 3 2 6" xfId="26850" xr:uid="{E2BFAA3B-A7AB-417F-9756-C87706C442B3}"/>
    <cellStyle name="20% - Accent2 9 3 2_Exh G" xfId="2178" xr:uid="{00000000-0005-0000-0000-0000C80D0000}"/>
    <cellStyle name="20% - Accent2 9 3 3" xfId="3797" xr:uid="{00000000-0005-0000-0000-0000C90D0000}"/>
    <cellStyle name="20% - Accent2 9 3 3 2" xfId="7389" xr:uid="{00000000-0005-0000-0000-0000CA0D0000}"/>
    <cellStyle name="20% - Accent2 9 3 3 2 2" xfId="15359" xr:uid="{00000000-0005-0000-0000-0000CB0D0000}"/>
    <cellStyle name="20% - Accent2 9 3 3 2 2 2" xfId="39201" xr:uid="{D49FC7FB-B6D8-4A5C-AB8B-A93B140A9322}"/>
    <cellStyle name="20% - Accent2 9 3 3 2 3" xfId="23305" xr:uid="{00000000-0005-0000-0000-0000CC0D0000}"/>
    <cellStyle name="20% - Accent2 9 3 3 2 3 2" xfId="47137" xr:uid="{4714624A-AAE2-48BF-8A76-5C6F3A0D9152}"/>
    <cellStyle name="20% - Accent2 9 3 3 2 4" xfId="31260" xr:uid="{A824AB4E-22CF-4A6D-9C8F-ED5C575BE905}"/>
    <cellStyle name="20% - Accent2 9 3 3 3" xfId="11821" xr:uid="{00000000-0005-0000-0000-0000CD0D0000}"/>
    <cellStyle name="20% - Accent2 9 3 3 3 2" xfId="35670" xr:uid="{7D2B38E7-6C59-4E8E-B724-613CC5C4F637}"/>
    <cellStyle name="20% - Accent2 9 3 3 4" xfId="19776" xr:uid="{00000000-0005-0000-0000-0000CE0D0000}"/>
    <cellStyle name="20% - Accent2 9 3 3 4 2" xfId="43608" xr:uid="{85047ED3-BD2E-49CF-97D0-1EF3AE349034}"/>
    <cellStyle name="20% - Accent2 9 3 3 5" xfId="27729" xr:uid="{9FE83A2E-319E-46AB-914C-4F071339BE8D}"/>
    <cellStyle name="20% - Accent2 9 3 4" xfId="5617" xr:uid="{00000000-0005-0000-0000-0000CF0D0000}"/>
    <cellStyle name="20% - Accent2 9 3 4 2" xfId="13600" xr:uid="{00000000-0005-0000-0000-0000D00D0000}"/>
    <cellStyle name="20% - Accent2 9 3 4 2 2" xfId="37443" xr:uid="{F7B1DD2F-A2B9-4CEC-83C9-C8365CA5F606}"/>
    <cellStyle name="20% - Accent2 9 3 4 3" xfId="21548" xr:uid="{00000000-0005-0000-0000-0000D10D0000}"/>
    <cellStyle name="20% - Accent2 9 3 4 3 2" xfId="45380" xr:uid="{C8CD360B-027A-427F-9CEC-C59275A40525}"/>
    <cellStyle name="20% - Accent2 9 3 4 4" xfId="29502" xr:uid="{90011BD4-EC2E-4AC8-8C12-F821810B8589}"/>
    <cellStyle name="20% - Accent2 9 3 5" xfId="9169" xr:uid="{00000000-0005-0000-0000-0000D20D0000}"/>
    <cellStyle name="20% - Accent2 9 3 5 2" xfId="17127" xr:uid="{00000000-0005-0000-0000-0000D30D0000}"/>
    <cellStyle name="20% - Accent2 9 3 5 2 2" xfId="40967" xr:uid="{8A4293DD-DF02-4B8E-A741-0043D90F592A}"/>
    <cellStyle name="20% - Accent2 9 3 5 3" xfId="25071" xr:uid="{00000000-0005-0000-0000-0000D40D0000}"/>
    <cellStyle name="20% - Accent2 9 3 5 3 2" xfId="48903" xr:uid="{ADDC7565-7F1F-42D8-8C32-C5F2F52B1C6A}"/>
    <cellStyle name="20% - Accent2 9 3 5 4" xfId="33026" xr:uid="{FADF9F83-F6C7-401E-8F06-0FE22DF9393E}"/>
    <cellStyle name="20% - Accent2 9 3 6" xfId="10065" xr:uid="{00000000-0005-0000-0000-0000D50D0000}"/>
    <cellStyle name="20% - Accent2 9 3 6 2" xfId="33914" xr:uid="{3E80A2F1-084A-472A-B845-08A8F868ADEF}"/>
    <cellStyle name="20% - Accent2 9 3 7" xfId="18020" xr:uid="{00000000-0005-0000-0000-0000D60D0000}"/>
    <cellStyle name="20% - Accent2 9 3 7 2" xfId="41852" xr:uid="{5AE683BB-6680-4691-B17A-9EF90C88BD2F}"/>
    <cellStyle name="20% - Accent2 9 3 8" xfId="25972" xr:uid="{D3FC5DB7-5D16-479F-BC37-A198AB3A06CE}"/>
    <cellStyle name="20% - Accent2 9 3_Exh G" xfId="2177" xr:uid="{00000000-0005-0000-0000-0000D70D0000}"/>
    <cellStyle name="20% - Accent2 9 4" xfId="882" xr:uid="{00000000-0005-0000-0000-0000D80D0000}"/>
    <cellStyle name="20% - Accent2 9 4 2" xfId="1811" xr:uid="{00000000-0005-0000-0000-0000D90D0000}"/>
    <cellStyle name="20% - Accent2 9 4 2 2" xfId="5328" xr:uid="{00000000-0005-0000-0000-0000DA0D0000}"/>
    <cellStyle name="20% - Accent2 9 4 2 2 2" xfId="8919" xr:uid="{00000000-0005-0000-0000-0000DB0D0000}"/>
    <cellStyle name="20% - Accent2 9 4 2 2 2 2" xfId="16889" xr:uid="{00000000-0005-0000-0000-0000DC0D0000}"/>
    <cellStyle name="20% - Accent2 9 4 2 2 2 2 2" xfId="40731" xr:uid="{347E43C5-6ACA-429B-86D9-B0754DAE7849}"/>
    <cellStyle name="20% - Accent2 9 4 2 2 2 3" xfId="24835" xr:uid="{00000000-0005-0000-0000-0000DD0D0000}"/>
    <cellStyle name="20% - Accent2 9 4 2 2 2 3 2" xfId="48667" xr:uid="{7AA2D51C-76EB-4E35-8503-22CF3A6A38EA}"/>
    <cellStyle name="20% - Accent2 9 4 2 2 2 4" xfId="32790" xr:uid="{99E45B63-D53E-4CA1-BA80-F14E97581702}"/>
    <cellStyle name="20% - Accent2 9 4 2 2 3" xfId="13351" xr:uid="{00000000-0005-0000-0000-0000DE0D0000}"/>
    <cellStyle name="20% - Accent2 9 4 2 2 3 2" xfId="37200" xr:uid="{7A263379-4F0A-4079-A0EA-01B79774B84C}"/>
    <cellStyle name="20% - Accent2 9 4 2 2 4" xfId="21306" xr:uid="{00000000-0005-0000-0000-0000DF0D0000}"/>
    <cellStyle name="20% - Accent2 9 4 2 2 4 2" xfId="45138" xr:uid="{75072A74-103A-4117-A385-A44FCAD957CF}"/>
    <cellStyle name="20% - Accent2 9 4 2 2 5" xfId="29259" xr:uid="{C55A29FD-76DF-4B19-AC8F-6471EB9C6355}"/>
    <cellStyle name="20% - Accent2 9 4 2 3" xfId="7160" xr:uid="{00000000-0005-0000-0000-0000E00D0000}"/>
    <cellStyle name="20% - Accent2 9 4 2 3 2" xfId="15131" xr:uid="{00000000-0005-0000-0000-0000E10D0000}"/>
    <cellStyle name="20% - Accent2 9 4 2 3 2 2" xfId="38973" xr:uid="{70125B86-4EB0-427E-AC76-56B64BF0E70F}"/>
    <cellStyle name="20% - Accent2 9 4 2 3 3" xfId="23078" xr:uid="{00000000-0005-0000-0000-0000E20D0000}"/>
    <cellStyle name="20% - Accent2 9 4 2 3 3 2" xfId="46910" xr:uid="{25CDFD88-DBF3-476F-9624-0A1EF2DBBC06}"/>
    <cellStyle name="20% - Accent2 9 4 2 3 4" xfId="31032" xr:uid="{57C3568A-7B48-45BB-9467-D0FBCFEC1E93}"/>
    <cellStyle name="20% - Accent2 9 4 2 4" xfId="11595" xr:uid="{00000000-0005-0000-0000-0000E30D0000}"/>
    <cellStyle name="20% - Accent2 9 4 2 4 2" xfId="35444" xr:uid="{B93C9C83-C198-4A75-844C-C235B1F5F945}"/>
    <cellStyle name="20% - Accent2 9 4 2 5" xfId="19550" xr:uid="{00000000-0005-0000-0000-0000E40D0000}"/>
    <cellStyle name="20% - Accent2 9 4 2 5 2" xfId="43382" xr:uid="{BA8F9FAD-680C-4975-B68C-B572CDFF693B}"/>
    <cellStyle name="20% - Accent2 9 4 2 6" xfId="27502" xr:uid="{120C81FB-57D1-48CC-B7A6-7B5450614397}"/>
    <cellStyle name="20% - Accent2 9 4 2_Exh G" xfId="2180" xr:uid="{00000000-0005-0000-0000-0000E50D0000}"/>
    <cellStyle name="20% - Accent2 9 4 3" xfId="4449" xr:uid="{00000000-0005-0000-0000-0000E60D0000}"/>
    <cellStyle name="20% - Accent2 9 4 3 2" xfId="8041" xr:uid="{00000000-0005-0000-0000-0000E70D0000}"/>
    <cellStyle name="20% - Accent2 9 4 3 2 2" xfId="16011" xr:uid="{00000000-0005-0000-0000-0000E80D0000}"/>
    <cellStyle name="20% - Accent2 9 4 3 2 2 2" xfId="39853" xr:uid="{83F603B0-5E41-458D-AC9F-5D923496F4CF}"/>
    <cellStyle name="20% - Accent2 9 4 3 2 3" xfId="23957" xr:uid="{00000000-0005-0000-0000-0000E90D0000}"/>
    <cellStyle name="20% - Accent2 9 4 3 2 3 2" xfId="47789" xr:uid="{25C87D30-0853-48A0-B447-41E1E36B5269}"/>
    <cellStyle name="20% - Accent2 9 4 3 2 4" xfId="31912" xr:uid="{2F799FAF-A571-453F-90F6-79ACB0C1B687}"/>
    <cellStyle name="20% - Accent2 9 4 3 3" xfId="12473" xr:uid="{00000000-0005-0000-0000-0000EA0D0000}"/>
    <cellStyle name="20% - Accent2 9 4 3 3 2" xfId="36322" xr:uid="{D603DBE4-318E-4D33-935E-93E2C45E4F39}"/>
    <cellStyle name="20% - Accent2 9 4 3 4" xfId="20428" xr:uid="{00000000-0005-0000-0000-0000EB0D0000}"/>
    <cellStyle name="20% - Accent2 9 4 3 4 2" xfId="44260" xr:uid="{C7E86FF8-1CA4-4AC3-907A-A419A9C3FD8E}"/>
    <cellStyle name="20% - Accent2 9 4 3 5" xfId="28381" xr:uid="{D82AB0F4-CDF5-41B2-B32D-6DFEBF8760B5}"/>
    <cellStyle name="20% - Accent2 9 4 4" xfId="6279" xr:uid="{00000000-0005-0000-0000-0000EC0D0000}"/>
    <cellStyle name="20% - Accent2 9 4 4 2" xfId="14253" xr:uid="{00000000-0005-0000-0000-0000ED0D0000}"/>
    <cellStyle name="20% - Accent2 9 4 4 2 2" xfId="38095" xr:uid="{03F6C224-40EA-4343-9A4F-13EE4603E931}"/>
    <cellStyle name="20% - Accent2 9 4 4 3" xfId="22200" xr:uid="{00000000-0005-0000-0000-0000EE0D0000}"/>
    <cellStyle name="20% - Accent2 9 4 4 3 2" xfId="46032" xr:uid="{7DCB32D5-D319-444D-A349-1A5C43BD132F}"/>
    <cellStyle name="20% - Accent2 9 4 4 4" xfId="30154" xr:uid="{32EA5D41-8AA3-4601-8841-560F2C6C3339}"/>
    <cellStyle name="20% - Accent2 9 4 5" xfId="9821" xr:uid="{00000000-0005-0000-0000-0000EF0D0000}"/>
    <cellStyle name="20% - Accent2 9 4 5 2" xfId="17779" xr:uid="{00000000-0005-0000-0000-0000F00D0000}"/>
    <cellStyle name="20% - Accent2 9 4 5 2 2" xfId="41619" xr:uid="{A4DAC697-5312-43EE-8358-E45B204ED733}"/>
    <cellStyle name="20% - Accent2 9 4 5 3" xfId="25723" xr:uid="{00000000-0005-0000-0000-0000F10D0000}"/>
    <cellStyle name="20% - Accent2 9 4 5 3 2" xfId="49555" xr:uid="{600DD84E-674A-434C-A18B-36B22212FA93}"/>
    <cellStyle name="20% - Accent2 9 4 5 4" xfId="33678" xr:uid="{839D98AC-2E8B-4553-A477-DC43795BF8B8}"/>
    <cellStyle name="20% - Accent2 9 4 6" xfId="10717" xr:uid="{00000000-0005-0000-0000-0000F20D0000}"/>
    <cellStyle name="20% - Accent2 9 4 6 2" xfId="34566" xr:uid="{3D22D6E1-63DC-476E-AE59-F21CC333A7F2}"/>
    <cellStyle name="20% - Accent2 9 4 7" xfId="18672" xr:uid="{00000000-0005-0000-0000-0000F30D0000}"/>
    <cellStyle name="20% - Accent2 9 4 7 2" xfId="42504" xr:uid="{D2D96F79-FC8F-466B-9F86-41B6C76E477E}"/>
    <cellStyle name="20% - Accent2 9 4 8" xfId="26624" xr:uid="{D37976C9-031B-48F8-AA9A-593062200256}"/>
    <cellStyle name="20% - Accent2 9 4_Exh G" xfId="2179" xr:uid="{00000000-0005-0000-0000-0000F40D0000}"/>
    <cellStyle name="20% - Accent2 9 5" xfId="1146" xr:uid="{00000000-0005-0000-0000-0000F50D0000}"/>
    <cellStyle name="20% - Accent2 9 5 2" xfId="4673" xr:uid="{00000000-0005-0000-0000-0000F60D0000}"/>
    <cellStyle name="20% - Accent2 9 5 2 2" xfId="8264" xr:uid="{00000000-0005-0000-0000-0000F70D0000}"/>
    <cellStyle name="20% - Accent2 9 5 2 2 2" xfId="16234" xr:uid="{00000000-0005-0000-0000-0000F80D0000}"/>
    <cellStyle name="20% - Accent2 9 5 2 2 2 2" xfId="40076" xr:uid="{7806A9A5-E513-41AC-B45E-2B21EEA9DC2B}"/>
    <cellStyle name="20% - Accent2 9 5 2 2 3" xfId="24180" xr:uid="{00000000-0005-0000-0000-0000F90D0000}"/>
    <cellStyle name="20% - Accent2 9 5 2 2 3 2" xfId="48012" xr:uid="{0C2E647D-E720-4D7E-B7A8-469482ACF7C2}"/>
    <cellStyle name="20% - Accent2 9 5 2 2 4" xfId="32135" xr:uid="{88308990-FB29-42F6-A35C-8D2F4EBA5C8A}"/>
    <cellStyle name="20% - Accent2 9 5 2 3" xfId="12696" xr:uid="{00000000-0005-0000-0000-0000FA0D0000}"/>
    <cellStyle name="20% - Accent2 9 5 2 3 2" xfId="36545" xr:uid="{C1F98048-A2A9-4E6D-8B85-A67E94873172}"/>
    <cellStyle name="20% - Accent2 9 5 2 4" xfId="20651" xr:uid="{00000000-0005-0000-0000-0000FB0D0000}"/>
    <cellStyle name="20% - Accent2 9 5 2 4 2" xfId="44483" xr:uid="{661C8A68-29A7-4C1C-980F-893826AFE561}"/>
    <cellStyle name="20% - Accent2 9 5 2 5" xfId="28604" xr:uid="{E8C96CA7-4C29-41FB-BF03-B8D4ECD39DD6}"/>
    <cellStyle name="20% - Accent2 9 5 3" xfId="6505" xr:uid="{00000000-0005-0000-0000-0000FC0D0000}"/>
    <cellStyle name="20% - Accent2 9 5 3 2" xfId="14476" xr:uid="{00000000-0005-0000-0000-0000FD0D0000}"/>
    <cellStyle name="20% - Accent2 9 5 3 2 2" xfId="38318" xr:uid="{79321B20-26A8-4912-A1E8-E29AC59F9113}"/>
    <cellStyle name="20% - Accent2 9 5 3 3" xfId="22423" xr:uid="{00000000-0005-0000-0000-0000FE0D0000}"/>
    <cellStyle name="20% - Accent2 9 5 3 3 2" xfId="46255" xr:uid="{981D0109-6D71-469E-A111-5F6C9FAB6529}"/>
    <cellStyle name="20% - Accent2 9 5 3 4" xfId="30377" xr:uid="{8376D341-6217-4CC8-9CF6-63982FA54F86}"/>
    <cellStyle name="20% - Accent2 9 5 4" xfId="10940" xr:uid="{00000000-0005-0000-0000-0000FF0D0000}"/>
    <cellStyle name="20% - Accent2 9 5 4 2" xfId="34789" xr:uid="{5A3B7A3B-E974-4748-890A-EDB4AE42F042}"/>
    <cellStyle name="20% - Accent2 9 5 5" xfId="18895" xr:uid="{00000000-0005-0000-0000-0000000E0000}"/>
    <cellStyle name="20% - Accent2 9 5 5 2" xfId="42727" xr:uid="{49D741F7-EEAC-4CA8-A6C6-D90E37614F81}"/>
    <cellStyle name="20% - Accent2 9 5 6" xfId="26847" xr:uid="{7474D710-DBC4-437E-A5BD-9B9ABE743CC6}"/>
    <cellStyle name="20% - Accent2 9 5_Exh G" xfId="2181" xr:uid="{00000000-0005-0000-0000-0000010E0000}"/>
    <cellStyle name="20% - Accent2 9 6" xfId="3794" xr:uid="{00000000-0005-0000-0000-0000020E0000}"/>
    <cellStyle name="20% - Accent2 9 6 2" xfId="7386" xr:uid="{00000000-0005-0000-0000-0000030E0000}"/>
    <cellStyle name="20% - Accent2 9 6 2 2" xfId="15356" xr:uid="{00000000-0005-0000-0000-0000040E0000}"/>
    <cellStyle name="20% - Accent2 9 6 2 2 2" xfId="39198" xr:uid="{FDA1A435-1A97-4A18-BBCE-D6816BA9EE23}"/>
    <cellStyle name="20% - Accent2 9 6 2 3" xfId="23302" xr:uid="{00000000-0005-0000-0000-0000050E0000}"/>
    <cellStyle name="20% - Accent2 9 6 2 3 2" xfId="47134" xr:uid="{740E78B2-62F9-4BDC-B62F-AA6AC1D33623}"/>
    <cellStyle name="20% - Accent2 9 6 2 4" xfId="31257" xr:uid="{D1D27341-6462-48EA-8C20-CF8348828A9F}"/>
    <cellStyle name="20% - Accent2 9 6 3" xfId="11818" xr:uid="{00000000-0005-0000-0000-0000060E0000}"/>
    <cellStyle name="20% - Accent2 9 6 3 2" xfId="35667" xr:uid="{FDDFD414-9489-4F56-95EE-50DBE6EC0C5E}"/>
    <cellStyle name="20% - Accent2 9 6 4" xfId="19773" xr:uid="{00000000-0005-0000-0000-0000070E0000}"/>
    <cellStyle name="20% - Accent2 9 6 4 2" xfId="43605" xr:uid="{8CB8E444-57AF-47D2-9104-095F43FD1714}"/>
    <cellStyle name="20% - Accent2 9 6 5" xfId="27726" xr:uid="{1EEF63E7-1EA4-4871-AE53-4A13C9CDCE7A}"/>
    <cellStyle name="20% - Accent2 9 7" xfId="5614" xr:uid="{00000000-0005-0000-0000-0000080E0000}"/>
    <cellStyle name="20% - Accent2 9 7 2" xfId="13597" xr:uid="{00000000-0005-0000-0000-0000090E0000}"/>
    <cellStyle name="20% - Accent2 9 7 2 2" xfId="37440" xr:uid="{02324F3C-9E86-44FD-ACD7-D54C02070FB6}"/>
    <cellStyle name="20% - Accent2 9 7 3" xfId="21545" xr:uid="{00000000-0005-0000-0000-00000A0E0000}"/>
    <cellStyle name="20% - Accent2 9 7 3 2" xfId="45377" xr:uid="{00C85549-162E-4F58-8040-46572950B9D6}"/>
    <cellStyle name="20% - Accent2 9 7 4" xfId="29499" xr:uid="{DC3EA9BD-D581-4939-939A-65F3E63A572F}"/>
    <cellStyle name="20% - Accent2 9 8" xfId="9166" xr:uid="{00000000-0005-0000-0000-00000B0E0000}"/>
    <cellStyle name="20% - Accent2 9 8 2" xfId="17124" xr:uid="{00000000-0005-0000-0000-00000C0E0000}"/>
    <cellStyle name="20% - Accent2 9 8 2 2" xfId="40964" xr:uid="{B20CFC5B-B773-49CD-BF19-7AF141165A62}"/>
    <cellStyle name="20% - Accent2 9 8 3" xfId="25068" xr:uid="{00000000-0005-0000-0000-00000D0E0000}"/>
    <cellStyle name="20% - Accent2 9 8 3 2" xfId="48900" xr:uid="{584E74C7-1999-4F35-8D3A-C55C98AFF04A}"/>
    <cellStyle name="20% - Accent2 9 8 4" xfId="33023" xr:uid="{38B3F35A-F5F5-44A0-B843-E1E69A48AC80}"/>
    <cellStyle name="20% - Accent2 9 9" xfId="10062" xr:uid="{00000000-0005-0000-0000-00000E0E0000}"/>
    <cellStyle name="20% - Accent2 9 9 2" xfId="33911" xr:uid="{D8517930-7FA2-4ED9-BA30-4ADC32819E87}"/>
    <cellStyle name="20% - Accent2 9_Exh G" xfId="2172" xr:uid="{00000000-0005-0000-0000-00000F0E0000}"/>
    <cellStyle name="20% - Accent3" xfId="49689" builtinId="38" customBuiltin="1"/>
    <cellStyle name="20% - Accent3 10" xfId="124" xr:uid="{00000000-0005-0000-0000-0000100E0000}"/>
    <cellStyle name="20% - Accent3 10 10" xfId="18021" xr:uid="{00000000-0005-0000-0000-0000110E0000}"/>
    <cellStyle name="20% - Accent3 10 10 2" xfId="41853" xr:uid="{B7EBE328-81E5-466F-8D49-6605D0B1BA71}"/>
    <cellStyle name="20% - Accent3 10 11" xfId="25973" xr:uid="{1D52A2F3-31DE-4CF3-B202-E15111EEDB45}"/>
    <cellStyle name="20% - Accent3 10 2" xfId="125" xr:uid="{00000000-0005-0000-0000-0000120E0000}"/>
    <cellStyle name="20% - Accent3 10 2 2" xfId="126" xr:uid="{00000000-0005-0000-0000-0000130E0000}"/>
    <cellStyle name="20% - Accent3 10 2 2 2" xfId="1152" xr:uid="{00000000-0005-0000-0000-0000140E0000}"/>
    <cellStyle name="20% - Accent3 10 2 2 2 2" xfId="4679" xr:uid="{00000000-0005-0000-0000-0000150E0000}"/>
    <cellStyle name="20% - Accent3 10 2 2 2 2 2" xfId="8270" xr:uid="{00000000-0005-0000-0000-0000160E0000}"/>
    <cellStyle name="20% - Accent3 10 2 2 2 2 2 2" xfId="16240" xr:uid="{00000000-0005-0000-0000-0000170E0000}"/>
    <cellStyle name="20% - Accent3 10 2 2 2 2 2 2 2" xfId="40082" xr:uid="{5D92C39E-3D8F-4429-AC7D-6BFD7CD5BEE1}"/>
    <cellStyle name="20% - Accent3 10 2 2 2 2 2 3" xfId="24186" xr:uid="{00000000-0005-0000-0000-0000180E0000}"/>
    <cellStyle name="20% - Accent3 10 2 2 2 2 2 3 2" xfId="48018" xr:uid="{A53ACEEF-87FD-482E-B040-896F31443574}"/>
    <cellStyle name="20% - Accent3 10 2 2 2 2 2 4" xfId="32141" xr:uid="{0475B26A-B346-4F18-9BD7-C2A5AE3653C8}"/>
    <cellStyle name="20% - Accent3 10 2 2 2 2 3" xfId="12702" xr:uid="{00000000-0005-0000-0000-0000190E0000}"/>
    <cellStyle name="20% - Accent3 10 2 2 2 2 3 2" xfId="36551" xr:uid="{E4C49A84-024C-436A-8E2A-5C9FC6155E0E}"/>
    <cellStyle name="20% - Accent3 10 2 2 2 2 4" xfId="20657" xr:uid="{00000000-0005-0000-0000-00001A0E0000}"/>
    <cellStyle name="20% - Accent3 10 2 2 2 2 4 2" xfId="44489" xr:uid="{1BC98692-4283-40F1-A375-0BCFE7A4A0C1}"/>
    <cellStyle name="20% - Accent3 10 2 2 2 2 5" xfId="28610" xr:uid="{F12740FE-8884-48FA-AC22-D188889C1929}"/>
    <cellStyle name="20% - Accent3 10 2 2 2 3" xfId="6511" xr:uid="{00000000-0005-0000-0000-00001B0E0000}"/>
    <cellStyle name="20% - Accent3 10 2 2 2 3 2" xfId="14482" xr:uid="{00000000-0005-0000-0000-00001C0E0000}"/>
    <cellStyle name="20% - Accent3 10 2 2 2 3 2 2" xfId="38324" xr:uid="{B8A9C665-08E8-4654-908C-769B74B8967E}"/>
    <cellStyle name="20% - Accent3 10 2 2 2 3 3" xfId="22429" xr:uid="{00000000-0005-0000-0000-00001D0E0000}"/>
    <cellStyle name="20% - Accent3 10 2 2 2 3 3 2" xfId="46261" xr:uid="{C365A8AF-B501-4E61-B1D6-354C37B29DB9}"/>
    <cellStyle name="20% - Accent3 10 2 2 2 3 4" xfId="30383" xr:uid="{B7F103E2-C58A-412D-9E91-8440FEBA1C21}"/>
    <cellStyle name="20% - Accent3 10 2 2 2 4" xfId="10946" xr:uid="{00000000-0005-0000-0000-00001E0E0000}"/>
    <cellStyle name="20% - Accent3 10 2 2 2 4 2" xfId="34795" xr:uid="{AAC0E790-C613-4EF5-9059-D0B18906615A}"/>
    <cellStyle name="20% - Accent3 10 2 2 2 5" xfId="18901" xr:uid="{00000000-0005-0000-0000-00001F0E0000}"/>
    <cellStyle name="20% - Accent3 10 2 2 2 5 2" xfId="42733" xr:uid="{480CDA6F-8CE9-4048-8FCD-0F53F9670593}"/>
    <cellStyle name="20% - Accent3 10 2 2 2 6" xfId="26853" xr:uid="{3343E50C-6FCD-4753-B6A1-5E0795AD9C1C}"/>
    <cellStyle name="20% - Accent3 10 2 2 2_Exh G" xfId="2185" xr:uid="{00000000-0005-0000-0000-0000200E0000}"/>
    <cellStyle name="20% - Accent3 10 2 2 3" xfId="3800" xr:uid="{00000000-0005-0000-0000-0000210E0000}"/>
    <cellStyle name="20% - Accent3 10 2 2 3 2" xfId="7392" xr:uid="{00000000-0005-0000-0000-0000220E0000}"/>
    <cellStyle name="20% - Accent3 10 2 2 3 2 2" xfId="15362" xr:uid="{00000000-0005-0000-0000-0000230E0000}"/>
    <cellStyle name="20% - Accent3 10 2 2 3 2 2 2" xfId="39204" xr:uid="{199B4876-7449-46EE-A83B-6BDEDC14F5DD}"/>
    <cellStyle name="20% - Accent3 10 2 2 3 2 3" xfId="23308" xr:uid="{00000000-0005-0000-0000-0000240E0000}"/>
    <cellStyle name="20% - Accent3 10 2 2 3 2 3 2" xfId="47140" xr:uid="{3427104E-4366-4732-907B-F22BE06CB9D4}"/>
    <cellStyle name="20% - Accent3 10 2 2 3 2 4" xfId="31263" xr:uid="{473290FB-EF0B-4B32-BB8C-6E256906B91C}"/>
    <cellStyle name="20% - Accent3 10 2 2 3 3" xfId="11824" xr:uid="{00000000-0005-0000-0000-0000250E0000}"/>
    <cellStyle name="20% - Accent3 10 2 2 3 3 2" xfId="35673" xr:uid="{9BDCE42F-418D-418A-AE40-F97CB5ADD992}"/>
    <cellStyle name="20% - Accent3 10 2 2 3 4" xfId="19779" xr:uid="{00000000-0005-0000-0000-0000260E0000}"/>
    <cellStyle name="20% - Accent3 10 2 2 3 4 2" xfId="43611" xr:uid="{8F637815-A938-46FE-B894-9F332EA9AF17}"/>
    <cellStyle name="20% - Accent3 10 2 2 3 5" xfId="27732" xr:uid="{C788E441-4F1E-4FE5-B1D1-2DCE8080C56A}"/>
    <cellStyle name="20% - Accent3 10 2 2 4" xfId="5620" xr:uid="{00000000-0005-0000-0000-0000270E0000}"/>
    <cellStyle name="20% - Accent3 10 2 2 4 2" xfId="13603" xr:uid="{00000000-0005-0000-0000-0000280E0000}"/>
    <cellStyle name="20% - Accent3 10 2 2 4 2 2" xfId="37446" xr:uid="{9FFF3E3F-64C2-4E9E-B8AA-304CE6941FB0}"/>
    <cellStyle name="20% - Accent3 10 2 2 4 3" xfId="21551" xr:uid="{00000000-0005-0000-0000-0000290E0000}"/>
    <cellStyle name="20% - Accent3 10 2 2 4 3 2" xfId="45383" xr:uid="{C605B754-6F3F-489E-99C0-A8933798D66F}"/>
    <cellStyle name="20% - Accent3 10 2 2 4 4" xfId="29505" xr:uid="{873278A2-AA78-4A63-858C-9A0708181BEA}"/>
    <cellStyle name="20% - Accent3 10 2 2 5" xfId="9172" xr:uid="{00000000-0005-0000-0000-00002A0E0000}"/>
    <cellStyle name="20% - Accent3 10 2 2 5 2" xfId="17130" xr:uid="{00000000-0005-0000-0000-00002B0E0000}"/>
    <cellStyle name="20% - Accent3 10 2 2 5 2 2" xfId="40970" xr:uid="{DB9221C2-C45B-4163-B258-2D498A3DBF3C}"/>
    <cellStyle name="20% - Accent3 10 2 2 5 3" xfId="25074" xr:uid="{00000000-0005-0000-0000-00002C0E0000}"/>
    <cellStyle name="20% - Accent3 10 2 2 5 3 2" xfId="48906" xr:uid="{CC80FC22-22B0-46C7-988E-A47F3C6F6807}"/>
    <cellStyle name="20% - Accent3 10 2 2 5 4" xfId="33029" xr:uid="{995A39F7-EE0E-4A17-A5CA-6DD1994CE93C}"/>
    <cellStyle name="20% - Accent3 10 2 2 6" xfId="10068" xr:uid="{00000000-0005-0000-0000-00002D0E0000}"/>
    <cellStyle name="20% - Accent3 10 2 2 6 2" xfId="33917" xr:uid="{6CD9C5C1-5AF9-4DCC-B41D-41E94700F411}"/>
    <cellStyle name="20% - Accent3 10 2 2 7" xfId="18023" xr:uid="{00000000-0005-0000-0000-00002E0E0000}"/>
    <cellStyle name="20% - Accent3 10 2 2 7 2" xfId="41855" xr:uid="{55570B46-CF76-4975-BC6B-D43D07B42439}"/>
    <cellStyle name="20% - Accent3 10 2 2 8" xfId="25975" xr:uid="{79ADE8BB-1F5B-4146-9992-2F9FCB4814EB}"/>
    <cellStyle name="20% - Accent3 10 2 2_Exh G" xfId="2184" xr:uid="{00000000-0005-0000-0000-00002F0E0000}"/>
    <cellStyle name="20% - Accent3 10 2 3" xfId="1151" xr:uid="{00000000-0005-0000-0000-0000300E0000}"/>
    <cellStyle name="20% - Accent3 10 2 3 2" xfId="4678" xr:uid="{00000000-0005-0000-0000-0000310E0000}"/>
    <cellStyle name="20% - Accent3 10 2 3 2 2" xfId="8269" xr:uid="{00000000-0005-0000-0000-0000320E0000}"/>
    <cellStyle name="20% - Accent3 10 2 3 2 2 2" xfId="16239" xr:uid="{00000000-0005-0000-0000-0000330E0000}"/>
    <cellStyle name="20% - Accent3 10 2 3 2 2 2 2" xfId="40081" xr:uid="{5C20CF58-0253-4948-84FC-8579C57F1870}"/>
    <cellStyle name="20% - Accent3 10 2 3 2 2 3" xfId="24185" xr:uid="{00000000-0005-0000-0000-0000340E0000}"/>
    <cellStyle name="20% - Accent3 10 2 3 2 2 3 2" xfId="48017" xr:uid="{E477E5CD-F0E5-4CAF-A9AB-B0C18F8B9E4E}"/>
    <cellStyle name="20% - Accent3 10 2 3 2 2 4" xfId="32140" xr:uid="{B38375DE-B0DA-4827-9765-2C75505AD8A7}"/>
    <cellStyle name="20% - Accent3 10 2 3 2 3" xfId="12701" xr:uid="{00000000-0005-0000-0000-0000350E0000}"/>
    <cellStyle name="20% - Accent3 10 2 3 2 3 2" xfId="36550" xr:uid="{E34AD436-BAFC-48C7-841B-41F4EB407535}"/>
    <cellStyle name="20% - Accent3 10 2 3 2 4" xfId="20656" xr:uid="{00000000-0005-0000-0000-0000360E0000}"/>
    <cellStyle name="20% - Accent3 10 2 3 2 4 2" xfId="44488" xr:uid="{36C3520F-B582-40DE-B5ED-A3D601835FDB}"/>
    <cellStyle name="20% - Accent3 10 2 3 2 5" xfId="28609" xr:uid="{133A4693-9E67-4FDA-BF82-C5846BFD6319}"/>
    <cellStyle name="20% - Accent3 10 2 3 3" xfId="6510" xr:uid="{00000000-0005-0000-0000-0000370E0000}"/>
    <cellStyle name="20% - Accent3 10 2 3 3 2" xfId="14481" xr:uid="{00000000-0005-0000-0000-0000380E0000}"/>
    <cellStyle name="20% - Accent3 10 2 3 3 2 2" xfId="38323" xr:uid="{0D17EE89-8C96-4BCD-88E5-4F76EB0F5C45}"/>
    <cellStyle name="20% - Accent3 10 2 3 3 3" xfId="22428" xr:uid="{00000000-0005-0000-0000-0000390E0000}"/>
    <cellStyle name="20% - Accent3 10 2 3 3 3 2" xfId="46260" xr:uid="{13036CF7-E10A-4573-9B21-2E2675CD6E71}"/>
    <cellStyle name="20% - Accent3 10 2 3 3 4" xfId="30382" xr:uid="{3C3CDD5A-A0EF-4201-9C84-FFC9947E8C7B}"/>
    <cellStyle name="20% - Accent3 10 2 3 4" xfId="10945" xr:uid="{00000000-0005-0000-0000-00003A0E0000}"/>
    <cellStyle name="20% - Accent3 10 2 3 4 2" xfId="34794" xr:uid="{B4F3B22D-5533-4267-A7C0-4FC4B5BA92C5}"/>
    <cellStyle name="20% - Accent3 10 2 3 5" xfId="18900" xr:uid="{00000000-0005-0000-0000-00003B0E0000}"/>
    <cellStyle name="20% - Accent3 10 2 3 5 2" xfId="42732" xr:uid="{F2507D79-6460-4AD2-9987-F4A35F89E8C3}"/>
    <cellStyle name="20% - Accent3 10 2 3 6" xfId="26852" xr:uid="{3A37A60C-FFC6-472E-91CB-1C69B636DF7B}"/>
    <cellStyle name="20% - Accent3 10 2 3_Exh G" xfId="2186" xr:uid="{00000000-0005-0000-0000-00003C0E0000}"/>
    <cellStyle name="20% - Accent3 10 2 4" xfId="3799" xr:uid="{00000000-0005-0000-0000-00003D0E0000}"/>
    <cellStyle name="20% - Accent3 10 2 4 2" xfId="7391" xr:uid="{00000000-0005-0000-0000-00003E0E0000}"/>
    <cellStyle name="20% - Accent3 10 2 4 2 2" xfId="15361" xr:uid="{00000000-0005-0000-0000-00003F0E0000}"/>
    <cellStyle name="20% - Accent3 10 2 4 2 2 2" xfId="39203" xr:uid="{9BEEE539-95BD-43E0-8DEB-86BE98CC9D00}"/>
    <cellStyle name="20% - Accent3 10 2 4 2 3" xfId="23307" xr:uid="{00000000-0005-0000-0000-0000400E0000}"/>
    <cellStyle name="20% - Accent3 10 2 4 2 3 2" xfId="47139" xr:uid="{85727B66-166A-4155-BF71-D7424D4A3FBC}"/>
    <cellStyle name="20% - Accent3 10 2 4 2 4" xfId="31262" xr:uid="{06425BBF-E121-4D64-8754-47F92E88777D}"/>
    <cellStyle name="20% - Accent3 10 2 4 3" xfId="11823" xr:uid="{00000000-0005-0000-0000-0000410E0000}"/>
    <cellStyle name="20% - Accent3 10 2 4 3 2" xfId="35672" xr:uid="{9622324F-CF11-464A-922D-8BEB7D21226E}"/>
    <cellStyle name="20% - Accent3 10 2 4 4" xfId="19778" xr:uid="{00000000-0005-0000-0000-0000420E0000}"/>
    <cellStyle name="20% - Accent3 10 2 4 4 2" xfId="43610" xr:uid="{3695C0EB-53B6-4A87-9C06-11C11D95CEC0}"/>
    <cellStyle name="20% - Accent3 10 2 4 5" xfId="27731" xr:uid="{CC170992-5FBB-4092-8EEB-0BD76F6B1224}"/>
    <cellStyle name="20% - Accent3 10 2 5" xfId="5619" xr:uid="{00000000-0005-0000-0000-0000430E0000}"/>
    <cellStyle name="20% - Accent3 10 2 5 2" xfId="13602" xr:uid="{00000000-0005-0000-0000-0000440E0000}"/>
    <cellStyle name="20% - Accent3 10 2 5 2 2" xfId="37445" xr:uid="{5C4D63A5-4744-494F-8EE2-31D55D13FB72}"/>
    <cellStyle name="20% - Accent3 10 2 5 3" xfId="21550" xr:uid="{00000000-0005-0000-0000-0000450E0000}"/>
    <cellStyle name="20% - Accent3 10 2 5 3 2" xfId="45382" xr:uid="{2EF88FD3-BF0E-4AA2-8D33-16AF56995FC6}"/>
    <cellStyle name="20% - Accent3 10 2 5 4" xfId="29504" xr:uid="{8C15579F-431A-4C93-A373-0A32F1CC1E85}"/>
    <cellStyle name="20% - Accent3 10 2 6" xfId="9171" xr:uid="{00000000-0005-0000-0000-0000460E0000}"/>
    <cellStyle name="20% - Accent3 10 2 6 2" xfId="17129" xr:uid="{00000000-0005-0000-0000-0000470E0000}"/>
    <cellStyle name="20% - Accent3 10 2 6 2 2" xfId="40969" xr:uid="{C2484C64-A9AB-4B33-A9A5-19C4BF89EE78}"/>
    <cellStyle name="20% - Accent3 10 2 6 3" xfId="25073" xr:uid="{00000000-0005-0000-0000-0000480E0000}"/>
    <cellStyle name="20% - Accent3 10 2 6 3 2" xfId="48905" xr:uid="{223247B2-CA2C-4E60-B1EA-2614DF4EF72D}"/>
    <cellStyle name="20% - Accent3 10 2 6 4" xfId="33028" xr:uid="{E8E44D4D-3970-490D-B646-6704968D3D2C}"/>
    <cellStyle name="20% - Accent3 10 2 7" xfId="10067" xr:uid="{00000000-0005-0000-0000-0000490E0000}"/>
    <cellStyle name="20% - Accent3 10 2 7 2" xfId="33916" xr:uid="{8CEE73CC-E94C-4E30-8A7C-94CE1878C035}"/>
    <cellStyle name="20% - Accent3 10 2 8" xfId="18022" xr:uid="{00000000-0005-0000-0000-00004A0E0000}"/>
    <cellStyle name="20% - Accent3 10 2 8 2" xfId="41854" xr:uid="{BC7CAEA2-64FF-45DF-A13A-3E4B36EB6E32}"/>
    <cellStyle name="20% - Accent3 10 2 9" xfId="25974" xr:uid="{C375759F-9744-426B-85D3-14F1BDBB6E47}"/>
    <cellStyle name="20% - Accent3 10 2_Exh G" xfId="2183" xr:uid="{00000000-0005-0000-0000-00004B0E0000}"/>
    <cellStyle name="20% - Accent3 10 3" xfId="127" xr:uid="{00000000-0005-0000-0000-00004C0E0000}"/>
    <cellStyle name="20% - Accent3 10 3 2" xfId="1153" xr:uid="{00000000-0005-0000-0000-00004D0E0000}"/>
    <cellStyle name="20% - Accent3 10 3 2 2" xfId="4680" xr:uid="{00000000-0005-0000-0000-00004E0E0000}"/>
    <cellStyle name="20% - Accent3 10 3 2 2 2" xfId="8271" xr:uid="{00000000-0005-0000-0000-00004F0E0000}"/>
    <cellStyle name="20% - Accent3 10 3 2 2 2 2" xfId="16241" xr:uid="{00000000-0005-0000-0000-0000500E0000}"/>
    <cellStyle name="20% - Accent3 10 3 2 2 2 2 2" xfId="40083" xr:uid="{8D7F4A07-7502-4F72-83E8-A0C10DD58C59}"/>
    <cellStyle name="20% - Accent3 10 3 2 2 2 3" xfId="24187" xr:uid="{00000000-0005-0000-0000-0000510E0000}"/>
    <cellStyle name="20% - Accent3 10 3 2 2 2 3 2" xfId="48019" xr:uid="{BE29FD3A-0A11-4526-91B1-25E5BF8D0C9A}"/>
    <cellStyle name="20% - Accent3 10 3 2 2 2 4" xfId="32142" xr:uid="{4CACA2C9-338F-44ED-BF6D-4D866C61E0BE}"/>
    <cellStyle name="20% - Accent3 10 3 2 2 3" xfId="12703" xr:uid="{00000000-0005-0000-0000-0000520E0000}"/>
    <cellStyle name="20% - Accent3 10 3 2 2 3 2" xfId="36552" xr:uid="{F0FBEC78-80DB-4CEA-BF2E-B5B1116895F3}"/>
    <cellStyle name="20% - Accent3 10 3 2 2 4" xfId="20658" xr:uid="{00000000-0005-0000-0000-0000530E0000}"/>
    <cellStyle name="20% - Accent3 10 3 2 2 4 2" xfId="44490" xr:uid="{EEEAF624-4EE8-411F-817C-F47B90F9E6EA}"/>
    <cellStyle name="20% - Accent3 10 3 2 2 5" xfId="28611" xr:uid="{38658BCA-F434-4ADC-AE28-A6F08B884DF1}"/>
    <cellStyle name="20% - Accent3 10 3 2 3" xfId="6512" xr:uid="{00000000-0005-0000-0000-0000540E0000}"/>
    <cellStyle name="20% - Accent3 10 3 2 3 2" xfId="14483" xr:uid="{00000000-0005-0000-0000-0000550E0000}"/>
    <cellStyle name="20% - Accent3 10 3 2 3 2 2" xfId="38325" xr:uid="{2B0D3FFD-7C2D-4D2D-8CA7-9A4DE6FF8EE8}"/>
    <cellStyle name="20% - Accent3 10 3 2 3 3" xfId="22430" xr:uid="{00000000-0005-0000-0000-0000560E0000}"/>
    <cellStyle name="20% - Accent3 10 3 2 3 3 2" xfId="46262" xr:uid="{B513305B-F7F4-41AD-9BF9-395F482235E3}"/>
    <cellStyle name="20% - Accent3 10 3 2 3 4" xfId="30384" xr:uid="{9301722C-DDDE-4B1C-BD36-83A3EE066F78}"/>
    <cellStyle name="20% - Accent3 10 3 2 4" xfId="10947" xr:uid="{00000000-0005-0000-0000-0000570E0000}"/>
    <cellStyle name="20% - Accent3 10 3 2 4 2" xfId="34796" xr:uid="{4B8DA411-0824-4502-98FC-8A82DD19E497}"/>
    <cellStyle name="20% - Accent3 10 3 2 5" xfId="18902" xr:uid="{00000000-0005-0000-0000-0000580E0000}"/>
    <cellStyle name="20% - Accent3 10 3 2 5 2" xfId="42734" xr:uid="{50BB5C2D-D9A8-4F96-B988-EBA164289794}"/>
    <cellStyle name="20% - Accent3 10 3 2 6" xfId="26854" xr:uid="{9A7E86F2-D6BC-47E2-860E-3EFAF6E79AD0}"/>
    <cellStyle name="20% - Accent3 10 3 2_Exh G" xfId="2188" xr:uid="{00000000-0005-0000-0000-0000590E0000}"/>
    <cellStyle name="20% - Accent3 10 3 3" xfId="3801" xr:uid="{00000000-0005-0000-0000-00005A0E0000}"/>
    <cellStyle name="20% - Accent3 10 3 3 2" xfId="7393" xr:uid="{00000000-0005-0000-0000-00005B0E0000}"/>
    <cellStyle name="20% - Accent3 10 3 3 2 2" xfId="15363" xr:uid="{00000000-0005-0000-0000-00005C0E0000}"/>
    <cellStyle name="20% - Accent3 10 3 3 2 2 2" xfId="39205" xr:uid="{3E20B35A-6EF2-456C-BD87-44F5F3CDE39D}"/>
    <cellStyle name="20% - Accent3 10 3 3 2 3" xfId="23309" xr:uid="{00000000-0005-0000-0000-00005D0E0000}"/>
    <cellStyle name="20% - Accent3 10 3 3 2 3 2" xfId="47141" xr:uid="{79626255-8C53-4582-881A-1060D53385B0}"/>
    <cellStyle name="20% - Accent3 10 3 3 2 4" xfId="31264" xr:uid="{7E0BFBD2-9A1D-4EB4-B131-1AE8FCF57BAE}"/>
    <cellStyle name="20% - Accent3 10 3 3 3" xfId="11825" xr:uid="{00000000-0005-0000-0000-00005E0E0000}"/>
    <cellStyle name="20% - Accent3 10 3 3 3 2" xfId="35674" xr:uid="{A440A173-C7AC-422D-A331-00433CC4200D}"/>
    <cellStyle name="20% - Accent3 10 3 3 4" xfId="19780" xr:uid="{00000000-0005-0000-0000-00005F0E0000}"/>
    <cellStyle name="20% - Accent3 10 3 3 4 2" xfId="43612" xr:uid="{B3DDE22F-E56D-4653-8BAD-38875EAA60DA}"/>
    <cellStyle name="20% - Accent3 10 3 3 5" xfId="27733" xr:uid="{34F937C3-1838-400E-B53C-208D1ADA3D78}"/>
    <cellStyle name="20% - Accent3 10 3 4" xfId="5621" xr:uid="{00000000-0005-0000-0000-0000600E0000}"/>
    <cellStyle name="20% - Accent3 10 3 4 2" xfId="13604" xr:uid="{00000000-0005-0000-0000-0000610E0000}"/>
    <cellStyle name="20% - Accent3 10 3 4 2 2" xfId="37447" xr:uid="{A8168145-B164-4649-BF3E-4B657C5BAE14}"/>
    <cellStyle name="20% - Accent3 10 3 4 3" xfId="21552" xr:uid="{00000000-0005-0000-0000-0000620E0000}"/>
    <cellStyle name="20% - Accent3 10 3 4 3 2" xfId="45384" xr:uid="{EF27572E-C240-46DF-B269-D29DE625970C}"/>
    <cellStyle name="20% - Accent3 10 3 4 4" xfId="29506" xr:uid="{7267FEB1-4F01-4F46-9569-4A4CF28C7FDF}"/>
    <cellStyle name="20% - Accent3 10 3 5" xfId="9173" xr:uid="{00000000-0005-0000-0000-0000630E0000}"/>
    <cellStyle name="20% - Accent3 10 3 5 2" xfId="17131" xr:uid="{00000000-0005-0000-0000-0000640E0000}"/>
    <cellStyle name="20% - Accent3 10 3 5 2 2" xfId="40971" xr:uid="{8D8896AE-6E00-449C-91CE-A6444554FE6A}"/>
    <cellStyle name="20% - Accent3 10 3 5 3" xfId="25075" xr:uid="{00000000-0005-0000-0000-0000650E0000}"/>
    <cellStyle name="20% - Accent3 10 3 5 3 2" xfId="48907" xr:uid="{58463BC3-68C7-4A35-9DA8-8C03D0DDF3C6}"/>
    <cellStyle name="20% - Accent3 10 3 5 4" xfId="33030" xr:uid="{38CDA251-D509-4DBC-9F50-4ECABA6B1C06}"/>
    <cellStyle name="20% - Accent3 10 3 6" xfId="10069" xr:uid="{00000000-0005-0000-0000-0000660E0000}"/>
    <cellStyle name="20% - Accent3 10 3 6 2" xfId="33918" xr:uid="{2981E06A-920E-42BC-9D2D-A393CAB71D09}"/>
    <cellStyle name="20% - Accent3 10 3 7" xfId="18024" xr:uid="{00000000-0005-0000-0000-0000670E0000}"/>
    <cellStyle name="20% - Accent3 10 3 7 2" xfId="41856" xr:uid="{66472314-EC31-4AB2-B516-9F82FC8F4136}"/>
    <cellStyle name="20% - Accent3 10 3 8" xfId="25976" xr:uid="{2BCFECC5-AA6C-4CD0-8CD2-CA93E5527A4F}"/>
    <cellStyle name="20% - Accent3 10 3_Exh G" xfId="2187" xr:uid="{00000000-0005-0000-0000-0000680E0000}"/>
    <cellStyle name="20% - Accent3 10 4" xfId="883" xr:uid="{00000000-0005-0000-0000-0000690E0000}"/>
    <cellStyle name="20% - Accent3 10 5" xfId="1150" xr:uid="{00000000-0005-0000-0000-00006A0E0000}"/>
    <cellStyle name="20% - Accent3 10 5 2" xfId="4677" xr:uid="{00000000-0005-0000-0000-00006B0E0000}"/>
    <cellStyle name="20% - Accent3 10 5 2 2" xfId="8268" xr:uid="{00000000-0005-0000-0000-00006C0E0000}"/>
    <cellStyle name="20% - Accent3 10 5 2 2 2" xfId="16238" xr:uid="{00000000-0005-0000-0000-00006D0E0000}"/>
    <cellStyle name="20% - Accent3 10 5 2 2 2 2" xfId="40080" xr:uid="{90DFC589-8AD8-48F9-8948-D198FD79757E}"/>
    <cellStyle name="20% - Accent3 10 5 2 2 3" xfId="24184" xr:uid="{00000000-0005-0000-0000-00006E0E0000}"/>
    <cellStyle name="20% - Accent3 10 5 2 2 3 2" xfId="48016" xr:uid="{F5206992-C9E7-433F-B639-F8425D6B5471}"/>
    <cellStyle name="20% - Accent3 10 5 2 2 4" xfId="32139" xr:uid="{79D964CA-1E8F-435D-A5BF-97F6BF6B625B}"/>
    <cellStyle name="20% - Accent3 10 5 2 3" xfId="12700" xr:uid="{00000000-0005-0000-0000-00006F0E0000}"/>
    <cellStyle name="20% - Accent3 10 5 2 3 2" xfId="36549" xr:uid="{15FC3E29-1091-4774-AA3D-0096B3F853E4}"/>
    <cellStyle name="20% - Accent3 10 5 2 4" xfId="20655" xr:uid="{00000000-0005-0000-0000-0000700E0000}"/>
    <cellStyle name="20% - Accent3 10 5 2 4 2" xfId="44487" xr:uid="{82FF5EF8-006E-4CF0-A1F1-3B8306742D59}"/>
    <cellStyle name="20% - Accent3 10 5 2 5" xfId="28608" xr:uid="{D1EAC9F7-EE52-403A-846E-2149C4549A3D}"/>
    <cellStyle name="20% - Accent3 10 5 3" xfId="6509" xr:uid="{00000000-0005-0000-0000-0000710E0000}"/>
    <cellStyle name="20% - Accent3 10 5 3 2" xfId="14480" xr:uid="{00000000-0005-0000-0000-0000720E0000}"/>
    <cellStyle name="20% - Accent3 10 5 3 2 2" xfId="38322" xr:uid="{D452E7A5-A953-4188-8B6E-E47849795A29}"/>
    <cellStyle name="20% - Accent3 10 5 3 3" xfId="22427" xr:uid="{00000000-0005-0000-0000-0000730E0000}"/>
    <cellStyle name="20% - Accent3 10 5 3 3 2" xfId="46259" xr:uid="{A3F97825-910D-4E77-9DF9-AEBFDD19DB75}"/>
    <cellStyle name="20% - Accent3 10 5 3 4" xfId="30381" xr:uid="{503E0C34-60EC-483D-8114-31D3A4B0ACB7}"/>
    <cellStyle name="20% - Accent3 10 5 4" xfId="10944" xr:uid="{00000000-0005-0000-0000-0000740E0000}"/>
    <cellStyle name="20% - Accent3 10 5 4 2" xfId="34793" xr:uid="{B1877F30-E410-4836-AEFB-ED818E6F0442}"/>
    <cellStyle name="20% - Accent3 10 5 5" xfId="18899" xr:uid="{00000000-0005-0000-0000-0000750E0000}"/>
    <cellStyle name="20% - Accent3 10 5 5 2" xfId="42731" xr:uid="{70E1107F-6BB3-42D2-BCDD-787BF2B933C1}"/>
    <cellStyle name="20% - Accent3 10 5 6" xfId="26851" xr:uid="{7CE2F8D9-D3E9-49A3-8604-B0AE90A8A688}"/>
    <cellStyle name="20% - Accent3 10 5_Exh G" xfId="2189" xr:uid="{00000000-0005-0000-0000-0000760E0000}"/>
    <cellStyle name="20% - Accent3 10 6" xfId="3798" xr:uid="{00000000-0005-0000-0000-0000770E0000}"/>
    <cellStyle name="20% - Accent3 10 6 2" xfId="7390" xr:uid="{00000000-0005-0000-0000-0000780E0000}"/>
    <cellStyle name="20% - Accent3 10 6 2 2" xfId="15360" xr:uid="{00000000-0005-0000-0000-0000790E0000}"/>
    <cellStyle name="20% - Accent3 10 6 2 2 2" xfId="39202" xr:uid="{FE4DA9D1-32A0-4925-BB9C-AF1038DBDBDF}"/>
    <cellStyle name="20% - Accent3 10 6 2 3" xfId="23306" xr:uid="{00000000-0005-0000-0000-00007A0E0000}"/>
    <cellStyle name="20% - Accent3 10 6 2 3 2" xfId="47138" xr:uid="{E27EB1C6-8259-4B1D-95EE-3504895C102F}"/>
    <cellStyle name="20% - Accent3 10 6 2 4" xfId="31261" xr:uid="{8845ED70-F2A9-4C51-AE4D-D91E2847F56C}"/>
    <cellStyle name="20% - Accent3 10 6 3" xfId="11822" xr:uid="{00000000-0005-0000-0000-00007B0E0000}"/>
    <cellStyle name="20% - Accent3 10 6 3 2" xfId="35671" xr:uid="{870C9DE4-041A-4A7F-B2CE-EB3BAEF556C1}"/>
    <cellStyle name="20% - Accent3 10 6 4" xfId="19777" xr:uid="{00000000-0005-0000-0000-00007C0E0000}"/>
    <cellStyle name="20% - Accent3 10 6 4 2" xfId="43609" xr:uid="{B9EBD6E9-7A2A-4F2E-BFAD-BD030A481940}"/>
    <cellStyle name="20% - Accent3 10 6 5" xfId="27730" xr:uid="{32772542-8D38-4BBA-BAC6-397F512043F1}"/>
    <cellStyle name="20% - Accent3 10 7" xfId="5618" xr:uid="{00000000-0005-0000-0000-00007D0E0000}"/>
    <cellStyle name="20% - Accent3 10 7 2" xfId="13601" xr:uid="{00000000-0005-0000-0000-00007E0E0000}"/>
    <cellStyle name="20% - Accent3 10 7 2 2" xfId="37444" xr:uid="{3D276FD5-4685-46B6-BB32-0B7A757E64BC}"/>
    <cellStyle name="20% - Accent3 10 7 3" xfId="21549" xr:uid="{00000000-0005-0000-0000-00007F0E0000}"/>
    <cellStyle name="20% - Accent3 10 7 3 2" xfId="45381" xr:uid="{6325ED19-6B0E-4089-8C50-67D12E759AA7}"/>
    <cellStyle name="20% - Accent3 10 7 4" xfId="29503" xr:uid="{1D1DD814-EDCC-4E36-B8F2-6772D61E2945}"/>
    <cellStyle name="20% - Accent3 10 8" xfId="9170" xr:uid="{00000000-0005-0000-0000-0000800E0000}"/>
    <cellStyle name="20% - Accent3 10 8 2" xfId="17128" xr:uid="{00000000-0005-0000-0000-0000810E0000}"/>
    <cellStyle name="20% - Accent3 10 8 2 2" xfId="40968" xr:uid="{3C26F5E7-2031-407F-8429-D9F21F2574AE}"/>
    <cellStyle name="20% - Accent3 10 8 3" xfId="25072" xr:uid="{00000000-0005-0000-0000-0000820E0000}"/>
    <cellStyle name="20% - Accent3 10 8 3 2" xfId="48904" xr:uid="{9914AB3F-2F2D-49FC-BB33-EABF6FF665FC}"/>
    <cellStyle name="20% - Accent3 10 8 4" xfId="33027" xr:uid="{EE56B66D-CCAF-41D9-8418-2A14C981DFDC}"/>
    <cellStyle name="20% - Accent3 10 9" xfId="10066" xr:uid="{00000000-0005-0000-0000-0000830E0000}"/>
    <cellStyle name="20% - Accent3 10 9 2" xfId="33915" xr:uid="{52053DE7-6540-49E6-A461-1365C4D07443}"/>
    <cellStyle name="20% - Accent3 10_Exh G" xfId="2182" xr:uid="{00000000-0005-0000-0000-0000840E0000}"/>
    <cellStyle name="20% - Accent3 11" xfId="128" xr:uid="{00000000-0005-0000-0000-0000850E0000}"/>
    <cellStyle name="20% - Accent3 11 10" xfId="25977" xr:uid="{DEDD596E-9FFD-472A-BF6A-2C4511DA7B1C}"/>
    <cellStyle name="20% - Accent3 11 2" xfId="129" xr:uid="{00000000-0005-0000-0000-0000860E0000}"/>
    <cellStyle name="20% - Accent3 11 2 2" xfId="130" xr:uid="{00000000-0005-0000-0000-0000870E0000}"/>
    <cellStyle name="20% - Accent3 11 2 2 2" xfId="1156" xr:uid="{00000000-0005-0000-0000-0000880E0000}"/>
    <cellStyle name="20% - Accent3 11 2 2 2 2" xfId="4683" xr:uid="{00000000-0005-0000-0000-0000890E0000}"/>
    <cellStyle name="20% - Accent3 11 2 2 2 2 2" xfId="8274" xr:uid="{00000000-0005-0000-0000-00008A0E0000}"/>
    <cellStyle name="20% - Accent3 11 2 2 2 2 2 2" xfId="16244" xr:uid="{00000000-0005-0000-0000-00008B0E0000}"/>
    <cellStyle name="20% - Accent3 11 2 2 2 2 2 2 2" xfId="40086" xr:uid="{07D891D3-D23F-47D0-9267-705453506473}"/>
    <cellStyle name="20% - Accent3 11 2 2 2 2 2 3" xfId="24190" xr:uid="{00000000-0005-0000-0000-00008C0E0000}"/>
    <cellStyle name="20% - Accent3 11 2 2 2 2 2 3 2" xfId="48022" xr:uid="{B2CEDCCE-17A9-4799-BA8A-9EFF5E1FEC44}"/>
    <cellStyle name="20% - Accent3 11 2 2 2 2 2 4" xfId="32145" xr:uid="{84E2322F-21A5-4AC2-A757-0399946182E9}"/>
    <cellStyle name="20% - Accent3 11 2 2 2 2 3" xfId="12706" xr:uid="{00000000-0005-0000-0000-00008D0E0000}"/>
    <cellStyle name="20% - Accent3 11 2 2 2 2 3 2" xfId="36555" xr:uid="{EBE2E4E5-D3C0-4ACB-A32B-7C8B2EFDC1D2}"/>
    <cellStyle name="20% - Accent3 11 2 2 2 2 4" xfId="20661" xr:uid="{00000000-0005-0000-0000-00008E0E0000}"/>
    <cellStyle name="20% - Accent3 11 2 2 2 2 4 2" xfId="44493" xr:uid="{4E432C85-A768-48D8-94B6-44D330DC5F2C}"/>
    <cellStyle name="20% - Accent3 11 2 2 2 2 5" xfId="28614" xr:uid="{BF8F2FB7-08C2-466F-945D-45C27E0A3D05}"/>
    <cellStyle name="20% - Accent3 11 2 2 2 3" xfId="6515" xr:uid="{00000000-0005-0000-0000-00008F0E0000}"/>
    <cellStyle name="20% - Accent3 11 2 2 2 3 2" xfId="14486" xr:uid="{00000000-0005-0000-0000-0000900E0000}"/>
    <cellStyle name="20% - Accent3 11 2 2 2 3 2 2" xfId="38328" xr:uid="{2738B2F5-DB6B-4461-B32D-036B22962427}"/>
    <cellStyle name="20% - Accent3 11 2 2 2 3 3" xfId="22433" xr:uid="{00000000-0005-0000-0000-0000910E0000}"/>
    <cellStyle name="20% - Accent3 11 2 2 2 3 3 2" xfId="46265" xr:uid="{D11F779B-3FD7-4B7D-8F9E-C7BBD4096A89}"/>
    <cellStyle name="20% - Accent3 11 2 2 2 3 4" xfId="30387" xr:uid="{097C023B-B34A-47E6-A23A-69EF67A0ED7A}"/>
    <cellStyle name="20% - Accent3 11 2 2 2 4" xfId="10950" xr:uid="{00000000-0005-0000-0000-0000920E0000}"/>
    <cellStyle name="20% - Accent3 11 2 2 2 4 2" xfId="34799" xr:uid="{FF435EC6-13F4-47B2-AC21-6F89117F9DCE}"/>
    <cellStyle name="20% - Accent3 11 2 2 2 5" xfId="18905" xr:uid="{00000000-0005-0000-0000-0000930E0000}"/>
    <cellStyle name="20% - Accent3 11 2 2 2 5 2" xfId="42737" xr:uid="{57C0EA3D-662A-466A-ADEF-A34022E874B6}"/>
    <cellStyle name="20% - Accent3 11 2 2 2 6" xfId="26857" xr:uid="{DAAF3C63-ECD0-42F1-9107-4CE1CEC68110}"/>
    <cellStyle name="20% - Accent3 11 2 2 2_Exh G" xfId="2193" xr:uid="{00000000-0005-0000-0000-0000940E0000}"/>
    <cellStyle name="20% - Accent3 11 2 2 3" xfId="3804" xr:uid="{00000000-0005-0000-0000-0000950E0000}"/>
    <cellStyle name="20% - Accent3 11 2 2 3 2" xfId="7396" xr:uid="{00000000-0005-0000-0000-0000960E0000}"/>
    <cellStyle name="20% - Accent3 11 2 2 3 2 2" xfId="15366" xr:uid="{00000000-0005-0000-0000-0000970E0000}"/>
    <cellStyle name="20% - Accent3 11 2 2 3 2 2 2" xfId="39208" xr:uid="{878D1CFE-91CB-42AC-A700-DACBAECFED15}"/>
    <cellStyle name="20% - Accent3 11 2 2 3 2 3" xfId="23312" xr:uid="{00000000-0005-0000-0000-0000980E0000}"/>
    <cellStyle name="20% - Accent3 11 2 2 3 2 3 2" xfId="47144" xr:uid="{8BE894F0-9698-4D84-9C1F-D82BDC7D1F2E}"/>
    <cellStyle name="20% - Accent3 11 2 2 3 2 4" xfId="31267" xr:uid="{33892D32-0A9B-476A-9481-ED05C498CC6D}"/>
    <cellStyle name="20% - Accent3 11 2 2 3 3" xfId="11828" xr:uid="{00000000-0005-0000-0000-0000990E0000}"/>
    <cellStyle name="20% - Accent3 11 2 2 3 3 2" xfId="35677" xr:uid="{7900F933-3414-4561-9E55-297F3269A8FB}"/>
    <cellStyle name="20% - Accent3 11 2 2 3 4" xfId="19783" xr:uid="{00000000-0005-0000-0000-00009A0E0000}"/>
    <cellStyle name="20% - Accent3 11 2 2 3 4 2" xfId="43615" xr:uid="{06DEC465-4342-41F4-A63B-D0A64D04487C}"/>
    <cellStyle name="20% - Accent3 11 2 2 3 5" xfId="27736" xr:uid="{10AB946A-17FA-4F36-9163-AD9E40A8D47F}"/>
    <cellStyle name="20% - Accent3 11 2 2 4" xfId="5624" xr:uid="{00000000-0005-0000-0000-00009B0E0000}"/>
    <cellStyle name="20% - Accent3 11 2 2 4 2" xfId="13607" xr:uid="{00000000-0005-0000-0000-00009C0E0000}"/>
    <cellStyle name="20% - Accent3 11 2 2 4 2 2" xfId="37450" xr:uid="{3C1969BE-D95E-4A3B-900F-F022BC8B0FE2}"/>
    <cellStyle name="20% - Accent3 11 2 2 4 3" xfId="21555" xr:uid="{00000000-0005-0000-0000-00009D0E0000}"/>
    <cellStyle name="20% - Accent3 11 2 2 4 3 2" xfId="45387" xr:uid="{62048054-1C53-4EB5-BBE5-8635E75EC0E6}"/>
    <cellStyle name="20% - Accent3 11 2 2 4 4" xfId="29509" xr:uid="{9F6502A9-C75D-427B-A706-A77658D0C87A}"/>
    <cellStyle name="20% - Accent3 11 2 2 5" xfId="9176" xr:uid="{00000000-0005-0000-0000-00009E0E0000}"/>
    <cellStyle name="20% - Accent3 11 2 2 5 2" xfId="17134" xr:uid="{00000000-0005-0000-0000-00009F0E0000}"/>
    <cellStyle name="20% - Accent3 11 2 2 5 2 2" xfId="40974" xr:uid="{880D715F-6B67-4639-A9A3-1E858F5FF5F9}"/>
    <cellStyle name="20% - Accent3 11 2 2 5 3" xfId="25078" xr:uid="{00000000-0005-0000-0000-0000A00E0000}"/>
    <cellStyle name="20% - Accent3 11 2 2 5 3 2" xfId="48910" xr:uid="{AFEE00A4-F015-4CFA-915B-9859B75C0CBD}"/>
    <cellStyle name="20% - Accent3 11 2 2 5 4" xfId="33033" xr:uid="{BC14098A-7948-443D-979E-0B24BE79CBDF}"/>
    <cellStyle name="20% - Accent3 11 2 2 6" xfId="10072" xr:uid="{00000000-0005-0000-0000-0000A10E0000}"/>
    <cellStyle name="20% - Accent3 11 2 2 6 2" xfId="33921" xr:uid="{42D9FE21-FFB8-462F-B7B9-471F384B81F9}"/>
    <cellStyle name="20% - Accent3 11 2 2 7" xfId="18027" xr:uid="{00000000-0005-0000-0000-0000A20E0000}"/>
    <cellStyle name="20% - Accent3 11 2 2 7 2" xfId="41859" xr:uid="{F206DB08-0046-4C31-8536-780E6D8DEBCF}"/>
    <cellStyle name="20% - Accent3 11 2 2 8" xfId="25979" xr:uid="{BAA19DFA-8AC0-4DA7-9CA0-C5F82E5DD704}"/>
    <cellStyle name="20% - Accent3 11 2 2_Exh G" xfId="2192" xr:uid="{00000000-0005-0000-0000-0000A30E0000}"/>
    <cellStyle name="20% - Accent3 11 2 3" xfId="1155" xr:uid="{00000000-0005-0000-0000-0000A40E0000}"/>
    <cellStyle name="20% - Accent3 11 2 3 2" xfId="4682" xr:uid="{00000000-0005-0000-0000-0000A50E0000}"/>
    <cellStyle name="20% - Accent3 11 2 3 2 2" xfId="8273" xr:uid="{00000000-0005-0000-0000-0000A60E0000}"/>
    <cellStyle name="20% - Accent3 11 2 3 2 2 2" xfId="16243" xr:uid="{00000000-0005-0000-0000-0000A70E0000}"/>
    <cellStyle name="20% - Accent3 11 2 3 2 2 2 2" xfId="40085" xr:uid="{C253D7A0-3754-4604-8CAE-006B7A3146EC}"/>
    <cellStyle name="20% - Accent3 11 2 3 2 2 3" xfId="24189" xr:uid="{00000000-0005-0000-0000-0000A80E0000}"/>
    <cellStyle name="20% - Accent3 11 2 3 2 2 3 2" xfId="48021" xr:uid="{C754788C-A48F-4DC9-963B-EB9247D8F2FF}"/>
    <cellStyle name="20% - Accent3 11 2 3 2 2 4" xfId="32144" xr:uid="{B4360445-C1D9-4AD5-B9E7-3A67866B959D}"/>
    <cellStyle name="20% - Accent3 11 2 3 2 3" xfId="12705" xr:uid="{00000000-0005-0000-0000-0000A90E0000}"/>
    <cellStyle name="20% - Accent3 11 2 3 2 3 2" xfId="36554" xr:uid="{49FE6EE6-F8A7-411C-B6FF-016C26EA6199}"/>
    <cellStyle name="20% - Accent3 11 2 3 2 4" xfId="20660" xr:uid="{00000000-0005-0000-0000-0000AA0E0000}"/>
    <cellStyle name="20% - Accent3 11 2 3 2 4 2" xfId="44492" xr:uid="{64C52458-A663-4F94-90BA-0CC6984C7AB9}"/>
    <cellStyle name="20% - Accent3 11 2 3 2 5" xfId="28613" xr:uid="{7E58E7EC-3EA2-4D1D-A872-3F6B7D62FB07}"/>
    <cellStyle name="20% - Accent3 11 2 3 3" xfId="6514" xr:uid="{00000000-0005-0000-0000-0000AB0E0000}"/>
    <cellStyle name="20% - Accent3 11 2 3 3 2" xfId="14485" xr:uid="{00000000-0005-0000-0000-0000AC0E0000}"/>
    <cellStyle name="20% - Accent3 11 2 3 3 2 2" xfId="38327" xr:uid="{71F0A7CD-4994-408A-B3FB-E8E4CF9117F5}"/>
    <cellStyle name="20% - Accent3 11 2 3 3 3" xfId="22432" xr:uid="{00000000-0005-0000-0000-0000AD0E0000}"/>
    <cellStyle name="20% - Accent3 11 2 3 3 3 2" xfId="46264" xr:uid="{D58B6ECF-82B9-4109-A922-B2205E4B48D9}"/>
    <cellStyle name="20% - Accent3 11 2 3 3 4" xfId="30386" xr:uid="{BEBA061D-F4E6-4423-A13B-6E9C28EABF9D}"/>
    <cellStyle name="20% - Accent3 11 2 3 4" xfId="10949" xr:uid="{00000000-0005-0000-0000-0000AE0E0000}"/>
    <cellStyle name="20% - Accent3 11 2 3 4 2" xfId="34798" xr:uid="{6E2FDFAB-CADE-4799-B924-3C3B518F6EDF}"/>
    <cellStyle name="20% - Accent3 11 2 3 5" xfId="18904" xr:uid="{00000000-0005-0000-0000-0000AF0E0000}"/>
    <cellStyle name="20% - Accent3 11 2 3 5 2" xfId="42736" xr:uid="{093F094E-6507-4C88-B05B-3D3B6878A8F3}"/>
    <cellStyle name="20% - Accent3 11 2 3 6" xfId="26856" xr:uid="{848576C1-D9D3-4672-A4C3-7BF1B1DC64F8}"/>
    <cellStyle name="20% - Accent3 11 2 3_Exh G" xfId="2194" xr:uid="{00000000-0005-0000-0000-0000B00E0000}"/>
    <cellStyle name="20% - Accent3 11 2 4" xfId="3803" xr:uid="{00000000-0005-0000-0000-0000B10E0000}"/>
    <cellStyle name="20% - Accent3 11 2 4 2" xfId="7395" xr:uid="{00000000-0005-0000-0000-0000B20E0000}"/>
    <cellStyle name="20% - Accent3 11 2 4 2 2" xfId="15365" xr:uid="{00000000-0005-0000-0000-0000B30E0000}"/>
    <cellStyle name="20% - Accent3 11 2 4 2 2 2" xfId="39207" xr:uid="{60164960-5CD4-4EDF-8236-EB782A9DF9D3}"/>
    <cellStyle name="20% - Accent3 11 2 4 2 3" xfId="23311" xr:uid="{00000000-0005-0000-0000-0000B40E0000}"/>
    <cellStyle name="20% - Accent3 11 2 4 2 3 2" xfId="47143" xr:uid="{F8BA81A7-F72D-4E83-9F41-E6B6D26292A7}"/>
    <cellStyle name="20% - Accent3 11 2 4 2 4" xfId="31266" xr:uid="{ADD7BB21-EE21-471F-BA5E-63B38389E2EA}"/>
    <cellStyle name="20% - Accent3 11 2 4 3" xfId="11827" xr:uid="{00000000-0005-0000-0000-0000B50E0000}"/>
    <cellStyle name="20% - Accent3 11 2 4 3 2" xfId="35676" xr:uid="{F4059E6F-B971-48B3-AE81-2CF808FA22F7}"/>
    <cellStyle name="20% - Accent3 11 2 4 4" xfId="19782" xr:uid="{00000000-0005-0000-0000-0000B60E0000}"/>
    <cellStyle name="20% - Accent3 11 2 4 4 2" xfId="43614" xr:uid="{F1FB4F8B-4866-4920-852C-542F5CF918C1}"/>
    <cellStyle name="20% - Accent3 11 2 4 5" xfId="27735" xr:uid="{5A5977B8-1E5B-4B4E-8FC6-FC291BFE68F5}"/>
    <cellStyle name="20% - Accent3 11 2 5" xfId="5623" xr:uid="{00000000-0005-0000-0000-0000B70E0000}"/>
    <cellStyle name="20% - Accent3 11 2 5 2" xfId="13606" xr:uid="{00000000-0005-0000-0000-0000B80E0000}"/>
    <cellStyle name="20% - Accent3 11 2 5 2 2" xfId="37449" xr:uid="{EC0B9A02-FA6E-4759-A13A-EED6DF70FE5A}"/>
    <cellStyle name="20% - Accent3 11 2 5 3" xfId="21554" xr:uid="{00000000-0005-0000-0000-0000B90E0000}"/>
    <cellStyle name="20% - Accent3 11 2 5 3 2" xfId="45386" xr:uid="{52C90475-209C-4F4E-BF1E-F929937D8131}"/>
    <cellStyle name="20% - Accent3 11 2 5 4" xfId="29508" xr:uid="{5A475991-E4CB-4503-9354-B05F5FB8B147}"/>
    <cellStyle name="20% - Accent3 11 2 6" xfId="9175" xr:uid="{00000000-0005-0000-0000-0000BA0E0000}"/>
    <cellStyle name="20% - Accent3 11 2 6 2" xfId="17133" xr:uid="{00000000-0005-0000-0000-0000BB0E0000}"/>
    <cellStyle name="20% - Accent3 11 2 6 2 2" xfId="40973" xr:uid="{7419C38B-8197-4AEE-85DF-25E2260AFD65}"/>
    <cellStyle name="20% - Accent3 11 2 6 3" xfId="25077" xr:uid="{00000000-0005-0000-0000-0000BC0E0000}"/>
    <cellStyle name="20% - Accent3 11 2 6 3 2" xfId="48909" xr:uid="{1AEE3D6F-7655-45F7-8CB1-BCF2EA2D57AD}"/>
    <cellStyle name="20% - Accent3 11 2 6 4" xfId="33032" xr:uid="{B2619499-47A9-40BD-9953-378C5C69A7CE}"/>
    <cellStyle name="20% - Accent3 11 2 7" xfId="10071" xr:uid="{00000000-0005-0000-0000-0000BD0E0000}"/>
    <cellStyle name="20% - Accent3 11 2 7 2" xfId="33920" xr:uid="{2C6F230D-B6D6-40C1-A3A9-88DA9FB6383C}"/>
    <cellStyle name="20% - Accent3 11 2 8" xfId="18026" xr:uid="{00000000-0005-0000-0000-0000BE0E0000}"/>
    <cellStyle name="20% - Accent3 11 2 8 2" xfId="41858" xr:uid="{72603BBE-025A-46DC-B119-2AEE5770272B}"/>
    <cellStyle name="20% - Accent3 11 2 9" xfId="25978" xr:uid="{7141A884-6FB6-4DDF-8A65-F129A5AD3250}"/>
    <cellStyle name="20% - Accent3 11 2_Exh G" xfId="2191" xr:uid="{00000000-0005-0000-0000-0000BF0E0000}"/>
    <cellStyle name="20% - Accent3 11 3" xfId="131" xr:uid="{00000000-0005-0000-0000-0000C00E0000}"/>
    <cellStyle name="20% - Accent3 11 3 2" xfId="1157" xr:uid="{00000000-0005-0000-0000-0000C10E0000}"/>
    <cellStyle name="20% - Accent3 11 3 2 2" xfId="4684" xr:uid="{00000000-0005-0000-0000-0000C20E0000}"/>
    <cellStyle name="20% - Accent3 11 3 2 2 2" xfId="8275" xr:uid="{00000000-0005-0000-0000-0000C30E0000}"/>
    <cellStyle name="20% - Accent3 11 3 2 2 2 2" xfId="16245" xr:uid="{00000000-0005-0000-0000-0000C40E0000}"/>
    <cellStyle name="20% - Accent3 11 3 2 2 2 2 2" xfId="40087" xr:uid="{3088271B-F0D0-4CD4-A348-3376C6B59B1E}"/>
    <cellStyle name="20% - Accent3 11 3 2 2 2 3" xfId="24191" xr:uid="{00000000-0005-0000-0000-0000C50E0000}"/>
    <cellStyle name="20% - Accent3 11 3 2 2 2 3 2" xfId="48023" xr:uid="{8E93E41F-A582-4A4B-87AD-3D7EA0B55455}"/>
    <cellStyle name="20% - Accent3 11 3 2 2 2 4" xfId="32146" xr:uid="{960017C3-BAAB-46D2-A63B-29003EA8D1C5}"/>
    <cellStyle name="20% - Accent3 11 3 2 2 3" xfId="12707" xr:uid="{00000000-0005-0000-0000-0000C60E0000}"/>
    <cellStyle name="20% - Accent3 11 3 2 2 3 2" xfId="36556" xr:uid="{5F05B06C-56D6-4D9A-B955-980550798F06}"/>
    <cellStyle name="20% - Accent3 11 3 2 2 4" xfId="20662" xr:uid="{00000000-0005-0000-0000-0000C70E0000}"/>
    <cellStyle name="20% - Accent3 11 3 2 2 4 2" xfId="44494" xr:uid="{FFC9EF9C-6943-4938-B64C-703B6BD9C683}"/>
    <cellStyle name="20% - Accent3 11 3 2 2 5" xfId="28615" xr:uid="{B55F2A97-D05F-478A-9DE1-7A3904A8C5F0}"/>
    <cellStyle name="20% - Accent3 11 3 2 3" xfId="6516" xr:uid="{00000000-0005-0000-0000-0000C80E0000}"/>
    <cellStyle name="20% - Accent3 11 3 2 3 2" xfId="14487" xr:uid="{00000000-0005-0000-0000-0000C90E0000}"/>
    <cellStyle name="20% - Accent3 11 3 2 3 2 2" xfId="38329" xr:uid="{1445B5E3-0EF3-4750-BAFC-C9CB425ED0AC}"/>
    <cellStyle name="20% - Accent3 11 3 2 3 3" xfId="22434" xr:uid="{00000000-0005-0000-0000-0000CA0E0000}"/>
    <cellStyle name="20% - Accent3 11 3 2 3 3 2" xfId="46266" xr:uid="{317C0771-1858-4434-9D42-6F45EBAF5322}"/>
    <cellStyle name="20% - Accent3 11 3 2 3 4" xfId="30388" xr:uid="{66800000-9586-4129-A17C-EA5B54513C83}"/>
    <cellStyle name="20% - Accent3 11 3 2 4" xfId="10951" xr:uid="{00000000-0005-0000-0000-0000CB0E0000}"/>
    <cellStyle name="20% - Accent3 11 3 2 4 2" xfId="34800" xr:uid="{FBEA62CD-488D-4B66-8DD4-CA2A4004144F}"/>
    <cellStyle name="20% - Accent3 11 3 2 5" xfId="18906" xr:uid="{00000000-0005-0000-0000-0000CC0E0000}"/>
    <cellStyle name="20% - Accent3 11 3 2 5 2" xfId="42738" xr:uid="{4E352B09-C29E-4B0D-B032-93511569F5E0}"/>
    <cellStyle name="20% - Accent3 11 3 2 6" xfId="26858" xr:uid="{4A9D680F-3024-4E78-8F2B-4F9829C4145A}"/>
    <cellStyle name="20% - Accent3 11 3 2_Exh G" xfId="2196" xr:uid="{00000000-0005-0000-0000-0000CD0E0000}"/>
    <cellStyle name="20% - Accent3 11 3 3" xfId="3805" xr:uid="{00000000-0005-0000-0000-0000CE0E0000}"/>
    <cellStyle name="20% - Accent3 11 3 3 2" xfId="7397" xr:uid="{00000000-0005-0000-0000-0000CF0E0000}"/>
    <cellStyle name="20% - Accent3 11 3 3 2 2" xfId="15367" xr:uid="{00000000-0005-0000-0000-0000D00E0000}"/>
    <cellStyle name="20% - Accent3 11 3 3 2 2 2" xfId="39209" xr:uid="{AC17FE91-7935-494D-9280-7165A53587E2}"/>
    <cellStyle name="20% - Accent3 11 3 3 2 3" xfId="23313" xr:uid="{00000000-0005-0000-0000-0000D10E0000}"/>
    <cellStyle name="20% - Accent3 11 3 3 2 3 2" xfId="47145" xr:uid="{E48F2B8C-6AA9-4F59-B214-4E10E5F56E79}"/>
    <cellStyle name="20% - Accent3 11 3 3 2 4" xfId="31268" xr:uid="{C21E6079-511B-41CC-9BAA-4EE085DDDDA7}"/>
    <cellStyle name="20% - Accent3 11 3 3 3" xfId="11829" xr:uid="{00000000-0005-0000-0000-0000D20E0000}"/>
    <cellStyle name="20% - Accent3 11 3 3 3 2" xfId="35678" xr:uid="{98B3C98A-F790-4956-98D3-7CF322A715FB}"/>
    <cellStyle name="20% - Accent3 11 3 3 4" xfId="19784" xr:uid="{00000000-0005-0000-0000-0000D30E0000}"/>
    <cellStyle name="20% - Accent3 11 3 3 4 2" xfId="43616" xr:uid="{7A78CFFB-2D0C-4D9E-8F35-1FFE009DCFE7}"/>
    <cellStyle name="20% - Accent3 11 3 3 5" xfId="27737" xr:uid="{B859855A-0A44-4E05-9D7D-7D582E6DF6C4}"/>
    <cellStyle name="20% - Accent3 11 3 4" xfId="5625" xr:uid="{00000000-0005-0000-0000-0000D40E0000}"/>
    <cellStyle name="20% - Accent3 11 3 4 2" xfId="13608" xr:uid="{00000000-0005-0000-0000-0000D50E0000}"/>
    <cellStyle name="20% - Accent3 11 3 4 2 2" xfId="37451" xr:uid="{51D643C2-5C00-44AA-9EB0-81263CD11F43}"/>
    <cellStyle name="20% - Accent3 11 3 4 3" xfId="21556" xr:uid="{00000000-0005-0000-0000-0000D60E0000}"/>
    <cellStyle name="20% - Accent3 11 3 4 3 2" xfId="45388" xr:uid="{A0CC3216-2686-4246-AAE5-E5CB08A3C2A1}"/>
    <cellStyle name="20% - Accent3 11 3 4 4" xfId="29510" xr:uid="{9CA5C75F-86E3-4287-A9E8-FD2F8397DE9F}"/>
    <cellStyle name="20% - Accent3 11 3 5" xfId="9177" xr:uid="{00000000-0005-0000-0000-0000D70E0000}"/>
    <cellStyle name="20% - Accent3 11 3 5 2" xfId="17135" xr:uid="{00000000-0005-0000-0000-0000D80E0000}"/>
    <cellStyle name="20% - Accent3 11 3 5 2 2" xfId="40975" xr:uid="{56B49C7D-E617-4D88-8C05-3B5A25BFBDFA}"/>
    <cellStyle name="20% - Accent3 11 3 5 3" xfId="25079" xr:uid="{00000000-0005-0000-0000-0000D90E0000}"/>
    <cellStyle name="20% - Accent3 11 3 5 3 2" xfId="48911" xr:uid="{9F812906-6788-444B-8C84-84971E5DAB0B}"/>
    <cellStyle name="20% - Accent3 11 3 5 4" xfId="33034" xr:uid="{B7ECBEA2-4AD8-453E-B7B4-32D991F30CCC}"/>
    <cellStyle name="20% - Accent3 11 3 6" xfId="10073" xr:uid="{00000000-0005-0000-0000-0000DA0E0000}"/>
    <cellStyle name="20% - Accent3 11 3 6 2" xfId="33922" xr:uid="{0BF8BF47-06E6-450D-AEE7-F7FC5EDC86D2}"/>
    <cellStyle name="20% - Accent3 11 3 7" xfId="18028" xr:uid="{00000000-0005-0000-0000-0000DB0E0000}"/>
    <cellStyle name="20% - Accent3 11 3 7 2" xfId="41860" xr:uid="{DD01DD44-34E4-4DF1-B99C-80045245E98B}"/>
    <cellStyle name="20% - Accent3 11 3 8" xfId="25980" xr:uid="{C87E9D1F-8F7D-4E67-8305-96CDE385FD81}"/>
    <cellStyle name="20% - Accent3 11 3_Exh G" xfId="2195" xr:uid="{00000000-0005-0000-0000-0000DC0E0000}"/>
    <cellStyle name="20% - Accent3 11 4" xfId="1154" xr:uid="{00000000-0005-0000-0000-0000DD0E0000}"/>
    <cellStyle name="20% - Accent3 11 4 2" xfId="4681" xr:uid="{00000000-0005-0000-0000-0000DE0E0000}"/>
    <cellStyle name="20% - Accent3 11 4 2 2" xfId="8272" xr:uid="{00000000-0005-0000-0000-0000DF0E0000}"/>
    <cellStyle name="20% - Accent3 11 4 2 2 2" xfId="16242" xr:uid="{00000000-0005-0000-0000-0000E00E0000}"/>
    <cellStyle name="20% - Accent3 11 4 2 2 2 2" xfId="40084" xr:uid="{02EA1351-F8D0-4A76-B1FE-51A3CB7AC525}"/>
    <cellStyle name="20% - Accent3 11 4 2 2 3" xfId="24188" xr:uid="{00000000-0005-0000-0000-0000E10E0000}"/>
    <cellStyle name="20% - Accent3 11 4 2 2 3 2" xfId="48020" xr:uid="{B1EC7C74-C315-469E-8EA5-DD92FC59625D}"/>
    <cellStyle name="20% - Accent3 11 4 2 2 4" xfId="32143" xr:uid="{7ABC91D6-E2DD-4F88-AA54-F1ED1B293EF0}"/>
    <cellStyle name="20% - Accent3 11 4 2 3" xfId="12704" xr:uid="{00000000-0005-0000-0000-0000E20E0000}"/>
    <cellStyle name="20% - Accent3 11 4 2 3 2" xfId="36553" xr:uid="{594B1BE0-EA4E-427F-883D-2C06F835B5F6}"/>
    <cellStyle name="20% - Accent3 11 4 2 4" xfId="20659" xr:uid="{00000000-0005-0000-0000-0000E30E0000}"/>
    <cellStyle name="20% - Accent3 11 4 2 4 2" xfId="44491" xr:uid="{5715CF5D-4524-4138-9CCD-C456244C4C3B}"/>
    <cellStyle name="20% - Accent3 11 4 2 5" xfId="28612" xr:uid="{02152A6A-BBAC-4177-90F2-3D3EB1818FA6}"/>
    <cellStyle name="20% - Accent3 11 4 3" xfId="6513" xr:uid="{00000000-0005-0000-0000-0000E40E0000}"/>
    <cellStyle name="20% - Accent3 11 4 3 2" xfId="14484" xr:uid="{00000000-0005-0000-0000-0000E50E0000}"/>
    <cellStyle name="20% - Accent3 11 4 3 2 2" xfId="38326" xr:uid="{FA26E868-DDF9-4DD9-9FA6-993F14CB753C}"/>
    <cellStyle name="20% - Accent3 11 4 3 3" xfId="22431" xr:uid="{00000000-0005-0000-0000-0000E60E0000}"/>
    <cellStyle name="20% - Accent3 11 4 3 3 2" xfId="46263" xr:uid="{B51C99EF-C814-44E8-A47C-B22AE7686151}"/>
    <cellStyle name="20% - Accent3 11 4 3 4" xfId="30385" xr:uid="{D870BA85-CD6D-42E8-A1A5-6C274D9A0AEB}"/>
    <cellStyle name="20% - Accent3 11 4 4" xfId="10948" xr:uid="{00000000-0005-0000-0000-0000E70E0000}"/>
    <cellStyle name="20% - Accent3 11 4 4 2" xfId="34797" xr:uid="{6927767A-CAEB-441A-A202-E4FA08F7E86A}"/>
    <cellStyle name="20% - Accent3 11 4 5" xfId="18903" xr:uid="{00000000-0005-0000-0000-0000E80E0000}"/>
    <cellStyle name="20% - Accent3 11 4 5 2" xfId="42735" xr:uid="{4FBCBB33-F6BF-471C-8C2C-6909F1D7D3A9}"/>
    <cellStyle name="20% - Accent3 11 4 6" xfId="26855" xr:uid="{1D214E6E-3C20-4878-9713-C960F6441D02}"/>
    <cellStyle name="20% - Accent3 11 4_Exh G" xfId="2197" xr:uid="{00000000-0005-0000-0000-0000E90E0000}"/>
    <cellStyle name="20% - Accent3 11 5" xfId="3802" xr:uid="{00000000-0005-0000-0000-0000EA0E0000}"/>
    <cellStyle name="20% - Accent3 11 5 2" xfId="7394" xr:uid="{00000000-0005-0000-0000-0000EB0E0000}"/>
    <cellStyle name="20% - Accent3 11 5 2 2" xfId="15364" xr:uid="{00000000-0005-0000-0000-0000EC0E0000}"/>
    <cellStyle name="20% - Accent3 11 5 2 2 2" xfId="39206" xr:uid="{7825C172-F82A-4501-BBA8-6F1C725C1FF5}"/>
    <cellStyle name="20% - Accent3 11 5 2 3" xfId="23310" xr:uid="{00000000-0005-0000-0000-0000ED0E0000}"/>
    <cellStyle name="20% - Accent3 11 5 2 3 2" xfId="47142" xr:uid="{63A97654-AB5F-4366-A7A2-23E280B384EC}"/>
    <cellStyle name="20% - Accent3 11 5 2 4" xfId="31265" xr:uid="{CF438BFE-3E7E-457F-A9D2-92E7EC237BDD}"/>
    <cellStyle name="20% - Accent3 11 5 3" xfId="11826" xr:uid="{00000000-0005-0000-0000-0000EE0E0000}"/>
    <cellStyle name="20% - Accent3 11 5 3 2" xfId="35675" xr:uid="{FF929754-E5C9-43C2-9033-B9CA29C7AD63}"/>
    <cellStyle name="20% - Accent3 11 5 4" xfId="19781" xr:uid="{00000000-0005-0000-0000-0000EF0E0000}"/>
    <cellStyle name="20% - Accent3 11 5 4 2" xfId="43613" xr:uid="{D2C8B0A4-76BC-4662-A396-B7703C05B335}"/>
    <cellStyle name="20% - Accent3 11 5 5" xfId="27734" xr:uid="{46219BF2-CCE7-4D7D-A69E-456BD6F3A76C}"/>
    <cellStyle name="20% - Accent3 11 6" xfId="5622" xr:uid="{00000000-0005-0000-0000-0000F00E0000}"/>
    <cellStyle name="20% - Accent3 11 6 2" xfId="13605" xr:uid="{00000000-0005-0000-0000-0000F10E0000}"/>
    <cellStyle name="20% - Accent3 11 6 2 2" xfId="37448" xr:uid="{81933AB6-06E0-4BFF-9003-D2D207616D87}"/>
    <cellStyle name="20% - Accent3 11 6 3" xfId="21553" xr:uid="{00000000-0005-0000-0000-0000F20E0000}"/>
    <cellStyle name="20% - Accent3 11 6 3 2" xfId="45385" xr:uid="{BB22EA99-0528-4A57-BB6C-39672FCF93EC}"/>
    <cellStyle name="20% - Accent3 11 6 4" xfId="29507" xr:uid="{563EF2A6-201B-4E00-944B-5F6E14FA4608}"/>
    <cellStyle name="20% - Accent3 11 7" xfId="9174" xr:uid="{00000000-0005-0000-0000-0000F30E0000}"/>
    <cellStyle name="20% - Accent3 11 7 2" xfId="17132" xr:uid="{00000000-0005-0000-0000-0000F40E0000}"/>
    <cellStyle name="20% - Accent3 11 7 2 2" xfId="40972" xr:uid="{3EAFFB55-6A5A-41D4-A579-59C8EBB82B50}"/>
    <cellStyle name="20% - Accent3 11 7 3" xfId="25076" xr:uid="{00000000-0005-0000-0000-0000F50E0000}"/>
    <cellStyle name="20% - Accent3 11 7 3 2" xfId="48908" xr:uid="{44A74F36-5603-458B-BA1D-EC6757FEA6C0}"/>
    <cellStyle name="20% - Accent3 11 7 4" xfId="33031" xr:uid="{CE55750C-CCE1-4A79-BB05-C8513E7F7F03}"/>
    <cellStyle name="20% - Accent3 11 8" xfId="10070" xr:uid="{00000000-0005-0000-0000-0000F60E0000}"/>
    <cellStyle name="20% - Accent3 11 8 2" xfId="33919" xr:uid="{66D7407C-671D-472F-B9A9-C37775992863}"/>
    <cellStyle name="20% - Accent3 11 9" xfId="18025" xr:uid="{00000000-0005-0000-0000-0000F70E0000}"/>
    <cellStyle name="20% - Accent3 11 9 2" xfId="41857" xr:uid="{877974FC-8FF1-4E71-8982-843397C70982}"/>
    <cellStyle name="20% - Accent3 11_Exh G" xfId="2190" xr:uid="{00000000-0005-0000-0000-0000F80E0000}"/>
    <cellStyle name="20% - Accent3 12" xfId="132" xr:uid="{00000000-0005-0000-0000-0000F90E0000}"/>
    <cellStyle name="20% - Accent3 12 10" xfId="25981" xr:uid="{96AB877A-99E6-428D-BB19-A66BCD76AFB2}"/>
    <cellStyle name="20% - Accent3 12 2" xfId="133" xr:uid="{00000000-0005-0000-0000-0000FA0E0000}"/>
    <cellStyle name="20% - Accent3 12 2 2" xfId="134" xr:uid="{00000000-0005-0000-0000-0000FB0E0000}"/>
    <cellStyle name="20% - Accent3 12 2 2 2" xfId="1160" xr:uid="{00000000-0005-0000-0000-0000FC0E0000}"/>
    <cellStyle name="20% - Accent3 12 2 2 2 2" xfId="4687" xr:uid="{00000000-0005-0000-0000-0000FD0E0000}"/>
    <cellStyle name="20% - Accent3 12 2 2 2 2 2" xfId="8278" xr:uid="{00000000-0005-0000-0000-0000FE0E0000}"/>
    <cellStyle name="20% - Accent3 12 2 2 2 2 2 2" xfId="16248" xr:uid="{00000000-0005-0000-0000-0000FF0E0000}"/>
    <cellStyle name="20% - Accent3 12 2 2 2 2 2 2 2" xfId="40090" xr:uid="{3CAF7EC9-0935-4B36-8AD9-5C8B2A23501E}"/>
    <cellStyle name="20% - Accent3 12 2 2 2 2 2 3" xfId="24194" xr:uid="{00000000-0005-0000-0000-0000000F0000}"/>
    <cellStyle name="20% - Accent3 12 2 2 2 2 2 3 2" xfId="48026" xr:uid="{A2E2392D-AF9E-4CF7-AA10-BBA84CE75838}"/>
    <cellStyle name="20% - Accent3 12 2 2 2 2 2 4" xfId="32149" xr:uid="{466DFFD8-CCDA-4D72-8C11-3C4DA3D029AB}"/>
    <cellStyle name="20% - Accent3 12 2 2 2 2 3" xfId="12710" xr:uid="{00000000-0005-0000-0000-0000010F0000}"/>
    <cellStyle name="20% - Accent3 12 2 2 2 2 3 2" xfId="36559" xr:uid="{FA29CACC-CCA1-4703-AFD5-787940AE16FA}"/>
    <cellStyle name="20% - Accent3 12 2 2 2 2 4" xfId="20665" xr:uid="{00000000-0005-0000-0000-0000020F0000}"/>
    <cellStyle name="20% - Accent3 12 2 2 2 2 4 2" xfId="44497" xr:uid="{7772DE29-266D-48C8-9E0A-C34476C1F8D6}"/>
    <cellStyle name="20% - Accent3 12 2 2 2 2 5" xfId="28618" xr:uid="{CDA5E947-6CDA-465A-87E2-1DCA772CC8C6}"/>
    <cellStyle name="20% - Accent3 12 2 2 2 3" xfId="6519" xr:uid="{00000000-0005-0000-0000-0000030F0000}"/>
    <cellStyle name="20% - Accent3 12 2 2 2 3 2" xfId="14490" xr:uid="{00000000-0005-0000-0000-0000040F0000}"/>
    <cellStyle name="20% - Accent3 12 2 2 2 3 2 2" xfId="38332" xr:uid="{F994D001-CB8E-4C6F-84AA-E2B62E378983}"/>
    <cellStyle name="20% - Accent3 12 2 2 2 3 3" xfId="22437" xr:uid="{00000000-0005-0000-0000-0000050F0000}"/>
    <cellStyle name="20% - Accent3 12 2 2 2 3 3 2" xfId="46269" xr:uid="{F65D0053-D237-42D7-8368-772D69F6D523}"/>
    <cellStyle name="20% - Accent3 12 2 2 2 3 4" xfId="30391" xr:uid="{4A6F48D5-D45B-411E-ABB0-93646917DFBD}"/>
    <cellStyle name="20% - Accent3 12 2 2 2 4" xfId="10954" xr:uid="{00000000-0005-0000-0000-0000060F0000}"/>
    <cellStyle name="20% - Accent3 12 2 2 2 4 2" xfId="34803" xr:uid="{050718E7-A085-4E27-8C2B-CADDD59BCF61}"/>
    <cellStyle name="20% - Accent3 12 2 2 2 5" xfId="18909" xr:uid="{00000000-0005-0000-0000-0000070F0000}"/>
    <cellStyle name="20% - Accent3 12 2 2 2 5 2" xfId="42741" xr:uid="{B8403056-90AB-4735-9ACB-2AFA752C1691}"/>
    <cellStyle name="20% - Accent3 12 2 2 2 6" xfId="26861" xr:uid="{3861667D-EB04-4DDD-914E-F7E67E057E34}"/>
    <cellStyle name="20% - Accent3 12 2 2 2_Exh G" xfId="2201" xr:uid="{00000000-0005-0000-0000-0000080F0000}"/>
    <cellStyle name="20% - Accent3 12 2 2 3" xfId="3808" xr:uid="{00000000-0005-0000-0000-0000090F0000}"/>
    <cellStyle name="20% - Accent3 12 2 2 3 2" xfId="7400" xr:uid="{00000000-0005-0000-0000-00000A0F0000}"/>
    <cellStyle name="20% - Accent3 12 2 2 3 2 2" xfId="15370" xr:uid="{00000000-0005-0000-0000-00000B0F0000}"/>
    <cellStyle name="20% - Accent3 12 2 2 3 2 2 2" xfId="39212" xr:uid="{887A200B-055B-4250-BC35-38B790539A2C}"/>
    <cellStyle name="20% - Accent3 12 2 2 3 2 3" xfId="23316" xr:uid="{00000000-0005-0000-0000-00000C0F0000}"/>
    <cellStyle name="20% - Accent3 12 2 2 3 2 3 2" xfId="47148" xr:uid="{DF8BB230-6287-45F3-80BA-36F8BB1784AB}"/>
    <cellStyle name="20% - Accent3 12 2 2 3 2 4" xfId="31271" xr:uid="{AD00BAB3-8EA8-4501-B980-5B5D5604F542}"/>
    <cellStyle name="20% - Accent3 12 2 2 3 3" xfId="11832" xr:uid="{00000000-0005-0000-0000-00000D0F0000}"/>
    <cellStyle name="20% - Accent3 12 2 2 3 3 2" xfId="35681" xr:uid="{9F8867FA-5D9B-413D-BAE3-DB19D66A3CAF}"/>
    <cellStyle name="20% - Accent3 12 2 2 3 4" xfId="19787" xr:uid="{00000000-0005-0000-0000-00000E0F0000}"/>
    <cellStyle name="20% - Accent3 12 2 2 3 4 2" xfId="43619" xr:uid="{2D495AEF-64CC-4102-8678-18D3DD9E1B0F}"/>
    <cellStyle name="20% - Accent3 12 2 2 3 5" xfId="27740" xr:uid="{1B2C3D28-D6D8-4E37-AE63-242CA1DA84AA}"/>
    <cellStyle name="20% - Accent3 12 2 2 4" xfId="5628" xr:uid="{00000000-0005-0000-0000-00000F0F0000}"/>
    <cellStyle name="20% - Accent3 12 2 2 4 2" xfId="13611" xr:uid="{00000000-0005-0000-0000-0000100F0000}"/>
    <cellStyle name="20% - Accent3 12 2 2 4 2 2" xfId="37454" xr:uid="{DCC55823-FEC5-418A-A539-68656A61899F}"/>
    <cellStyle name="20% - Accent3 12 2 2 4 3" xfId="21559" xr:uid="{00000000-0005-0000-0000-0000110F0000}"/>
    <cellStyle name="20% - Accent3 12 2 2 4 3 2" xfId="45391" xr:uid="{4AA917FC-1FBC-4102-8A89-0A64232E57DE}"/>
    <cellStyle name="20% - Accent3 12 2 2 4 4" xfId="29513" xr:uid="{B5C8827F-6412-4733-A1AD-33BCEC96C734}"/>
    <cellStyle name="20% - Accent3 12 2 2 5" xfId="9180" xr:uid="{00000000-0005-0000-0000-0000120F0000}"/>
    <cellStyle name="20% - Accent3 12 2 2 5 2" xfId="17138" xr:uid="{00000000-0005-0000-0000-0000130F0000}"/>
    <cellStyle name="20% - Accent3 12 2 2 5 2 2" xfId="40978" xr:uid="{5675DF44-4E59-4327-9342-5DC745EF174D}"/>
    <cellStyle name="20% - Accent3 12 2 2 5 3" xfId="25082" xr:uid="{00000000-0005-0000-0000-0000140F0000}"/>
    <cellStyle name="20% - Accent3 12 2 2 5 3 2" xfId="48914" xr:uid="{3DAE673D-B760-4037-A9CE-B41D7E86802A}"/>
    <cellStyle name="20% - Accent3 12 2 2 5 4" xfId="33037" xr:uid="{BA02927B-A1FA-4190-B80B-E12796A872B3}"/>
    <cellStyle name="20% - Accent3 12 2 2 6" xfId="10076" xr:uid="{00000000-0005-0000-0000-0000150F0000}"/>
    <cellStyle name="20% - Accent3 12 2 2 6 2" xfId="33925" xr:uid="{572CBD7A-983B-4E76-ABDF-C9A80D3A30D7}"/>
    <cellStyle name="20% - Accent3 12 2 2 7" xfId="18031" xr:uid="{00000000-0005-0000-0000-0000160F0000}"/>
    <cellStyle name="20% - Accent3 12 2 2 7 2" xfId="41863" xr:uid="{790E1F3F-E19D-49D6-ABD4-79E954780090}"/>
    <cellStyle name="20% - Accent3 12 2 2 8" xfId="25983" xr:uid="{DC35636C-057D-4AC4-8BA3-B8D11C55E7AC}"/>
    <cellStyle name="20% - Accent3 12 2 2_Exh G" xfId="2200" xr:uid="{00000000-0005-0000-0000-0000170F0000}"/>
    <cellStyle name="20% - Accent3 12 2 3" xfId="1159" xr:uid="{00000000-0005-0000-0000-0000180F0000}"/>
    <cellStyle name="20% - Accent3 12 2 3 2" xfId="4686" xr:uid="{00000000-0005-0000-0000-0000190F0000}"/>
    <cellStyle name="20% - Accent3 12 2 3 2 2" xfId="8277" xr:uid="{00000000-0005-0000-0000-00001A0F0000}"/>
    <cellStyle name="20% - Accent3 12 2 3 2 2 2" xfId="16247" xr:uid="{00000000-0005-0000-0000-00001B0F0000}"/>
    <cellStyle name="20% - Accent3 12 2 3 2 2 2 2" xfId="40089" xr:uid="{52FCBF32-E703-4268-8993-706CF5A297B3}"/>
    <cellStyle name="20% - Accent3 12 2 3 2 2 3" xfId="24193" xr:uid="{00000000-0005-0000-0000-00001C0F0000}"/>
    <cellStyle name="20% - Accent3 12 2 3 2 2 3 2" xfId="48025" xr:uid="{FB9256F9-4B90-4445-B6F2-7540D50EDBF1}"/>
    <cellStyle name="20% - Accent3 12 2 3 2 2 4" xfId="32148" xr:uid="{380A0907-EF34-4F13-8616-46D250647B2E}"/>
    <cellStyle name="20% - Accent3 12 2 3 2 3" xfId="12709" xr:uid="{00000000-0005-0000-0000-00001D0F0000}"/>
    <cellStyle name="20% - Accent3 12 2 3 2 3 2" xfId="36558" xr:uid="{67F022E3-255E-4994-9056-3BD60058E8B4}"/>
    <cellStyle name="20% - Accent3 12 2 3 2 4" xfId="20664" xr:uid="{00000000-0005-0000-0000-00001E0F0000}"/>
    <cellStyle name="20% - Accent3 12 2 3 2 4 2" xfId="44496" xr:uid="{F87255DC-04BE-4B7A-B2AB-C55C5EEC1F3B}"/>
    <cellStyle name="20% - Accent3 12 2 3 2 5" xfId="28617" xr:uid="{F6EB4843-0577-4FAA-8421-9AEAC61D9F28}"/>
    <cellStyle name="20% - Accent3 12 2 3 3" xfId="6518" xr:uid="{00000000-0005-0000-0000-00001F0F0000}"/>
    <cellStyle name="20% - Accent3 12 2 3 3 2" xfId="14489" xr:uid="{00000000-0005-0000-0000-0000200F0000}"/>
    <cellStyle name="20% - Accent3 12 2 3 3 2 2" xfId="38331" xr:uid="{5AB9A405-019C-4149-A9B3-4315FEF904DE}"/>
    <cellStyle name="20% - Accent3 12 2 3 3 3" xfId="22436" xr:uid="{00000000-0005-0000-0000-0000210F0000}"/>
    <cellStyle name="20% - Accent3 12 2 3 3 3 2" xfId="46268" xr:uid="{F322A7D5-824F-4509-8BB2-220080FFE85D}"/>
    <cellStyle name="20% - Accent3 12 2 3 3 4" xfId="30390" xr:uid="{88A306E9-E921-48C5-A962-D775E607C84D}"/>
    <cellStyle name="20% - Accent3 12 2 3 4" xfId="10953" xr:uid="{00000000-0005-0000-0000-0000220F0000}"/>
    <cellStyle name="20% - Accent3 12 2 3 4 2" xfId="34802" xr:uid="{334978EC-0A9C-4EFE-9B2D-05885A610259}"/>
    <cellStyle name="20% - Accent3 12 2 3 5" xfId="18908" xr:uid="{00000000-0005-0000-0000-0000230F0000}"/>
    <cellStyle name="20% - Accent3 12 2 3 5 2" xfId="42740" xr:uid="{62439268-F587-4593-8405-F4679B33A416}"/>
    <cellStyle name="20% - Accent3 12 2 3 6" xfId="26860" xr:uid="{57658744-9448-4CCC-9019-95771F48C87E}"/>
    <cellStyle name="20% - Accent3 12 2 3_Exh G" xfId="2202" xr:uid="{00000000-0005-0000-0000-0000240F0000}"/>
    <cellStyle name="20% - Accent3 12 2 4" xfId="3807" xr:uid="{00000000-0005-0000-0000-0000250F0000}"/>
    <cellStyle name="20% - Accent3 12 2 4 2" xfId="7399" xr:uid="{00000000-0005-0000-0000-0000260F0000}"/>
    <cellStyle name="20% - Accent3 12 2 4 2 2" xfId="15369" xr:uid="{00000000-0005-0000-0000-0000270F0000}"/>
    <cellStyle name="20% - Accent3 12 2 4 2 2 2" xfId="39211" xr:uid="{367F23E7-9485-454E-9673-3A04824C687C}"/>
    <cellStyle name="20% - Accent3 12 2 4 2 3" xfId="23315" xr:uid="{00000000-0005-0000-0000-0000280F0000}"/>
    <cellStyle name="20% - Accent3 12 2 4 2 3 2" xfId="47147" xr:uid="{7AFBE97B-5A72-4954-B62C-269F42288F96}"/>
    <cellStyle name="20% - Accent3 12 2 4 2 4" xfId="31270" xr:uid="{6C3EEF5C-9654-406B-8310-30A5AAD2132C}"/>
    <cellStyle name="20% - Accent3 12 2 4 3" xfId="11831" xr:uid="{00000000-0005-0000-0000-0000290F0000}"/>
    <cellStyle name="20% - Accent3 12 2 4 3 2" xfId="35680" xr:uid="{CEED7063-326F-485E-8152-0DFF1B257081}"/>
    <cellStyle name="20% - Accent3 12 2 4 4" xfId="19786" xr:uid="{00000000-0005-0000-0000-00002A0F0000}"/>
    <cellStyle name="20% - Accent3 12 2 4 4 2" xfId="43618" xr:uid="{520BB110-805C-455D-A7FE-421CEEEA819A}"/>
    <cellStyle name="20% - Accent3 12 2 4 5" xfId="27739" xr:uid="{0ED1A3EA-09D7-448C-8360-F9C92C29F178}"/>
    <cellStyle name="20% - Accent3 12 2 5" xfId="5627" xr:uid="{00000000-0005-0000-0000-00002B0F0000}"/>
    <cellStyle name="20% - Accent3 12 2 5 2" xfId="13610" xr:uid="{00000000-0005-0000-0000-00002C0F0000}"/>
    <cellStyle name="20% - Accent3 12 2 5 2 2" xfId="37453" xr:uid="{D0BDB96D-AD52-4541-8833-0F41A592A75E}"/>
    <cellStyle name="20% - Accent3 12 2 5 3" xfId="21558" xr:uid="{00000000-0005-0000-0000-00002D0F0000}"/>
    <cellStyle name="20% - Accent3 12 2 5 3 2" xfId="45390" xr:uid="{63592970-4E6D-432A-8D82-8B17DE11FF89}"/>
    <cellStyle name="20% - Accent3 12 2 5 4" xfId="29512" xr:uid="{F65DC496-FE1B-4609-89F6-F4F4F8BB8E64}"/>
    <cellStyle name="20% - Accent3 12 2 6" xfId="9179" xr:uid="{00000000-0005-0000-0000-00002E0F0000}"/>
    <cellStyle name="20% - Accent3 12 2 6 2" xfId="17137" xr:uid="{00000000-0005-0000-0000-00002F0F0000}"/>
    <cellStyle name="20% - Accent3 12 2 6 2 2" xfId="40977" xr:uid="{543D6A01-9D30-43C2-B7CC-194E83621123}"/>
    <cellStyle name="20% - Accent3 12 2 6 3" xfId="25081" xr:uid="{00000000-0005-0000-0000-0000300F0000}"/>
    <cellStyle name="20% - Accent3 12 2 6 3 2" xfId="48913" xr:uid="{F0455BF2-B9E1-4D59-9ADF-D9D8EB6571A6}"/>
    <cellStyle name="20% - Accent3 12 2 6 4" xfId="33036" xr:uid="{A8651F58-2CC9-42E8-A4E3-1D9052F47F0B}"/>
    <cellStyle name="20% - Accent3 12 2 7" xfId="10075" xr:uid="{00000000-0005-0000-0000-0000310F0000}"/>
    <cellStyle name="20% - Accent3 12 2 7 2" xfId="33924" xr:uid="{D6F2A34C-ED85-4315-B182-A8FA4707389F}"/>
    <cellStyle name="20% - Accent3 12 2 8" xfId="18030" xr:uid="{00000000-0005-0000-0000-0000320F0000}"/>
    <cellStyle name="20% - Accent3 12 2 8 2" xfId="41862" xr:uid="{79DAFD42-E76F-4E51-B000-C9505B9191B4}"/>
    <cellStyle name="20% - Accent3 12 2 9" xfId="25982" xr:uid="{C0B00D61-9F80-4254-8CDF-18688D698C12}"/>
    <cellStyle name="20% - Accent3 12 2_Exh G" xfId="2199" xr:uid="{00000000-0005-0000-0000-0000330F0000}"/>
    <cellStyle name="20% - Accent3 12 3" xfId="135" xr:uid="{00000000-0005-0000-0000-0000340F0000}"/>
    <cellStyle name="20% - Accent3 12 3 2" xfId="1161" xr:uid="{00000000-0005-0000-0000-0000350F0000}"/>
    <cellStyle name="20% - Accent3 12 3 2 2" xfId="4688" xr:uid="{00000000-0005-0000-0000-0000360F0000}"/>
    <cellStyle name="20% - Accent3 12 3 2 2 2" xfId="8279" xr:uid="{00000000-0005-0000-0000-0000370F0000}"/>
    <cellStyle name="20% - Accent3 12 3 2 2 2 2" xfId="16249" xr:uid="{00000000-0005-0000-0000-0000380F0000}"/>
    <cellStyle name="20% - Accent3 12 3 2 2 2 2 2" xfId="40091" xr:uid="{E0720EA9-DD20-46FB-AD6F-5B8C66D60E46}"/>
    <cellStyle name="20% - Accent3 12 3 2 2 2 3" xfId="24195" xr:uid="{00000000-0005-0000-0000-0000390F0000}"/>
    <cellStyle name="20% - Accent3 12 3 2 2 2 3 2" xfId="48027" xr:uid="{D05341E7-E23C-4685-AB60-9A924DFBF796}"/>
    <cellStyle name="20% - Accent3 12 3 2 2 2 4" xfId="32150" xr:uid="{B6A095B7-82BC-4738-9468-DCFF955978CC}"/>
    <cellStyle name="20% - Accent3 12 3 2 2 3" xfId="12711" xr:uid="{00000000-0005-0000-0000-00003A0F0000}"/>
    <cellStyle name="20% - Accent3 12 3 2 2 3 2" xfId="36560" xr:uid="{C8F06757-AEBE-4216-BCB0-DD0A4B31E6D2}"/>
    <cellStyle name="20% - Accent3 12 3 2 2 4" xfId="20666" xr:uid="{00000000-0005-0000-0000-00003B0F0000}"/>
    <cellStyle name="20% - Accent3 12 3 2 2 4 2" xfId="44498" xr:uid="{7DCE7469-95C6-4F32-ABD6-B0B1D50356B7}"/>
    <cellStyle name="20% - Accent3 12 3 2 2 5" xfId="28619" xr:uid="{C6707751-BFF4-4544-A4E4-6D47E7E28B8A}"/>
    <cellStyle name="20% - Accent3 12 3 2 3" xfId="6520" xr:uid="{00000000-0005-0000-0000-00003C0F0000}"/>
    <cellStyle name="20% - Accent3 12 3 2 3 2" xfId="14491" xr:uid="{00000000-0005-0000-0000-00003D0F0000}"/>
    <cellStyle name="20% - Accent3 12 3 2 3 2 2" xfId="38333" xr:uid="{A4665754-16F5-48C0-B59D-08B7CCB41700}"/>
    <cellStyle name="20% - Accent3 12 3 2 3 3" xfId="22438" xr:uid="{00000000-0005-0000-0000-00003E0F0000}"/>
    <cellStyle name="20% - Accent3 12 3 2 3 3 2" xfId="46270" xr:uid="{E2795DB1-040E-4F73-AF7D-0E69B07B217F}"/>
    <cellStyle name="20% - Accent3 12 3 2 3 4" xfId="30392" xr:uid="{528C10F6-963E-4AAB-863C-9A4949DDC348}"/>
    <cellStyle name="20% - Accent3 12 3 2 4" xfId="10955" xr:uid="{00000000-0005-0000-0000-00003F0F0000}"/>
    <cellStyle name="20% - Accent3 12 3 2 4 2" xfId="34804" xr:uid="{5C003975-9D52-4550-BF18-1E259BF597DA}"/>
    <cellStyle name="20% - Accent3 12 3 2 5" xfId="18910" xr:uid="{00000000-0005-0000-0000-0000400F0000}"/>
    <cellStyle name="20% - Accent3 12 3 2 5 2" xfId="42742" xr:uid="{4B1CD3BF-6FEC-402A-8ED4-47BFD5B0EADD}"/>
    <cellStyle name="20% - Accent3 12 3 2 6" xfId="26862" xr:uid="{8D7D02B0-AA15-476F-A89C-FCDB865E3D73}"/>
    <cellStyle name="20% - Accent3 12 3 2_Exh G" xfId="2204" xr:uid="{00000000-0005-0000-0000-0000410F0000}"/>
    <cellStyle name="20% - Accent3 12 3 3" xfId="3809" xr:uid="{00000000-0005-0000-0000-0000420F0000}"/>
    <cellStyle name="20% - Accent3 12 3 3 2" xfId="7401" xr:uid="{00000000-0005-0000-0000-0000430F0000}"/>
    <cellStyle name="20% - Accent3 12 3 3 2 2" xfId="15371" xr:uid="{00000000-0005-0000-0000-0000440F0000}"/>
    <cellStyle name="20% - Accent3 12 3 3 2 2 2" xfId="39213" xr:uid="{DCBC72A5-8BBD-41DB-A710-175E11E4247E}"/>
    <cellStyle name="20% - Accent3 12 3 3 2 3" xfId="23317" xr:uid="{00000000-0005-0000-0000-0000450F0000}"/>
    <cellStyle name="20% - Accent3 12 3 3 2 3 2" xfId="47149" xr:uid="{33B80BD8-B391-4D4F-85F0-DD6E8777979E}"/>
    <cellStyle name="20% - Accent3 12 3 3 2 4" xfId="31272" xr:uid="{C81F3534-2038-42DA-870E-D037FE013F9D}"/>
    <cellStyle name="20% - Accent3 12 3 3 3" xfId="11833" xr:uid="{00000000-0005-0000-0000-0000460F0000}"/>
    <cellStyle name="20% - Accent3 12 3 3 3 2" xfId="35682" xr:uid="{6A1BC841-2E8F-4A9F-A6DB-D71712A40DD3}"/>
    <cellStyle name="20% - Accent3 12 3 3 4" xfId="19788" xr:uid="{00000000-0005-0000-0000-0000470F0000}"/>
    <cellStyle name="20% - Accent3 12 3 3 4 2" xfId="43620" xr:uid="{3886621F-9722-4260-B9D3-E91D061C5FBD}"/>
    <cellStyle name="20% - Accent3 12 3 3 5" xfId="27741" xr:uid="{1C431D04-5DCB-488A-8316-E91030778451}"/>
    <cellStyle name="20% - Accent3 12 3 4" xfId="5629" xr:uid="{00000000-0005-0000-0000-0000480F0000}"/>
    <cellStyle name="20% - Accent3 12 3 4 2" xfId="13612" xr:uid="{00000000-0005-0000-0000-0000490F0000}"/>
    <cellStyle name="20% - Accent3 12 3 4 2 2" xfId="37455" xr:uid="{C7D9049F-ADEA-4A75-AD72-47268D417888}"/>
    <cellStyle name="20% - Accent3 12 3 4 3" xfId="21560" xr:uid="{00000000-0005-0000-0000-00004A0F0000}"/>
    <cellStyle name="20% - Accent3 12 3 4 3 2" xfId="45392" xr:uid="{05EA433F-260E-490B-A321-851A13371D83}"/>
    <cellStyle name="20% - Accent3 12 3 4 4" xfId="29514" xr:uid="{BE8F238C-64F1-4631-9AA1-BAFBA46F8D78}"/>
    <cellStyle name="20% - Accent3 12 3 5" xfId="9181" xr:uid="{00000000-0005-0000-0000-00004B0F0000}"/>
    <cellStyle name="20% - Accent3 12 3 5 2" xfId="17139" xr:uid="{00000000-0005-0000-0000-00004C0F0000}"/>
    <cellStyle name="20% - Accent3 12 3 5 2 2" xfId="40979" xr:uid="{E2C1ED24-C3BB-45C7-8D5D-2012682A0ACF}"/>
    <cellStyle name="20% - Accent3 12 3 5 3" xfId="25083" xr:uid="{00000000-0005-0000-0000-00004D0F0000}"/>
    <cellStyle name="20% - Accent3 12 3 5 3 2" xfId="48915" xr:uid="{F332D264-515B-400A-B07F-59AA26A35312}"/>
    <cellStyle name="20% - Accent3 12 3 5 4" xfId="33038" xr:uid="{A53C850D-B6DE-4E3E-9162-CC1BBA5D2DC0}"/>
    <cellStyle name="20% - Accent3 12 3 6" xfId="10077" xr:uid="{00000000-0005-0000-0000-00004E0F0000}"/>
    <cellStyle name="20% - Accent3 12 3 6 2" xfId="33926" xr:uid="{6B44CE81-CB50-486E-9692-F5A6F149C2C4}"/>
    <cellStyle name="20% - Accent3 12 3 7" xfId="18032" xr:uid="{00000000-0005-0000-0000-00004F0F0000}"/>
    <cellStyle name="20% - Accent3 12 3 7 2" xfId="41864" xr:uid="{E9574ED3-1830-4ABB-BF53-C77491511686}"/>
    <cellStyle name="20% - Accent3 12 3 8" xfId="25984" xr:uid="{E94EE6CC-7FCD-4764-8ED4-0588154C86EA}"/>
    <cellStyle name="20% - Accent3 12 3_Exh G" xfId="2203" xr:uid="{00000000-0005-0000-0000-0000500F0000}"/>
    <cellStyle name="20% - Accent3 12 4" xfId="1158" xr:uid="{00000000-0005-0000-0000-0000510F0000}"/>
    <cellStyle name="20% - Accent3 12 4 2" xfId="4685" xr:uid="{00000000-0005-0000-0000-0000520F0000}"/>
    <cellStyle name="20% - Accent3 12 4 2 2" xfId="8276" xr:uid="{00000000-0005-0000-0000-0000530F0000}"/>
    <cellStyle name="20% - Accent3 12 4 2 2 2" xfId="16246" xr:uid="{00000000-0005-0000-0000-0000540F0000}"/>
    <cellStyle name="20% - Accent3 12 4 2 2 2 2" xfId="40088" xr:uid="{67E06420-51FB-460B-B449-4811BB159CAC}"/>
    <cellStyle name="20% - Accent3 12 4 2 2 3" xfId="24192" xr:uid="{00000000-0005-0000-0000-0000550F0000}"/>
    <cellStyle name="20% - Accent3 12 4 2 2 3 2" xfId="48024" xr:uid="{62982C59-90D1-4DCB-B34D-B627F76A076B}"/>
    <cellStyle name="20% - Accent3 12 4 2 2 4" xfId="32147" xr:uid="{D37ABB03-0E8B-46F1-9A01-F39A981F6D65}"/>
    <cellStyle name="20% - Accent3 12 4 2 3" xfId="12708" xr:uid="{00000000-0005-0000-0000-0000560F0000}"/>
    <cellStyle name="20% - Accent3 12 4 2 3 2" xfId="36557" xr:uid="{6FBE3A7D-F9E9-4896-9BD8-28D106496F1B}"/>
    <cellStyle name="20% - Accent3 12 4 2 4" xfId="20663" xr:uid="{00000000-0005-0000-0000-0000570F0000}"/>
    <cellStyle name="20% - Accent3 12 4 2 4 2" xfId="44495" xr:uid="{14C0D255-3347-4DF1-BAA3-B802AF5A9CD1}"/>
    <cellStyle name="20% - Accent3 12 4 2 5" xfId="28616" xr:uid="{D2D48C71-3A2C-4D22-9B20-9F8458EC7D2D}"/>
    <cellStyle name="20% - Accent3 12 4 3" xfId="6517" xr:uid="{00000000-0005-0000-0000-0000580F0000}"/>
    <cellStyle name="20% - Accent3 12 4 3 2" xfId="14488" xr:uid="{00000000-0005-0000-0000-0000590F0000}"/>
    <cellStyle name="20% - Accent3 12 4 3 2 2" xfId="38330" xr:uid="{4A6F547D-F87A-4115-A19C-C4778BD04F3D}"/>
    <cellStyle name="20% - Accent3 12 4 3 3" xfId="22435" xr:uid="{00000000-0005-0000-0000-00005A0F0000}"/>
    <cellStyle name="20% - Accent3 12 4 3 3 2" xfId="46267" xr:uid="{067FBB1A-C89E-42F4-B453-DA8951F973DC}"/>
    <cellStyle name="20% - Accent3 12 4 3 4" xfId="30389" xr:uid="{5EE017A8-1350-4E0A-A982-4B917F062CD3}"/>
    <cellStyle name="20% - Accent3 12 4 4" xfId="10952" xr:uid="{00000000-0005-0000-0000-00005B0F0000}"/>
    <cellStyle name="20% - Accent3 12 4 4 2" xfId="34801" xr:uid="{9B9CD402-DAB2-41E0-9B67-2D439DBD6E1C}"/>
    <cellStyle name="20% - Accent3 12 4 5" xfId="18907" xr:uid="{00000000-0005-0000-0000-00005C0F0000}"/>
    <cellStyle name="20% - Accent3 12 4 5 2" xfId="42739" xr:uid="{3F246B3A-D1DA-4A8B-AAA5-831BCAD602C3}"/>
    <cellStyle name="20% - Accent3 12 4 6" xfId="26859" xr:uid="{D5AB9024-E8B8-471D-AF81-B7F6961E97CE}"/>
    <cellStyle name="20% - Accent3 12 4_Exh G" xfId="2205" xr:uid="{00000000-0005-0000-0000-00005D0F0000}"/>
    <cellStyle name="20% - Accent3 12 5" xfId="3806" xr:uid="{00000000-0005-0000-0000-00005E0F0000}"/>
    <cellStyle name="20% - Accent3 12 5 2" xfId="7398" xr:uid="{00000000-0005-0000-0000-00005F0F0000}"/>
    <cellStyle name="20% - Accent3 12 5 2 2" xfId="15368" xr:uid="{00000000-0005-0000-0000-0000600F0000}"/>
    <cellStyle name="20% - Accent3 12 5 2 2 2" xfId="39210" xr:uid="{FE0E3E3A-F0E5-4C53-BE19-54E67B701F91}"/>
    <cellStyle name="20% - Accent3 12 5 2 3" xfId="23314" xr:uid="{00000000-0005-0000-0000-0000610F0000}"/>
    <cellStyle name="20% - Accent3 12 5 2 3 2" xfId="47146" xr:uid="{C27B4DD0-7B52-4AFC-816A-B4A618E8207D}"/>
    <cellStyle name="20% - Accent3 12 5 2 4" xfId="31269" xr:uid="{F6004FCD-1DAC-4B6C-A3B6-8C4C8CD6A07D}"/>
    <cellStyle name="20% - Accent3 12 5 3" xfId="11830" xr:uid="{00000000-0005-0000-0000-0000620F0000}"/>
    <cellStyle name="20% - Accent3 12 5 3 2" xfId="35679" xr:uid="{31825A7B-D512-4755-8575-3636F35278BC}"/>
    <cellStyle name="20% - Accent3 12 5 4" xfId="19785" xr:uid="{00000000-0005-0000-0000-0000630F0000}"/>
    <cellStyle name="20% - Accent3 12 5 4 2" xfId="43617" xr:uid="{DA1F457D-4B92-4578-A002-A106419A4075}"/>
    <cellStyle name="20% - Accent3 12 5 5" xfId="27738" xr:uid="{378E93D8-C350-4F97-8563-7AFFFD5A35B4}"/>
    <cellStyle name="20% - Accent3 12 6" xfId="5626" xr:uid="{00000000-0005-0000-0000-0000640F0000}"/>
    <cellStyle name="20% - Accent3 12 6 2" xfId="13609" xr:uid="{00000000-0005-0000-0000-0000650F0000}"/>
    <cellStyle name="20% - Accent3 12 6 2 2" xfId="37452" xr:uid="{B461DAD9-B7DE-4B2F-9EC8-870C6E0FB366}"/>
    <cellStyle name="20% - Accent3 12 6 3" xfId="21557" xr:uid="{00000000-0005-0000-0000-0000660F0000}"/>
    <cellStyle name="20% - Accent3 12 6 3 2" xfId="45389" xr:uid="{B0311834-BADC-45B3-9B7F-021461A54470}"/>
    <cellStyle name="20% - Accent3 12 6 4" xfId="29511" xr:uid="{9BE20DE6-F3D5-434A-9483-0EFE99261475}"/>
    <cellStyle name="20% - Accent3 12 7" xfId="9178" xr:uid="{00000000-0005-0000-0000-0000670F0000}"/>
    <cellStyle name="20% - Accent3 12 7 2" xfId="17136" xr:uid="{00000000-0005-0000-0000-0000680F0000}"/>
    <cellStyle name="20% - Accent3 12 7 2 2" xfId="40976" xr:uid="{D285D9AF-C714-4A6A-95E7-90F26D612889}"/>
    <cellStyle name="20% - Accent3 12 7 3" xfId="25080" xr:uid="{00000000-0005-0000-0000-0000690F0000}"/>
    <cellStyle name="20% - Accent3 12 7 3 2" xfId="48912" xr:uid="{0C3211D7-08B9-46C4-8ED3-219C4A2DE521}"/>
    <cellStyle name="20% - Accent3 12 7 4" xfId="33035" xr:uid="{1E755B30-85A8-49AC-AF36-113BB1B618CE}"/>
    <cellStyle name="20% - Accent3 12 8" xfId="10074" xr:uid="{00000000-0005-0000-0000-00006A0F0000}"/>
    <cellStyle name="20% - Accent3 12 8 2" xfId="33923" xr:uid="{187AADC5-B47A-46D1-B7FB-C96A9CCAF5D8}"/>
    <cellStyle name="20% - Accent3 12 9" xfId="18029" xr:uid="{00000000-0005-0000-0000-00006B0F0000}"/>
    <cellStyle name="20% - Accent3 12 9 2" xfId="41861" xr:uid="{941FC88D-DC64-40E6-922B-AD399CA80896}"/>
    <cellStyle name="20% - Accent3 12_Exh G" xfId="2198" xr:uid="{00000000-0005-0000-0000-00006C0F0000}"/>
    <cellStyle name="20% - Accent3 13" xfId="136" xr:uid="{00000000-0005-0000-0000-00006D0F0000}"/>
    <cellStyle name="20% - Accent3 13 10" xfId="25985" xr:uid="{91F198F5-07A9-45D6-8497-ADFBA58B924F}"/>
    <cellStyle name="20% - Accent3 13 2" xfId="137" xr:uid="{00000000-0005-0000-0000-00006E0F0000}"/>
    <cellStyle name="20% - Accent3 13 2 2" xfId="138" xr:uid="{00000000-0005-0000-0000-00006F0F0000}"/>
    <cellStyle name="20% - Accent3 13 2 2 2" xfId="1164" xr:uid="{00000000-0005-0000-0000-0000700F0000}"/>
    <cellStyle name="20% - Accent3 13 2 2 2 2" xfId="4691" xr:uid="{00000000-0005-0000-0000-0000710F0000}"/>
    <cellStyle name="20% - Accent3 13 2 2 2 2 2" xfId="8282" xr:uid="{00000000-0005-0000-0000-0000720F0000}"/>
    <cellStyle name="20% - Accent3 13 2 2 2 2 2 2" xfId="16252" xr:uid="{00000000-0005-0000-0000-0000730F0000}"/>
    <cellStyle name="20% - Accent3 13 2 2 2 2 2 2 2" xfId="40094" xr:uid="{5849A291-69BD-45A7-ADBC-21161E01D174}"/>
    <cellStyle name="20% - Accent3 13 2 2 2 2 2 3" xfId="24198" xr:uid="{00000000-0005-0000-0000-0000740F0000}"/>
    <cellStyle name="20% - Accent3 13 2 2 2 2 2 3 2" xfId="48030" xr:uid="{D91EABC2-5BAE-428A-A822-1F8B0A18D3EF}"/>
    <cellStyle name="20% - Accent3 13 2 2 2 2 2 4" xfId="32153" xr:uid="{23D3C1F0-7931-4E03-92A9-16218C7AEAA1}"/>
    <cellStyle name="20% - Accent3 13 2 2 2 2 3" xfId="12714" xr:uid="{00000000-0005-0000-0000-0000750F0000}"/>
    <cellStyle name="20% - Accent3 13 2 2 2 2 3 2" xfId="36563" xr:uid="{31E42A53-84D9-4D82-B04A-46C3F2023A0A}"/>
    <cellStyle name="20% - Accent3 13 2 2 2 2 4" xfId="20669" xr:uid="{00000000-0005-0000-0000-0000760F0000}"/>
    <cellStyle name="20% - Accent3 13 2 2 2 2 4 2" xfId="44501" xr:uid="{54F7C2C7-2357-4765-9757-3E50FB29B821}"/>
    <cellStyle name="20% - Accent3 13 2 2 2 2 5" xfId="28622" xr:uid="{561431F5-51FC-4AAE-86A6-641BADBE6E8B}"/>
    <cellStyle name="20% - Accent3 13 2 2 2 3" xfId="6523" xr:uid="{00000000-0005-0000-0000-0000770F0000}"/>
    <cellStyle name="20% - Accent3 13 2 2 2 3 2" xfId="14494" xr:uid="{00000000-0005-0000-0000-0000780F0000}"/>
    <cellStyle name="20% - Accent3 13 2 2 2 3 2 2" xfId="38336" xr:uid="{3804F529-8D04-48DF-9602-A0EA6F448FDD}"/>
    <cellStyle name="20% - Accent3 13 2 2 2 3 3" xfId="22441" xr:uid="{00000000-0005-0000-0000-0000790F0000}"/>
    <cellStyle name="20% - Accent3 13 2 2 2 3 3 2" xfId="46273" xr:uid="{0532154D-8DD0-4E55-B6A4-C795F6887BE2}"/>
    <cellStyle name="20% - Accent3 13 2 2 2 3 4" xfId="30395" xr:uid="{8AC2B4CB-4338-495C-99A4-76CFA77409D3}"/>
    <cellStyle name="20% - Accent3 13 2 2 2 4" xfId="10958" xr:uid="{00000000-0005-0000-0000-00007A0F0000}"/>
    <cellStyle name="20% - Accent3 13 2 2 2 4 2" xfId="34807" xr:uid="{4789ADAC-E2DD-44C4-B939-09B88F00B551}"/>
    <cellStyle name="20% - Accent3 13 2 2 2 5" xfId="18913" xr:uid="{00000000-0005-0000-0000-00007B0F0000}"/>
    <cellStyle name="20% - Accent3 13 2 2 2 5 2" xfId="42745" xr:uid="{7ABFCF41-CE8B-4D90-ACF5-1706F4169CF5}"/>
    <cellStyle name="20% - Accent3 13 2 2 2 6" xfId="26865" xr:uid="{EDB17272-38DF-4B61-A706-1E2E5D54CD94}"/>
    <cellStyle name="20% - Accent3 13 2 2 2_Exh G" xfId="2209" xr:uid="{00000000-0005-0000-0000-00007C0F0000}"/>
    <cellStyle name="20% - Accent3 13 2 2 3" xfId="3812" xr:uid="{00000000-0005-0000-0000-00007D0F0000}"/>
    <cellStyle name="20% - Accent3 13 2 2 3 2" xfId="7404" xr:uid="{00000000-0005-0000-0000-00007E0F0000}"/>
    <cellStyle name="20% - Accent3 13 2 2 3 2 2" xfId="15374" xr:uid="{00000000-0005-0000-0000-00007F0F0000}"/>
    <cellStyle name="20% - Accent3 13 2 2 3 2 2 2" xfId="39216" xr:uid="{E0F24ECF-4026-4614-873A-4089C0E08D34}"/>
    <cellStyle name="20% - Accent3 13 2 2 3 2 3" xfId="23320" xr:uid="{00000000-0005-0000-0000-0000800F0000}"/>
    <cellStyle name="20% - Accent3 13 2 2 3 2 3 2" xfId="47152" xr:uid="{FBE236F1-3A70-457C-BB55-399F34B12322}"/>
    <cellStyle name="20% - Accent3 13 2 2 3 2 4" xfId="31275" xr:uid="{4D847CDA-C9FF-4CFB-829E-EFEA08F9AB9E}"/>
    <cellStyle name="20% - Accent3 13 2 2 3 3" xfId="11836" xr:uid="{00000000-0005-0000-0000-0000810F0000}"/>
    <cellStyle name="20% - Accent3 13 2 2 3 3 2" xfId="35685" xr:uid="{69D41052-FBDD-4C4F-B901-19BDFD466348}"/>
    <cellStyle name="20% - Accent3 13 2 2 3 4" xfId="19791" xr:uid="{00000000-0005-0000-0000-0000820F0000}"/>
    <cellStyle name="20% - Accent3 13 2 2 3 4 2" xfId="43623" xr:uid="{656249BB-9CFD-43F6-B02F-D777C1B539AB}"/>
    <cellStyle name="20% - Accent3 13 2 2 3 5" xfId="27744" xr:uid="{5EFB1AC3-8C53-4497-BF74-F19ABE5699DF}"/>
    <cellStyle name="20% - Accent3 13 2 2 4" xfId="5632" xr:uid="{00000000-0005-0000-0000-0000830F0000}"/>
    <cellStyle name="20% - Accent3 13 2 2 4 2" xfId="13615" xr:uid="{00000000-0005-0000-0000-0000840F0000}"/>
    <cellStyle name="20% - Accent3 13 2 2 4 2 2" xfId="37458" xr:uid="{EF211E80-31CA-42E0-8200-BE5BE0495ED1}"/>
    <cellStyle name="20% - Accent3 13 2 2 4 3" xfId="21563" xr:uid="{00000000-0005-0000-0000-0000850F0000}"/>
    <cellStyle name="20% - Accent3 13 2 2 4 3 2" xfId="45395" xr:uid="{CD8CBFF8-15A7-49EF-9CB9-50BAAAE6B7DA}"/>
    <cellStyle name="20% - Accent3 13 2 2 4 4" xfId="29517" xr:uid="{C1CC9775-A659-497D-8048-17041956A035}"/>
    <cellStyle name="20% - Accent3 13 2 2 5" xfId="9184" xr:uid="{00000000-0005-0000-0000-0000860F0000}"/>
    <cellStyle name="20% - Accent3 13 2 2 5 2" xfId="17142" xr:uid="{00000000-0005-0000-0000-0000870F0000}"/>
    <cellStyle name="20% - Accent3 13 2 2 5 2 2" xfId="40982" xr:uid="{28177CFB-D3BD-4F14-B098-F010CF2AFF73}"/>
    <cellStyle name="20% - Accent3 13 2 2 5 3" xfId="25086" xr:uid="{00000000-0005-0000-0000-0000880F0000}"/>
    <cellStyle name="20% - Accent3 13 2 2 5 3 2" xfId="48918" xr:uid="{22BE77AD-DF08-4E54-8F6E-55BEAE24946D}"/>
    <cellStyle name="20% - Accent3 13 2 2 5 4" xfId="33041" xr:uid="{38DC6B34-2D47-4151-8AAE-A353DF9649D7}"/>
    <cellStyle name="20% - Accent3 13 2 2 6" xfId="10080" xr:uid="{00000000-0005-0000-0000-0000890F0000}"/>
    <cellStyle name="20% - Accent3 13 2 2 6 2" xfId="33929" xr:uid="{B237F4BD-EFC0-42CB-8B01-37FC94C16135}"/>
    <cellStyle name="20% - Accent3 13 2 2 7" xfId="18035" xr:uid="{00000000-0005-0000-0000-00008A0F0000}"/>
    <cellStyle name="20% - Accent3 13 2 2 7 2" xfId="41867" xr:uid="{EFCFE390-F77D-4EF2-B651-736FC2390FE6}"/>
    <cellStyle name="20% - Accent3 13 2 2 8" xfId="25987" xr:uid="{A09A44C6-6AC9-453C-AC10-C65A2C8FC259}"/>
    <cellStyle name="20% - Accent3 13 2 2_Exh G" xfId="2208" xr:uid="{00000000-0005-0000-0000-00008B0F0000}"/>
    <cellStyle name="20% - Accent3 13 2 3" xfId="1163" xr:uid="{00000000-0005-0000-0000-00008C0F0000}"/>
    <cellStyle name="20% - Accent3 13 2 3 2" xfId="4690" xr:uid="{00000000-0005-0000-0000-00008D0F0000}"/>
    <cellStyle name="20% - Accent3 13 2 3 2 2" xfId="8281" xr:uid="{00000000-0005-0000-0000-00008E0F0000}"/>
    <cellStyle name="20% - Accent3 13 2 3 2 2 2" xfId="16251" xr:uid="{00000000-0005-0000-0000-00008F0F0000}"/>
    <cellStyle name="20% - Accent3 13 2 3 2 2 2 2" xfId="40093" xr:uid="{30C9B4BD-08E4-4253-8079-B9AA984BF787}"/>
    <cellStyle name="20% - Accent3 13 2 3 2 2 3" xfId="24197" xr:uid="{00000000-0005-0000-0000-0000900F0000}"/>
    <cellStyle name="20% - Accent3 13 2 3 2 2 3 2" xfId="48029" xr:uid="{9F60CD77-CC11-4582-8EC4-3400C5392395}"/>
    <cellStyle name="20% - Accent3 13 2 3 2 2 4" xfId="32152" xr:uid="{76F69DA6-D4F0-4DA6-8241-7AC0BDC39F19}"/>
    <cellStyle name="20% - Accent3 13 2 3 2 3" xfId="12713" xr:uid="{00000000-0005-0000-0000-0000910F0000}"/>
    <cellStyle name="20% - Accent3 13 2 3 2 3 2" xfId="36562" xr:uid="{882D6F2C-04D0-4EAB-A982-7B33A4370637}"/>
    <cellStyle name="20% - Accent3 13 2 3 2 4" xfId="20668" xr:uid="{00000000-0005-0000-0000-0000920F0000}"/>
    <cellStyle name="20% - Accent3 13 2 3 2 4 2" xfId="44500" xr:uid="{2028B013-4962-4237-A5D0-AFEE622668B4}"/>
    <cellStyle name="20% - Accent3 13 2 3 2 5" xfId="28621" xr:uid="{14259A4D-4DDA-46D9-867A-FE92F561F47E}"/>
    <cellStyle name="20% - Accent3 13 2 3 3" xfId="6522" xr:uid="{00000000-0005-0000-0000-0000930F0000}"/>
    <cellStyle name="20% - Accent3 13 2 3 3 2" xfId="14493" xr:uid="{00000000-0005-0000-0000-0000940F0000}"/>
    <cellStyle name="20% - Accent3 13 2 3 3 2 2" xfId="38335" xr:uid="{8A05C2DA-8F15-4881-AE4B-FE9820F9CA6C}"/>
    <cellStyle name="20% - Accent3 13 2 3 3 3" xfId="22440" xr:uid="{00000000-0005-0000-0000-0000950F0000}"/>
    <cellStyle name="20% - Accent3 13 2 3 3 3 2" xfId="46272" xr:uid="{8A08B359-C552-4889-811A-9DDED9EC1244}"/>
    <cellStyle name="20% - Accent3 13 2 3 3 4" xfId="30394" xr:uid="{51F11E89-5784-4581-8A62-23E4218CE29B}"/>
    <cellStyle name="20% - Accent3 13 2 3 4" xfId="10957" xr:uid="{00000000-0005-0000-0000-0000960F0000}"/>
    <cellStyle name="20% - Accent3 13 2 3 4 2" xfId="34806" xr:uid="{6ECCE27E-2DC3-43F4-BE31-F031B6A86344}"/>
    <cellStyle name="20% - Accent3 13 2 3 5" xfId="18912" xr:uid="{00000000-0005-0000-0000-0000970F0000}"/>
    <cellStyle name="20% - Accent3 13 2 3 5 2" xfId="42744" xr:uid="{41CCB2B8-8E79-49B5-A3AA-ECB6306E8D72}"/>
    <cellStyle name="20% - Accent3 13 2 3 6" xfId="26864" xr:uid="{2DE7FA46-891E-4A73-A542-987A31A5B769}"/>
    <cellStyle name="20% - Accent3 13 2 3_Exh G" xfId="2210" xr:uid="{00000000-0005-0000-0000-0000980F0000}"/>
    <cellStyle name="20% - Accent3 13 2 4" xfId="3811" xr:uid="{00000000-0005-0000-0000-0000990F0000}"/>
    <cellStyle name="20% - Accent3 13 2 4 2" xfId="7403" xr:uid="{00000000-0005-0000-0000-00009A0F0000}"/>
    <cellStyle name="20% - Accent3 13 2 4 2 2" xfId="15373" xr:uid="{00000000-0005-0000-0000-00009B0F0000}"/>
    <cellStyle name="20% - Accent3 13 2 4 2 2 2" xfId="39215" xr:uid="{1824185B-B1ED-408E-AFB7-173ACBE396C2}"/>
    <cellStyle name="20% - Accent3 13 2 4 2 3" xfId="23319" xr:uid="{00000000-0005-0000-0000-00009C0F0000}"/>
    <cellStyle name="20% - Accent3 13 2 4 2 3 2" xfId="47151" xr:uid="{C3C44B92-5533-47FF-8154-D58973099775}"/>
    <cellStyle name="20% - Accent3 13 2 4 2 4" xfId="31274" xr:uid="{50456791-99FD-4B00-BC81-183B7E2DC920}"/>
    <cellStyle name="20% - Accent3 13 2 4 3" xfId="11835" xr:uid="{00000000-0005-0000-0000-00009D0F0000}"/>
    <cellStyle name="20% - Accent3 13 2 4 3 2" xfId="35684" xr:uid="{20E18331-ADAB-4665-B96F-3B40FC0D6D80}"/>
    <cellStyle name="20% - Accent3 13 2 4 4" xfId="19790" xr:uid="{00000000-0005-0000-0000-00009E0F0000}"/>
    <cellStyle name="20% - Accent3 13 2 4 4 2" xfId="43622" xr:uid="{BDD373C2-851B-4232-9600-7E49FAA3653E}"/>
    <cellStyle name="20% - Accent3 13 2 4 5" xfId="27743" xr:uid="{CD8F6C5D-504E-4E20-97AC-271A52D14457}"/>
    <cellStyle name="20% - Accent3 13 2 5" xfId="5631" xr:uid="{00000000-0005-0000-0000-00009F0F0000}"/>
    <cellStyle name="20% - Accent3 13 2 5 2" xfId="13614" xr:uid="{00000000-0005-0000-0000-0000A00F0000}"/>
    <cellStyle name="20% - Accent3 13 2 5 2 2" xfId="37457" xr:uid="{22D5AF91-74D2-472B-863D-0C8BF33EB15B}"/>
    <cellStyle name="20% - Accent3 13 2 5 3" xfId="21562" xr:uid="{00000000-0005-0000-0000-0000A10F0000}"/>
    <cellStyle name="20% - Accent3 13 2 5 3 2" xfId="45394" xr:uid="{672AD121-6A94-4094-B55D-1CFC853BD954}"/>
    <cellStyle name="20% - Accent3 13 2 5 4" xfId="29516" xr:uid="{612DD2D8-D1C7-4FE6-9901-A1CD8BC13C24}"/>
    <cellStyle name="20% - Accent3 13 2 6" xfId="9183" xr:uid="{00000000-0005-0000-0000-0000A20F0000}"/>
    <cellStyle name="20% - Accent3 13 2 6 2" xfId="17141" xr:uid="{00000000-0005-0000-0000-0000A30F0000}"/>
    <cellStyle name="20% - Accent3 13 2 6 2 2" xfId="40981" xr:uid="{A6AD1B8A-B75C-4767-BB70-F31B44134E9D}"/>
    <cellStyle name="20% - Accent3 13 2 6 3" xfId="25085" xr:uid="{00000000-0005-0000-0000-0000A40F0000}"/>
    <cellStyle name="20% - Accent3 13 2 6 3 2" xfId="48917" xr:uid="{45637382-AA63-4BFD-B075-945DB03FE142}"/>
    <cellStyle name="20% - Accent3 13 2 6 4" xfId="33040" xr:uid="{C60CF818-EE0B-489B-AF55-D43CCD26BB37}"/>
    <cellStyle name="20% - Accent3 13 2 7" xfId="10079" xr:uid="{00000000-0005-0000-0000-0000A50F0000}"/>
    <cellStyle name="20% - Accent3 13 2 7 2" xfId="33928" xr:uid="{ABD90775-CC00-4A7C-83A7-35A19DB01C3D}"/>
    <cellStyle name="20% - Accent3 13 2 8" xfId="18034" xr:uid="{00000000-0005-0000-0000-0000A60F0000}"/>
    <cellStyle name="20% - Accent3 13 2 8 2" xfId="41866" xr:uid="{6C9AE403-19B4-4CB2-B870-9EE02A077BCB}"/>
    <cellStyle name="20% - Accent3 13 2 9" xfId="25986" xr:uid="{910ADA2E-2480-47B0-9E6A-B9060FB72F53}"/>
    <cellStyle name="20% - Accent3 13 2_Exh G" xfId="2207" xr:uid="{00000000-0005-0000-0000-0000A70F0000}"/>
    <cellStyle name="20% - Accent3 13 3" xfId="139" xr:uid="{00000000-0005-0000-0000-0000A80F0000}"/>
    <cellStyle name="20% - Accent3 13 3 2" xfId="1165" xr:uid="{00000000-0005-0000-0000-0000A90F0000}"/>
    <cellStyle name="20% - Accent3 13 3 2 2" xfId="4692" xr:uid="{00000000-0005-0000-0000-0000AA0F0000}"/>
    <cellStyle name="20% - Accent3 13 3 2 2 2" xfId="8283" xr:uid="{00000000-0005-0000-0000-0000AB0F0000}"/>
    <cellStyle name="20% - Accent3 13 3 2 2 2 2" xfId="16253" xr:uid="{00000000-0005-0000-0000-0000AC0F0000}"/>
    <cellStyle name="20% - Accent3 13 3 2 2 2 2 2" xfId="40095" xr:uid="{D03D4BA2-43D3-482F-8069-A481D7274B0D}"/>
    <cellStyle name="20% - Accent3 13 3 2 2 2 3" xfId="24199" xr:uid="{00000000-0005-0000-0000-0000AD0F0000}"/>
    <cellStyle name="20% - Accent3 13 3 2 2 2 3 2" xfId="48031" xr:uid="{9BBD010B-95AB-400B-8CEC-FAA862656B7C}"/>
    <cellStyle name="20% - Accent3 13 3 2 2 2 4" xfId="32154" xr:uid="{133CC84F-589E-4066-9518-2CC30EED2158}"/>
    <cellStyle name="20% - Accent3 13 3 2 2 3" xfId="12715" xr:uid="{00000000-0005-0000-0000-0000AE0F0000}"/>
    <cellStyle name="20% - Accent3 13 3 2 2 3 2" xfId="36564" xr:uid="{5E4A9F35-87BD-4F3B-AD4B-B903578599D3}"/>
    <cellStyle name="20% - Accent3 13 3 2 2 4" xfId="20670" xr:uid="{00000000-0005-0000-0000-0000AF0F0000}"/>
    <cellStyle name="20% - Accent3 13 3 2 2 4 2" xfId="44502" xr:uid="{1DF30F83-1DFE-44FD-8F46-81FF5F48007B}"/>
    <cellStyle name="20% - Accent3 13 3 2 2 5" xfId="28623" xr:uid="{7DCCD342-61D3-4342-AD19-15FDA7BC8A42}"/>
    <cellStyle name="20% - Accent3 13 3 2 3" xfId="6524" xr:uid="{00000000-0005-0000-0000-0000B00F0000}"/>
    <cellStyle name="20% - Accent3 13 3 2 3 2" xfId="14495" xr:uid="{00000000-0005-0000-0000-0000B10F0000}"/>
    <cellStyle name="20% - Accent3 13 3 2 3 2 2" xfId="38337" xr:uid="{6ADD151B-CBDC-4C4A-90B4-CDE80B6F7B40}"/>
    <cellStyle name="20% - Accent3 13 3 2 3 3" xfId="22442" xr:uid="{00000000-0005-0000-0000-0000B20F0000}"/>
    <cellStyle name="20% - Accent3 13 3 2 3 3 2" xfId="46274" xr:uid="{B94D89C0-FF4A-4C96-B311-C313146C9AEA}"/>
    <cellStyle name="20% - Accent3 13 3 2 3 4" xfId="30396" xr:uid="{EF2E01B6-53E5-4217-A3D3-0396FB3EFE50}"/>
    <cellStyle name="20% - Accent3 13 3 2 4" xfId="10959" xr:uid="{00000000-0005-0000-0000-0000B30F0000}"/>
    <cellStyle name="20% - Accent3 13 3 2 4 2" xfId="34808" xr:uid="{1FC4795B-3A7F-41E4-AAB2-072B1A6DA2B1}"/>
    <cellStyle name="20% - Accent3 13 3 2 5" xfId="18914" xr:uid="{00000000-0005-0000-0000-0000B40F0000}"/>
    <cellStyle name="20% - Accent3 13 3 2 5 2" xfId="42746" xr:uid="{E3DD6EAA-01B3-4CE7-858B-517701803203}"/>
    <cellStyle name="20% - Accent3 13 3 2 6" xfId="26866" xr:uid="{48027043-41B7-4033-8D50-C4B8F58DC96D}"/>
    <cellStyle name="20% - Accent3 13 3 2_Exh G" xfId="2212" xr:uid="{00000000-0005-0000-0000-0000B50F0000}"/>
    <cellStyle name="20% - Accent3 13 3 3" xfId="3813" xr:uid="{00000000-0005-0000-0000-0000B60F0000}"/>
    <cellStyle name="20% - Accent3 13 3 3 2" xfId="7405" xr:uid="{00000000-0005-0000-0000-0000B70F0000}"/>
    <cellStyle name="20% - Accent3 13 3 3 2 2" xfId="15375" xr:uid="{00000000-0005-0000-0000-0000B80F0000}"/>
    <cellStyle name="20% - Accent3 13 3 3 2 2 2" xfId="39217" xr:uid="{A2744F0A-4983-4A9E-AA09-6EF3956A3151}"/>
    <cellStyle name="20% - Accent3 13 3 3 2 3" xfId="23321" xr:uid="{00000000-0005-0000-0000-0000B90F0000}"/>
    <cellStyle name="20% - Accent3 13 3 3 2 3 2" xfId="47153" xr:uid="{82A7445A-FA11-437D-8C0B-8CB86D4EF75E}"/>
    <cellStyle name="20% - Accent3 13 3 3 2 4" xfId="31276" xr:uid="{A8843A31-84B3-42FB-8236-33768DEC4682}"/>
    <cellStyle name="20% - Accent3 13 3 3 3" xfId="11837" xr:uid="{00000000-0005-0000-0000-0000BA0F0000}"/>
    <cellStyle name="20% - Accent3 13 3 3 3 2" xfId="35686" xr:uid="{A5DEF4AA-E355-4D98-826A-3AA223651D76}"/>
    <cellStyle name="20% - Accent3 13 3 3 4" xfId="19792" xr:uid="{00000000-0005-0000-0000-0000BB0F0000}"/>
    <cellStyle name="20% - Accent3 13 3 3 4 2" xfId="43624" xr:uid="{2806ECC2-7DF2-4702-9381-F9680901BC5C}"/>
    <cellStyle name="20% - Accent3 13 3 3 5" xfId="27745" xr:uid="{325C1DB3-3938-4819-B9FE-07C2D40CA63F}"/>
    <cellStyle name="20% - Accent3 13 3 4" xfId="5633" xr:uid="{00000000-0005-0000-0000-0000BC0F0000}"/>
    <cellStyle name="20% - Accent3 13 3 4 2" xfId="13616" xr:uid="{00000000-0005-0000-0000-0000BD0F0000}"/>
    <cellStyle name="20% - Accent3 13 3 4 2 2" xfId="37459" xr:uid="{F3113672-ADCD-4213-B96D-5D050440FAB8}"/>
    <cellStyle name="20% - Accent3 13 3 4 3" xfId="21564" xr:uid="{00000000-0005-0000-0000-0000BE0F0000}"/>
    <cellStyle name="20% - Accent3 13 3 4 3 2" xfId="45396" xr:uid="{15933424-C131-4DCB-8533-882D6342AF76}"/>
    <cellStyle name="20% - Accent3 13 3 4 4" xfId="29518" xr:uid="{4F981B05-8CA4-4BCB-8D2C-E29F08D61711}"/>
    <cellStyle name="20% - Accent3 13 3 5" xfId="9185" xr:uid="{00000000-0005-0000-0000-0000BF0F0000}"/>
    <cellStyle name="20% - Accent3 13 3 5 2" xfId="17143" xr:uid="{00000000-0005-0000-0000-0000C00F0000}"/>
    <cellStyle name="20% - Accent3 13 3 5 2 2" xfId="40983" xr:uid="{E8F22928-0D33-4D9C-A9B2-2381F361CCB2}"/>
    <cellStyle name="20% - Accent3 13 3 5 3" xfId="25087" xr:uid="{00000000-0005-0000-0000-0000C10F0000}"/>
    <cellStyle name="20% - Accent3 13 3 5 3 2" xfId="48919" xr:uid="{29972C61-77C3-4FA1-A891-D3112CBBDE31}"/>
    <cellStyle name="20% - Accent3 13 3 5 4" xfId="33042" xr:uid="{001C0686-9602-4660-BC9D-C668C8BB6A02}"/>
    <cellStyle name="20% - Accent3 13 3 6" xfId="10081" xr:uid="{00000000-0005-0000-0000-0000C20F0000}"/>
    <cellStyle name="20% - Accent3 13 3 6 2" xfId="33930" xr:uid="{6A260EF8-7690-45B7-8D86-E0FBCB2AA343}"/>
    <cellStyle name="20% - Accent3 13 3 7" xfId="18036" xr:uid="{00000000-0005-0000-0000-0000C30F0000}"/>
    <cellStyle name="20% - Accent3 13 3 7 2" xfId="41868" xr:uid="{6EFCAF3F-85FA-4FFF-9CDE-97102D85469A}"/>
    <cellStyle name="20% - Accent3 13 3 8" xfId="25988" xr:uid="{9716B2F6-2A2E-4DA4-8811-1B6B94998C09}"/>
    <cellStyle name="20% - Accent3 13 3_Exh G" xfId="2211" xr:uid="{00000000-0005-0000-0000-0000C40F0000}"/>
    <cellStyle name="20% - Accent3 13 4" xfId="1162" xr:uid="{00000000-0005-0000-0000-0000C50F0000}"/>
    <cellStyle name="20% - Accent3 13 4 2" xfId="4689" xr:uid="{00000000-0005-0000-0000-0000C60F0000}"/>
    <cellStyle name="20% - Accent3 13 4 2 2" xfId="8280" xr:uid="{00000000-0005-0000-0000-0000C70F0000}"/>
    <cellStyle name="20% - Accent3 13 4 2 2 2" xfId="16250" xr:uid="{00000000-0005-0000-0000-0000C80F0000}"/>
    <cellStyle name="20% - Accent3 13 4 2 2 2 2" xfId="40092" xr:uid="{A22D25CC-E4F1-4F5D-AE52-4BFFE691FB4F}"/>
    <cellStyle name="20% - Accent3 13 4 2 2 3" xfId="24196" xr:uid="{00000000-0005-0000-0000-0000C90F0000}"/>
    <cellStyle name="20% - Accent3 13 4 2 2 3 2" xfId="48028" xr:uid="{00027753-F930-4B03-81D5-2D11FDB4B160}"/>
    <cellStyle name="20% - Accent3 13 4 2 2 4" xfId="32151" xr:uid="{5BD64B11-73A7-4198-B936-58E9335333D4}"/>
    <cellStyle name="20% - Accent3 13 4 2 3" xfId="12712" xr:uid="{00000000-0005-0000-0000-0000CA0F0000}"/>
    <cellStyle name="20% - Accent3 13 4 2 3 2" xfId="36561" xr:uid="{60F69C86-8A40-4F1D-B096-B8880B9D602F}"/>
    <cellStyle name="20% - Accent3 13 4 2 4" xfId="20667" xr:uid="{00000000-0005-0000-0000-0000CB0F0000}"/>
    <cellStyle name="20% - Accent3 13 4 2 4 2" xfId="44499" xr:uid="{5FD83D8D-3DF1-4EB5-9596-3937A22EF78E}"/>
    <cellStyle name="20% - Accent3 13 4 2 5" xfId="28620" xr:uid="{4B72F36F-750E-4F11-86B7-F5FD3A89E871}"/>
    <cellStyle name="20% - Accent3 13 4 3" xfId="6521" xr:uid="{00000000-0005-0000-0000-0000CC0F0000}"/>
    <cellStyle name="20% - Accent3 13 4 3 2" xfId="14492" xr:uid="{00000000-0005-0000-0000-0000CD0F0000}"/>
    <cellStyle name="20% - Accent3 13 4 3 2 2" xfId="38334" xr:uid="{FAA3FA3B-5D09-420F-A76C-2C49C7C038DF}"/>
    <cellStyle name="20% - Accent3 13 4 3 3" xfId="22439" xr:uid="{00000000-0005-0000-0000-0000CE0F0000}"/>
    <cellStyle name="20% - Accent3 13 4 3 3 2" xfId="46271" xr:uid="{73E769B9-AF6E-4E7D-9D25-AA51B39B877F}"/>
    <cellStyle name="20% - Accent3 13 4 3 4" xfId="30393" xr:uid="{349D5227-E4C9-4BE5-880E-814B24E426CF}"/>
    <cellStyle name="20% - Accent3 13 4 4" xfId="10956" xr:uid="{00000000-0005-0000-0000-0000CF0F0000}"/>
    <cellStyle name="20% - Accent3 13 4 4 2" xfId="34805" xr:uid="{5E8E59BC-95F9-4AED-B7FB-2E4A326DA10E}"/>
    <cellStyle name="20% - Accent3 13 4 5" xfId="18911" xr:uid="{00000000-0005-0000-0000-0000D00F0000}"/>
    <cellStyle name="20% - Accent3 13 4 5 2" xfId="42743" xr:uid="{878A51D2-7061-4048-B38C-FA98D9929E6F}"/>
    <cellStyle name="20% - Accent3 13 4 6" xfId="26863" xr:uid="{1D2A9AA7-29CE-463A-8770-C3D7FBD5524C}"/>
    <cellStyle name="20% - Accent3 13 4_Exh G" xfId="2213" xr:uid="{00000000-0005-0000-0000-0000D10F0000}"/>
    <cellStyle name="20% - Accent3 13 5" xfId="3810" xr:uid="{00000000-0005-0000-0000-0000D20F0000}"/>
    <cellStyle name="20% - Accent3 13 5 2" xfId="7402" xr:uid="{00000000-0005-0000-0000-0000D30F0000}"/>
    <cellStyle name="20% - Accent3 13 5 2 2" xfId="15372" xr:uid="{00000000-0005-0000-0000-0000D40F0000}"/>
    <cellStyle name="20% - Accent3 13 5 2 2 2" xfId="39214" xr:uid="{DFC841F0-2250-4E2E-9BD4-05039725CD7F}"/>
    <cellStyle name="20% - Accent3 13 5 2 3" xfId="23318" xr:uid="{00000000-0005-0000-0000-0000D50F0000}"/>
    <cellStyle name="20% - Accent3 13 5 2 3 2" xfId="47150" xr:uid="{0DBC58BB-26AF-4B40-B569-16891D9513C6}"/>
    <cellStyle name="20% - Accent3 13 5 2 4" xfId="31273" xr:uid="{96FE6386-53B0-4D5A-83F1-7E971A201805}"/>
    <cellStyle name="20% - Accent3 13 5 3" xfId="11834" xr:uid="{00000000-0005-0000-0000-0000D60F0000}"/>
    <cellStyle name="20% - Accent3 13 5 3 2" xfId="35683" xr:uid="{98B031F4-CBAC-4A1C-9C36-D75BB8A0BD03}"/>
    <cellStyle name="20% - Accent3 13 5 4" xfId="19789" xr:uid="{00000000-0005-0000-0000-0000D70F0000}"/>
    <cellStyle name="20% - Accent3 13 5 4 2" xfId="43621" xr:uid="{A97B63D0-43C7-493F-925C-992E5A018EB9}"/>
    <cellStyle name="20% - Accent3 13 5 5" xfId="27742" xr:uid="{65DFF4CE-3EC5-4B48-9700-4231E2118E1F}"/>
    <cellStyle name="20% - Accent3 13 6" xfId="5630" xr:uid="{00000000-0005-0000-0000-0000D80F0000}"/>
    <cellStyle name="20% - Accent3 13 6 2" xfId="13613" xr:uid="{00000000-0005-0000-0000-0000D90F0000}"/>
    <cellStyle name="20% - Accent3 13 6 2 2" xfId="37456" xr:uid="{F0214DDA-468D-424D-B6CD-F3D6557D2CE5}"/>
    <cellStyle name="20% - Accent3 13 6 3" xfId="21561" xr:uid="{00000000-0005-0000-0000-0000DA0F0000}"/>
    <cellStyle name="20% - Accent3 13 6 3 2" xfId="45393" xr:uid="{1F2EF341-A5DC-4E00-AA10-D70D0758A53A}"/>
    <cellStyle name="20% - Accent3 13 6 4" xfId="29515" xr:uid="{EB8A03E0-1406-4FD5-83D3-A89F0B449E10}"/>
    <cellStyle name="20% - Accent3 13 7" xfId="9182" xr:uid="{00000000-0005-0000-0000-0000DB0F0000}"/>
    <cellStyle name="20% - Accent3 13 7 2" xfId="17140" xr:uid="{00000000-0005-0000-0000-0000DC0F0000}"/>
    <cellStyle name="20% - Accent3 13 7 2 2" xfId="40980" xr:uid="{1E413141-98AC-41E8-8E1A-155213585EDC}"/>
    <cellStyle name="20% - Accent3 13 7 3" xfId="25084" xr:uid="{00000000-0005-0000-0000-0000DD0F0000}"/>
    <cellStyle name="20% - Accent3 13 7 3 2" xfId="48916" xr:uid="{C980E070-00A0-4BE5-82A7-7243B9442000}"/>
    <cellStyle name="20% - Accent3 13 7 4" xfId="33039" xr:uid="{627DFD76-9E01-45DF-B376-982CF8D9139A}"/>
    <cellStyle name="20% - Accent3 13 8" xfId="10078" xr:uid="{00000000-0005-0000-0000-0000DE0F0000}"/>
    <cellStyle name="20% - Accent3 13 8 2" xfId="33927" xr:uid="{ABD32BAA-2E8A-4E69-AD6C-519CC0F00CFD}"/>
    <cellStyle name="20% - Accent3 13 9" xfId="18033" xr:uid="{00000000-0005-0000-0000-0000DF0F0000}"/>
    <cellStyle name="20% - Accent3 13 9 2" xfId="41865" xr:uid="{3523917F-2E1E-4A70-9C51-CC7428CF797B}"/>
    <cellStyle name="20% - Accent3 13_Exh G" xfId="2206" xr:uid="{00000000-0005-0000-0000-0000E00F0000}"/>
    <cellStyle name="20% - Accent3 14" xfId="140" xr:uid="{00000000-0005-0000-0000-0000E10F0000}"/>
    <cellStyle name="20% - Accent3 14 2" xfId="141" xr:uid="{00000000-0005-0000-0000-0000E20F0000}"/>
    <cellStyle name="20% - Accent3 14 2 2" xfId="1167" xr:uid="{00000000-0005-0000-0000-0000E30F0000}"/>
    <cellStyle name="20% - Accent3 14 2 2 2" xfId="4694" xr:uid="{00000000-0005-0000-0000-0000E40F0000}"/>
    <cellStyle name="20% - Accent3 14 2 2 2 2" xfId="8285" xr:uid="{00000000-0005-0000-0000-0000E50F0000}"/>
    <cellStyle name="20% - Accent3 14 2 2 2 2 2" xfId="16255" xr:uid="{00000000-0005-0000-0000-0000E60F0000}"/>
    <cellStyle name="20% - Accent3 14 2 2 2 2 2 2" xfId="40097" xr:uid="{A2FD584B-337B-41C1-B13D-71701109E44D}"/>
    <cellStyle name="20% - Accent3 14 2 2 2 2 3" xfId="24201" xr:uid="{00000000-0005-0000-0000-0000E70F0000}"/>
    <cellStyle name="20% - Accent3 14 2 2 2 2 3 2" xfId="48033" xr:uid="{9D137C4F-0BC1-401C-8D19-8C822CDC6698}"/>
    <cellStyle name="20% - Accent3 14 2 2 2 2 4" xfId="32156" xr:uid="{D0AE2B7C-186B-4658-918F-CC1808B17133}"/>
    <cellStyle name="20% - Accent3 14 2 2 2 3" xfId="12717" xr:uid="{00000000-0005-0000-0000-0000E80F0000}"/>
    <cellStyle name="20% - Accent3 14 2 2 2 3 2" xfId="36566" xr:uid="{20D730FD-1BD6-45F2-920A-C6FBB9A5E7ED}"/>
    <cellStyle name="20% - Accent3 14 2 2 2 4" xfId="20672" xr:uid="{00000000-0005-0000-0000-0000E90F0000}"/>
    <cellStyle name="20% - Accent3 14 2 2 2 4 2" xfId="44504" xr:uid="{E0F914C1-795C-4272-A74D-2FF8C98579B2}"/>
    <cellStyle name="20% - Accent3 14 2 2 2 5" xfId="28625" xr:uid="{488DA431-2A17-4C68-AFEC-5458BBA7B256}"/>
    <cellStyle name="20% - Accent3 14 2 2 3" xfId="6526" xr:uid="{00000000-0005-0000-0000-0000EA0F0000}"/>
    <cellStyle name="20% - Accent3 14 2 2 3 2" xfId="14497" xr:uid="{00000000-0005-0000-0000-0000EB0F0000}"/>
    <cellStyle name="20% - Accent3 14 2 2 3 2 2" xfId="38339" xr:uid="{17E13A81-3ECE-4843-9FC3-95DFBD417DD2}"/>
    <cellStyle name="20% - Accent3 14 2 2 3 3" xfId="22444" xr:uid="{00000000-0005-0000-0000-0000EC0F0000}"/>
    <cellStyle name="20% - Accent3 14 2 2 3 3 2" xfId="46276" xr:uid="{762AC48D-2C9E-4D6B-8448-CFED1ABCC265}"/>
    <cellStyle name="20% - Accent3 14 2 2 3 4" xfId="30398" xr:uid="{D93CB011-DB39-4E51-83B1-2538A2AAFC21}"/>
    <cellStyle name="20% - Accent3 14 2 2 4" xfId="10961" xr:uid="{00000000-0005-0000-0000-0000ED0F0000}"/>
    <cellStyle name="20% - Accent3 14 2 2 4 2" xfId="34810" xr:uid="{4DCE6BFA-FF82-4EA0-88F2-47106EF52069}"/>
    <cellStyle name="20% - Accent3 14 2 2 5" xfId="18916" xr:uid="{00000000-0005-0000-0000-0000EE0F0000}"/>
    <cellStyle name="20% - Accent3 14 2 2 5 2" xfId="42748" xr:uid="{D5E5823D-3054-4AD5-9207-43054D85D9B6}"/>
    <cellStyle name="20% - Accent3 14 2 2 6" xfId="26868" xr:uid="{95BE2CBA-9C5D-4D31-A506-83BA3A48ABFF}"/>
    <cellStyle name="20% - Accent3 14 2 2_Exh G" xfId="2216" xr:uid="{00000000-0005-0000-0000-0000EF0F0000}"/>
    <cellStyle name="20% - Accent3 14 2 3" xfId="3815" xr:uid="{00000000-0005-0000-0000-0000F00F0000}"/>
    <cellStyle name="20% - Accent3 14 2 3 2" xfId="7407" xr:uid="{00000000-0005-0000-0000-0000F10F0000}"/>
    <cellStyle name="20% - Accent3 14 2 3 2 2" xfId="15377" xr:uid="{00000000-0005-0000-0000-0000F20F0000}"/>
    <cellStyle name="20% - Accent3 14 2 3 2 2 2" xfId="39219" xr:uid="{E33A87E5-6941-4ED7-A273-83B991A43842}"/>
    <cellStyle name="20% - Accent3 14 2 3 2 3" xfId="23323" xr:uid="{00000000-0005-0000-0000-0000F30F0000}"/>
    <cellStyle name="20% - Accent3 14 2 3 2 3 2" xfId="47155" xr:uid="{74447DC8-AB05-4C22-8E40-E1A8AF72BECA}"/>
    <cellStyle name="20% - Accent3 14 2 3 2 4" xfId="31278" xr:uid="{6300C90F-076B-41D6-8677-FC8C1BD0FB22}"/>
    <cellStyle name="20% - Accent3 14 2 3 3" xfId="11839" xr:uid="{00000000-0005-0000-0000-0000F40F0000}"/>
    <cellStyle name="20% - Accent3 14 2 3 3 2" xfId="35688" xr:uid="{4090D752-07AD-4E0B-922D-2FE3B32384A0}"/>
    <cellStyle name="20% - Accent3 14 2 3 4" xfId="19794" xr:uid="{00000000-0005-0000-0000-0000F50F0000}"/>
    <cellStyle name="20% - Accent3 14 2 3 4 2" xfId="43626" xr:uid="{B3646DAD-B0B1-4DFA-861C-CF50C0A3A751}"/>
    <cellStyle name="20% - Accent3 14 2 3 5" xfId="27747" xr:uid="{76A9973E-161C-4D68-812A-1E1F737D4A9E}"/>
    <cellStyle name="20% - Accent3 14 2 4" xfId="5635" xr:uid="{00000000-0005-0000-0000-0000F60F0000}"/>
    <cellStyle name="20% - Accent3 14 2 4 2" xfId="13618" xr:uid="{00000000-0005-0000-0000-0000F70F0000}"/>
    <cellStyle name="20% - Accent3 14 2 4 2 2" xfId="37461" xr:uid="{7078B6C6-8E00-4019-9F3E-6F0B22F22707}"/>
    <cellStyle name="20% - Accent3 14 2 4 3" xfId="21566" xr:uid="{00000000-0005-0000-0000-0000F80F0000}"/>
    <cellStyle name="20% - Accent3 14 2 4 3 2" xfId="45398" xr:uid="{F87EBBD2-9F78-4515-9878-D1531C49E4DF}"/>
    <cellStyle name="20% - Accent3 14 2 4 4" xfId="29520" xr:uid="{CB7A3A84-7DFE-4B09-8142-CB6347363C36}"/>
    <cellStyle name="20% - Accent3 14 2 5" xfId="9187" xr:uid="{00000000-0005-0000-0000-0000F90F0000}"/>
    <cellStyle name="20% - Accent3 14 2 5 2" xfId="17145" xr:uid="{00000000-0005-0000-0000-0000FA0F0000}"/>
    <cellStyle name="20% - Accent3 14 2 5 2 2" xfId="40985" xr:uid="{56738862-5073-438A-AA6E-F9AE39B735E3}"/>
    <cellStyle name="20% - Accent3 14 2 5 3" xfId="25089" xr:uid="{00000000-0005-0000-0000-0000FB0F0000}"/>
    <cellStyle name="20% - Accent3 14 2 5 3 2" xfId="48921" xr:uid="{6F8DE297-D374-487B-8E8C-4CA99985BF4B}"/>
    <cellStyle name="20% - Accent3 14 2 5 4" xfId="33044" xr:uid="{74788E61-F54C-4AD5-9309-8F01F6699F40}"/>
    <cellStyle name="20% - Accent3 14 2 6" xfId="10083" xr:uid="{00000000-0005-0000-0000-0000FC0F0000}"/>
    <cellStyle name="20% - Accent3 14 2 6 2" xfId="33932" xr:uid="{3C7824A7-1306-402B-A057-52CD10B14CC5}"/>
    <cellStyle name="20% - Accent3 14 2 7" xfId="18038" xr:uid="{00000000-0005-0000-0000-0000FD0F0000}"/>
    <cellStyle name="20% - Accent3 14 2 7 2" xfId="41870" xr:uid="{78AC2D7F-7FCC-48B3-A78A-51CDDC188668}"/>
    <cellStyle name="20% - Accent3 14 2 8" xfId="25990" xr:uid="{98B52D42-0310-4CB8-B48A-2A73E66D2FA3}"/>
    <cellStyle name="20% - Accent3 14 2_Exh G" xfId="2215" xr:uid="{00000000-0005-0000-0000-0000FE0F0000}"/>
    <cellStyle name="20% - Accent3 14 3" xfId="1166" xr:uid="{00000000-0005-0000-0000-0000FF0F0000}"/>
    <cellStyle name="20% - Accent3 14 3 2" xfId="4693" xr:uid="{00000000-0005-0000-0000-000000100000}"/>
    <cellStyle name="20% - Accent3 14 3 2 2" xfId="8284" xr:uid="{00000000-0005-0000-0000-000001100000}"/>
    <cellStyle name="20% - Accent3 14 3 2 2 2" xfId="16254" xr:uid="{00000000-0005-0000-0000-000002100000}"/>
    <cellStyle name="20% - Accent3 14 3 2 2 2 2" xfId="40096" xr:uid="{34BFFC90-06E5-4460-9931-5440399CC5A8}"/>
    <cellStyle name="20% - Accent3 14 3 2 2 3" xfId="24200" xr:uid="{00000000-0005-0000-0000-000003100000}"/>
    <cellStyle name="20% - Accent3 14 3 2 2 3 2" xfId="48032" xr:uid="{47921CD1-2AA3-49F2-819C-4EFB09D9A654}"/>
    <cellStyle name="20% - Accent3 14 3 2 2 4" xfId="32155" xr:uid="{E032E893-714E-4AA6-A603-2868972BC2E6}"/>
    <cellStyle name="20% - Accent3 14 3 2 3" xfId="12716" xr:uid="{00000000-0005-0000-0000-000004100000}"/>
    <cellStyle name="20% - Accent3 14 3 2 3 2" xfId="36565" xr:uid="{5E497CD8-6D77-48B5-9323-C4B1A78B0F89}"/>
    <cellStyle name="20% - Accent3 14 3 2 4" xfId="20671" xr:uid="{00000000-0005-0000-0000-000005100000}"/>
    <cellStyle name="20% - Accent3 14 3 2 4 2" xfId="44503" xr:uid="{6359CEA3-A5D3-473D-BF21-31C5FA273CAF}"/>
    <cellStyle name="20% - Accent3 14 3 2 5" xfId="28624" xr:uid="{C2EA0B30-8903-4000-BBEB-D7920CEDF7FE}"/>
    <cellStyle name="20% - Accent3 14 3 3" xfId="6525" xr:uid="{00000000-0005-0000-0000-000006100000}"/>
    <cellStyle name="20% - Accent3 14 3 3 2" xfId="14496" xr:uid="{00000000-0005-0000-0000-000007100000}"/>
    <cellStyle name="20% - Accent3 14 3 3 2 2" xfId="38338" xr:uid="{D2233F53-3978-4F06-9006-A4D988D3CDE9}"/>
    <cellStyle name="20% - Accent3 14 3 3 3" xfId="22443" xr:uid="{00000000-0005-0000-0000-000008100000}"/>
    <cellStyle name="20% - Accent3 14 3 3 3 2" xfId="46275" xr:uid="{C758A33B-7873-414A-91F9-4498C0D1AF44}"/>
    <cellStyle name="20% - Accent3 14 3 3 4" xfId="30397" xr:uid="{8D0286E4-A3E5-47BC-9D4D-9FD7594B2634}"/>
    <cellStyle name="20% - Accent3 14 3 4" xfId="10960" xr:uid="{00000000-0005-0000-0000-000009100000}"/>
    <cellStyle name="20% - Accent3 14 3 4 2" xfId="34809" xr:uid="{F9B32712-FC25-4B8E-9393-7A1F11257065}"/>
    <cellStyle name="20% - Accent3 14 3 5" xfId="18915" xr:uid="{00000000-0005-0000-0000-00000A100000}"/>
    <cellStyle name="20% - Accent3 14 3 5 2" xfId="42747" xr:uid="{948DDB4A-820C-45A0-85CA-B3E074FF3DC3}"/>
    <cellStyle name="20% - Accent3 14 3 6" xfId="26867" xr:uid="{122753CE-B4A2-4592-AAB8-FF6D5AD5AE06}"/>
    <cellStyle name="20% - Accent3 14 3_Exh G" xfId="2217" xr:uid="{00000000-0005-0000-0000-00000B100000}"/>
    <cellStyle name="20% - Accent3 14 4" xfId="3814" xr:uid="{00000000-0005-0000-0000-00000C100000}"/>
    <cellStyle name="20% - Accent3 14 4 2" xfId="7406" xr:uid="{00000000-0005-0000-0000-00000D100000}"/>
    <cellStyle name="20% - Accent3 14 4 2 2" xfId="15376" xr:uid="{00000000-0005-0000-0000-00000E100000}"/>
    <cellStyle name="20% - Accent3 14 4 2 2 2" xfId="39218" xr:uid="{CC2688B5-14A5-46E9-AF30-7E132D832EFA}"/>
    <cellStyle name="20% - Accent3 14 4 2 3" xfId="23322" xr:uid="{00000000-0005-0000-0000-00000F100000}"/>
    <cellStyle name="20% - Accent3 14 4 2 3 2" xfId="47154" xr:uid="{CB155442-1604-4637-AE75-4C6254726728}"/>
    <cellStyle name="20% - Accent3 14 4 2 4" xfId="31277" xr:uid="{A3825A41-34F0-4DD6-B806-B37D45D3469F}"/>
    <cellStyle name="20% - Accent3 14 4 3" xfId="11838" xr:uid="{00000000-0005-0000-0000-000010100000}"/>
    <cellStyle name="20% - Accent3 14 4 3 2" xfId="35687" xr:uid="{AAADDF69-AEE4-467E-9630-E28D596510A4}"/>
    <cellStyle name="20% - Accent3 14 4 4" xfId="19793" xr:uid="{00000000-0005-0000-0000-000011100000}"/>
    <cellStyle name="20% - Accent3 14 4 4 2" xfId="43625" xr:uid="{022A9E58-30A8-4CD7-9B67-F11DCEC491EE}"/>
    <cellStyle name="20% - Accent3 14 4 5" xfId="27746" xr:uid="{E36AACFB-5D2C-4785-94C4-3D11DDD4013D}"/>
    <cellStyle name="20% - Accent3 14 5" xfId="5634" xr:uid="{00000000-0005-0000-0000-000012100000}"/>
    <cellStyle name="20% - Accent3 14 5 2" xfId="13617" xr:uid="{00000000-0005-0000-0000-000013100000}"/>
    <cellStyle name="20% - Accent3 14 5 2 2" xfId="37460" xr:uid="{2FAAAA2D-B47F-4B61-B5FB-080F925047CB}"/>
    <cellStyle name="20% - Accent3 14 5 3" xfId="21565" xr:uid="{00000000-0005-0000-0000-000014100000}"/>
    <cellStyle name="20% - Accent3 14 5 3 2" xfId="45397" xr:uid="{C9B5F1F5-9746-4DEC-B9F0-75A5519C6E1F}"/>
    <cellStyle name="20% - Accent3 14 5 4" xfId="29519" xr:uid="{BABFE98E-2607-4A06-A700-4809F40490B8}"/>
    <cellStyle name="20% - Accent3 14 6" xfId="9186" xr:uid="{00000000-0005-0000-0000-000015100000}"/>
    <cellStyle name="20% - Accent3 14 6 2" xfId="17144" xr:uid="{00000000-0005-0000-0000-000016100000}"/>
    <cellStyle name="20% - Accent3 14 6 2 2" xfId="40984" xr:uid="{8B381E33-D24C-49F9-BE54-2BA45423DAB4}"/>
    <cellStyle name="20% - Accent3 14 6 3" xfId="25088" xr:uid="{00000000-0005-0000-0000-000017100000}"/>
    <cellStyle name="20% - Accent3 14 6 3 2" xfId="48920" xr:uid="{8A77DA2F-BEBD-47C2-AA7D-33E5BE6A89E8}"/>
    <cellStyle name="20% - Accent3 14 6 4" xfId="33043" xr:uid="{36A5E80C-5569-4877-9DE3-6F0F7C7953B4}"/>
    <cellStyle name="20% - Accent3 14 7" xfId="10082" xr:uid="{00000000-0005-0000-0000-000018100000}"/>
    <cellStyle name="20% - Accent3 14 7 2" xfId="33931" xr:uid="{78E3E9A9-E367-4A9E-87FD-8497F1CB3AA9}"/>
    <cellStyle name="20% - Accent3 14 8" xfId="18037" xr:uid="{00000000-0005-0000-0000-000019100000}"/>
    <cellStyle name="20% - Accent3 14 8 2" xfId="41869" xr:uid="{C6BBF415-5567-4033-94A9-AD7ABF59FDD3}"/>
    <cellStyle name="20% - Accent3 14 9" xfId="25989" xr:uid="{4F482B42-491F-4CBE-AE6C-1B9D4075EE68}"/>
    <cellStyle name="20% - Accent3 14_Exh G" xfId="2214" xr:uid="{00000000-0005-0000-0000-00001A100000}"/>
    <cellStyle name="20% - Accent3 15" xfId="142" xr:uid="{00000000-0005-0000-0000-00001B100000}"/>
    <cellStyle name="20% - Accent3 15 2" xfId="1168" xr:uid="{00000000-0005-0000-0000-00001C100000}"/>
    <cellStyle name="20% - Accent3 15 2 2" xfId="4695" xr:uid="{00000000-0005-0000-0000-00001D100000}"/>
    <cellStyle name="20% - Accent3 15 2 2 2" xfId="8286" xr:uid="{00000000-0005-0000-0000-00001E100000}"/>
    <cellStyle name="20% - Accent3 15 2 2 2 2" xfId="16256" xr:uid="{00000000-0005-0000-0000-00001F100000}"/>
    <cellStyle name="20% - Accent3 15 2 2 2 2 2" xfId="40098" xr:uid="{70914615-6EEE-4D10-8DBD-08ECCDEAEBE3}"/>
    <cellStyle name="20% - Accent3 15 2 2 2 3" xfId="24202" xr:uid="{00000000-0005-0000-0000-000020100000}"/>
    <cellStyle name="20% - Accent3 15 2 2 2 3 2" xfId="48034" xr:uid="{08CEA411-5915-44C9-BF8C-7DD38F046950}"/>
    <cellStyle name="20% - Accent3 15 2 2 2 4" xfId="32157" xr:uid="{3E555CC1-CF9A-4D43-947B-723B2437E1DE}"/>
    <cellStyle name="20% - Accent3 15 2 2 3" xfId="12718" xr:uid="{00000000-0005-0000-0000-000021100000}"/>
    <cellStyle name="20% - Accent3 15 2 2 3 2" xfId="36567" xr:uid="{93AB5672-DF9A-4603-B960-A0D74937AA8B}"/>
    <cellStyle name="20% - Accent3 15 2 2 4" xfId="20673" xr:uid="{00000000-0005-0000-0000-000022100000}"/>
    <cellStyle name="20% - Accent3 15 2 2 4 2" xfId="44505" xr:uid="{16B26F5E-DD12-4101-B6C0-7E9E4C8414BF}"/>
    <cellStyle name="20% - Accent3 15 2 2 5" xfId="28626" xr:uid="{F726DFC5-C9A3-4085-83F6-1B0B5BE74ACC}"/>
    <cellStyle name="20% - Accent3 15 2 3" xfId="6527" xr:uid="{00000000-0005-0000-0000-000023100000}"/>
    <cellStyle name="20% - Accent3 15 2 3 2" xfId="14498" xr:uid="{00000000-0005-0000-0000-000024100000}"/>
    <cellStyle name="20% - Accent3 15 2 3 2 2" xfId="38340" xr:uid="{7D760FFD-98E3-4359-A580-7A7E26F91EE7}"/>
    <cellStyle name="20% - Accent3 15 2 3 3" xfId="22445" xr:uid="{00000000-0005-0000-0000-000025100000}"/>
    <cellStyle name="20% - Accent3 15 2 3 3 2" xfId="46277" xr:uid="{B1A9CFBC-E9F9-4EC9-BA2E-95820120F7E3}"/>
    <cellStyle name="20% - Accent3 15 2 3 4" xfId="30399" xr:uid="{3CB22BAA-3727-4935-B240-940D3C83FAD0}"/>
    <cellStyle name="20% - Accent3 15 2 4" xfId="10962" xr:uid="{00000000-0005-0000-0000-000026100000}"/>
    <cellStyle name="20% - Accent3 15 2 4 2" xfId="34811" xr:uid="{4BFA1BDB-3DF5-472B-8777-E0EE979B9C3E}"/>
    <cellStyle name="20% - Accent3 15 2 5" xfId="18917" xr:uid="{00000000-0005-0000-0000-000027100000}"/>
    <cellStyle name="20% - Accent3 15 2 5 2" xfId="42749" xr:uid="{267509CF-3AED-421E-8BF3-024B637B4944}"/>
    <cellStyle name="20% - Accent3 15 2 6" xfId="26869" xr:uid="{18A06609-3B45-4610-87B1-0ED6368C8C3E}"/>
    <cellStyle name="20% - Accent3 15 2_Exh G" xfId="2219" xr:uid="{00000000-0005-0000-0000-000028100000}"/>
    <cellStyle name="20% - Accent3 15 3" xfId="3816" xr:uid="{00000000-0005-0000-0000-000029100000}"/>
    <cellStyle name="20% - Accent3 15 3 2" xfId="7408" xr:uid="{00000000-0005-0000-0000-00002A100000}"/>
    <cellStyle name="20% - Accent3 15 3 2 2" xfId="15378" xr:uid="{00000000-0005-0000-0000-00002B100000}"/>
    <cellStyle name="20% - Accent3 15 3 2 2 2" xfId="39220" xr:uid="{D4E07ED0-6181-499D-8D0D-3C1A2484BF80}"/>
    <cellStyle name="20% - Accent3 15 3 2 3" xfId="23324" xr:uid="{00000000-0005-0000-0000-00002C100000}"/>
    <cellStyle name="20% - Accent3 15 3 2 3 2" xfId="47156" xr:uid="{9B9B6281-87C7-494F-A5E6-5448E811AB02}"/>
    <cellStyle name="20% - Accent3 15 3 2 4" xfId="31279" xr:uid="{6B6574A3-A783-4A79-AFFA-27F08F462E61}"/>
    <cellStyle name="20% - Accent3 15 3 3" xfId="11840" xr:uid="{00000000-0005-0000-0000-00002D100000}"/>
    <cellStyle name="20% - Accent3 15 3 3 2" xfId="35689" xr:uid="{983A787B-335B-417B-B6C6-A423135452DE}"/>
    <cellStyle name="20% - Accent3 15 3 4" xfId="19795" xr:uid="{00000000-0005-0000-0000-00002E100000}"/>
    <cellStyle name="20% - Accent3 15 3 4 2" xfId="43627" xr:uid="{5688EA38-0F61-4A91-BAD4-9DA2A992EEDC}"/>
    <cellStyle name="20% - Accent3 15 3 5" xfId="27748" xr:uid="{237092F2-1609-4B95-B004-89F70C0784B8}"/>
    <cellStyle name="20% - Accent3 15 4" xfId="5636" xr:uid="{00000000-0005-0000-0000-00002F100000}"/>
    <cellStyle name="20% - Accent3 15 4 2" xfId="13619" xr:uid="{00000000-0005-0000-0000-000030100000}"/>
    <cellStyle name="20% - Accent3 15 4 2 2" xfId="37462" xr:uid="{F93A985E-90F2-4213-90C4-06692C25C218}"/>
    <cellStyle name="20% - Accent3 15 4 3" xfId="21567" xr:uid="{00000000-0005-0000-0000-000031100000}"/>
    <cellStyle name="20% - Accent3 15 4 3 2" xfId="45399" xr:uid="{17A97B2D-FCD9-42EE-B3A6-60CE50303C4B}"/>
    <cellStyle name="20% - Accent3 15 4 4" xfId="29521" xr:uid="{8A0EA5FB-9203-49C2-93DA-EA6D18B350AF}"/>
    <cellStyle name="20% - Accent3 15 5" xfId="9188" xr:uid="{00000000-0005-0000-0000-000032100000}"/>
    <cellStyle name="20% - Accent3 15 5 2" xfId="17146" xr:uid="{00000000-0005-0000-0000-000033100000}"/>
    <cellStyle name="20% - Accent3 15 5 2 2" xfId="40986" xr:uid="{0E902255-D68D-4C30-98CB-B4218F08444E}"/>
    <cellStyle name="20% - Accent3 15 5 3" xfId="25090" xr:uid="{00000000-0005-0000-0000-000034100000}"/>
    <cellStyle name="20% - Accent3 15 5 3 2" xfId="48922" xr:uid="{5D954AE2-4C13-4A5E-8C1B-DAB96078D06D}"/>
    <cellStyle name="20% - Accent3 15 5 4" xfId="33045" xr:uid="{132E4E3F-5C95-4EC4-A139-AE3C5434FADA}"/>
    <cellStyle name="20% - Accent3 15 6" xfId="10084" xr:uid="{00000000-0005-0000-0000-000035100000}"/>
    <cellStyle name="20% - Accent3 15 6 2" xfId="33933" xr:uid="{FEFC2CFE-E764-4599-9632-44491B63D0A9}"/>
    <cellStyle name="20% - Accent3 15 7" xfId="18039" xr:uid="{00000000-0005-0000-0000-000036100000}"/>
    <cellStyle name="20% - Accent3 15 7 2" xfId="41871" xr:uid="{EC234595-CB7B-4C31-BF6C-EDA003ACBACB}"/>
    <cellStyle name="20% - Accent3 15 8" xfId="25991" xr:uid="{B513E0C4-ECC3-4348-B83B-F04EF2510CBF}"/>
    <cellStyle name="20% - Accent3 15_Exh G" xfId="2218" xr:uid="{00000000-0005-0000-0000-000037100000}"/>
    <cellStyle name="20% - Accent3 16" xfId="842" xr:uid="{00000000-0005-0000-0000-000038100000}"/>
    <cellStyle name="20% - Accent3 16 2" xfId="1777" xr:uid="{00000000-0005-0000-0000-000039100000}"/>
    <cellStyle name="20% - Accent3 16 2 2" xfId="5297" xr:uid="{00000000-0005-0000-0000-00003A100000}"/>
    <cellStyle name="20% - Accent3 16 2 2 2" xfId="8888" xr:uid="{00000000-0005-0000-0000-00003B100000}"/>
    <cellStyle name="20% - Accent3 16 2 2 2 2" xfId="16858" xr:uid="{00000000-0005-0000-0000-00003C100000}"/>
    <cellStyle name="20% - Accent3 16 2 2 2 2 2" xfId="40700" xr:uid="{D2FAE53D-BB5E-465B-A7A5-F36EB5DCAE24}"/>
    <cellStyle name="20% - Accent3 16 2 2 2 3" xfId="24804" xr:uid="{00000000-0005-0000-0000-00003D100000}"/>
    <cellStyle name="20% - Accent3 16 2 2 2 3 2" xfId="48636" xr:uid="{6394EC0B-52BE-4379-B5EA-82747DEA2F04}"/>
    <cellStyle name="20% - Accent3 16 2 2 2 4" xfId="32759" xr:uid="{8F76059D-0FE3-4426-BA00-083EAB226DBE}"/>
    <cellStyle name="20% - Accent3 16 2 2 3" xfId="13320" xr:uid="{00000000-0005-0000-0000-00003E100000}"/>
    <cellStyle name="20% - Accent3 16 2 2 3 2" xfId="37169" xr:uid="{15736504-2A15-4B06-9ACD-A63C8A7DB3DB}"/>
    <cellStyle name="20% - Accent3 16 2 2 4" xfId="21275" xr:uid="{00000000-0005-0000-0000-00003F100000}"/>
    <cellStyle name="20% - Accent3 16 2 2 4 2" xfId="45107" xr:uid="{FCC5F6EE-4F0C-47C1-AD2A-25575FA575FA}"/>
    <cellStyle name="20% - Accent3 16 2 2 5" xfId="29228" xr:uid="{3FCEA4E7-080D-4A27-93B9-22924E5DDA36}"/>
    <cellStyle name="20% - Accent3 16 2 3" xfId="7129" xr:uid="{00000000-0005-0000-0000-000040100000}"/>
    <cellStyle name="20% - Accent3 16 2 3 2" xfId="15100" xr:uid="{00000000-0005-0000-0000-000041100000}"/>
    <cellStyle name="20% - Accent3 16 2 3 2 2" xfId="38942" xr:uid="{9A97F3D3-F77D-48F8-AA57-1E93FC27ED70}"/>
    <cellStyle name="20% - Accent3 16 2 3 3" xfId="23047" xr:uid="{00000000-0005-0000-0000-000042100000}"/>
    <cellStyle name="20% - Accent3 16 2 3 3 2" xfId="46879" xr:uid="{31EA5A4D-03CE-41EF-BDA5-C06B23F7B2B5}"/>
    <cellStyle name="20% - Accent3 16 2 3 4" xfId="31001" xr:uid="{6232270D-448A-4822-980E-3CD9A81BB317}"/>
    <cellStyle name="20% - Accent3 16 2 4" xfId="11564" xr:uid="{00000000-0005-0000-0000-000043100000}"/>
    <cellStyle name="20% - Accent3 16 2 4 2" xfId="35413" xr:uid="{8404D14E-8438-4F33-8939-DBA6839EE292}"/>
    <cellStyle name="20% - Accent3 16 2 5" xfId="19519" xr:uid="{00000000-0005-0000-0000-000044100000}"/>
    <cellStyle name="20% - Accent3 16 2 5 2" xfId="43351" xr:uid="{2AA7D867-EE97-4A02-BEBE-B6A1E2A636CF}"/>
    <cellStyle name="20% - Accent3 16 2 6" xfId="27471" xr:uid="{49FBAD85-53C0-46AD-BA31-F91A1E57423D}"/>
    <cellStyle name="20% - Accent3 16 2_Exh G" xfId="2221" xr:uid="{00000000-0005-0000-0000-000045100000}"/>
    <cellStyle name="20% - Accent3 16 3" xfId="4418" xr:uid="{00000000-0005-0000-0000-000046100000}"/>
    <cellStyle name="20% - Accent3 16 3 2" xfId="8010" xr:uid="{00000000-0005-0000-0000-000047100000}"/>
    <cellStyle name="20% - Accent3 16 3 2 2" xfId="15980" xr:uid="{00000000-0005-0000-0000-000048100000}"/>
    <cellStyle name="20% - Accent3 16 3 2 2 2" xfId="39822" xr:uid="{B227F19E-EC4B-4CBC-8BFA-12F0547ECDF8}"/>
    <cellStyle name="20% - Accent3 16 3 2 3" xfId="23926" xr:uid="{00000000-0005-0000-0000-000049100000}"/>
    <cellStyle name="20% - Accent3 16 3 2 3 2" xfId="47758" xr:uid="{6EEB1033-CC90-4A58-BEF2-A9731FF5392B}"/>
    <cellStyle name="20% - Accent3 16 3 2 4" xfId="31881" xr:uid="{89002077-FD61-420B-8B9E-AA30C47747F5}"/>
    <cellStyle name="20% - Accent3 16 3 3" xfId="12442" xr:uid="{00000000-0005-0000-0000-00004A100000}"/>
    <cellStyle name="20% - Accent3 16 3 3 2" xfId="36291" xr:uid="{FA6EBF80-DEB5-4922-9506-F1FB0A0559C4}"/>
    <cellStyle name="20% - Accent3 16 3 4" xfId="20397" xr:uid="{00000000-0005-0000-0000-00004B100000}"/>
    <cellStyle name="20% - Accent3 16 3 4 2" xfId="44229" xr:uid="{C2F84232-67D7-4328-8688-4EFE4E014590}"/>
    <cellStyle name="20% - Accent3 16 3 5" xfId="28350" xr:uid="{F81B2295-D43E-48E2-A13D-41706CB977CE}"/>
    <cellStyle name="20% - Accent3 16 4" xfId="6248" xr:uid="{00000000-0005-0000-0000-00004C100000}"/>
    <cellStyle name="20% - Accent3 16 4 2" xfId="14222" xr:uid="{00000000-0005-0000-0000-00004D100000}"/>
    <cellStyle name="20% - Accent3 16 4 2 2" xfId="38064" xr:uid="{7A51D122-1FB0-466A-8668-7728B8E88355}"/>
    <cellStyle name="20% - Accent3 16 4 3" xfId="22169" xr:uid="{00000000-0005-0000-0000-00004E100000}"/>
    <cellStyle name="20% - Accent3 16 4 3 2" xfId="46001" xr:uid="{FF9DF59D-97E2-4BB8-A21A-1D37D7DBA17E}"/>
    <cellStyle name="20% - Accent3 16 4 4" xfId="30123" xr:uid="{C8A6B8DD-9F36-463A-A3CC-583BC75446BC}"/>
    <cellStyle name="20% - Accent3 16 5" xfId="9790" xr:uid="{00000000-0005-0000-0000-00004F100000}"/>
    <cellStyle name="20% - Accent3 16 5 2" xfId="17748" xr:uid="{00000000-0005-0000-0000-000050100000}"/>
    <cellStyle name="20% - Accent3 16 5 2 2" xfId="41588" xr:uid="{3F0CEF08-4982-4878-9EB8-655258379364}"/>
    <cellStyle name="20% - Accent3 16 5 3" xfId="25692" xr:uid="{00000000-0005-0000-0000-000051100000}"/>
    <cellStyle name="20% - Accent3 16 5 3 2" xfId="49524" xr:uid="{BC85315B-EF89-4A8B-A179-0E7DB6B0BC04}"/>
    <cellStyle name="20% - Accent3 16 5 4" xfId="33647" xr:uid="{7C97FF52-EBD3-45FB-B7F0-C2DB5CCC12FA}"/>
    <cellStyle name="20% - Accent3 16 6" xfId="10686" xr:uid="{00000000-0005-0000-0000-000052100000}"/>
    <cellStyle name="20% - Accent3 16 6 2" xfId="34535" xr:uid="{F11103D4-BC66-4166-8659-9356B0B917B1}"/>
    <cellStyle name="20% - Accent3 16 7" xfId="18641" xr:uid="{00000000-0005-0000-0000-000053100000}"/>
    <cellStyle name="20% - Accent3 16 7 2" xfId="42473" xr:uid="{785933B2-091A-4D41-8785-4D4C004A010D}"/>
    <cellStyle name="20% - Accent3 16 8" xfId="26593" xr:uid="{519B685E-29FE-4ADE-9104-5516FD718BBB}"/>
    <cellStyle name="20% - Accent3 16_Exh G" xfId="2220" xr:uid="{00000000-0005-0000-0000-000054100000}"/>
    <cellStyle name="20% - Accent3 17" xfId="49787" xr:uid="{DB6CC688-E3D5-4727-A2A7-DC444F6247D5}"/>
    <cellStyle name="20% - Accent3 18" xfId="49827" xr:uid="{5CBDACA4-1F40-4CDD-A77B-30B011A6FA89}"/>
    <cellStyle name="20% - Accent3 2" xfId="143" xr:uid="{00000000-0005-0000-0000-000055100000}"/>
    <cellStyle name="20% - Accent3 2 10" xfId="18040" xr:uid="{00000000-0005-0000-0000-000056100000}"/>
    <cellStyle name="20% - Accent3 2 10 2" xfId="41872" xr:uid="{C705E65B-E8E2-4012-A3D3-3BA7260781A8}"/>
    <cellStyle name="20% - Accent3 2 11" xfId="25992" xr:uid="{081CF791-15B4-40CC-86E7-94FC8514EEFC}"/>
    <cellStyle name="20% - Accent3 2 12" xfId="49772" xr:uid="{E56AE9A0-7888-4ED3-B2D9-2911EB824B94}"/>
    <cellStyle name="20% - Accent3 2 13" xfId="49800" xr:uid="{47C185E8-F829-49A6-A144-8E08F480EBDA}"/>
    <cellStyle name="20% - Accent3 2 14" xfId="49841" xr:uid="{C6E1ACED-9F8C-42E2-A85D-E0E0E14935F9}"/>
    <cellStyle name="20% - Accent3 2 2" xfId="144" xr:uid="{00000000-0005-0000-0000-000057100000}"/>
    <cellStyle name="20% - Accent3 2 2 10" xfId="25993" xr:uid="{215F627A-E8D3-4967-9F07-EF2D62D1FF76}"/>
    <cellStyle name="20% - Accent3 2 2 2" xfId="145" xr:uid="{00000000-0005-0000-0000-000058100000}"/>
    <cellStyle name="20% - Accent3 2 2 2 2" xfId="1171" xr:uid="{00000000-0005-0000-0000-000059100000}"/>
    <cellStyle name="20% - Accent3 2 2 2 2 2" xfId="4698" xr:uid="{00000000-0005-0000-0000-00005A100000}"/>
    <cellStyle name="20% - Accent3 2 2 2 2 2 2" xfId="8289" xr:uid="{00000000-0005-0000-0000-00005B100000}"/>
    <cellStyle name="20% - Accent3 2 2 2 2 2 2 2" xfId="16259" xr:uid="{00000000-0005-0000-0000-00005C100000}"/>
    <cellStyle name="20% - Accent3 2 2 2 2 2 2 2 2" xfId="40101" xr:uid="{515CDD62-EB09-4250-A4C0-046C6E4F7BD6}"/>
    <cellStyle name="20% - Accent3 2 2 2 2 2 2 3" xfId="24205" xr:uid="{00000000-0005-0000-0000-00005D100000}"/>
    <cellStyle name="20% - Accent3 2 2 2 2 2 2 3 2" xfId="48037" xr:uid="{0A8A77A0-0A1D-4664-A5CE-FFF0E2D9A7B8}"/>
    <cellStyle name="20% - Accent3 2 2 2 2 2 2 4" xfId="32160" xr:uid="{B818F9DC-9406-4131-994D-537CBA365E3A}"/>
    <cellStyle name="20% - Accent3 2 2 2 2 2 3" xfId="12721" xr:uid="{00000000-0005-0000-0000-00005E100000}"/>
    <cellStyle name="20% - Accent3 2 2 2 2 2 3 2" xfId="36570" xr:uid="{18DFAC26-E212-4714-9E71-7DF13F12EBA9}"/>
    <cellStyle name="20% - Accent3 2 2 2 2 2 4" xfId="20676" xr:uid="{00000000-0005-0000-0000-00005F100000}"/>
    <cellStyle name="20% - Accent3 2 2 2 2 2 4 2" xfId="44508" xr:uid="{23EBAE12-4306-4905-92E0-FAEAEEA944E9}"/>
    <cellStyle name="20% - Accent3 2 2 2 2 2 5" xfId="28629" xr:uid="{E798AAEE-9B42-4AE4-B1DB-C6105062D3FB}"/>
    <cellStyle name="20% - Accent3 2 2 2 2 3" xfId="6530" xr:uid="{00000000-0005-0000-0000-000060100000}"/>
    <cellStyle name="20% - Accent3 2 2 2 2 3 2" xfId="14501" xr:uid="{00000000-0005-0000-0000-000061100000}"/>
    <cellStyle name="20% - Accent3 2 2 2 2 3 2 2" xfId="38343" xr:uid="{489B298F-3FCE-49EA-98E7-124AB5698594}"/>
    <cellStyle name="20% - Accent3 2 2 2 2 3 3" xfId="22448" xr:uid="{00000000-0005-0000-0000-000062100000}"/>
    <cellStyle name="20% - Accent3 2 2 2 2 3 3 2" xfId="46280" xr:uid="{F6D413F9-3114-43CD-96BD-F735C4388602}"/>
    <cellStyle name="20% - Accent3 2 2 2 2 3 4" xfId="30402" xr:uid="{A55D59DA-E012-49E7-A9D5-D89134CD9195}"/>
    <cellStyle name="20% - Accent3 2 2 2 2 4" xfId="10965" xr:uid="{00000000-0005-0000-0000-000063100000}"/>
    <cellStyle name="20% - Accent3 2 2 2 2 4 2" xfId="34814" xr:uid="{B03F0965-4F5A-4098-8266-34DE4AF54C63}"/>
    <cellStyle name="20% - Accent3 2 2 2 2 5" xfId="18920" xr:uid="{00000000-0005-0000-0000-000064100000}"/>
    <cellStyle name="20% - Accent3 2 2 2 2 5 2" xfId="42752" xr:uid="{5EDECB62-0075-401B-AE6E-0550DBF5AA4D}"/>
    <cellStyle name="20% - Accent3 2 2 2 2 6" xfId="26872" xr:uid="{72870D03-BE39-49D9-BF9D-3BEABE6F7C7C}"/>
    <cellStyle name="20% - Accent3 2 2 2 2_Exh G" xfId="2225" xr:uid="{00000000-0005-0000-0000-000065100000}"/>
    <cellStyle name="20% - Accent3 2 2 2 3" xfId="3819" xr:uid="{00000000-0005-0000-0000-000066100000}"/>
    <cellStyle name="20% - Accent3 2 2 2 3 2" xfId="7411" xr:uid="{00000000-0005-0000-0000-000067100000}"/>
    <cellStyle name="20% - Accent3 2 2 2 3 2 2" xfId="15381" xr:uid="{00000000-0005-0000-0000-000068100000}"/>
    <cellStyle name="20% - Accent3 2 2 2 3 2 2 2" xfId="39223" xr:uid="{B072D117-E9E1-4884-86B4-ABB1F0DE125E}"/>
    <cellStyle name="20% - Accent3 2 2 2 3 2 3" xfId="23327" xr:uid="{00000000-0005-0000-0000-000069100000}"/>
    <cellStyle name="20% - Accent3 2 2 2 3 2 3 2" xfId="47159" xr:uid="{01B925BC-6DE9-4CFD-BFB7-70A890CFBC51}"/>
    <cellStyle name="20% - Accent3 2 2 2 3 2 4" xfId="31282" xr:uid="{0811B7B3-9DCC-4F18-BD3A-78A10D7183CD}"/>
    <cellStyle name="20% - Accent3 2 2 2 3 3" xfId="11843" xr:uid="{00000000-0005-0000-0000-00006A100000}"/>
    <cellStyle name="20% - Accent3 2 2 2 3 3 2" xfId="35692" xr:uid="{ECC17740-74C2-479B-91E9-ABFC03CE005C}"/>
    <cellStyle name="20% - Accent3 2 2 2 3 4" xfId="19798" xr:uid="{00000000-0005-0000-0000-00006B100000}"/>
    <cellStyle name="20% - Accent3 2 2 2 3 4 2" xfId="43630" xr:uid="{997B6F08-93D4-4635-A66C-D32468C02783}"/>
    <cellStyle name="20% - Accent3 2 2 2 3 5" xfId="27751" xr:uid="{7EBC0822-305B-4E17-9ECD-3F33F95BD715}"/>
    <cellStyle name="20% - Accent3 2 2 2 4" xfId="5639" xr:uid="{00000000-0005-0000-0000-00006C100000}"/>
    <cellStyle name="20% - Accent3 2 2 2 4 2" xfId="13622" xr:uid="{00000000-0005-0000-0000-00006D100000}"/>
    <cellStyle name="20% - Accent3 2 2 2 4 2 2" xfId="37465" xr:uid="{8466B959-4477-4CB2-B13D-8DEC85B8CD32}"/>
    <cellStyle name="20% - Accent3 2 2 2 4 3" xfId="21570" xr:uid="{00000000-0005-0000-0000-00006E100000}"/>
    <cellStyle name="20% - Accent3 2 2 2 4 3 2" xfId="45402" xr:uid="{ECBA444A-CC5E-4034-9D17-063D3000DEED}"/>
    <cellStyle name="20% - Accent3 2 2 2 4 4" xfId="29524" xr:uid="{5BC38AFD-04BD-4C24-87D8-00E512A0D391}"/>
    <cellStyle name="20% - Accent3 2 2 2 5" xfId="9191" xr:uid="{00000000-0005-0000-0000-00006F100000}"/>
    <cellStyle name="20% - Accent3 2 2 2 5 2" xfId="17149" xr:uid="{00000000-0005-0000-0000-000070100000}"/>
    <cellStyle name="20% - Accent3 2 2 2 5 2 2" xfId="40989" xr:uid="{396681A2-B187-4FD5-A069-420BD5754573}"/>
    <cellStyle name="20% - Accent3 2 2 2 5 3" xfId="25093" xr:uid="{00000000-0005-0000-0000-000071100000}"/>
    <cellStyle name="20% - Accent3 2 2 2 5 3 2" xfId="48925" xr:uid="{7AD5F9D0-CD17-44D6-8703-1B7A7B477D62}"/>
    <cellStyle name="20% - Accent3 2 2 2 5 4" xfId="33048" xr:uid="{F11DE7BE-0BCF-4879-AD1F-5DFA6A8EB022}"/>
    <cellStyle name="20% - Accent3 2 2 2 6" xfId="10087" xr:uid="{00000000-0005-0000-0000-000072100000}"/>
    <cellStyle name="20% - Accent3 2 2 2 6 2" xfId="33936" xr:uid="{BA523777-154D-4C1D-A2C1-50123D764894}"/>
    <cellStyle name="20% - Accent3 2 2 2 7" xfId="18042" xr:uid="{00000000-0005-0000-0000-000073100000}"/>
    <cellStyle name="20% - Accent3 2 2 2 7 2" xfId="41874" xr:uid="{80F6D5C5-F8D1-4C29-B3E3-B26D5C1E5894}"/>
    <cellStyle name="20% - Accent3 2 2 2 8" xfId="25994" xr:uid="{E3F8C2AC-9304-466E-B012-47D2811EC003}"/>
    <cellStyle name="20% - Accent3 2 2 2_Exh G" xfId="2224" xr:uid="{00000000-0005-0000-0000-000074100000}"/>
    <cellStyle name="20% - Accent3 2 2 3" xfId="885" xr:uid="{00000000-0005-0000-0000-000075100000}"/>
    <cellStyle name="20% - Accent3 2 2 3 2" xfId="1813" xr:uid="{00000000-0005-0000-0000-000076100000}"/>
    <cellStyle name="20% - Accent3 2 2 3 2 2" xfId="5330" xr:uid="{00000000-0005-0000-0000-000077100000}"/>
    <cellStyle name="20% - Accent3 2 2 3 2 2 2" xfId="8921" xr:uid="{00000000-0005-0000-0000-000078100000}"/>
    <cellStyle name="20% - Accent3 2 2 3 2 2 2 2" xfId="16891" xr:uid="{00000000-0005-0000-0000-000079100000}"/>
    <cellStyle name="20% - Accent3 2 2 3 2 2 2 2 2" xfId="40733" xr:uid="{E7811A80-1FE4-4995-A327-AD0CEE2B8EBB}"/>
    <cellStyle name="20% - Accent3 2 2 3 2 2 2 3" xfId="24837" xr:uid="{00000000-0005-0000-0000-00007A100000}"/>
    <cellStyle name="20% - Accent3 2 2 3 2 2 2 3 2" xfId="48669" xr:uid="{760F81BF-8454-4B6E-B0D0-BA1F966D5982}"/>
    <cellStyle name="20% - Accent3 2 2 3 2 2 2 4" xfId="32792" xr:uid="{598C23F6-1193-4A29-928C-9424833E5E0B}"/>
    <cellStyle name="20% - Accent3 2 2 3 2 2 3" xfId="13353" xr:uid="{00000000-0005-0000-0000-00007B100000}"/>
    <cellStyle name="20% - Accent3 2 2 3 2 2 3 2" xfId="37202" xr:uid="{85DAE197-179A-4F17-8F96-D66BA3899375}"/>
    <cellStyle name="20% - Accent3 2 2 3 2 2 4" xfId="21308" xr:uid="{00000000-0005-0000-0000-00007C100000}"/>
    <cellStyle name="20% - Accent3 2 2 3 2 2 4 2" xfId="45140" xr:uid="{8169FB42-0482-471B-8F6C-20F772836279}"/>
    <cellStyle name="20% - Accent3 2 2 3 2 2 5" xfId="29261" xr:uid="{DDFD136A-8566-4B07-BACA-245E24505DE7}"/>
    <cellStyle name="20% - Accent3 2 2 3 2 3" xfId="7162" xr:uid="{00000000-0005-0000-0000-00007D100000}"/>
    <cellStyle name="20% - Accent3 2 2 3 2 3 2" xfId="15133" xr:uid="{00000000-0005-0000-0000-00007E100000}"/>
    <cellStyle name="20% - Accent3 2 2 3 2 3 2 2" xfId="38975" xr:uid="{00F22628-231D-4BA9-8091-4B81CC3A728D}"/>
    <cellStyle name="20% - Accent3 2 2 3 2 3 3" xfId="23080" xr:uid="{00000000-0005-0000-0000-00007F100000}"/>
    <cellStyle name="20% - Accent3 2 2 3 2 3 3 2" xfId="46912" xr:uid="{A765E15E-AD66-4748-BA20-658E52DE631B}"/>
    <cellStyle name="20% - Accent3 2 2 3 2 3 4" xfId="31034" xr:uid="{918E4610-D05E-4DBD-B3C1-83306A247F79}"/>
    <cellStyle name="20% - Accent3 2 2 3 2 4" xfId="11597" xr:uid="{00000000-0005-0000-0000-000080100000}"/>
    <cellStyle name="20% - Accent3 2 2 3 2 4 2" xfId="35446" xr:uid="{55B8F34D-696D-4FC4-ACBA-192B41C1ABC2}"/>
    <cellStyle name="20% - Accent3 2 2 3 2 5" xfId="19552" xr:uid="{00000000-0005-0000-0000-000081100000}"/>
    <cellStyle name="20% - Accent3 2 2 3 2 5 2" xfId="43384" xr:uid="{DACFCCFB-D730-45FB-B647-B1CFE20044AB}"/>
    <cellStyle name="20% - Accent3 2 2 3 2 6" xfId="27504" xr:uid="{87AAA4D4-89C6-4BBF-84B8-71BD81F3D1EB}"/>
    <cellStyle name="20% - Accent3 2 2 3 2_Exh G" xfId="2227" xr:uid="{00000000-0005-0000-0000-000082100000}"/>
    <cellStyle name="20% - Accent3 2 2 3 3" xfId="4451" xr:uid="{00000000-0005-0000-0000-000083100000}"/>
    <cellStyle name="20% - Accent3 2 2 3 3 2" xfId="8043" xr:uid="{00000000-0005-0000-0000-000084100000}"/>
    <cellStyle name="20% - Accent3 2 2 3 3 2 2" xfId="16013" xr:uid="{00000000-0005-0000-0000-000085100000}"/>
    <cellStyle name="20% - Accent3 2 2 3 3 2 2 2" xfId="39855" xr:uid="{9BD1E431-D952-4B47-B0FA-CE9B91CBA332}"/>
    <cellStyle name="20% - Accent3 2 2 3 3 2 3" xfId="23959" xr:uid="{00000000-0005-0000-0000-000086100000}"/>
    <cellStyle name="20% - Accent3 2 2 3 3 2 3 2" xfId="47791" xr:uid="{CE6CADE9-85BA-48F5-8FEA-A978D8D9052D}"/>
    <cellStyle name="20% - Accent3 2 2 3 3 2 4" xfId="31914" xr:uid="{200DFDA7-AC8B-4EB6-A57B-0767CC1E6196}"/>
    <cellStyle name="20% - Accent3 2 2 3 3 3" xfId="12475" xr:uid="{00000000-0005-0000-0000-000087100000}"/>
    <cellStyle name="20% - Accent3 2 2 3 3 3 2" xfId="36324" xr:uid="{3F9EFF60-DBDA-4CEA-B26C-1D6F016B3474}"/>
    <cellStyle name="20% - Accent3 2 2 3 3 4" xfId="20430" xr:uid="{00000000-0005-0000-0000-000088100000}"/>
    <cellStyle name="20% - Accent3 2 2 3 3 4 2" xfId="44262" xr:uid="{BB24A2A0-73D2-4462-BF75-A4038411080B}"/>
    <cellStyle name="20% - Accent3 2 2 3 3 5" xfId="28383" xr:uid="{BAD98E10-CCDD-4563-94FA-FFB287EEA81F}"/>
    <cellStyle name="20% - Accent3 2 2 3 4" xfId="6281" xr:uid="{00000000-0005-0000-0000-000089100000}"/>
    <cellStyle name="20% - Accent3 2 2 3 4 2" xfId="14255" xr:uid="{00000000-0005-0000-0000-00008A100000}"/>
    <cellStyle name="20% - Accent3 2 2 3 4 2 2" xfId="38097" xr:uid="{3B40B9FB-C110-4CF7-9F6F-9A378594C12B}"/>
    <cellStyle name="20% - Accent3 2 2 3 4 3" xfId="22202" xr:uid="{00000000-0005-0000-0000-00008B100000}"/>
    <cellStyle name="20% - Accent3 2 2 3 4 3 2" xfId="46034" xr:uid="{4AFB6DF9-B4EB-4557-862D-C6FB46E89085}"/>
    <cellStyle name="20% - Accent3 2 2 3 4 4" xfId="30156" xr:uid="{D8CD93CE-5FD6-440F-842A-D7D51076284C}"/>
    <cellStyle name="20% - Accent3 2 2 3 5" xfId="9823" xr:uid="{00000000-0005-0000-0000-00008C100000}"/>
    <cellStyle name="20% - Accent3 2 2 3 5 2" xfId="17781" xr:uid="{00000000-0005-0000-0000-00008D100000}"/>
    <cellStyle name="20% - Accent3 2 2 3 5 2 2" xfId="41621" xr:uid="{C3858517-DC9F-4A61-91D2-C0A473619D79}"/>
    <cellStyle name="20% - Accent3 2 2 3 5 3" xfId="25725" xr:uid="{00000000-0005-0000-0000-00008E100000}"/>
    <cellStyle name="20% - Accent3 2 2 3 5 3 2" xfId="49557" xr:uid="{8A07B9CB-EEDD-42AF-BAA6-9C9E5CF01420}"/>
    <cellStyle name="20% - Accent3 2 2 3 5 4" xfId="33680" xr:uid="{F7907D09-DA59-48AD-B3CB-5FF41AEA1F8C}"/>
    <cellStyle name="20% - Accent3 2 2 3 6" xfId="10719" xr:uid="{00000000-0005-0000-0000-00008F100000}"/>
    <cellStyle name="20% - Accent3 2 2 3 6 2" xfId="34568" xr:uid="{D3EB7442-E931-414A-994B-18FD4A6B8A14}"/>
    <cellStyle name="20% - Accent3 2 2 3 7" xfId="18674" xr:uid="{00000000-0005-0000-0000-000090100000}"/>
    <cellStyle name="20% - Accent3 2 2 3 7 2" xfId="42506" xr:uid="{BFF32B50-3120-4F74-88CE-C31DA71CAF84}"/>
    <cellStyle name="20% - Accent3 2 2 3 8" xfId="26626" xr:uid="{6A0E66E4-7C26-4B06-AB1F-C87DFEB94702}"/>
    <cellStyle name="20% - Accent3 2 2 3_Exh G" xfId="2226" xr:uid="{00000000-0005-0000-0000-000091100000}"/>
    <cellStyle name="20% - Accent3 2 2 4" xfId="1170" xr:uid="{00000000-0005-0000-0000-000092100000}"/>
    <cellStyle name="20% - Accent3 2 2 4 2" xfId="4697" xr:uid="{00000000-0005-0000-0000-000093100000}"/>
    <cellStyle name="20% - Accent3 2 2 4 2 2" xfId="8288" xr:uid="{00000000-0005-0000-0000-000094100000}"/>
    <cellStyle name="20% - Accent3 2 2 4 2 2 2" xfId="16258" xr:uid="{00000000-0005-0000-0000-000095100000}"/>
    <cellStyle name="20% - Accent3 2 2 4 2 2 2 2" xfId="40100" xr:uid="{876C3B6F-2325-4272-969C-916009AD820D}"/>
    <cellStyle name="20% - Accent3 2 2 4 2 2 3" xfId="24204" xr:uid="{00000000-0005-0000-0000-000096100000}"/>
    <cellStyle name="20% - Accent3 2 2 4 2 2 3 2" xfId="48036" xr:uid="{856AFB5C-BB62-43CF-9FC3-600975889A11}"/>
    <cellStyle name="20% - Accent3 2 2 4 2 2 4" xfId="32159" xr:uid="{B2BDCD7E-B2AD-477B-9B59-559E7E23603F}"/>
    <cellStyle name="20% - Accent3 2 2 4 2 3" xfId="12720" xr:uid="{00000000-0005-0000-0000-000097100000}"/>
    <cellStyle name="20% - Accent3 2 2 4 2 3 2" xfId="36569" xr:uid="{8EC68858-794A-4B46-B488-A879A2EB4CE4}"/>
    <cellStyle name="20% - Accent3 2 2 4 2 4" xfId="20675" xr:uid="{00000000-0005-0000-0000-000098100000}"/>
    <cellStyle name="20% - Accent3 2 2 4 2 4 2" xfId="44507" xr:uid="{CCA3FAB3-F291-4EBE-9BAA-1D2B91F19FED}"/>
    <cellStyle name="20% - Accent3 2 2 4 2 5" xfId="28628" xr:uid="{128D25D0-9598-4A33-8571-7E8E357534CD}"/>
    <cellStyle name="20% - Accent3 2 2 4 3" xfId="6529" xr:uid="{00000000-0005-0000-0000-000099100000}"/>
    <cellStyle name="20% - Accent3 2 2 4 3 2" xfId="14500" xr:uid="{00000000-0005-0000-0000-00009A100000}"/>
    <cellStyle name="20% - Accent3 2 2 4 3 2 2" xfId="38342" xr:uid="{EB1F928E-403C-47B9-AB5A-799647A0B2BE}"/>
    <cellStyle name="20% - Accent3 2 2 4 3 3" xfId="22447" xr:uid="{00000000-0005-0000-0000-00009B100000}"/>
    <cellStyle name="20% - Accent3 2 2 4 3 3 2" xfId="46279" xr:uid="{802761B0-E3B5-4C43-A22F-5EDC73481BC5}"/>
    <cellStyle name="20% - Accent3 2 2 4 3 4" xfId="30401" xr:uid="{4CA6C231-4A56-4BAC-9022-B3E6ECE59870}"/>
    <cellStyle name="20% - Accent3 2 2 4 4" xfId="10964" xr:uid="{00000000-0005-0000-0000-00009C100000}"/>
    <cellStyle name="20% - Accent3 2 2 4 4 2" xfId="34813" xr:uid="{BB4D0D80-414A-4E88-8843-4C885CE1F047}"/>
    <cellStyle name="20% - Accent3 2 2 4 5" xfId="18919" xr:uid="{00000000-0005-0000-0000-00009D100000}"/>
    <cellStyle name="20% - Accent3 2 2 4 5 2" xfId="42751" xr:uid="{811EE855-9446-495E-A961-8B3F2D23D27D}"/>
    <cellStyle name="20% - Accent3 2 2 4 6" xfId="26871" xr:uid="{16D6709D-A76D-47FC-9C18-E563A78E1105}"/>
    <cellStyle name="20% - Accent3 2 2 4_Exh G" xfId="2228" xr:uid="{00000000-0005-0000-0000-00009E100000}"/>
    <cellStyle name="20% - Accent3 2 2 5" xfId="3818" xr:uid="{00000000-0005-0000-0000-00009F100000}"/>
    <cellStyle name="20% - Accent3 2 2 5 2" xfId="7410" xr:uid="{00000000-0005-0000-0000-0000A0100000}"/>
    <cellStyle name="20% - Accent3 2 2 5 2 2" xfId="15380" xr:uid="{00000000-0005-0000-0000-0000A1100000}"/>
    <cellStyle name="20% - Accent3 2 2 5 2 2 2" xfId="39222" xr:uid="{CA9A16A6-A0F1-4B63-B86C-D14FBD6CC2E2}"/>
    <cellStyle name="20% - Accent3 2 2 5 2 3" xfId="23326" xr:uid="{00000000-0005-0000-0000-0000A2100000}"/>
    <cellStyle name="20% - Accent3 2 2 5 2 3 2" xfId="47158" xr:uid="{80E128F2-7C86-4D25-9BD4-B8D9B0F4832F}"/>
    <cellStyle name="20% - Accent3 2 2 5 2 4" xfId="31281" xr:uid="{F147DCAB-C7CC-4AF6-9FED-211884AC50B8}"/>
    <cellStyle name="20% - Accent3 2 2 5 3" xfId="11842" xr:uid="{00000000-0005-0000-0000-0000A3100000}"/>
    <cellStyle name="20% - Accent3 2 2 5 3 2" xfId="35691" xr:uid="{65B76EB0-0949-4E12-9E22-5F8964EE2C70}"/>
    <cellStyle name="20% - Accent3 2 2 5 4" xfId="19797" xr:uid="{00000000-0005-0000-0000-0000A4100000}"/>
    <cellStyle name="20% - Accent3 2 2 5 4 2" xfId="43629" xr:uid="{EC8908BB-4BBC-4BFC-9FE3-F5C3E89AA31C}"/>
    <cellStyle name="20% - Accent3 2 2 5 5" xfId="27750" xr:uid="{778E3D75-34F1-4043-A627-9D47052AEF66}"/>
    <cellStyle name="20% - Accent3 2 2 6" xfId="5638" xr:uid="{00000000-0005-0000-0000-0000A5100000}"/>
    <cellStyle name="20% - Accent3 2 2 6 2" xfId="13621" xr:uid="{00000000-0005-0000-0000-0000A6100000}"/>
    <cellStyle name="20% - Accent3 2 2 6 2 2" xfId="37464" xr:uid="{EB8ACEA3-8C7B-4C1D-9628-F37B0B6E130F}"/>
    <cellStyle name="20% - Accent3 2 2 6 3" xfId="21569" xr:uid="{00000000-0005-0000-0000-0000A7100000}"/>
    <cellStyle name="20% - Accent3 2 2 6 3 2" xfId="45401" xr:uid="{0A52FEBC-8F12-48A9-884C-345BD1F19AA4}"/>
    <cellStyle name="20% - Accent3 2 2 6 4" xfId="29523" xr:uid="{314A6D39-B974-4F8F-80E0-FA4DCA586C4A}"/>
    <cellStyle name="20% - Accent3 2 2 7" xfId="9190" xr:uid="{00000000-0005-0000-0000-0000A8100000}"/>
    <cellStyle name="20% - Accent3 2 2 7 2" xfId="17148" xr:uid="{00000000-0005-0000-0000-0000A9100000}"/>
    <cellStyle name="20% - Accent3 2 2 7 2 2" xfId="40988" xr:uid="{D114BB70-9BC6-40F8-9CF0-EAA09D8DFC87}"/>
    <cellStyle name="20% - Accent3 2 2 7 3" xfId="25092" xr:uid="{00000000-0005-0000-0000-0000AA100000}"/>
    <cellStyle name="20% - Accent3 2 2 7 3 2" xfId="48924" xr:uid="{5A6DE8A4-182F-43AC-9C79-189BDB055186}"/>
    <cellStyle name="20% - Accent3 2 2 7 4" xfId="33047" xr:uid="{8EE6DD80-560D-4C51-B623-8B957E20AC55}"/>
    <cellStyle name="20% - Accent3 2 2 8" xfId="10086" xr:uid="{00000000-0005-0000-0000-0000AB100000}"/>
    <cellStyle name="20% - Accent3 2 2 8 2" xfId="33935" xr:uid="{BE88BB93-47EA-43E5-B4D5-A72D56ED9E1E}"/>
    <cellStyle name="20% - Accent3 2 2 9" xfId="18041" xr:uid="{00000000-0005-0000-0000-0000AC100000}"/>
    <cellStyle name="20% - Accent3 2 2 9 2" xfId="41873" xr:uid="{90423A8C-CE9D-4548-886F-B8AB89AE129C}"/>
    <cellStyle name="20% - Accent3 2 2_Exh G" xfId="2223" xr:uid="{00000000-0005-0000-0000-0000AD100000}"/>
    <cellStyle name="20% - Accent3 2 3" xfId="146" xr:uid="{00000000-0005-0000-0000-0000AE100000}"/>
    <cellStyle name="20% - Accent3 2 3 2" xfId="1172" xr:uid="{00000000-0005-0000-0000-0000AF100000}"/>
    <cellStyle name="20% - Accent3 2 3 2 2" xfId="4699" xr:uid="{00000000-0005-0000-0000-0000B0100000}"/>
    <cellStyle name="20% - Accent3 2 3 2 2 2" xfId="8290" xr:uid="{00000000-0005-0000-0000-0000B1100000}"/>
    <cellStyle name="20% - Accent3 2 3 2 2 2 2" xfId="16260" xr:uid="{00000000-0005-0000-0000-0000B2100000}"/>
    <cellStyle name="20% - Accent3 2 3 2 2 2 2 2" xfId="40102" xr:uid="{DC0E59E4-D067-4E68-8A40-79741F683543}"/>
    <cellStyle name="20% - Accent3 2 3 2 2 2 3" xfId="24206" xr:uid="{00000000-0005-0000-0000-0000B3100000}"/>
    <cellStyle name="20% - Accent3 2 3 2 2 2 3 2" xfId="48038" xr:uid="{AA120EAC-BB04-4CDA-B1A3-42EDA0787490}"/>
    <cellStyle name="20% - Accent3 2 3 2 2 2 4" xfId="32161" xr:uid="{023DD547-3C22-4D55-B453-670B4DC276E0}"/>
    <cellStyle name="20% - Accent3 2 3 2 2 3" xfId="12722" xr:uid="{00000000-0005-0000-0000-0000B4100000}"/>
    <cellStyle name="20% - Accent3 2 3 2 2 3 2" xfId="36571" xr:uid="{CE00397F-0706-43F4-B908-235D226CA81B}"/>
    <cellStyle name="20% - Accent3 2 3 2 2 4" xfId="20677" xr:uid="{00000000-0005-0000-0000-0000B5100000}"/>
    <cellStyle name="20% - Accent3 2 3 2 2 4 2" xfId="44509" xr:uid="{34A62BFE-81D5-46C7-94CA-A873B39EB957}"/>
    <cellStyle name="20% - Accent3 2 3 2 2 5" xfId="28630" xr:uid="{83D392B7-640F-4473-A99F-BA0659369329}"/>
    <cellStyle name="20% - Accent3 2 3 2 3" xfId="6531" xr:uid="{00000000-0005-0000-0000-0000B6100000}"/>
    <cellStyle name="20% - Accent3 2 3 2 3 2" xfId="14502" xr:uid="{00000000-0005-0000-0000-0000B7100000}"/>
    <cellStyle name="20% - Accent3 2 3 2 3 2 2" xfId="38344" xr:uid="{52E7BC96-24C9-4368-8C4D-1ED929DF7C70}"/>
    <cellStyle name="20% - Accent3 2 3 2 3 3" xfId="22449" xr:uid="{00000000-0005-0000-0000-0000B8100000}"/>
    <cellStyle name="20% - Accent3 2 3 2 3 3 2" xfId="46281" xr:uid="{C8F100DF-881F-4899-A99D-D9FACB59B8BD}"/>
    <cellStyle name="20% - Accent3 2 3 2 3 4" xfId="30403" xr:uid="{07780B16-A09C-42C6-9F13-AC34BAAA73B3}"/>
    <cellStyle name="20% - Accent3 2 3 2 4" xfId="10966" xr:uid="{00000000-0005-0000-0000-0000B9100000}"/>
    <cellStyle name="20% - Accent3 2 3 2 4 2" xfId="34815" xr:uid="{CC4A9BF8-E650-4CD4-A3FA-137A09474402}"/>
    <cellStyle name="20% - Accent3 2 3 2 5" xfId="18921" xr:uid="{00000000-0005-0000-0000-0000BA100000}"/>
    <cellStyle name="20% - Accent3 2 3 2 5 2" xfId="42753" xr:uid="{FED41EB9-3C9C-42D4-9FB5-C25B4C5474C0}"/>
    <cellStyle name="20% - Accent3 2 3 2 6" xfId="26873" xr:uid="{F642225A-B277-40EA-842B-5B401724217C}"/>
    <cellStyle name="20% - Accent3 2 3 2_Exh G" xfId="2230" xr:uid="{00000000-0005-0000-0000-0000BB100000}"/>
    <cellStyle name="20% - Accent3 2 3 3" xfId="3820" xr:uid="{00000000-0005-0000-0000-0000BC100000}"/>
    <cellStyle name="20% - Accent3 2 3 3 2" xfId="7412" xr:uid="{00000000-0005-0000-0000-0000BD100000}"/>
    <cellStyle name="20% - Accent3 2 3 3 2 2" xfId="15382" xr:uid="{00000000-0005-0000-0000-0000BE100000}"/>
    <cellStyle name="20% - Accent3 2 3 3 2 2 2" xfId="39224" xr:uid="{D8ECD8BD-6592-4E8C-8A0E-1A4E08918F01}"/>
    <cellStyle name="20% - Accent3 2 3 3 2 3" xfId="23328" xr:uid="{00000000-0005-0000-0000-0000BF100000}"/>
    <cellStyle name="20% - Accent3 2 3 3 2 3 2" xfId="47160" xr:uid="{4A0B1ACD-1951-4B8A-94B6-3D56CA337A7C}"/>
    <cellStyle name="20% - Accent3 2 3 3 2 4" xfId="31283" xr:uid="{41AEB8FE-02DE-4469-BF9C-1E0F80176BE4}"/>
    <cellStyle name="20% - Accent3 2 3 3 3" xfId="11844" xr:uid="{00000000-0005-0000-0000-0000C0100000}"/>
    <cellStyle name="20% - Accent3 2 3 3 3 2" xfId="35693" xr:uid="{9FE5A840-861F-4FB0-AFF2-E7FE2CDC94D5}"/>
    <cellStyle name="20% - Accent3 2 3 3 4" xfId="19799" xr:uid="{00000000-0005-0000-0000-0000C1100000}"/>
    <cellStyle name="20% - Accent3 2 3 3 4 2" xfId="43631" xr:uid="{B7EAE1B5-75BB-4148-A80C-7E89762A3147}"/>
    <cellStyle name="20% - Accent3 2 3 3 5" xfId="27752" xr:uid="{3D20AA71-B72C-43CD-B5D3-AA39B2B7E38B}"/>
    <cellStyle name="20% - Accent3 2 3 4" xfId="5640" xr:uid="{00000000-0005-0000-0000-0000C2100000}"/>
    <cellStyle name="20% - Accent3 2 3 4 2" xfId="13623" xr:uid="{00000000-0005-0000-0000-0000C3100000}"/>
    <cellStyle name="20% - Accent3 2 3 4 2 2" xfId="37466" xr:uid="{05EE8B9D-1862-460E-A02B-B8695E8E5127}"/>
    <cellStyle name="20% - Accent3 2 3 4 3" xfId="21571" xr:uid="{00000000-0005-0000-0000-0000C4100000}"/>
    <cellStyle name="20% - Accent3 2 3 4 3 2" xfId="45403" xr:uid="{56BBD1F9-2DAE-453E-B3AE-00226B9D5771}"/>
    <cellStyle name="20% - Accent3 2 3 4 4" xfId="29525" xr:uid="{B604A635-4294-4538-A92E-8B5727E97D10}"/>
    <cellStyle name="20% - Accent3 2 3 5" xfId="9192" xr:uid="{00000000-0005-0000-0000-0000C5100000}"/>
    <cellStyle name="20% - Accent3 2 3 5 2" xfId="17150" xr:uid="{00000000-0005-0000-0000-0000C6100000}"/>
    <cellStyle name="20% - Accent3 2 3 5 2 2" xfId="40990" xr:uid="{AE75AEEB-6A34-496C-AA5C-C26FA42849DB}"/>
    <cellStyle name="20% - Accent3 2 3 5 3" xfId="25094" xr:uid="{00000000-0005-0000-0000-0000C7100000}"/>
    <cellStyle name="20% - Accent3 2 3 5 3 2" xfId="48926" xr:uid="{EC67A32B-8F99-4BBA-AE83-374FBF4D88AB}"/>
    <cellStyle name="20% - Accent3 2 3 5 4" xfId="33049" xr:uid="{BA6127AD-2781-478E-9E9F-AE819D11DF82}"/>
    <cellStyle name="20% - Accent3 2 3 6" xfId="10088" xr:uid="{00000000-0005-0000-0000-0000C8100000}"/>
    <cellStyle name="20% - Accent3 2 3 6 2" xfId="33937" xr:uid="{561D10D0-2D11-423C-AAD7-8D5096BC25FB}"/>
    <cellStyle name="20% - Accent3 2 3 7" xfId="18043" xr:uid="{00000000-0005-0000-0000-0000C9100000}"/>
    <cellStyle name="20% - Accent3 2 3 7 2" xfId="41875" xr:uid="{AA34C8CA-1929-4770-961E-E2AC972EB127}"/>
    <cellStyle name="20% - Accent3 2 3 8" xfId="25995" xr:uid="{6A888F19-C86C-4C01-AEA3-3ED47FF4FC6C}"/>
    <cellStyle name="20% - Accent3 2 3_Exh G" xfId="2229" xr:uid="{00000000-0005-0000-0000-0000CA100000}"/>
    <cellStyle name="20% - Accent3 2 4" xfId="884" xr:uid="{00000000-0005-0000-0000-0000CB100000}"/>
    <cellStyle name="20% - Accent3 2 4 2" xfId="1812" xr:uid="{00000000-0005-0000-0000-0000CC100000}"/>
    <cellStyle name="20% - Accent3 2 4 2 2" xfId="5329" xr:uid="{00000000-0005-0000-0000-0000CD100000}"/>
    <cellStyle name="20% - Accent3 2 4 2 2 2" xfId="8920" xr:uid="{00000000-0005-0000-0000-0000CE100000}"/>
    <cellStyle name="20% - Accent3 2 4 2 2 2 2" xfId="16890" xr:uid="{00000000-0005-0000-0000-0000CF100000}"/>
    <cellStyle name="20% - Accent3 2 4 2 2 2 2 2" xfId="40732" xr:uid="{84C5A620-157C-4EB8-89CD-A94FD5819D11}"/>
    <cellStyle name="20% - Accent3 2 4 2 2 2 3" xfId="24836" xr:uid="{00000000-0005-0000-0000-0000D0100000}"/>
    <cellStyle name="20% - Accent3 2 4 2 2 2 3 2" xfId="48668" xr:uid="{E19C2E72-79C9-487F-B9ED-D62618F4E271}"/>
    <cellStyle name="20% - Accent3 2 4 2 2 2 4" xfId="32791" xr:uid="{6D223C6C-7294-4BFD-899C-D3986ACBC28A}"/>
    <cellStyle name="20% - Accent3 2 4 2 2 3" xfId="13352" xr:uid="{00000000-0005-0000-0000-0000D1100000}"/>
    <cellStyle name="20% - Accent3 2 4 2 2 3 2" xfId="37201" xr:uid="{D16920C3-388E-4FE9-8C75-8D93AA0A17EC}"/>
    <cellStyle name="20% - Accent3 2 4 2 2 4" xfId="21307" xr:uid="{00000000-0005-0000-0000-0000D2100000}"/>
    <cellStyle name="20% - Accent3 2 4 2 2 4 2" xfId="45139" xr:uid="{3BAFCDFF-14B2-42BB-86E8-5E5A50760FDF}"/>
    <cellStyle name="20% - Accent3 2 4 2 2 5" xfId="29260" xr:uid="{64ABAE8F-ABD8-4664-8767-F0EE5753FF02}"/>
    <cellStyle name="20% - Accent3 2 4 2 3" xfId="7161" xr:uid="{00000000-0005-0000-0000-0000D3100000}"/>
    <cellStyle name="20% - Accent3 2 4 2 3 2" xfId="15132" xr:uid="{00000000-0005-0000-0000-0000D4100000}"/>
    <cellStyle name="20% - Accent3 2 4 2 3 2 2" xfId="38974" xr:uid="{5194B528-38B6-4433-A4DB-991B21B56A0D}"/>
    <cellStyle name="20% - Accent3 2 4 2 3 3" xfId="23079" xr:uid="{00000000-0005-0000-0000-0000D5100000}"/>
    <cellStyle name="20% - Accent3 2 4 2 3 3 2" xfId="46911" xr:uid="{0139BA7C-CFAC-4046-ADCB-4035F2D793FB}"/>
    <cellStyle name="20% - Accent3 2 4 2 3 4" xfId="31033" xr:uid="{FAFBD0C8-CD1E-455F-AC2A-E882B1FCD18D}"/>
    <cellStyle name="20% - Accent3 2 4 2 4" xfId="11596" xr:uid="{00000000-0005-0000-0000-0000D6100000}"/>
    <cellStyle name="20% - Accent3 2 4 2 4 2" xfId="35445" xr:uid="{677550C6-88B9-48DB-BF7F-24C9E720E48E}"/>
    <cellStyle name="20% - Accent3 2 4 2 5" xfId="19551" xr:uid="{00000000-0005-0000-0000-0000D7100000}"/>
    <cellStyle name="20% - Accent3 2 4 2 5 2" xfId="43383" xr:uid="{343510BD-142D-4D96-9E05-FBF64E146070}"/>
    <cellStyle name="20% - Accent3 2 4 2 6" xfId="27503" xr:uid="{8449EED3-6249-46B7-8377-3BEC80FCEFA8}"/>
    <cellStyle name="20% - Accent3 2 4 2_Exh G" xfId="2232" xr:uid="{00000000-0005-0000-0000-0000D8100000}"/>
    <cellStyle name="20% - Accent3 2 4 3" xfId="4450" xr:uid="{00000000-0005-0000-0000-0000D9100000}"/>
    <cellStyle name="20% - Accent3 2 4 3 2" xfId="8042" xr:uid="{00000000-0005-0000-0000-0000DA100000}"/>
    <cellStyle name="20% - Accent3 2 4 3 2 2" xfId="16012" xr:uid="{00000000-0005-0000-0000-0000DB100000}"/>
    <cellStyle name="20% - Accent3 2 4 3 2 2 2" xfId="39854" xr:uid="{8104E706-9175-4B80-888D-E807D8377308}"/>
    <cellStyle name="20% - Accent3 2 4 3 2 3" xfId="23958" xr:uid="{00000000-0005-0000-0000-0000DC100000}"/>
    <cellStyle name="20% - Accent3 2 4 3 2 3 2" xfId="47790" xr:uid="{C2CCDAE2-B1A6-4927-BDF2-1B02C99AAABD}"/>
    <cellStyle name="20% - Accent3 2 4 3 2 4" xfId="31913" xr:uid="{34479D9A-F7A4-43E2-A2CF-33C2904C000E}"/>
    <cellStyle name="20% - Accent3 2 4 3 3" xfId="12474" xr:uid="{00000000-0005-0000-0000-0000DD100000}"/>
    <cellStyle name="20% - Accent3 2 4 3 3 2" xfId="36323" xr:uid="{3BF3436B-891D-4378-98C4-A83F17EFB6B8}"/>
    <cellStyle name="20% - Accent3 2 4 3 4" xfId="20429" xr:uid="{00000000-0005-0000-0000-0000DE100000}"/>
    <cellStyle name="20% - Accent3 2 4 3 4 2" xfId="44261" xr:uid="{018C9D0E-C337-4DE0-8AA8-2F96DD428299}"/>
    <cellStyle name="20% - Accent3 2 4 3 5" xfId="28382" xr:uid="{0C4900EA-7DAA-4CE5-B706-7304E175A2B3}"/>
    <cellStyle name="20% - Accent3 2 4 4" xfId="6280" xr:uid="{00000000-0005-0000-0000-0000DF100000}"/>
    <cellStyle name="20% - Accent3 2 4 4 2" xfId="14254" xr:uid="{00000000-0005-0000-0000-0000E0100000}"/>
    <cellStyle name="20% - Accent3 2 4 4 2 2" xfId="38096" xr:uid="{8F814DF7-4DE9-465B-A675-60E149750095}"/>
    <cellStyle name="20% - Accent3 2 4 4 3" xfId="22201" xr:uid="{00000000-0005-0000-0000-0000E1100000}"/>
    <cellStyle name="20% - Accent3 2 4 4 3 2" xfId="46033" xr:uid="{D5CE6114-DC28-4BDE-9B37-C884EC7FB6ED}"/>
    <cellStyle name="20% - Accent3 2 4 4 4" xfId="30155" xr:uid="{E5801268-0299-4A68-93C0-2A51FA7BF0BF}"/>
    <cellStyle name="20% - Accent3 2 4 5" xfId="9822" xr:uid="{00000000-0005-0000-0000-0000E2100000}"/>
    <cellStyle name="20% - Accent3 2 4 5 2" xfId="17780" xr:uid="{00000000-0005-0000-0000-0000E3100000}"/>
    <cellStyle name="20% - Accent3 2 4 5 2 2" xfId="41620" xr:uid="{2B35D5EA-27E1-444D-90F1-841396107A59}"/>
    <cellStyle name="20% - Accent3 2 4 5 3" xfId="25724" xr:uid="{00000000-0005-0000-0000-0000E4100000}"/>
    <cellStyle name="20% - Accent3 2 4 5 3 2" xfId="49556" xr:uid="{C8F8AE57-C58F-49D5-84F8-56E4211267B5}"/>
    <cellStyle name="20% - Accent3 2 4 5 4" xfId="33679" xr:uid="{53EE03DA-BD1B-483E-B9CA-74F32DA7F8A7}"/>
    <cellStyle name="20% - Accent3 2 4 6" xfId="10718" xr:uid="{00000000-0005-0000-0000-0000E5100000}"/>
    <cellStyle name="20% - Accent3 2 4 6 2" xfId="34567" xr:uid="{56AD8EDE-E42E-4DD8-A7A1-8CD950AF14DB}"/>
    <cellStyle name="20% - Accent3 2 4 7" xfId="18673" xr:uid="{00000000-0005-0000-0000-0000E6100000}"/>
    <cellStyle name="20% - Accent3 2 4 7 2" xfId="42505" xr:uid="{4EA8F603-B746-48B4-8238-6C3908D0C1BF}"/>
    <cellStyle name="20% - Accent3 2 4 8" xfId="26625" xr:uid="{693AC9A4-EABB-4EEF-97FB-86E2782B8F18}"/>
    <cellStyle name="20% - Accent3 2 4_Exh G" xfId="2231" xr:uid="{00000000-0005-0000-0000-0000E7100000}"/>
    <cellStyle name="20% - Accent3 2 5" xfId="1169" xr:uid="{00000000-0005-0000-0000-0000E8100000}"/>
    <cellStyle name="20% - Accent3 2 5 2" xfId="4696" xr:uid="{00000000-0005-0000-0000-0000E9100000}"/>
    <cellStyle name="20% - Accent3 2 5 2 2" xfId="8287" xr:uid="{00000000-0005-0000-0000-0000EA100000}"/>
    <cellStyle name="20% - Accent3 2 5 2 2 2" xfId="16257" xr:uid="{00000000-0005-0000-0000-0000EB100000}"/>
    <cellStyle name="20% - Accent3 2 5 2 2 2 2" xfId="40099" xr:uid="{7C8D4F85-C14A-4C5B-8B03-929A6F63959E}"/>
    <cellStyle name="20% - Accent3 2 5 2 2 3" xfId="24203" xr:uid="{00000000-0005-0000-0000-0000EC100000}"/>
    <cellStyle name="20% - Accent3 2 5 2 2 3 2" xfId="48035" xr:uid="{E7289D68-1D81-43FE-87AD-6A671E0AE116}"/>
    <cellStyle name="20% - Accent3 2 5 2 2 4" xfId="32158" xr:uid="{BC8E65D2-8730-4C0E-8334-48A9BB8DDC34}"/>
    <cellStyle name="20% - Accent3 2 5 2 3" xfId="12719" xr:uid="{00000000-0005-0000-0000-0000ED100000}"/>
    <cellStyle name="20% - Accent3 2 5 2 3 2" xfId="36568" xr:uid="{C0447495-707C-4912-9433-98F84D4EA6D6}"/>
    <cellStyle name="20% - Accent3 2 5 2 4" xfId="20674" xr:uid="{00000000-0005-0000-0000-0000EE100000}"/>
    <cellStyle name="20% - Accent3 2 5 2 4 2" xfId="44506" xr:uid="{94ED6537-A5F1-4B4F-B8E1-F85CFF801220}"/>
    <cellStyle name="20% - Accent3 2 5 2 5" xfId="28627" xr:uid="{D4968BC5-D34A-4E02-90C2-D62E636C693A}"/>
    <cellStyle name="20% - Accent3 2 5 3" xfId="6528" xr:uid="{00000000-0005-0000-0000-0000EF100000}"/>
    <cellStyle name="20% - Accent3 2 5 3 2" xfId="14499" xr:uid="{00000000-0005-0000-0000-0000F0100000}"/>
    <cellStyle name="20% - Accent3 2 5 3 2 2" xfId="38341" xr:uid="{D7D784BB-9CCC-4A21-BFF9-C9139261CAED}"/>
    <cellStyle name="20% - Accent3 2 5 3 3" xfId="22446" xr:uid="{00000000-0005-0000-0000-0000F1100000}"/>
    <cellStyle name="20% - Accent3 2 5 3 3 2" xfId="46278" xr:uid="{14DEDEEC-E5D0-4C09-8117-7F2C4A55E495}"/>
    <cellStyle name="20% - Accent3 2 5 3 4" xfId="30400" xr:uid="{97F40FD4-3384-49D2-A141-C8B0DA7FD766}"/>
    <cellStyle name="20% - Accent3 2 5 4" xfId="10963" xr:uid="{00000000-0005-0000-0000-0000F2100000}"/>
    <cellStyle name="20% - Accent3 2 5 4 2" xfId="34812" xr:uid="{21CA7674-CD77-4F83-AFA7-6AD03D7281BE}"/>
    <cellStyle name="20% - Accent3 2 5 5" xfId="18918" xr:uid="{00000000-0005-0000-0000-0000F3100000}"/>
    <cellStyle name="20% - Accent3 2 5 5 2" xfId="42750" xr:uid="{C61CB26F-9ACB-447A-9E16-9310143D2442}"/>
    <cellStyle name="20% - Accent3 2 5 6" xfId="26870" xr:uid="{6E8ECB2A-2498-4F47-9A8B-E78E682A9AAE}"/>
    <cellStyle name="20% - Accent3 2 5_Exh G" xfId="2233" xr:uid="{00000000-0005-0000-0000-0000F4100000}"/>
    <cellStyle name="20% - Accent3 2 6" xfId="3817" xr:uid="{00000000-0005-0000-0000-0000F5100000}"/>
    <cellStyle name="20% - Accent3 2 6 2" xfId="7409" xr:uid="{00000000-0005-0000-0000-0000F6100000}"/>
    <cellStyle name="20% - Accent3 2 6 2 2" xfId="15379" xr:uid="{00000000-0005-0000-0000-0000F7100000}"/>
    <cellStyle name="20% - Accent3 2 6 2 2 2" xfId="39221" xr:uid="{715F4299-868A-42AF-8B78-7B9A389F3948}"/>
    <cellStyle name="20% - Accent3 2 6 2 3" xfId="23325" xr:uid="{00000000-0005-0000-0000-0000F8100000}"/>
    <cellStyle name="20% - Accent3 2 6 2 3 2" xfId="47157" xr:uid="{8D51EA9C-FD61-4020-9CF5-E61B2155C357}"/>
    <cellStyle name="20% - Accent3 2 6 2 4" xfId="31280" xr:uid="{5AF7F7C8-8F72-408D-84A4-600D1E82CDDB}"/>
    <cellStyle name="20% - Accent3 2 6 3" xfId="11841" xr:uid="{00000000-0005-0000-0000-0000F9100000}"/>
    <cellStyle name="20% - Accent3 2 6 3 2" xfId="35690" xr:uid="{A9D3855C-A9F3-420D-B15C-432118BCB120}"/>
    <cellStyle name="20% - Accent3 2 6 4" xfId="19796" xr:uid="{00000000-0005-0000-0000-0000FA100000}"/>
    <cellStyle name="20% - Accent3 2 6 4 2" xfId="43628" xr:uid="{5212F338-7FB5-4BF8-BC5A-1DE725674AD0}"/>
    <cellStyle name="20% - Accent3 2 6 5" xfId="27749" xr:uid="{1ACFDEB8-4A52-41A6-B463-DC082650E51C}"/>
    <cellStyle name="20% - Accent3 2 7" xfId="5637" xr:uid="{00000000-0005-0000-0000-0000FB100000}"/>
    <cellStyle name="20% - Accent3 2 7 2" xfId="13620" xr:uid="{00000000-0005-0000-0000-0000FC100000}"/>
    <cellStyle name="20% - Accent3 2 7 2 2" xfId="37463" xr:uid="{BC85502C-E1B5-4B8B-B413-2F0B2452BFDA}"/>
    <cellStyle name="20% - Accent3 2 7 3" xfId="21568" xr:uid="{00000000-0005-0000-0000-0000FD100000}"/>
    <cellStyle name="20% - Accent3 2 7 3 2" xfId="45400" xr:uid="{44358F39-64C1-4447-BBA0-224CC136BC39}"/>
    <cellStyle name="20% - Accent3 2 7 4" xfId="29522" xr:uid="{9FA25383-908F-4CE6-AC52-35052E9DF679}"/>
    <cellStyle name="20% - Accent3 2 8" xfId="9189" xr:uid="{00000000-0005-0000-0000-0000FE100000}"/>
    <cellStyle name="20% - Accent3 2 8 2" xfId="17147" xr:uid="{00000000-0005-0000-0000-0000FF100000}"/>
    <cellStyle name="20% - Accent3 2 8 2 2" xfId="40987" xr:uid="{73684FB1-BCCF-4E93-94D8-AFD29A20AAB8}"/>
    <cellStyle name="20% - Accent3 2 8 3" xfId="25091" xr:uid="{00000000-0005-0000-0000-000000110000}"/>
    <cellStyle name="20% - Accent3 2 8 3 2" xfId="48923" xr:uid="{6E0E0E90-FCF7-48F3-BDD2-9F1193ABEAC8}"/>
    <cellStyle name="20% - Accent3 2 8 4" xfId="33046" xr:uid="{5B7B9966-3BFF-4B96-9B8E-07F6026F0993}"/>
    <cellStyle name="20% - Accent3 2 9" xfId="10085" xr:uid="{00000000-0005-0000-0000-000001110000}"/>
    <cellStyle name="20% - Accent3 2 9 2" xfId="33934" xr:uid="{42BC4D13-62F4-4DE3-8CE7-9F6F869E8241}"/>
    <cellStyle name="20% - Accent3 2_Exh G" xfId="2222" xr:uid="{00000000-0005-0000-0000-000002110000}"/>
    <cellStyle name="20% - Accent3 3" xfId="147" xr:uid="{00000000-0005-0000-0000-000003110000}"/>
    <cellStyle name="20% - Accent3 3 10" xfId="18044" xr:uid="{00000000-0005-0000-0000-000004110000}"/>
    <cellStyle name="20% - Accent3 3 10 2" xfId="41876" xr:uid="{B6640E53-07BE-47A5-B7D8-9A3968FE0788}"/>
    <cellStyle name="20% - Accent3 3 11" xfId="25996" xr:uid="{E33CD951-3B31-4820-9110-7FC01A26248F}"/>
    <cellStyle name="20% - Accent3 3 12" xfId="49758" xr:uid="{44423A31-A165-4E2F-A96B-1B515125CDFD}"/>
    <cellStyle name="20% - Accent3 3 13" xfId="49812" xr:uid="{FD0A2C74-BFAF-4DD1-9F8B-1384F2D6860F}"/>
    <cellStyle name="20% - Accent3 3 2" xfId="148" xr:uid="{00000000-0005-0000-0000-000005110000}"/>
    <cellStyle name="20% - Accent3 3 2 10" xfId="25997" xr:uid="{6765FC4D-0F1C-47D3-845B-7FAEF81FC25E}"/>
    <cellStyle name="20% - Accent3 3 2 2" xfId="149" xr:uid="{00000000-0005-0000-0000-000006110000}"/>
    <cellStyle name="20% - Accent3 3 2 2 2" xfId="1175" xr:uid="{00000000-0005-0000-0000-000007110000}"/>
    <cellStyle name="20% - Accent3 3 2 2 2 2" xfId="4702" xr:uid="{00000000-0005-0000-0000-000008110000}"/>
    <cellStyle name="20% - Accent3 3 2 2 2 2 2" xfId="8293" xr:uid="{00000000-0005-0000-0000-000009110000}"/>
    <cellStyle name="20% - Accent3 3 2 2 2 2 2 2" xfId="16263" xr:uid="{00000000-0005-0000-0000-00000A110000}"/>
    <cellStyle name="20% - Accent3 3 2 2 2 2 2 2 2" xfId="40105" xr:uid="{7AA3C23B-3CE7-4EB3-84AD-2DB770639934}"/>
    <cellStyle name="20% - Accent3 3 2 2 2 2 2 3" xfId="24209" xr:uid="{00000000-0005-0000-0000-00000B110000}"/>
    <cellStyle name="20% - Accent3 3 2 2 2 2 2 3 2" xfId="48041" xr:uid="{F581D678-588E-411C-960A-1CD7BCD065C6}"/>
    <cellStyle name="20% - Accent3 3 2 2 2 2 2 4" xfId="32164" xr:uid="{8716416D-3ABF-429A-B9D5-79C720C90350}"/>
    <cellStyle name="20% - Accent3 3 2 2 2 2 3" xfId="12725" xr:uid="{00000000-0005-0000-0000-00000C110000}"/>
    <cellStyle name="20% - Accent3 3 2 2 2 2 3 2" xfId="36574" xr:uid="{9C994AA1-BACC-4B6A-8320-292328331062}"/>
    <cellStyle name="20% - Accent3 3 2 2 2 2 4" xfId="20680" xr:uid="{00000000-0005-0000-0000-00000D110000}"/>
    <cellStyle name="20% - Accent3 3 2 2 2 2 4 2" xfId="44512" xr:uid="{E278D113-4DD1-4350-8A19-476315E31408}"/>
    <cellStyle name="20% - Accent3 3 2 2 2 2 5" xfId="28633" xr:uid="{B8CED45F-16B6-4F49-88D9-992719F17154}"/>
    <cellStyle name="20% - Accent3 3 2 2 2 3" xfId="6534" xr:uid="{00000000-0005-0000-0000-00000E110000}"/>
    <cellStyle name="20% - Accent3 3 2 2 2 3 2" xfId="14505" xr:uid="{00000000-0005-0000-0000-00000F110000}"/>
    <cellStyle name="20% - Accent3 3 2 2 2 3 2 2" xfId="38347" xr:uid="{8C8FAF62-DAA6-47E6-B229-1F4874F45F48}"/>
    <cellStyle name="20% - Accent3 3 2 2 2 3 3" xfId="22452" xr:uid="{00000000-0005-0000-0000-000010110000}"/>
    <cellStyle name="20% - Accent3 3 2 2 2 3 3 2" xfId="46284" xr:uid="{BFD2A558-DC07-4185-A49F-7E37DAF175EB}"/>
    <cellStyle name="20% - Accent3 3 2 2 2 3 4" xfId="30406" xr:uid="{3FD0A461-9F2A-43E6-A0C3-8D7E00970525}"/>
    <cellStyle name="20% - Accent3 3 2 2 2 4" xfId="10969" xr:uid="{00000000-0005-0000-0000-000011110000}"/>
    <cellStyle name="20% - Accent3 3 2 2 2 4 2" xfId="34818" xr:uid="{72158BF1-0A92-4403-B6F7-F42D90A14323}"/>
    <cellStyle name="20% - Accent3 3 2 2 2 5" xfId="18924" xr:uid="{00000000-0005-0000-0000-000012110000}"/>
    <cellStyle name="20% - Accent3 3 2 2 2 5 2" xfId="42756" xr:uid="{99A1FA0D-C64B-48A4-9B35-18913CE113EF}"/>
    <cellStyle name="20% - Accent3 3 2 2 2 6" xfId="26876" xr:uid="{7C989B61-DB3E-492D-A038-5B9190B01930}"/>
    <cellStyle name="20% - Accent3 3 2 2 2_Exh G" xfId="2237" xr:uid="{00000000-0005-0000-0000-000013110000}"/>
    <cellStyle name="20% - Accent3 3 2 2 3" xfId="3823" xr:uid="{00000000-0005-0000-0000-000014110000}"/>
    <cellStyle name="20% - Accent3 3 2 2 3 2" xfId="7415" xr:uid="{00000000-0005-0000-0000-000015110000}"/>
    <cellStyle name="20% - Accent3 3 2 2 3 2 2" xfId="15385" xr:uid="{00000000-0005-0000-0000-000016110000}"/>
    <cellStyle name="20% - Accent3 3 2 2 3 2 2 2" xfId="39227" xr:uid="{BC73361E-029C-4BF6-B2B8-A1B0C7118023}"/>
    <cellStyle name="20% - Accent3 3 2 2 3 2 3" xfId="23331" xr:uid="{00000000-0005-0000-0000-000017110000}"/>
    <cellStyle name="20% - Accent3 3 2 2 3 2 3 2" xfId="47163" xr:uid="{2F51992F-ACCA-46CD-9BE3-10F17D2196BC}"/>
    <cellStyle name="20% - Accent3 3 2 2 3 2 4" xfId="31286" xr:uid="{A4E0527E-FF01-43A3-B9AF-E3DF9919BF46}"/>
    <cellStyle name="20% - Accent3 3 2 2 3 3" xfId="11847" xr:uid="{00000000-0005-0000-0000-000018110000}"/>
    <cellStyle name="20% - Accent3 3 2 2 3 3 2" xfId="35696" xr:uid="{0F8C5A18-FA04-4E02-A89E-6A2A196ED5D9}"/>
    <cellStyle name="20% - Accent3 3 2 2 3 4" xfId="19802" xr:uid="{00000000-0005-0000-0000-000019110000}"/>
    <cellStyle name="20% - Accent3 3 2 2 3 4 2" xfId="43634" xr:uid="{FF89FC8F-57B4-4766-A6F3-E9B70770CF25}"/>
    <cellStyle name="20% - Accent3 3 2 2 3 5" xfId="27755" xr:uid="{CD93CDDB-63CD-422D-9366-D9827031D074}"/>
    <cellStyle name="20% - Accent3 3 2 2 4" xfId="5643" xr:uid="{00000000-0005-0000-0000-00001A110000}"/>
    <cellStyle name="20% - Accent3 3 2 2 4 2" xfId="13626" xr:uid="{00000000-0005-0000-0000-00001B110000}"/>
    <cellStyle name="20% - Accent3 3 2 2 4 2 2" xfId="37469" xr:uid="{694A13F4-CB98-449F-92C2-793A505D209D}"/>
    <cellStyle name="20% - Accent3 3 2 2 4 3" xfId="21574" xr:uid="{00000000-0005-0000-0000-00001C110000}"/>
    <cellStyle name="20% - Accent3 3 2 2 4 3 2" xfId="45406" xr:uid="{E93798FE-8350-4580-9BA0-B01F196A5A2E}"/>
    <cellStyle name="20% - Accent3 3 2 2 4 4" xfId="29528" xr:uid="{AAB24E8A-4330-4B38-B624-D8EA68B94461}"/>
    <cellStyle name="20% - Accent3 3 2 2 5" xfId="9195" xr:uid="{00000000-0005-0000-0000-00001D110000}"/>
    <cellStyle name="20% - Accent3 3 2 2 5 2" xfId="17153" xr:uid="{00000000-0005-0000-0000-00001E110000}"/>
    <cellStyle name="20% - Accent3 3 2 2 5 2 2" xfId="40993" xr:uid="{C69C2F05-2231-4DEA-9366-A3B11B9C5682}"/>
    <cellStyle name="20% - Accent3 3 2 2 5 3" xfId="25097" xr:uid="{00000000-0005-0000-0000-00001F110000}"/>
    <cellStyle name="20% - Accent3 3 2 2 5 3 2" xfId="48929" xr:uid="{B798CB7A-56A2-4F8A-B0F0-9027DA0A080B}"/>
    <cellStyle name="20% - Accent3 3 2 2 5 4" xfId="33052" xr:uid="{368CF842-24C4-4A88-8486-707A61DD9D87}"/>
    <cellStyle name="20% - Accent3 3 2 2 6" xfId="10091" xr:uid="{00000000-0005-0000-0000-000020110000}"/>
    <cellStyle name="20% - Accent3 3 2 2 6 2" xfId="33940" xr:uid="{A731CD04-7654-4942-9A9E-37FC2C44EAEB}"/>
    <cellStyle name="20% - Accent3 3 2 2 7" xfId="18046" xr:uid="{00000000-0005-0000-0000-000021110000}"/>
    <cellStyle name="20% - Accent3 3 2 2 7 2" xfId="41878" xr:uid="{F47729C4-7B86-4D10-9F79-39AB2E3428ED}"/>
    <cellStyle name="20% - Accent3 3 2 2 8" xfId="25998" xr:uid="{11C8EF43-ED95-4CDC-BB32-0289BAAA3A27}"/>
    <cellStyle name="20% - Accent3 3 2 2_Exh G" xfId="2236" xr:uid="{00000000-0005-0000-0000-000022110000}"/>
    <cellStyle name="20% - Accent3 3 2 3" xfId="887" xr:uid="{00000000-0005-0000-0000-000023110000}"/>
    <cellStyle name="20% - Accent3 3 2 3 2" xfId="1815" xr:uid="{00000000-0005-0000-0000-000024110000}"/>
    <cellStyle name="20% - Accent3 3 2 3 2 2" xfId="5332" xr:uid="{00000000-0005-0000-0000-000025110000}"/>
    <cellStyle name="20% - Accent3 3 2 3 2 2 2" xfId="8923" xr:uid="{00000000-0005-0000-0000-000026110000}"/>
    <cellStyle name="20% - Accent3 3 2 3 2 2 2 2" xfId="16893" xr:uid="{00000000-0005-0000-0000-000027110000}"/>
    <cellStyle name="20% - Accent3 3 2 3 2 2 2 2 2" xfId="40735" xr:uid="{75166FA3-CE47-460A-A8F4-3054F2A4FE2F}"/>
    <cellStyle name="20% - Accent3 3 2 3 2 2 2 3" xfId="24839" xr:uid="{00000000-0005-0000-0000-000028110000}"/>
    <cellStyle name="20% - Accent3 3 2 3 2 2 2 3 2" xfId="48671" xr:uid="{0DF50CCE-6C9A-40B4-B43B-F52614A1C9A0}"/>
    <cellStyle name="20% - Accent3 3 2 3 2 2 2 4" xfId="32794" xr:uid="{FF15A37D-9125-4A8E-B3C4-7D257DFA2B9F}"/>
    <cellStyle name="20% - Accent3 3 2 3 2 2 3" xfId="13355" xr:uid="{00000000-0005-0000-0000-000029110000}"/>
    <cellStyle name="20% - Accent3 3 2 3 2 2 3 2" xfId="37204" xr:uid="{B40C1BA1-00C5-481F-B10B-60F368ACD2F3}"/>
    <cellStyle name="20% - Accent3 3 2 3 2 2 4" xfId="21310" xr:uid="{00000000-0005-0000-0000-00002A110000}"/>
    <cellStyle name="20% - Accent3 3 2 3 2 2 4 2" xfId="45142" xr:uid="{14C4D09B-E0ED-431F-9114-0BC8C652B81A}"/>
    <cellStyle name="20% - Accent3 3 2 3 2 2 5" xfId="29263" xr:uid="{4642E083-0874-45D7-A99C-80A45A35BCA3}"/>
    <cellStyle name="20% - Accent3 3 2 3 2 3" xfId="7164" xr:uid="{00000000-0005-0000-0000-00002B110000}"/>
    <cellStyle name="20% - Accent3 3 2 3 2 3 2" xfId="15135" xr:uid="{00000000-0005-0000-0000-00002C110000}"/>
    <cellStyle name="20% - Accent3 3 2 3 2 3 2 2" xfId="38977" xr:uid="{A9D7C917-644E-4FED-8017-48B029D4D06C}"/>
    <cellStyle name="20% - Accent3 3 2 3 2 3 3" xfId="23082" xr:uid="{00000000-0005-0000-0000-00002D110000}"/>
    <cellStyle name="20% - Accent3 3 2 3 2 3 3 2" xfId="46914" xr:uid="{6DAAC91E-C9BE-4727-A8A5-33E93F9EAB0E}"/>
    <cellStyle name="20% - Accent3 3 2 3 2 3 4" xfId="31036" xr:uid="{B191C312-5CBA-4108-8762-007DC6D0B848}"/>
    <cellStyle name="20% - Accent3 3 2 3 2 4" xfId="11599" xr:uid="{00000000-0005-0000-0000-00002E110000}"/>
    <cellStyle name="20% - Accent3 3 2 3 2 4 2" xfId="35448" xr:uid="{FAAB74FB-B621-4353-9BD4-F9BA4700A247}"/>
    <cellStyle name="20% - Accent3 3 2 3 2 5" xfId="19554" xr:uid="{00000000-0005-0000-0000-00002F110000}"/>
    <cellStyle name="20% - Accent3 3 2 3 2 5 2" xfId="43386" xr:uid="{992F19A0-E140-4B8A-896B-EF5785C8B3DF}"/>
    <cellStyle name="20% - Accent3 3 2 3 2 6" xfId="27506" xr:uid="{6BBCD1B7-0934-42BB-A4F1-EB18D97D77C0}"/>
    <cellStyle name="20% - Accent3 3 2 3 2_Exh G" xfId="2239" xr:uid="{00000000-0005-0000-0000-000030110000}"/>
    <cellStyle name="20% - Accent3 3 2 3 3" xfId="4453" xr:uid="{00000000-0005-0000-0000-000031110000}"/>
    <cellStyle name="20% - Accent3 3 2 3 3 2" xfId="8045" xr:uid="{00000000-0005-0000-0000-000032110000}"/>
    <cellStyle name="20% - Accent3 3 2 3 3 2 2" xfId="16015" xr:uid="{00000000-0005-0000-0000-000033110000}"/>
    <cellStyle name="20% - Accent3 3 2 3 3 2 2 2" xfId="39857" xr:uid="{70FD0A5D-DF72-42C7-A600-50BB13E277DE}"/>
    <cellStyle name="20% - Accent3 3 2 3 3 2 3" xfId="23961" xr:uid="{00000000-0005-0000-0000-000034110000}"/>
    <cellStyle name="20% - Accent3 3 2 3 3 2 3 2" xfId="47793" xr:uid="{89DE9424-00B4-4FA0-9ACB-D22D86106278}"/>
    <cellStyle name="20% - Accent3 3 2 3 3 2 4" xfId="31916" xr:uid="{6B48AF1C-4E43-4697-B554-84BF4DCBDF97}"/>
    <cellStyle name="20% - Accent3 3 2 3 3 3" xfId="12477" xr:uid="{00000000-0005-0000-0000-000035110000}"/>
    <cellStyle name="20% - Accent3 3 2 3 3 3 2" xfId="36326" xr:uid="{63191912-2FD9-4367-BC5B-871BD7243F57}"/>
    <cellStyle name="20% - Accent3 3 2 3 3 4" xfId="20432" xr:uid="{00000000-0005-0000-0000-000036110000}"/>
    <cellStyle name="20% - Accent3 3 2 3 3 4 2" xfId="44264" xr:uid="{80CABD3C-6F88-4B43-A184-7F684A4A628F}"/>
    <cellStyle name="20% - Accent3 3 2 3 3 5" xfId="28385" xr:uid="{5CE15C19-97CE-4786-A10D-79B98CF7F63D}"/>
    <cellStyle name="20% - Accent3 3 2 3 4" xfId="6283" xr:uid="{00000000-0005-0000-0000-000037110000}"/>
    <cellStyle name="20% - Accent3 3 2 3 4 2" xfId="14257" xr:uid="{00000000-0005-0000-0000-000038110000}"/>
    <cellStyle name="20% - Accent3 3 2 3 4 2 2" xfId="38099" xr:uid="{DD3774A2-86B3-4A89-B001-BB2F0E1F1CA1}"/>
    <cellStyle name="20% - Accent3 3 2 3 4 3" xfId="22204" xr:uid="{00000000-0005-0000-0000-000039110000}"/>
    <cellStyle name="20% - Accent3 3 2 3 4 3 2" xfId="46036" xr:uid="{79E13012-7263-4894-A0C3-8276FEEFE144}"/>
    <cellStyle name="20% - Accent3 3 2 3 4 4" xfId="30158" xr:uid="{2460FA36-DFA1-4D9B-ADF3-0A1DCEBD196F}"/>
    <cellStyle name="20% - Accent3 3 2 3 5" xfId="9825" xr:uid="{00000000-0005-0000-0000-00003A110000}"/>
    <cellStyle name="20% - Accent3 3 2 3 5 2" xfId="17783" xr:uid="{00000000-0005-0000-0000-00003B110000}"/>
    <cellStyle name="20% - Accent3 3 2 3 5 2 2" xfId="41623" xr:uid="{80D33100-B0E3-4251-8831-9FC6333CF75D}"/>
    <cellStyle name="20% - Accent3 3 2 3 5 3" xfId="25727" xr:uid="{00000000-0005-0000-0000-00003C110000}"/>
    <cellStyle name="20% - Accent3 3 2 3 5 3 2" xfId="49559" xr:uid="{2221BE4C-AC94-44B0-A7C7-A5669618161A}"/>
    <cellStyle name="20% - Accent3 3 2 3 5 4" xfId="33682" xr:uid="{07571BA0-C3FB-4B23-B80C-D41642102A51}"/>
    <cellStyle name="20% - Accent3 3 2 3 6" xfId="10721" xr:uid="{00000000-0005-0000-0000-00003D110000}"/>
    <cellStyle name="20% - Accent3 3 2 3 6 2" xfId="34570" xr:uid="{6EC427FD-45AF-4E19-A794-A19158979792}"/>
    <cellStyle name="20% - Accent3 3 2 3 7" xfId="18676" xr:uid="{00000000-0005-0000-0000-00003E110000}"/>
    <cellStyle name="20% - Accent3 3 2 3 7 2" xfId="42508" xr:uid="{8429BBED-97F0-4F57-A90E-C4F031241568}"/>
    <cellStyle name="20% - Accent3 3 2 3 8" xfId="26628" xr:uid="{478A6804-56D2-4403-BC4C-D32C39D5E2A1}"/>
    <cellStyle name="20% - Accent3 3 2 3_Exh G" xfId="2238" xr:uid="{00000000-0005-0000-0000-00003F110000}"/>
    <cellStyle name="20% - Accent3 3 2 4" xfId="1174" xr:uid="{00000000-0005-0000-0000-000040110000}"/>
    <cellStyle name="20% - Accent3 3 2 4 2" xfId="4701" xr:uid="{00000000-0005-0000-0000-000041110000}"/>
    <cellStyle name="20% - Accent3 3 2 4 2 2" xfId="8292" xr:uid="{00000000-0005-0000-0000-000042110000}"/>
    <cellStyle name="20% - Accent3 3 2 4 2 2 2" xfId="16262" xr:uid="{00000000-0005-0000-0000-000043110000}"/>
    <cellStyle name="20% - Accent3 3 2 4 2 2 2 2" xfId="40104" xr:uid="{409625B8-B2D9-40EE-910F-3B99694BB163}"/>
    <cellStyle name="20% - Accent3 3 2 4 2 2 3" xfId="24208" xr:uid="{00000000-0005-0000-0000-000044110000}"/>
    <cellStyle name="20% - Accent3 3 2 4 2 2 3 2" xfId="48040" xr:uid="{383086C4-A2A9-44C8-9870-CAC7B1344B35}"/>
    <cellStyle name="20% - Accent3 3 2 4 2 2 4" xfId="32163" xr:uid="{0D734858-D989-46AE-895C-11CDA1C26441}"/>
    <cellStyle name="20% - Accent3 3 2 4 2 3" xfId="12724" xr:uid="{00000000-0005-0000-0000-000045110000}"/>
    <cellStyle name="20% - Accent3 3 2 4 2 3 2" xfId="36573" xr:uid="{FC89607E-AED3-41F1-87F5-CEF5E69B7053}"/>
    <cellStyle name="20% - Accent3 3 2 4 2 4" xfId="20679" xr:uid="{00000000-0005-0000-0000-000046110000}"/>
    <cellStyle name="20% - Accent3 3 2 4 2 4 2" xfId="44511" xr:uid="{3C36ADBD-E1BD-4EA7-941B-4FC42BEB86C1}"/>
    <cellStyle name="20% - Accent3 3 2 4 2 5" xfId="28632" xr:uid="{8B506D6A-FB67-40FA-876C-8ABF57E62F9B}"/>
    <cellStyle name="20% - Accent3 3 2 4 3" xfId="6533" xr:uid="{00000000-0005-0000-0000-000047110000}"/>
    <cellStyle name="20% - Accent3 3 2 4 3 2" xfId="14504" xr:uid="{00000000-0005-0000-0000-000048110000}"/>
    <cellStyle name="20% - Accent3 3 2 4 3 2 2" xfId="38346" xr:uid="{C589E230-9FD6-4F65-8F51-D18BB5C3A151}"/>
    <cellStyle name="20% - Accent3 3 2 4 3 3" xfId="22451" xr:uid="{00000000-0005-0000-0000-000049110000}"/>
    <cellStyle name="20% - Accent3 3 2 4 3 3 2" xfId="46283" xr:uid="{40E62B21-ED33-4759-B3B1-71988C99C434}"/>
    <cellStyle name="20% - Accent3 3 2 4 3 4" xfId="30405" xr:uid="{72051928-62EC-4563-9A12-F9F83CCE354E}"/>
    <cellStyle name="20% - Accent3 3 2 4 4" xfId="10968" xr:uid="{00000000-0005-0000-0000-00004A110000}"/>
    <cellStyle name="20% - Accent3 3 2 4 4 2" xfId="34817" xr:uid="{E4FBB09E-7FAD-4A27-9031-00A7F3696A39}"/>
    <cellStyle name="20% - Accent3 3 2 4 5" xfId="18923" xr:uid="{00000000-0005-0000-0000-00004B110000}"/>
    <cellStyle name="20% - Accent3 3 2 4 5 2" xfId="42755" xr:uid="{60CAC234-6003-4A0E-8A07-44D7617CD1C2}"/>
    <cellStyle name="20% - Accent3 3 2 4 6" xfId="26875" xr:uid="{AA75BFD0-E161-4011-BC25-EF46E08FD5B5}"/>
    <cellStyle name="20% - Accent3 3 2 4_Exh G" xfId="2240" xr:uid="{00000000-0005-0000-0000-00004C110000}"/>
    <cellStyle name="20% - Accent3 3 2 5" xfId="3822" xr:uid="{00000000-0005-0000-0000-00004D110000}"/>
    <cellStyle name="20% - Accent3 3 2 5 2" xfId="7414" xr:uid="{00000000-0005-0000-0000-00004E110000}"/>
    <cellStyle name="20% - Accent3 3 2 5 2 2" xfId="15384" xr:uid="{00000000-0005-0000-0000-00004F110000}"/>
    <cellStyle name="20% - Accent3 3 2 5 2 2 2" xfId="39226" xr:uid="{BAC1FCA6-5A9C-46E4-9BA1-8D155B2A377F}"/>
    <cellStyle name="20% - Accent3 3 2 5 2 3" xfId="23330" xr:uid="{00000000-0005-0000-0000-000050110000}"/>
    <cellStyle name="20% - Accent3 3 2 5 2 3 2" xfId="47162" xr:uid="{905D3FF3-12CA-4AC7-A104-2CC11CD8B942}"/>
    <cellStyle name="20% - Accent3 3 2 5 2 4" xfId="31285" xr:uid="{6A09254D-F7F2-4D67-8291-956CC146A9A0}"/>
    <cellStyle name="20% - Accent3 3 2 5 3" xfId="11846" xr:uid="{00000000-0005-0000-0000-000051110000}"/>
    <cellStyle name="20% - Accent3 3 2 5 3 2" xfId="35695" xr:uid="{63EABB8F-5239-4D1F-A331-B4DC135723DC}"/>
    <cellStyle name="20% - Accent3 3 2 5 4" xfId="19801" xr:uid="{00000000-0005-0000-0000-000052110000}"/>
    <cellStyle name="20% - Accent3 3 2 5 4 2" xfId="43633" xr:uid="{F62DB139-D8EB-41EF-A50A-67BF0F1C00D4}"/>
    <cellStyle name="20% - Accent3 3 2 5 5" xfId="27754" xr:uid="{94BF17A6-D9AE-4D9E-A549-96907B072852}"/>
    <cellStyle name="20% - Accent3 3 2 6" xfId="5642" xr:uid="{00000000-0005-0000-0000-000053110000}"/>
    <cellStyle name="20% - Accent3 3 2 6 2" xfId="13625" xr:uid="{00000000-0005-0000-0000-000054110000}"/>
    <cellStyle name="20% - Accent3 3 2 6 2 2" xfId="37468" xr:uid="{22A480B9-F1D6-4CE7-9915-2E15EAAE75ED}"/>
    <cellStyle name="20% - Accent3 3 2 6 3" xfId="21573" xr:uid="{00000000-0005-0000-0000-000055110000}"/>
    <cellStyle name="20% - Accent3 3 2 6 3 2" xfId="45405" xr:uid="{ED174961-E37E-4EB6-A797-FDF335F2A437}"/>
    <cellStyle name="20% - Accent3 3 2 6 4" xfId="29527" xr:uid="{BB26E9B6-193F-48F3-9B28-9479EA887B01}"/>
    <cellStyle name="20% - Accent3 3 2 7" xfId="9194" xr:uid="{00000000-0005-0000-0000-000056110000}"/>
    <cellStyle name="20% - Accent3 3 2 7 2" xfId="17152" xr:uid="{00000000-0005-0000-0000-000057110000}"/>
    <cellStyle name="20% - Accent3 3 2 7 2 2" xfId="40992" xr:uid="{7F243350-8A5C-4586-B52E-A3A28B7E2A7D}"/>
    <cellStyle name="20% - Accent3 3 2 7 3" xfId="25096" xr:uid="{00000000-0005-0000-0000-000058110000}"/>
    <cellStyle name="20% - Accent3 3 2 7 3 2" xfId="48928" xr:uid="{6D30F59D-D66D-449F-94D0-9AE0C3318EF9}"/>
    <cellStyle name="20% - Accent3 3 2 7 4" xfId="33051" xr:uid="{6CCA5956-BCF2-4A33-A679-9D23012B5E4C}"/>
    <cellStyle name="20% - Accent3 3 2 8" xfId="10090" xr:uid="{00000000-0005-0000-0000-000059110000}"/>
    <cellStyle name="20% - Accent3 3 2 8 2" xfId="33939" xr:uid="{EEFC7A69-314B-45A5-9B6F-CFA0A3154850}"/>
    <cellStyle name="20% - Accent3 3 2 9" xfId="18045" xr:uid="{00000000-0005-0000-0000-00005A110000}"/>
    <cellStyle name="20% - Accent3 3 2 9 2" xfId="41877" xr:uid="{BB936050-64B0-4325-8A9C-08DEDC0B6451}"/>
    <cellStyle name="20% - Accent3 3 2_Exh G" xfId="2235" xr:uid="{00000000-0005-0000-0000-00005B110000}"/>
    <cellStyle name="20% - Accent3 3 3" xfId="150" xr:uid="{00000000-0005-0000-0000-00005C110000}"/>
    <cellStyle name="20% - Accent3 3 3 2" xfId="1176" xr:uid="{00000000-0005-0000-0000-00005D110000}"/>
    <cellStyle name="20% - Accent3 3 3 2 2" xfId="4703" xr:uid="{00000000-0005-0000-0000-00005E110000}"/>
    <cellStyle name="20% - Accent3 3 3 2 2 2" xfId="8294" xr:uid="{00000000-0005-0000-0000-00005F110000}"/>
    <cellStyle name="20% - Accent3 3 3 2 2 2 2" xfId="16264" xr:uid="{00000000-0005-0000-0000-000060110000}"/>
    <cellStyle name="20% - Accent3 3 3 2 2 2 2 2" xfId="40106" xr:uid="{91930C91-F9C1-458D-8AF0-3B2C2432D4FC}"/>
    <cellStyle name="20% - Accent3 3 3 2 2 2 3" xfId="24210" xr:uid="{00000000-0005-0000-0000-000061110000}"/>
    <cellStyle name="20% - Accent3 3 3 2 2 2 3 2" xfId="48042" xr:uid="{EF5EADE7-D86E-4649-80D7-29BC7746C887}"/>
    <cellStyle name="20% - Accent3 3 3 2 2 2 4" xfId="32165" xr:uid="{38A758B1-A7C9-46DA-B8ED-774A6D90A14C}"/>
    <cellStyle name="20% - Accent3 3 3 2 2 3" xfId="12726" xr:uid="{00000000-0005-0000-0000-000062110000}"/>
    <cellStyle name="20% - Accent3 3 3 2 2 3 2" xfId="36575" xr:uid="{D054BC52-F33E-4BD4-B8DC-7694C9D5EFEB}"/>
    <cellStyle name="20% - Accent3 3 3 2 2 4" xfId="20681" xr:uid="{00000000-0005-0000-0000-000063110000}"/>
    <cellStyle name="20% - Accent3 3 3 2 2 4 2" xfId="44513" xr:uid="{FCF89643-4EDB-4587-B9BE-2A0CE0C67A1A}"/>
    <cellStyle name="20% - Accent3 3 3 2 2 5" xfId="28634" xr:uid="{13BC6123-612E-49DD-817F-C3F3CEAD6DAA}"/>
    <cellStyle name="20% - Accent3 3 3 2 3" xfId="6535" xr:uid="{00000000-0005-0000-0000-000064110000}"/>
    <cellStyle name="20% - Accent3 3 3 2 3 2" xfId="14506" xr:uid="{00000000-0005-0000-0000-000065110000}"/>
    <cellStyle name="20% - Accent3 3 3 2 3 2 2" xfId="38348" xr:uid="{112E1F46-4F3C-489F-BB96-DDBDAD4A5488}"/>
    <cellStyle name="20% - Accent3 3 3 2 3 3" xfId="22453" xr:uid="{00000000-0005-0000-0000-000066110000}"/>
    <cellStyle name="20% - Accent3 3 3 2 3 3 2" xfId="46285" xr:uid="{0C35D33B-9F35-473B-BD68-F46D7A962244}"/>
    <cellStyle name="20% - Accent3 3 3 2 3 4" xfId="30407" xr:uid="{1DBC491D-DF74-493B-8CE2-85FE2FA59F0D}"/>
    <cellStyle name="20% - Accent3 3 3 2 4" xfId="10970" xr:uid="{00000000-0005-0000-0000-000067110000}"/>
    <cellStyle name="20% - Accent3 3 3 2 4 2" xfId="34819" xr:uid="{3EFFBA70-8252-4E60-8E5B-5CA2E25D65FF}"/>
    <cellStyle name="20% - Accent3 3 3 2 5" xfId="18925" xr:uid="{00000000-0005-0000-0000-000068110000}"/>
    <cellStyle name="20% - Accent3 3 3 2 5 2" xfId="42757" xr:uid="{F2C503E2-E38D-4803-9271-E371B64D61E4}"/>
    <cellStyle name="20% - Accent3 3 3 2 6" xfId="26877" xr:uid="{3F741962-FA13-4084-9479-41F6276F708D}"/>
    <cellStyle name="20% - Accent3 3 3 2_Exh G" xfId="2242" xr:uid="{00000000-0005-0000-0000-000069110000}"/>
    <cellStyle name="20% - Accent3 3 3 3" xfId="3824" xr:uid="{00000000-0005-0000-0000-00006A110000}"/>
    <cellStyle name="20% - Accent3 3 3 3 2" xfId="7416" xr:uid="{00000000-0005-0000-0000-00006B110000}"/>
    <cellStyle name="20% - Accent3 3 3 3 2 2" xfId="15386" xr:uid="{00000000-0005-0000-0000-00006C110000}"/>
    <cellStyle name="20% - Accent3 3 3 3 2 2 2" xfId="39228" xr:uid="{1712A508-CECC-4965-9B06-80D9EB7B4100}"/>
    <cellStyle name="20% - Accent3 3 3 3 2 3" xfId="23332" xr:uid="{00000000-0005-0000-0000-00006D110000}"/>
    <cellStyle name="20% - Accent3 3 3 3 2 3 2" xfId="47164" xr:uid="{464F2E90-88F9-404E-9708-C5C4DA01A148}"/>
    <cellStyle name="20% - Accent3 3 3 3 2 4" xfId="31287" xr:uid="{E96BFB64-0D49-4C45-AEA1-6D3F9516E3FF}"/>
    <cellStyle name="20% - Accent3 3 3 3 3" xfId="11848" xr:uid="{00000000-0005-0000-0000-00006E110000}"/>
    <cellStyle name="20% - Accent3 3 3 3 3 2" xfId="35697" xr:uid="{46AB1E93-8255-424D-B37E-F405F89B0178}"/>
    <cellStyle name="20% - Accent3 3 3 3 4" xfId="19803" xr:uid="{00000000-0005-0000-0000-00006F110000}"/>
    <cellStyle name="20% - Accent3 3 3 3 4 2" xfId="43635" xr:uid="{061E8724-E46A-4A67-8991-BFB2F5EAF0B0}"/>
    <cellStyle name="20% - Accent3 3 3 3 5" xfId="27756" xr:uid="{39337CAF-6F1C-4BC9-9F15-3F7E08CAEC72}"/>
    <cellStyle name="20% - Accent3 3 3 4" xfId="5644" xr:uid="{00000000-0005-0000-0000-000070110000}"/>
    <cellStyle name="20% - Accent3 3 3 4 2" xfId="13627" xr:uid="{00000000-0005-0000-0000-000071110000}"/>
    <cellStyle name="20% - Accent3 3 3 4 2 2" xfId="37470" xr:uid="{5E924346-2F7B-4F14-927C-1D6F87846AC3}"/>
    <cellStyle name="20% - Accent3 3 3 4 3" xfId="21575" xr:uid="{00000000-0005-0000-0000-000072110000}"/>
    <cellStyle name="20% - Accent3 3 3 4 3 2" xfId="45407" xr:uid="{A8A545B6-8A78-45D6-980B-C648662EAAF6}"/>
    <cellStyle name="20% - Accent3 3 3 4 4" xfId="29529" xr:uid="{D1FC069C-F7D7-4F1C-BC1A-61F0E98D3B33}"/>
    <cellStyle name="20% - Accent3 3 3 5" xfId="9196" xr:uid="{00000000-0005-0000-0000-000073110000}"/>
    <cellStyle name="20% - Accent3 3 3 5 2" xfId="17154" xr:uid="{00000000-0005-0000-0000-000074110000}"/>
    <cellStyle name="20% - Accent3 3 3 5 2 2" xfId="40994" xr:uid="{6ACBC3B9-4958-4F06-86A9-0AB646C4132D}"/>
    <cellStyle name="20% - Accent3 3 3 5 3" xfId="25098" xr:uid="{00000000-0005-0000-0000-000075110000}"/>
    <cellStyle name="20% - Accent3 3 3 5 3 2" xfId="48930" xr:uid="{49BA78AA-DC71-4AC1-88B6-78D2225B5DAB}"/>
    <cellStyle name="20% - Accent3 3 3 5 4" xfId="33053" xr:uid="{626D7673-146A-4E2F-A749-DD9A5A0937CF}"/>
    <cellStyle name="20% - Accent3 3 3 6" xfId="10092" xr:uid="{00000000-0005-0000-0000-000076110000}"/>
    <cellStyle name="20% - Accent3 3 3 6 2" xfId="33941" xr:uid="{13DF51BA-9B67-44BB-A178-82525D036B65}"/>
    <cellStyle name="20% - Accent3 3 3 7" xfId="18047" xr:uid="{00000000-0005-0000-0000-000077110000}"/>
    <cellStyle name="20% - Accent3 3 3 7 2" xfId="41879" xr:uid="{EE087F69-E590-4A84-B976-229B39243B00}"/>
    <cellStyle name="20% - Accent3 3 3 8" xfId="25999" xr:uid="{8D28AFBA-FDE6-4E47-8267-6FC204336247}"/>
    <cellStyle name="20% - Accent3 3 3_Exh G" xfId="2241" xr:uid="{00000000-0005-0000-0000-000078110000}"/>
    <cellStyle name="20% - Accent3 3 4" xfId="886" xr:uid="{00000000-0005-0000-0000-000079110000}"/>
    <cellStyle name="20% - Accent3 3 4 2" xfId="1814" xr:uid="{00000000-0005-0000-0000-00007A110000}"/>
    <cellStyle name="20% - Accent3 3 4 2 2" xfId="5331" xr:uid="{00000000-0005-0000-0000-00007B110000}"/>
    <cellStyle name="20% - Accent3 3 4 2 2 2" xfId="8922" xr:uid="{00000000-0005-0000-0000-00007C110000}"/>
    <cellStyle name="20% - Accent3 3 4 2 2 2 2" xfId="16892" xr:uid="{00000000-0005-0000-0000-00007D110000}"/>
    <cellStyle name="20% - Accent3 3 4 2 2 2 2 2" xfId="40734" xr:uid="{D6E6A2CC-B180-45E6-A441-BD4981CEE279}"/>
    <cellStyle name="20% - Accent3 3 4 2 2 2 3" xfId="24838" xr:uid="{00000000-0005-0000-0000-00007E110000}"/>
    <cellStyle name="20% - Accent3 3 4 2 2 2 3 2" xfId="48670" xr:uid="{FD5976E8-597A-40E6-A099-1D5A364C8DDB}"/>
    <cellStyle name="20% - Accent3 3 4 2 2 2 4" xfId="32793" xr:uid="{7292CA8B-43D5-4D7C-8068-FD31C400809F}"/>
    <cellStyle name="20% - Accent3 3 4 2 2 3" xfId="13354" xr:uid="{00000000-0005-0000-0000-00007F110000}"/>
    <cellStyle name="20% - Accent3 3 4 2 2 3 2" xfId="37203" xr:uid="{38C1E8EB-7001-4648-B888-CA27DD3B97C3}"/>
    <cellStyle name="20% - Accent3 3 4 2 2 4" xfId="21309" xr:uid="{00000000-0005-0000-0000-000080110000}"/>
    <cellStyle name="20% - Accent3 3 4 2 2 4 2" xfId="45141" xr:uid="{9503B30D-F94C-4B0B-943D-3D2A75D3CB4F}"/>
    <cellStyle name="20% - Accent3 3 4 2 2 5" xfId="29262" xr:uid="{3910E0B1-7053-415F-A5CD-0326B094C021}"/>
    <cellStyle name="20% - Accent3 3 4 2 3" xfId="7163" xr:uid="{00000000-0005-0000-0000-000081110000}"/>
    <cellStyle name="20% - Accent3 3 4 2 3 2" xfId="15134" xr:uid="{00000000-0005-0000-0000-000082110000}"/>
    <cellStyle name="20% - Accent3 3 4 2 3 2 2" xfId="38976" xr:uid="{46D9EDAE-CBD8-40FC-BA26-A13B102B759E}"/>
    <cellStyle name="20% - Accent3 3 4 2 3 3" xfId="23081" xr:uid="{00000000-0005-0000-0000-000083110000}"/>
    <cellStyle name="20% - Accent3 3 4 2 3 3 2" xfId="46913" xr:uid="{543BCF4B-3C26-4C09-94AE-FD1DC50892EF}"/>
    <cellStyle name="20% - Accent3 3 4 2 3 4" xfId="31035" xr:uid="{38F3AA85-2D07-4E74-994B-45460124F748}"/>
    <cellStyle name="20% - Accent3 3 4 2 4" xfId="11598" xr:uid="{00000000-0005-0000-0000-000084110000}"/>
    <cellStyle name="20% - Accent3 3 4 2 4 2" xfId="35447" xr:uid="{055926FF-237D-4D8A-A34D-6BC77BA79033}"/>
    <cellStyle name="20% - Accent3 3 4 2 5" xfId="19553" xr:uid="{00000000-0005-0000-0000-000085110000}"/>
    <cellStyle name="20% - Accent3 3 4 2 5 2" xfId="43385" xr:uid="{6DCCE096-6751-490B-832D-BC489D4B3ACF}"/>
    <cellStyle name="20% - Accent3 3 4 2 6" xfId="27505" xr:uid="{D05909DE-C350-41C2-BE86-BA41A5E2858B}"/>
    <cellStyle name="20% - Accent3 3 4 2_Exh G" xfId="2244" xr:uid="{00000000-0005-0000-0000-000086110000}"/>
    <cellStyle name="20% - Accent3 3 4 3" xfId="4452" xr:uid="{00000000-0005-0000-0000-000087110000}"/>
    <cellStyle name="20% - Accent3 3 4 3 2" xfId="8044" xr:uid="{00000000-0005-0000-0000-000088110000}"/>
    <cellStyle name="20% - Accent3 3 4 3 2 2" xfId="16014" xr:uid="{00000000-0005-0000-0000-000089110000}"/>
    <cellStyle name="20% - Accent3 3 4 3 2 2 2" xfId="39856" xr:uid="{5B0796B1-502A-4038-AFFA-B1E9BA4EE9CE}"/>
    <cellStyle name="20% - Accent3 3 4 3 2 3" xfId="23960" xr:uid="{00000000-0005-0000-0000-00008A110000}"/>
    <cellStyle name="20% - Accent3 3 4 3 2 3 2" xfId="47792" xr:uid="{BEC42A2E-8385-4CC4-B1F4-31336C6107A0}"/>
    <cellStyle name="20% - Accent3 3 4 3 2 4" xfId="31915" xr:uid="{63E7DBA1-9BE6-4FA4-83D7-ACBA9A839E2B}"/>
    <cellStyle name="20% - Accent3 3 4 3 3" xfId="12476" xr:uid="{00000000-0005-0000-0000-00008B110000}"/>
    <cellStyle name="20% - Accent3 3 4 3 3 2" xfId="36325" xr:uid="{1416C885-67BD-4662-896C-52AD667CF187}"/>
    <cellStyle name="20% - Accent3 3 4 3 4" xfId="20431" xr:uid="{00000000-0005-0000-0000-00008C110000}"/>
    <cellStyle name="20% - Accent3 3 4 3 4 2" xfId="44263" xr:uid="{738A17AF-4022-43E3-AC01-C7AD8889A9E3}"/>
    <cellStyle name="20% - Accent3 3 4 3 5" xfId="28384" xr:uid="{672F893D-5149-43F3-B063-C1FA4C847FE5}"/>
    <cellStyle name="20% - Accent3 3 4 4" xfId="6282" xr:uid="{00000000-0005-0000-0000-00008D110000}"/>
    <cellStyle name="20% - Accent3 3 4 4 2" xfId="14256" xr:uid="{00000000-0005-0000-0000-00008E110000}"/>
    <cellStyle name="20% - Accent3 3 4 4 2 2" xfId="38098" xr:uid="{8DB639A0-CF14-46EA-9410-70E14075E32C}"/>
    <cellStyle name="20% - Accent3 3 4 4 3" xfId="22203" xr:uid="{00000000-0005-0000-0000-00008F110000}"/>
    <cellStyle name="20% - Accent3 3 4 4 3 2" xfId="46035" xr:uid="{55B679E9-45F8-4F25-B9AC-DF68022CB9EE}"/>
    <cellStyle name="20% - Accent3 3 4 4 4" xfId="30157" xr:uid="{06C7C0BB-F3C3-4F82-BC87-C658FCA2B2EB}"/>
    <cellStyle name="20% - Accent3 3 4 5" xfId="9824" xr:uid="{00000000-0005-0000-0000-000090110000}"/>
    <cellStyle name="20% - Accent3 3 4 5 2" xfId="17782" xr:uid="{00000000-0005-0000-0000-000091110000}"/>
    <cellStyle name="20% - Accent3 3 4 5 2 2" xfId="41622" xr:uid="{181E358D-9C5C-410C-B711-856BFC6322F1}"/>
    <cellStyle name="20% - Accent3 3 4 5 3" xfId="25726" xr:uid="{00000000-0005-0000-0000-000092110000}"/>
    <cellStyle name="20% - Accent3 3 4 5 3 2" xfId="49558" xr:uid="{6FEAD994-281A-43B7-A50D-2EB971C44861}"/>
    <cellStyle name="20% - Accent3 3 4 5 4" xfId="33681" xr:uid="{845E6219-F551-4763-87E8-49C96A2EBA8B}"/>
    <cellStyle name="20% - Accent3 3 4 6" xfId="10720" xr:uid="{00000000-0005-0000-0000-000093110000}"/>
    <cellStyle name="20% - Accent3 3 4 6 2" xfId="34569" xr:uid="{25760CA4-7CA8-41F9-A604-F7F297895DA9}"/>
    <cellStyle name="20% - Accent3 3 4 7" xfId="18675" xr:uid="{00000000-0005-0000-0000-000094110000}"/>
    <cellStyle name="20% - Accent3 3 4 7 2" xfId="42507" xr:uid="{A1B63FC1-1CFB-46AC-B1C2-2AA4A61FBC9D}"/>
    <cellStyle name="20% - Accent3 3 4 8" xfId="26627" xr:uid="{DB1C83F3-55A6-4CF3-859B-F5179A1AC623}"/>
    <cellStyle name="20% - Accent3 3 4_Exh G" xfId="2243" xr:uid="{00000000-0005-0000-0000-000095110000}"/>
    <cellStyle name="20% - Accent3 3 5" xfId="1173" xr:uid="{00000000-0005-0000-0000-000096110000}"/>
    <cellStyle name="20% - Accent3 3 5 2" xfId="4700" xr:uid="{00000000-0005-0000-0000-000097110000}"/>
    <cellStyle name="20% - Accent3 3 5 2 2" xfId="8291" xr:uid="{00000000-0005-0000-0000-000098110000}"/>
    <cellStyle name="20% - Accent3 3 5 2 2 2" xfId="16261" xr:uid="{00000000-0005-0000-0000-000099110000}"/>
    <cellStyle name="20% - Accent3 3 5 2 2 2 2" xfId="40103" xr:uid="{5989EBB7-1FC6-46ED-804A-7D72E0BE9AAD}"/>
    <cellStyle name="20% - Accent3 3 5 2 2 3" xfId="24207" xr:uid="{00000000-0005-0000-0000-00009A110000}"/>
    <cellStyle name="20% - Accent3 3 5 2 2 3 2" xfId="48039" xr:uid="{AE7E55DC-1621-4473-B2F5-2916CB6AF914}"/>
    <cellStyle name="20% - Accent3 3 5 2 2 4" xfId="32162" xr:uid="{86725865-5FDF-42E5-938E-532F81B433C2}"/>
    <cellStyle name="20% - Accent3 3 5 2 3" xfId="12723" xr:uid="{00000000-0005-0000-0000-00009B110000}"/>
    <cellStyle name="20% - Accent3 3 5 2 3 2" xfId="36572" xr:uid="{49F29FA6-6770-45D1-8098-F6424DA2A2A2}"/>
    <cellStyle name="20% - Accent3 3 5 2 4" xfId="20678" xr:uid="{00000000-0005-0000-0000-00009C110000}"/>
    <cellStyle name="20% - Accent3 3 5 2 4 2" xfId="44510" xr:uid="{4F844938-ED4C-4905-B1BE-3D9A42CA3BA6}"/>
    <cellStyle name="20% - Accent3 3 5 2 5" xfId="28631" xr:uid="{5ED9C179-7B06-40C7-BDA4-9F7D53D6FE51}"/>
    <cellStyle name="20% - Accent3 3 5 3" xfId="6532" xr:uid="{00000000-0005-0000-0000-00009D110000}"/>
    <cellStyle name="20% - Accent3 3 5 3 2" xfId="14503" xr:uid="{00000000-0005-0000-0000-00009E110000}"/>
    <cellStyle name="20% - Accent3 3 5 3 2 2" xfId="38345" xr:uid="{7062CF34-67B2-4DFE-B42A-D49E5EDF4745}"/>
    <cellStyle name="20% - Accent3 3 5 3 3" xfId="22450" xr:uid="{00000000-0005-0000-0000-00009F110000}"/>
    <cellStyle name="20% - Accent3 3 5 3 3 2" xfId="46282" xr:uid="{F4F25EA4-B8FC-4334-85EB-7449193429AB}"/>
    <cellStyle name="20% - Accent3 3 5 3 4" xfId="30404" xr:uid="{07DEE7BD-220B-4E80-B78B-495CFBA6D369}"/>
    <cellStyle name="20% - Accent3 3 5 4" xfId="10967" xr:uid="{00000000-0005-0000-0000-0000A0110000}"/>
    <cellStyle name="20% - Accent3 3 5 4 2" xfId="34816" xr:uid="{EC683880-CF1D-4669-ACE2-9648643F417E}"/>
    <cellStyle name="20% - Accent3 3 5 5" xfId="18922" xr:uid="{00000000-0005-0000-0000-0000A1110000}"/>
    <cellStyle name="20% - Accent3 3 5 5 2" xfId="42754" xr:uid="{231D795C-3F6B-4E92-AEE4-0BD2B239E474}"/>
    <cellStyle name="20% - Accent3 3 5 6" xfId="26874" xr:uid="{93149843-2E27-4391-8BFD-6FE4DDA8F011}"/>
    <cellStyle name="20% - Accent3 3 5_Exh G" xfId="2245" xr:uid="{00000000-0005-0000-0000-0000A2110000}"/>
    <cellStyle name="20% - Accent3 3 6" xfId="3821" xr:uid="{00000000-0005-0000-0000-0000A3110000}"/>
    <cellStyle name="20% - Accent3 3 6 2" xfId="7413" xr:uid="{00000000-0005-0000-0000-0000A4110000}"/>
    <cellStyle name="20% - Accent3 3 6 2 2" xfId="15383" xr:uid="{00000000-0005-0000-0000-0000A5110000}"/>
    <cellStyle name="20% - Accent3 3 6 2 2 2" xfId="39225" xr:uid="{E6E3E0CD-5882-4DDC-AC19-B9A0DFAC5222}"/>
    <cellStyle name="20% - Accent3 3 6 2 3" xfId="23329" xr:uid="{00000000-0005-0000-0000-0000A6110000}"/>
    <cellStyle name="20% - Accent3 3 6 2 3 2" xfId="47161" xr:uid="{5AB83E42-78F8-498A-BD59-4B658E927330}"/>
    <cellStyle name="20% - Accent3 3 6 2 4" xfId="31284" xr:uid="{2AE43878-0928-4687-8367-4EF49DA599EE}"/>
    <cellStyle name="20% - Accent3 3 6 3" xfId="11845" xr:uid="{00000000-0005-0000-0000-0000A7110000}"/>
    <cellStyle name="20% - Accent3 3 6 3 2" xfId="35694" xr:uid="{AA9AEC72-2EFB-46E4-8DA6-CDB1F92B4A6C}"/>
    <cellStyle name="20% - Accent3 3 6 4" xfId="19800" xr:uid="{00000000-0005-0000-0000-0000A8110000}"/>
    <cellStyle name="20% - Accent3 3 6 4 2" xfId="43632" xr:uid="{0379D479-35A0-43BB-A278-0D33150B3B32}"/>
    <cellStyle name="20% - Accent3 3 6 5" xfId="27753" xr:uid="{D7CF1541-02E8-47CB-8A8E-1BA82757B642}"/>
    <cellStyle name="20% - Accent3 3 7" xfId="5641" xr:uid="{00000000-0005-0000-0000-0000A9110000}"/>
    <cellStyle name="20% - Accent3 3 7 2" xfId="13624" xr:uid="{00000000-0005-0000-0000-0000AA110000}"/>
    <cellStyle name="20% - Accent3 3 7 2 2" xfId="37467" xr:uid="{588FB524-4234-4328-9829-CD7406B71A3E}"/>
    <cellStyle name="20% - Accent3 3 7 3" xfId="21572" xr:uid="{00000000-0005-0000-0000-0000AB110000}"/>
    <cellStyle name="20% - Accent3 3 7 3 2" xfId="45404" xr:uid="{6B20DA03-8386-4B46-A0B7-75336F2C2BDC}"/>
    <cellStyle name="20% - Accent3 3 7 4" xfId="29526" xr:uid="{1909E208-4FD9-4417-A9B7-384446AEFAAD}"/>
    <cellStyle name="20% - Accent3 3 8" xfId="9193" xr:uid="{00000000-0005-0000-0000-0000AC110000}"/>
    <cellStyle name="20% - Accent3 3 8 2" xfId="17151" xr:uid="{00000000-0005-0000-0000-0000AD110000}"/>
    <cellStyle name="20% - Accent3 3 8 2 2" xfId="40991" xr:uid="{06397F9D-B9D0-4E11-B5C7-43ED400192E6}"/>
    <cellStyle name="20% - Accent3 3 8 3" xfId="25095" xr:uid="{00000000-0005-0000-0000-0000AE110000}"/>
    <cellStyle name="20% - Accent3 3 8 3 2" xfId="48927" xr:uid="{A5A9FF14-D427-462D-A856-5D8E88A9DCA3}"/>
    <cellStyle name="20% - Accent3 3 8 4" xfId="33050" xr:uid="{7BACF0A9-B233-4BB7-91DA-1CBA474DA724}"/>
    <cellStyle name="20% - Accent3 3 9" xfId="10089" xr:uid="{00000000-0005-0000-0000-0000AF110000}"/>
    <cellStyle name="20% - Accent3 3 9 2" xfId="33938" xr:uid="{A0F2B8FC-72AB-4F30-959A-51C064F0810B}"/>
    <cellStyle name="20% - Accent3 3_Exh G" xfId="2234" xr:uid="{00000000-0005-0000-0000-0000B0110000}"/>
    <cellStyle name="20% - Accent3 4" xfId="151" xr:uid="{00000000-0005-0000-0000-0000B1110000}"/>
    <cellStyle name="20% - Accent3 4 10" xfId="18048" xr:uid="{00000000-0005-0000-0000-0000B2110000}"/>
    <cellStyle name="20% - Accent3 4 10 2" xfId="41880" xr:uid="{C2FB0BDE-38D6-4C3E-A418-EFA2BD558951}"/>
    <cellStyle name="20% - Accent3 4 11" xfId="26000" xr:uid="{C69058B4-6240-43B0-BCA7-753610294845}"/>
    <cellStyle name="20% - Accent3 4 2" xfId="152" xr:uid="{00000000-0005-0000-0000-0000B3110000}"/>
    <cellStyle name="20% - Accent3 4 2 10" xfId="26001" xr:uid="{199D1273-F6F4-4A11-8720-D4793967F0FF}"/>
    <cellStyle name="20% - Accent3 4 2 2" xfId="153" xr:uid="{00000000-0005-0000-0000-0000B4110000}"/>
    <cellStyle name="20% - Accent3 4 2 2 2" xfId="1179" xr:uid="{00000000-0005-0000-0000-0000B5110000}"/>
    <cellStyle name="20% - Accent3 4 2 2 2 2" xfId="4706" xr:uid="{00000000-0005-0000-0000-0000B6110000}"/>
    <cellStyle name="20% - Accent3 4 2 2 2 2 2" xfId="8297" xr:uid="{00000000-0005-0000-0000-0000B7110000}"/>
    <cellStyle name="20% - Accent3 4 2 2 2 2 2 2" xfId="16267" xr:uid="{00000000-0005-0000-0000-0000B8110000}"/>
    <cellStyle name="20% - Accent3 4 2 2 2 2 2 2 2" xfId="40109" xr:uid="{B760C253-3BB5-479D-AB50-530F7DCBF437}"/>
    <cellStyle name="20% - Accent3 4 2 2 2 2 2 3" xfId="24213" xr:uid="{00000000-0005-0000-0000-0000B9110000}"/>
    <cellStyle name="20% - Accent3 4 2 2 2 2 2 3 2" xfId="48045" xr:uid="{B6A5C9A4-B2F8-4D8E-924C-CB20CF5DB827}"/>
    <cellStyle name="20% - Accent3 4 2 2 2 2 2 4" xfId="32168" xr:uid="{B6045ACC-7EB1-4583-A6FE-FC32DF67AADC}"/>
    <cellStyle name="20% - Accent3 4 2 2 2 2 3" xfId="12729" xr:uid="{00000000-0005-0000-0000-0000BA110000}"/>
    <cellStyle name="20% - Accent3 4 2 2 2 2 3 2" xfId="36578" xr:uid="{6E71E747-5421-45BF-A5CF-AA3AC5C274D6}"/>
    <cellStyle name="20% - Accent3 4 2 2 2 2 4" xfId="20684" xr:uid="{00000000-0005-0000-0000-0000BB110000}"/>
    <cellStyle name="20% - Accent3 4 2 2 2 2 4 2" xfId="44516" xr:uid="{55F8BE68-C2A6-4465-99C2-87264EA56E3D}"/>
    <cellStyle name="20% - Accent3 4 2 2 2 2 5" xfId="28637" xr:uid="{F612ABE4-78DD-4BA7-9EE3-576BB45CD0B7}"/>
    <cellStyle name="20% - Accent3 4 2 2 2 3" xfId="6538" xr:uid="{00000000-0005-0000-0000-0000BC110000}"/>
    <cellStyle name="20% - Accent3 4 2 2 2 3 2" xfId="14509" xr:uid="{00000000-0005-0000-0000-0000BD110000}"/>
    <cellStyle name="20% - Accent3 4 2 2 2 3 2 2" xfId="38351" xr:uid="{5204F335-110E-49C7-B25F-990B79DBB4FB}"/>
    <cellStyle name="20% - Accent3 4 2 2 2 3 3" xfId="22456" xr:uid="{00000000-0005-0000-0000-0000BE110000}"/>
    <cellStyle name="20% - Accent3 4 2 2 2 3 3 2" xfId="46288" xr:uid="{7A623040-AAA9-4353-BD6B-1E7B7E87D07F}"/>
    <cellStyle name="20% - Accent3 4 2 2 2 3 4" xfId="30410" xr:uid="{36D50D05-8DA7-4A2C-8268-72004BD69457}"/>
    <cellStyle name="20% - Accent3 4 2 2 2 4" xfId="10973" xr:uid="{00000000-0005-0000-0000-0000BF110000}"/>
    <cellStyle name="20% - Accent3 4 2 2 2 4 2" xfId="34822" xr:uid="{FC0EF661-B753-4A73-B81A-74C56A8F1B05}"/>
    <cellStyle name="20% - Accent3 4 2 2 2 5" xfId="18928" xr:uid="{00000000-0005-0000-0000-0000C0110000}"/>
    <cellStyle name="20% - Accent3 4 2 2 2 5 2" xfId="42760" xr:uid="{BB2ACA80-653D-45E6-9847-E614D28E0038}"/>
    <cellStyle name="20% - Accent3 4 2 2 2 6" xfId="26880" xr:uid="{81208B0E-068D-470D-BDA8-305A157E9D59}"/>
    <cellStyle name="20% - Accent3 4 2 2 2_Exh G" xfId="2249" xr:uid="{00000000-0005-0000-0000-0000C1110000}"/>
    <cellStyle name="20% - Accent3 4 2 2 3" xfId="3827" xr:uid="{00000000-0005-0000-0000-0000C2110000}"/>
    <cellStyle name="20% - Accent3 4 2 2 3 2" xfId="7419" xr:uid="{00000000-0005-0000-0000-0000C3110000}"/>
    <cellStyle name="20% - Accent3 4 2 2 3 2 2" xfId="15389" xr:uid="{00000000-0005-0000-0000-0000C4110000}"/>
    <cellStyle name="20% - Accent3 4 2 2 3 2 2 2" xfId="39231" xr:uid="{EB5644EF-0028-40C3-B92A-0756D0DDAA8E}"/>
    <cellStyle name="20% - Accent3 4 2 2 3 2 3" xfId="23335" xr:uid="{00000000-0005-0000-0000-0000C5110000}"/>
    <cellStyle name="20% - Accent3 4 2 2 3 2 3 2" xfId="47167" xr:uid="{F16118D2-66C0-4A52-AEE5-D1C7B6428F08}"/>
    <cellStyle name="20% - Accent3 4 2 2 3 2 4" xfId="31290" xr:uid="{F1C5B673-D436-477D-BED5-FFA1FCAB06ED}"/>
    <cellStyle name="20% - Accent3 4 2 2 3 3" xfId="11851" xr:uid="{00000000-0005-0000-0000-0000C6110000}"/>
    <cellStyle name="20% - Accent3 4 2 2 3 3 2" xfId="35700" xr:uid="{481A4DB9-128D-49C0-BE71-83A7CACDB02F}"/>
    <cellStyle name="20% - Accent3 4 2 2 3 4" xfId="19806" xr:uid="{00000000-0005-0000-0000-0000C7110000}"/>
    <cellStyle name="20% - Accent3 4 2 2 3 4 2" xfId="43638" xr:uid="{76C6028D-81B2-4BAE-9173-64F626BF8E80}"/>
    <cellStyle name="20% - Accent3 4 2 2 3 5" xfId="27759" xr:uid="{10602A91-08D6-4CB9-9FC2-7669D2C4E503}"/>
    <cellStyle name="20% - Accent3 4 2 2 4" xfId="5647" xr:uid="{00000000-0005-0000-0000-0000C8110000}"/>
    <cellStyle name="20% - Accent3 4 2 2 4 2" xfId="13630" xr:uid="{00000000-0005-0000-0000-0000C9110000}"/>
    <cellStyle name="20% - Accent3 4 2 2 4 2 2" xfId="37473" xr:uid="{9B08F98F-CE49-42C0-B2B6-356921650DFE}"/>
    <cellStyle name="20% - Accent3 4 2 2 4 3" xfId="21578" xr:uid="{00000000-0005-0000-0000-0000CA110000}"/>
    <cellStyle name="20% - Accent3 4 2 2 4 3 2" xfId="45410" xr:uid="{96D32231-AD12-4054-9D04-2375367FE628}"/>
    <cellStyle name="20% - Accent3 4 2 2 4 4" xfId="29532" xr:uid="{609FAE8D-787B-4DBB-806A-36ED34FAD028}"/>
    <cellStyle name="20% - Accent3 4 2 2 5" xfId="9199" xr:uid="{00000000-0005-0000-0000-0000CB110000}"/>
    <cellStyle name="20% - Accent3 4 2 2 5 2" xfId="17157" xr:uid="{00000000-0005-0000-0000-0000CC110000}"/>
    <cellStyle name="20% - Accent3 4 2 2 5 2 2" xfId="40997" xr:uid="{D5C4E5C5-97D6-4568-8CC7-67918C1C3115}"/>
    <cellStyle name="20% - Accent3 4 2 2 5 3" xfId="25101" xr:uid="{00000000-0005-0000-0000-0000CD110000}"/>
    <cellStyle name="20% - Accent3 4 2 2 5 3 2" xfId="48933" xr:uid="{DA55D404-0099-492D-99A7-0BEB144685F9}"/>
    <cellStyle name="20% - Accent3 4 2 2 5 4" xfId="33056" xr:uid="{EAF645AB-A867-47DB-B5D5-7DDA89E5BE77}"/>
    <cellStyle name="20% - Accent3 4 2 2 6" xfId="10095" xr:uid="{00000000-0005-0000-0000-0000CE110000}"/>
    <cellStyle name="20% - Accent3 4 2 2 6 2" xfId="33944" xr:uid="{D2C63A42-1628-4BA7-8512-C1ED10896355}"/>
    <cellStyle name="20% - Accent3 4 2 2 7" xfId="18050" xr:uid="{00000000-0005-0000-0000-0000CF110000}"/>
    <cellStyle name="20% - Accent3 4 2 2 7 2" xfId="41882" xr:uid="{6752EF3D-A5FB-4482-AEC0-F4A2D506C407}"/>
    <cellStyle name="20% - Accent3 4 2 2 8" xfId="26002" xr:uid="{F28C8CD5-513B-47E4-9CD7-0B27384184DB}"/>
    <cellStyle name="20% - Accent3 4 2 2_Exh G" xfId="2248" xr:uid="{00000000-0005-0000-0000-0000D0110000}"/>
    <cellStyle name="20% - Accent3 4 2 3" xfId="889" xr:uid="{00000000-0005-0000-0000-0000D1110000}"/>
    <cellStyle name="20% - Accent3 4 2 3 2" xfId="1817" xr:uid="{00000000-0005-0000-0000-0000D2110000}"/>
    <cellStyle name="20% - Accent3 4 2 3 2 2" xfId="5334" xr:uid="{00000000-0005-0000-0000-0000D3110000}"/>
    <cellStyle name="20% - Accent3 4 2 3 2 2 2" xfId="8925" xr:uid="{00000000-0005-0000-0000-0000D4110000}"/>
    <cellStyle name="20% - Accent3 4 2 3 2 2 2 2" xfId="16895" xr:uid="{00000000-0005-0000-0000-0000D5110000}"/>
    <cellStyle name="20% - Accent3 4 2 3 2 2 2 2 2" xfId="40737" xr:uid="{500AF553-7711-41B8-9921-9FBAB6F8B728}"/>
    <cellStyle name="20% - Accent3 4 2 3 2 2 2 3" xfId="24841" xr:uid="{00000000-0005-0000-0000-0000D6110000}"/>
    <cellStyle name="20% - Accent3 4 2 3 2 2 2 3 2" xfId="48673" xr:uid="{112F48EA-5B66-4E14-916A-D0FA3C82A653}"/>
    <cellStyle name="20% - Accent3 4 2 3 2 2 2 4" xfId="32796" xr:uid="{85C8AEB9-23C0-44B6-BBC6-5E68EB86DC24}"/>
    <cellStyle name="20% - Accent3 4 2 3 2 2 3" xfId="13357" xr:uid="{00000000-0005-0000-0000-0000D7110000}"/>
    <cellStyle name="20% - Accent3 4 2 3 2 2 3 2" xfId="37206" xr:uid="{874147A0-BBA6-4B7A-9871-F41179BB9900}"/>
    <cellStyle name="20% - Accent3 4 2 3 2 2 4" xfId="21312" xr:uid="{00000000-0005-0000-0000-0000D8110000}"/>
    <cellStyle name="20% - Accent3 4 2 3 2 2 4 2" xfId="45144" xr:uid="{89E21660-9FBB-4BD0-9083-F41E769C6B74}"/>
    <cellStyle name="20% - Accent3 4 2 3 2 2 5" xfId="29265" xr:uid="{738D09E8-A3D6-408F-8C41-1D2CBC722163}"/>
    <cellStyle name="20% - Accent3 4 2 3 2 3" xfId="7166" xr:uid="{00000000-0005-0000-0000-0000D9110000}"/>
    <cellStyle name="20% - Accent3 4 2 3 2 3 2" xfId="15137" xr:uid="{00000000-0005-0000-0000-0000DA110000}"/>
    <cellStyle name="20% - Accent3 4 2 3 2 3 2 2" xfId="38979" xr:uid="{4DF69E7B-D769-4075-AE2D-43152DBC5D4B}"/>
    <cellStyle name="20% - Accent3 4 2 3 2 3 3" xfId="23084" xr:uid="{00000000-0005-0000-0000-0000DB110000}"/>
    <cellStyle name="20% - Accent3 4 2 3 2 3 3 2" xfId="46916" xr:uid="{9E227C14-5179-4809-AB6F-9D1404953B99}"/>
    <cellStyle name="20% - Accent3 4 2 3 2 3 4" xfId="31038" xr:uid="{C96F2137-2654-485D-A6AB-D5ACBECB5B34}"/>
    <cellStyle name="20% - Accent3 4 2 3 2 4" xfId="11601" xr:uid="{00000000-0005-0000-0000-0000DC110000}"/>
    <cellStyle name="20% - Accent3 4 2 3 2 4 2" xfId="35450" xr:uid="{B0E62BEB-3204-451A-9B4F-F7E26E3CC9A8}"/>
    <cellStyle name="20% - Accent3 4 2 3 2 5" xfId="19556" xr:uid="{00000000-0005-0000-0000-0000DD110000}"/>
    <cellStyle name="20% - Accent3 4 2 3 2 5 2" xfId="43388" xr:uid="{05CEB4B2-E9C8-4864-AF91-26E93966CDA8}"/>
    <cellStyle name="20% - Accent3 4 2 3 2 6" xfId="27508" xr:uid="{142E7EF1-0AFF-440A-A080-70A47900A99D}"/>
    <cellStyle name="20% - Accent3 4 2 3 2_Exh G" xfId="2251" xr:uid="{00000000-0005-0000-0000-0000DE110000}"/>
    <cellStyle name="20% - Accent3 4 2 3 3" xfId="4455" xr:uid="{00000000-0005-0000-0000-0000DF110000}"/>
    <cellStyle name="20% - Accent3 4 2 3 3 2" xfId="8047" xr:uid="{00000000-0005-0000-0000-0000E0110000}"/>
    <cellStyle name="20% - Accent3 4 2 3 3 2 2" xfId="16017" xr:uid="{00000000-0005-0000-0000-0000E1110000}"/>
    <cellStyle name="20% - Accent3 4 2 3 3 2 2 2" xfId="39859" xr:uid="{3B9D5BF1-B1F5-49CF-A45A-D5AF4834D899}"/>
    <cellStyle name="20% - Accent3 4 2 3 3 2 3" xfId="23963" xr:uid="{00000000-0005-0000-0000-0000E2110000}"/>
    <cellStyle name="20% - Accent3 4 2 3 3 2 3 2" xfId="47795" xr:uid="{890FDA5B-C2E4-422C-A176-007CCD8F0375}"/>
    <cellStyle name="20% - Accent3 4 2 3 3 2 4" xfId="31918" xr:uid="{330F431F-6C34-4377-8F52-168F4172ADB2}"/>
    <cellStyle name="20% - Accent3 4 2 3 3 3" xfId="12479" xr:uid="{00000000-0005-0000-0000-0000E3110000}"/>
    <cellStyle name="20% - Accent3 4 2 3 3 3 2" xfId="36328" xr:uid="{63A68E2B-4B21-4431-B1F8-644470A09FD9}"/>
    <cellStyle name="20% - Accent3 4 2 3 3 4" xfId="20434" xr:uid="{00000000-0005-0000-0000-0000E4110000}"/>
    <cellStyle name="20% - Accent3 4 2 3 3 4 2" xfId="44266" xr:uid="{4B2A97FD-21E7-42F6-82A2-C74FA61C86A2}"/>
    <cellStyle name="20% - Accent3 4 2 3 3 5" xfId="28387" xr:uid="{D0FA4A73-A034-428B-A1CD-883E4CD08F21}"/>
    <cellStyle name="20% - Accent3 4 2 3 4" xfId="6285" xr:uid="{00000000-0005-0000-0000-0000E5110000}"/>
    <cellStyle name="20% - Accent3 4 2 3 4 2" xfId="14259" xr:uid="{00000000-0005-0000-0000-0000E6110000}"/>
    <cellStyle name="20% - Accent3 4 2 3 4 2 2" xfId="38101" xr:uid="{4E43363C-D8AE-42DC-A24B-83AB2EFB2254}"/>
    <cellStyle name="20% - Accent3 4 2 3 4 3" xfId="22206" xr:uid="{00000000-0005-0000-0000-0000E7110000}"/>
    <cellStyle name="20% - Accent3 4 2 3 4 3 2" xfId="46038" xr:uid="{4494A1D1-CE6F-43C9-BFF8-CD60AA602808}"/>
    <cellStyle name="20% - Accent3 4 2 3 4 4" xfId="30160" xr:uid="{0348892F-7AF9-4B3B-8753-96CC4A622505}"/>
    <cellStyle name="20% - Accent3 4 2 3 5" xfId="9827" xr:uid="{00000000-0005-0000-0000-0000E8110000}"/>
    <cellStyle name="20% - Accent3 4 2 3 5 2" xfId="17785" xr:uid="{00000000-0005-0000-0000-0000E9110000}"/>
    <cellStyle name="20% - Accent3 4 2 3 5 2 2" xfId="41625" xr:uid="{DBD024FA-398C-45B3-94A1-643A985A8257}"/>
    <cellStyle name="20% - Accent3 4 2 3 5 3" xfId="25729" xr:uid="{00000000-0005-0000-0000-0000EA110000}"/>
    <cellStyle name="20% - Accent3 4 2 3 5 3 2" xfId="49561" xr:uid="{27E9E4D3-CA92-434D-989A-1041DCF70FEF}"/>
    <cellStyle name="20% - Accent3 4 2 3 5 4" xfId="33684" xr:uid="{8D6C3DDD-CF53-4378-8756-91B4D10F3125}"/>
    <cellStyle name="20% - Accent3 4 2 3 6" xfId="10723" xr:uid="{00000000-0005-0000-0000-0000EB110000}"/>
    <cellStyle name="20% - Accent3 4 2 3 6 2" xfId="34572" xr:uid="{845AF36E-B060-4C84-8E88-C308CEE804F0}"/>
    <cellStyle name="20% - Accent3 4 2 3 7" xfId="18678" xr:uid="{00000000-0005-0000-0000-0000EC110000}"/>
    <cellStyle name="20% - Accent3 4 2 3 7 2" xfId="42510" xr:uid="{7AB9895A-D17C-40E6-93DA-C80D16294081}"/>
    <cellStyle name="20% - Accent3 4 2 3 8" xfId="26630" xr:uid="{EC2BD7CA-9FCC-4C26-BA09-B2668717316B}"/>
    <cellStyle name="20% - Accent3 4 2 3_Exh G" xfId="2250" xr:uid="{00000000-0005-0000-0000-0000ED110000}"/>
    <cellStyle name="20% - Accent3 4 2 4" xfId="1178" xr:uid="{00000000-0005-0000-0000-0000EE110000}"/>
    <cellStyle name="20% - Accent3 4 2 4 2" xfId="4705" xr:uid="{00000000-0005-0000-0000-0000EF110000}"/>
    <cellStyle name="20% - Accent3 4 2 4 2 2" xfId="8296" xr:uid="{00000000-0005-0000-0000-0000F0110000}"/>
    <cellStyle name="20% - Accent3 4 2 4 2 2 2" xfId="16266" xr:uid="{00000000-0005-0000-0000-0000F1110000}"/>
    <cellStyle name="20% - Accent3 4 2 4 2 2 2 2" xfId="40108" xr:uid="{BB5EAAA8-E897-4D20-9A40-D09A5A7CC496}"/>
    <cellStyle name="20% - Accent3 4 2 4 2 2 3" xfId="24212" xr:uid="{00000000-0005-0000-0000-0000F2110000}"/>
    <cellStyle name="20% - Accent3 4 2 4 2 2 3 2" xfId="48044" xr:uid="{99A8F275-5D01-4EDC-BBF6-D404BF0A865A}"/>
    <cellStyle name="20% - Accent3 4 2 4 2 2 4" xfId="32167" xr:uid="{12A0ADFB-DE34-47B0-BA85-1CD5B71C4019}"/>
    <cellStyle name="20% - Accent3 4 2 4 2 3" xfId="12728" xr:uid="{00000000-0005-0000-0000-0000F3110000}"/>
    <cellStyle name="20% - Accent3 4 2 4 2 3 2" xfId="36577" xr:uid="{D77E02E8-E9D2-4F06-A0A1-19F1B4AA2325}"/>
    <cellStyle name="20% - Accent3 4 2 4 2 4" xfId="20683" xr:uid="{00000000-0005-0000-0000-0000F4110000}"/>
    <cellStyle name="20% - Accent3 4 2 4 2 4 2" xfId="44515" xr:uid="{C5191EAE-30AC-4C80-99B3-CBD9A32332FC}"/>
    <cellStyle name="20% - Accent3 4 2 4 2 5" xfId="28636" xr:uid="{B59A9087-6606-4DA1-8D81-392F16CD96BA}"/>
    <cellStyle name="20% - Accent3 4 2 4 3" xfId="6537" xr:uid="{00000000-0005-0000-0000-0000F5110000}"/>
    <cellStyle name="20% - Accent3 4 2 4 3 2" xfId="14508" xr:uid="{00000000-0005-0000-0000-0000F6110000}"/>
    <cellStyle name="20% - Accent3 4 2 4 3 2 2" xfId="38350" xr:uid="{700FB238-A898-4786-8A75-8454BB8971C4}"/>
    <cellStyle name="20% - Accent3 4 2 4 3 3" xfId="22455" xr:uid="{00000000-0005-0000-0000-0000F7110000}"/>
    <cellStyle name="20% - Accent3 4 2 4 3 3 2" xfId="46287" xr:uid="{02B37304-8314-4EC1-9A0A-626BB4674528}"/>
    <cellStyle name="20% - Accent3 4 2 4 3 4" xfId="30409" xr:uid="{BF3759C9-21E0-40AD-80EC-5E5A7316A168}"/>
    <cellStyle name="20% - Accent3 4 2 4 4" xfId="10972" xr:uid="{00000000-0005-0000-0000-0000F8110000}"/>
    <cellStyle name="20% - Accent3 4 2 4 4 2" xfId="34821" xr:uid="{E24D6FE7-F392-40AD-991D-0F2B55E554B4}"/>
    <cellStyle name="20% - Accent3 4 2 4 5" xfId="18927" xr:uid="{00000000-0005-0000-0000-0000F9110000}"/>
    <cellStyle name="20% - Accent3 4 2 4 5 2" xfId="42759" xr:uid="{492BC535-ABCB-4679-8F25-3AE403F3B1FA}"/>
    <cellStyle name="20% - Accent3 4 2 4 6" xfId="26879" xr:uid="{C908502D-FE1C-4D94-BC4B-D536B3A17813}"/>
    <cellStyle name="20% - Accent3 4 2 4_Exh G" xfId="2252" xr:uid="{00000000-0005-0000-0000-0000FA110000}"/>
    <cellStyle name="20% - Accent3 4 2 5" xfId="3826" xr:uid="{00000000-0005-0000-0000-0000FB110000}"/>
    <cellStyle name="20% - Accent3 4 2 5 2" xfId="7418" xr:uid="{00000000-0005-0000-0000-0000FC110000}"/>
    <cellStyle name="20% - Accent3 4 2 5 2 2" xfId="15388" xr:uid="{00000000-0005-0000-0000-0000FD110000}"/>
    <cellStyle name="20% - Accent3 4 2 5 2 2 2" xfId="39230" xr:uid="{187A6377-DD8F-4F78-B190-E5BF07B11357}"/>
    <cellStyle name="20% - Accent3 4 2 5 2 3" xfId="23334" xr:uid="{00000000-0005-0000-0000-0000FE110000}"/>
    <cellStyle name="20% - Accent3 4 2 5 2 3 2" xfId="47166" xr:uid="{B2EFFACB-EEDF-4377-B840-B88762233DE4}"/>
    <cellStyle name="20% - Accent3 4 2 5 2 4" xfId="31289" xr:uid="{B6003E23-52B7-4718-9F7F-BAD0C1A4FCA2}"/>
    <cellStyle name="20% - Accent3 4 2 5 3" xfId="11850" xr:uid="{00000000-0005-0000-0000-0000FF110000}"/>
    <cellStyle name="20% - Accent3 4 2 5 3 2" xfId="35699" xr:uid="{244DF869-B88E-4DB3-8FAE-535D659B2C10}"/>
    <cellStyle name="20% - Accent3 4 2 5 4" xfId="19805" xr:uid="{00000000-0005-0000-0000-000000120000}"/>
    <cellStyle name="20% - Accent3 4 2 5 4 2" xfId="43637" xr:uid="{2A4E13CC-8E19-4485-92DB-61AACF433DCB}"/>
    <cellStyle name="20% - Accent3 4 2 5 5" xfId="27758" xr:uid="{BBFE1010-118D-45F5-B281-7016FA4E2C43}"/>
    <cellStyle name="20% - Accent3 4 2 6" xfId="5646" xr:uid="{00000000-0005-0000-0000-000001120000}"/>
    <cellStyle name="20% - Accent3 4 2 6 2" xfId="13629" xr:uid="{00000000-0005-0000-0000-000002120000}"/>
    <cellStyle name="20% - Accent3 4 2 6 2 2" xfId="37472" xr:uid="{C4945963-24D0-40BA-AAE7-AB56052A3CB6}"/>
    <cellStyle name="20% - Accent3 4 2 6 3" xfId="21577" xr:uid="{00000000-0005-0000-0000-000003120000}"/>
    <cellStyle name="20% - Accent3 4 2 6 3 2" xfId="45409" xr:uid="{C822C895-B8CB-4566-AA2F-25B55BD2FCE5}"/>
    <cellStyle name="20% - Accent3 4 2 6 4" xfId="29531" xr:uid="{6471DDAE-5F3F-4083-8542-9CCD6E468889}"/>
    <cellStyle name="20% - Accent3 4 2 7" xfId="9198" xr:uid="{00000000-0005-0000-0000-000004120000}"/>
    <cellStyle name="20% - Accent3 4 2 7 2" xfId="17156" xr:uid="{00000000-0005-0000-0000-000005120000}"/>
    <cellStyle name="20% - Accent3 4 2 7 2 2" xfId="40996" xr:uid="{0208AA61-742B-4930-BA1D-58B2791FBDBD}"/>
    <cellStyle name="20% - Accent3 4 2 7 3" xfId="25100" xr:uid="{00000000-0005-0000-0000-000006120000}"/>
    <cellStyle name="20% - Accent3 4 2 7 3 2" xfId="48932" xr:uid="{CB2A56B5-8950-4D1E-8B26-64E8AEFA2F58}"/>
    <cellStyle name="20% - Accent3 4 2 7 4" xfId="33055" xr:uid="{07665598-70AB-4113-9D13-218F5FDC60C0}"/>
    <cellStyle name="20% - Accent3 4 2 8" xfId="10094" xr:uid="{00000000-0005-0000-0000-000007120000}"/>
    <cellStyle name="20% - Accent3 4 2 8 2" xfId="33943" xr:uid="{945B8D0E-175D-49C5-B291-5BFBD9BF546C}"/>
    <cellStyle name="20% - Accent3 4 2 9" xfId="18049" xr:uid="{00000000-0005-0000-0000-000008120000}"/>
    <cellStyle name="20% - Accent3 4 2 9 2" xfId="41881" xr:uid="{4CE12912-F2BF-43B3-B908-36C32C5E4BE6}"/>
    <cellStyle name="20% - Accent3 4 2_Exh G" xfId="2247" xr:uid="{00000000-0005-0000-0000-000009120000}"/>
    <cellStyle name="20% - Accent3 4 3" xfId="154" xr:uid="{00000000-0005-0000-0000-00000A120000}"/>
    <cellStyle name="20% - Accent3 4 3 2" xfId="1180" xr:uid="{00000000-0005-0000-0000-00000B120000}"/>
    <cellStyle name="20% - Accent3 4 3 2 2" xfId="4707" xr:uid="{00000000-0005-0000-0000-00000C120000}"/>
    <cellStyle name="20% - Accent3 4 3 2 2 2" xfId="8298" xr:uid="{00000000-0005-0000-0000-00000D120000}"/>
    <cellStyle name="20% - Accent3 4 3 2 2 2 2" xfId="16268" xr:uid="{00000000-0005-0000-0000-00000E120000}"/>
    <cellStyle name="20% - Accent3 4 3 2 2 2 2 2" xfId="40110" xr:uid="{2EB33B3B-A7EA-418F-859D-0501F291C277}"/>
    <cellStyle name="20% - Accent3 4 3 2 2 2 3" xfId="24214" xr:uid="{00000000-0005-0000-0000-00000F120000}"/>
    <cellStyle name="20% - Accent3 4 3 2 2 2 3 2" xfId="48046" xr:uid="{1C27697B-A7A2-4B7D-8D39-1E28AED2702B}"/>
    <cellStyle name="20% - Accent3 4 3 2 2 2 4" xfId="32169" xr:uid="{28519BAC-D168-417C-83A9-ADE8156B4DC9}"/>
    <cellStyle name="20% - Accent3 4 3 2 2 3" xfId="12730" xr:uid="{00000000-0005-0000-0000-000010120000}"/>
    <cellStyle name="20% - Accent3 4 3 2 2 3 2" xfId="36579" xr:uid="{076E5EF8-5E4A-4D4B-9E20-41B0A2185ECE}"/>
    <cellStyle name="20% - Accent3 4 3 2 2 4" xfId="20685" xr:uid="{00000000-0005-0000-0000-000011120000}"/>
    <cellStyle name="20% - Accent3 4 3 2 2 4 2" xfId="44517" xr:uid="{78988825-AF2D-4505-990E-FE419A7B5A93}"/>
    <cellStyle name="20% - Accent3 4 3 2 2 5" xfId="28638" xr:uid="{8F786E27-0A4B-4801-A507-A81EE108D782}"/>
    <cellStyle name="20% - Accent3 4 3 2 3" xfId="6539" xr:uid="{00000000-0005-0000-0000-000012120000}"/>
    <cellStyle name="20% - Accent3 4 3 2 3 2" xfId="14510" xr:uid="{00000000-0005-0000-0000-000013120000}"/>
    <cellStyle name="20% - Accent3 4 3 2 3 2 2" xfId="38352" xr:uid="{B58F93D9-BFBB-40DD-85C2-B94C28FDAE2D}"/>
    <cellStyle name="20% - Accent3 4 3 2 3 3" xfId="22457" xr:uid="{00000000-0005-0000-0000-000014120000}"/>
    <cellStyle name="20% - Accent3 4 3 2 3 3 2" xfId="46289" xr:uid="{90EFF5CF-A7BD-47E7-9AF1-3130EFDB2362}"/>
    <cellStyle name="20% - Accent3 4 3 2 3 4" xfId="30411" xr:uid="{40F63C8F-3A2B-4733-82C3-4164CBDB6862}"/>
    <cellStyle name="20% - Accent3 4 3 2 4" xfId="10974" xr:uid="{00000000-0005-0000-0000-000015120000}"/>
    <cellStyle name="20% - Accent3 4 3 2 4 2" xfId="34823" xr:uid="{79E56BF5-CA17-450B-B38A-6D2BF75AAB48}"/>
    <cellStyle name="20% - Accent3 4 3 2 5" xfId="18929" xr:uid="{00000000-0005-0000-0000-000016120000}"/>
    <cellStyle name="20% - Accent3 4 3 2 5 2" xfId="42761" xr:uid="{85FF6BB3-310A-4B1B-8EE1-541D4A73FEBD}"/>
    <cellStyle name="20% - Accent3 4 3 2 6" xfId="26881" xr:uid="{5CDA944C-1782-491E-A8FF-FCA04758CE62}"/>
    <cellStyle name="20% - Accent3 4 3 2_Exh G" xfId="2254" xr:uid="{00000000-0005-0000-0000-000017120000}"/>
    <cellStyle name="20% - Accent3 4 3 3" xfId="3828" xr:uid="{00000000-0005-0000-0000-000018120000}"/>
    <cellStyle name="20% - Accent3 4 3 3 2" xfId="7420" xr:uid="{00000000-0005-0000-0000-000019120000}"/>
    <cellStyle name="20% - Accent3 4 3 3 2 2" xfId="15390" xr:uid="{00000000-0005-0000-0000-00001A120000}"/>
    <cellStyle name="20% - Accent3 4 3 3 2 2 2" xfId="39232" xr:uid="{ED68CFB5-0AEB-4A86-8EC9-0DFAA359D749}"/>
    <cellStyle name="20% - Accent3 4 3 3 2 3" xfId="23336" xr:uid="{00000000-0005-0000-0000-00001B120000}"/>
    <cellStyle name="20% - Accent3 4 3 3 2 3 2" xfId="47168" xr:uid="{A4D6AA2D-B4D5-4E0F-9698-8DAFB0E84DBA}"/>
    <cellStyle name="20% - Accent3 4 3 3 2 4" xfId="31291" xr:uid="{8AD34E3C-860C-4F81-BF1B-45250DB77596}"/>
    <cellStyle name="20% - Accent3 4 3 3 3" xfId="11852" xr:uid="{00000000-0005-0000-0000-00001C120000}"/>
    <cellStyle name="20% - Accent3 4 3 3 3 2" xfId="35701" xr:uid="{30BD46E1-DB57-46CD-9C19-78A5EBC3DF31}"/>
    <cellStyle name="20% - Accent3 4 3 3 4" xfId="19807" xr:uid="{00000000-0005-0000-0000-00001D120000}"/>
    <cellStyle name="20% - Accent3 4 3 3 4 2" xfId="43639" xr:uid="{DF75AF14-E7D4-4621-B22D-59895230BEAF}"/>
    <cellStyle name="20% - Accent3 4 3 3 5" xfId="27760" xr:uid="{3784AA68-498D-41A0-B53C-13A1C07349B1}"/>
    <cellStyle name="20% - Accent3 4 3 4" xfId="5648" xr:uid="{00000000-0005-0000-0000-00001E120000}"/>
    <cellStyle name="20% - Accent3 4 3 4 2" xfId="13631" xr:uid="{00000000-0005-0000-0000-00001F120000}"/>
    <cellStyle name="20% - Accent3 4 3 4 2 2" xfId="37474" xr:uid="{6D2714E4-E78D-4123-A47E-C68890470639}"/>
    <cellStyle name="20% - Accent3 4 3 4 3" xfId="21579" xr:uid="{00000000-0005-0000-0000-000020120000}"/>
    <cellStyle name="20% - Accent3 4 3 4 3 2" xfId="45411" xr:uid="{D2FF5457-B629-4080-8E69-5BA873B45BCB}"/>
    <cellStyle name="20% - Accent3 4 3 4 4" xfId="29533" xr:uid="{1086362E-E68B-4F09-9BDB-B465095815A8}"/>
    <cellStyle name="20% - Accent3 4 3 5" xfId="9200" xr:uid="{00000000-0005-0000-0000-000021120000}"/>
    <cellStyle name="20% - Accent3 4 3 5 2" xfId="17158" xr:uid="{00000000-0005-0000-0000-000022120000}"/>
    <cellStyle name="20% - Accent3 4 3 5 2 2" xfId="40998" xr:uid="{472CEF81-E182-448C-B96F-43BA01B0ACD2}"/>
    <cellStyle name="20% - Accent3 4 3 5 3" xfId="25102" xr:uid="{00000000-0005-0000-0000-000023120000}"/>
    <cellStyle name="20% - Accent3 4 3 5 3 2" xfId="48934" xr:uid="{6CF5B5A1-34B4-46DB-92EE-AE9D593E6F0D}"/>
    <cellStyle name="20% - Accent3 4 3 5 4" xfId="33057" xr:uid="{100CDEC9-D065-4DA1-80AF-FE56E197ABB2}"/>
    <cellStyle name="20% - Accent3 4 3 6" xfId="10096" xr:uid="{00000000-0005-0000-0000-000024120000}"/>
    <cellStyle name="20% - Accent3 4 3 6 2" xfId="33945" xr:uid="{29E77854-86AF-4120-A840-DCB7C0989187}"/>
    <cellStyle name="20% - Accent3 4 3 7" xfId="18051" xr:uid="{00000000-0005-0000-0000-000025120000}"/>
    <cellStyle name="20% - Accent3 4 3 7 2" xfId="41883" xr:uid="{73B81195-51B6-4A2A-BB1D-4DC62848E686}"/>
    <cellStyle name="20% - Accent3 4 3 8" xfId="26003" xr:uid="{E865E0C2-73F3-4B18-AFBA-5A61768B3BF7}"/>
    <cellStyle name="20% - Accent3 4 3_Exh G" xfId="2253" xr:uid="{00000000-0005-0000-0000-000026120000}"/>
    <cellStyle name="20% - Accent3 4 4" xfId="888" xr:uid="{00000000-0005-0000-0000-000027120000}"/>
    <cellStyle name="20% - Accent3 4 4 2" xfId="1816" xr:uid="{00000000-0005-0000-0000-000028120000}"/>
    <cellStyle name="20% - Accent3 4 4 2 2" xfId="5333" xr:uid="{00000000-0005-0000-0000-000029120000}"/>
    <cellStyle name="20% - Accent3 4 4 2 2 2" xfId="8924" xr:uid="{00000000-0005-0000-0000-00002A120000}"/>
    <cellStyle name="20% - Accent3 4 4 2 2 2 2" xfId="16894" xr:uid="{00000000-0005-0000-0000-00002B120000}"/>
    <cellStyle name="20% - Accent3 4 4 2 2 2 2 2" xfId="40736" xr:uid="{B8810A96-EB43-43E5-9132-6EC9BE4141D8}"/>
    <cellStyle name="20% - Accent3 4 4 2 2 2 3" xfId="24840" xr:uid="{00000000-0005-0000-0000-00002C120000}"/>
    <cellStyle name="20% - Accent3 4 4 2 2 2 3 2" xfId="48672" xr:uid="{01A768ED-42FD-4A6E-B9AA-21EE83B1EDF4}"/>
    <cellStyle name="20% - Accent3 4 4 2 2 2 4" xfId="32795" xr:uid="{36253839-6500-4E44-B1A3-F6036D98A7B7}"/>
    <cellStyle name="20% - Accent3 4 4 2 2 3" xfId="13356" xr:uid="{00000000-0005-0000-0000-00002D120000}"/>
    <cellStyle name="20% - Accent3 4 4 2 2 3 2" xfId="37205" xr:uid="{165E82DC-62E9-4083-B132-B0222DCF6CCD}"/>
    <cellStyle name="20% - Accent3 4 4 2 2 4" xfId="21311" xr:uid="{00000000-0005-0000-0000-00002E120000}"/>
    <cellStyle name="20% - Accent3 4 4 2 2 4 2" xfId="45143" xr:uid="{56B4F311-F52B-4FA2-B70C-65C23B2FD629}"/>
    <cellStyle name="20% - Accent3 4 4 2 2 5" xfId="29264" xr:uid="{519DDDA0-C54C-44B2-B1A1-DE6F3D6E810F}"/>
    <cellStyle name="20% - Accent3 4 4 2 3" xfId="7165" xr:uid="{00000000-0005-0000-0000-00002F120000}"/>
    <cellStyle name="20% - Accent3 4 4 2 3 2" xfId="15136" xr:uid="{00000000-0005-0000-0000-000030120000}"/>
    <cellStyle name="20% - Accent3 4 4 2 3 2 2" xfId="38978" xr:uid="{7815D746-F18D-4716-B1B9-891242A7FE04}"/>
    <cellStyle name="20% - Accent3 4 4 2 3 3" xfId="23083" xr:uid="{00000000-0005-0000-0000-000031120000}"/>
    <cellStyle name="20% - Accent3 4 4 2 3 3 2" xfId="46915" xr:uid="{17E46B97-92A7-4917-B28C-F42AE7ECF73B}"/>
    <cellStyle name="20% - Accent3 4 4 2 3 4" xfId="31037" xr:uid="{9A0905C2-D7D7-41EA-A4F2-54C362F7B7A0}"/>
    <cellStyle name="20% - Accent3 4 4 2 4" xfId="11600" xr:uid="{00000000-0005-0000-0000-000032120000}"/>
    <cellStyle name="20% - Accent3 4 4 2 4 2" xfId="35449" xr:uid="{097B44A8-FD57-4BB5-B111-BB09952327F8}"/>
    <cellStyle name="20% - Accent3 4 4 2 5" xfId="19555" xr:uid="{00000000-0005-0000-0000-000033120000}"/>
    <cellStyle name="20% - Accent3 4 4 2 5 2" xfId="43387" xr:uid="{EFB6A902-565D-4FEF-8321-D5E64F107CDD}"/>
    <cellStyle name="20% - Accent3 4 4 2 6" xfId="27507" xr:uid="{F8847333-E37A-4980-8C45-3B2FA1E48C29}"/>
    <cellStyle name="20% - Accent3 4 4 2_Exh G" xfId="2256" xr:uid="{00000000-0005-0000-0000-000034120000}"/>
    <cellStyle name="20% - Accent3 4 4 3" xfId="4454" xr:uid="{00000000-0005-0000-0000-000035120000}"/>
    <cellStyle name="20% - Accent3 4 4 3 2" xfId="8046" xr:uid="{00000000-0005-0000-0000-000036120000}"/>
    <cellStyle name="20% - Accent3 4 4 3 2 2" xfId="16016" xr:uid="{00000000-0005-0000-0000-000037120000}"/>
    <cellStyle name="20% - Accent3 4 4 3 2 2 2" xfId="39858" xr:uid="{A2842A20-4D1D-427F-9BC9-4981487EE4E9}"/>
    <cellStyle name="20% - Accent3 4 4 3 2 3" xfId="23962" xr:uid="{00000000-0005-0000-0000-000038120000}"/>
    <cellStyle name="20% - Accent3 4 4 3 2 3 2" xfId="47794" xr:uid="{61F61B9F-C68C-458C-9527-201228BF30CC}"/>
    <cellStyle name="20% - Accent3 4 4 3 2 4" xfId="31917" xr:uid="{CA598D53-D8DD-4256-AFB7-2A516D366758}"/>
    <cellStyle name="20% - Accent3 4 4 3 3" xfId="12478" xr:uid="{00000000-0005-0000-0000-000039120000}"/>
    <cellStyle name="20% - Accent3 4 4 3 3 2" xfId="36327" xr:uid="{A1504804-95E6-494A-9D1C-CDC30A2ECD89}"/>
    <cellStyle name="20% - Accent3 4 4 3 4" xfId="20433" xr:uid="{00000000-0005-0000-0000-00003A120000}"/>
    <cellStyle name="20% - Accent3 4 4 3 4 2" xfId="44265" xr:uid="{74B59831-1A58-4B89-93B0-3B4F3AE238D1}"/>
    <cellStyle name="20% - Accent3 4 4 3 5" xfId="28386" xr:uid="{E544CB78-BF9F-4A5C-A1C1-1EDE66DC11BA}"/>
    <cellStyle name="20% - Accent3 4 4 4" xfId="6284" xr:uid="{00000000-0005-0000-0000-00003B120000}"/>
    <cellStyle name="20% - Accent3 4 4 4 2" xfId="14258" xr:uid="{00000000-0005-0000-0000-00003C120000}"/>
    <cellStyle name="20% - Accent3 4 4 4 2 2" xfId="38100" xr:uid="{C2D48462-C7A6-47F3-A785-1B00ECED8943}"/>
    <cellStyle name="20% - Accent3 4 4 4 3" xfId="22205" xr:uid="{00000000-0005-0000-0000-00003D120000}"/>
    <cellStyle name="20% - Accent3 4 4 4 3 2" xfId="46037" xr:uid="{1FC4C486-67CE-4940-A690-51B3442780C3}"/>
    <cellStyle name="20% - Accent3 4 4 4 4" xfId="30159" xr:uid="{F6235635-2C42-4B3A-B085-B49ACB8BBFD9}"/>
    <cellStyle name="20% - Accent3 4 4 5" xfId="9826" xr:uid="{00000000-0005-0000-0000-00003E120000}"/>
    <cellStyle name="20% - Accent3 4 4 5 2" xfId="17784" xr:uid="{00000000-0005-0000-0000-00003F120000}"/>
    <cellStyle name="20% - Accent3 4 4 5 2 2" xfId="41624" xr:uid="{5793DF03-44D4-4ED5-A65D-7BB82B0F2249}"/>
    <cellStyle name="20% - Accent3 4 4 5 3" xfId="25728" xr:uid="{00000000-0005-0000-0000-000040120000}"/>
    <cellStyle name="20% - Accent3 4 4 5 3 2" xfId="49560" xr:uid="{A56A6406-6B7D-4855-AF8D-61E04893E65B}"/>
    <cellStyle name="20% - Accent3 4 4 5 4" xfId="33683" xr:uid="{50E72B0A-01DD-447E-919C-608878A88582}"/>
    <cellStyle name="20% - Accent3 4 4 6" xfId="10722" xr:uid="{00000000-0005-0000-0000-000041120000}"/>
    <cellStyle name="20% - Accent3 4 4 6 2" xfId="34571" xr:uid="{5DFA53DB-FD0B-470D-B78B-C8D64D4F6DE2}"/>
    <cellStyle name="20% - Accent3 4 4 7" xfId="18677" xr:uid="{00000000-0005-0000-0000-000042120000}"/>
    <cellStyle name="20% - Accent3 4 4 7 2" xfId="42509" xr:uid="{0FBECE08-F7FC-4CF6-8635-C11FDA58AE74}"/>
    <cellStyle name="20% - Accent3 4 4 8" xfId="26629" xr:uid="{8D825A30-F7C6-48BF-82C1-F3963134EF02}"/>
    <cellStyle name="20% - Accent3 4 4_Exh G" xfId="2255" xr:uid="{00000000-0005-0000-0000-000043120000}"/>
    <cellStyle name="20% - Accent3 4 5" xfId="1177" xr:uid="{00000000-0005-0000-0000-000044120000}"/>
    <cellStyle name="20% - Accent3 4 5 2" xfId="4704" xr:uid="{00000000-0005-0000-0000-000045120000}"/>
    <cellStyle name="20% - Accent3 4 5 2 2" xfId="8295" xr:uid="{00000000-0005-0000-0000-000046120000}"/>
    <cellStyle name="20% - Accent3 4 5 2 2 2" xfId="16265" xr:uid="{00000000-0005-0000-0000-000047120000}"/>
    <cellStyle name="20% - Accent3 4 5 2 2 2 2" xfId="40107" xr:uid="{6FC9FEC2-8D82-447F-AA1C-0B7CFFE06F2A}"/>
    <cellStyle name="20% - Accent3 4 5 2 2 3" xfId="24211" xr:uid="{00000000-0005-0000-0000-000048120000}"/>
    <cellStyle name="20% - Accent3 4 5 2 2 3 2" xfId="48043" xr:uid="{190B1C07-7083-4E9D-8C7D-CDA819F84228}"/>
    <cellStyle name="20% - Accent3 4 5 2 2 4" xfId="32166" xr:uid="{4F79F662-0347-4BE8-A2C8-8286D6BD01B4}"/>
    <cellStyle name="20% - Accent3 4 5 2 3" xfId="12727" xr:uid="{00000000-0005-0000-0000-000049120000}"/>
    <cellStyle name="20% - Accent3 4 5 2 3 2" xfId="36576" xr:uid="{E7DC2DFE-4628-4984-8029-97289AF62729}"/>
    <cellStyle name="20% - Accent3 4 5 2 4" xfId="20682" xr:uid="{00000000-0005-0000-0000-00004A120000}"/>
    <cellStyle name="20% - Accent3 4 5 2 4 2" xfId="44514" xr:uid="{722D4952-1628-4E24-89A5-0F84189C3B2C}"/>
    <cellStyle name="20% - Accent3 4 5 2 5" xfId="28635" xr:uid="{AD23902F-82A5-4D24-B6C4-614B554F1CB3}"/>
    <cellStyle name="20% - Accent3 4 5 3" xfId="6536" xr:uid="{00000000-0005-0000-0000-00004B120000}"/>
    <cellStyle name="20% - Accent3 4 5 3 2" xfId="14507" xr:uid="{00000000-0005-0000-0000-00004C120000}"/>
    <cellStyle name="20% - Accent3 4 5 3 2 2" xfId="38349" xr:uid="{2DCA0145-6828-4ED1-973D-60A24E39188E}"/>
    <cellStyle name="20% - Accent3 4 5 3 3" xfId="22454" xr:uid="{00000000-0005-0000-0000-00004D120000}"/>
    <cellStyle name="20% - Accent3 4 5 3 3 2" xfId="46286" xr:uid="{150D0B61-AD96-4753-9D14-1E54CF47E4F1}"/>
    <cellStyle name="20% - Accent3 4 5 3 4" xfId="30408" xr:uid="{D8A47AF3-8BB9-45B2-8B56-8CF9EA3DF39F}"/>
    <cellStyle name="20% - Accent3 4 5 4" xfId="10971" xr:uid="{00000000-0005-0000-0000-00004E120000}"/>
    <cellStyle name="20% - Accent3 4 5 4 2" xfId="34820" xr:uid="{0257311A-997A-49F4-A756-705B38E943C4}"/>
    <cellStyle name="20% - Accent3 4 5 5" xfId="18926" xr:uid="{00000000-0005-0000-0000-00004F120000}"/>
    <cellStyle name="20% - Accent3 4 5 5 2" xfId="42758" xr:uid="{3D84EE08-B1CE-453D-890E-8C589CAA061B}"/>
    <cellStyle name="20% - Accent3 4 5 6" xfId="26878" xr:uid="{01F7770A-4F8E-47EF-ABD4-3945F3503535}"/>
    <cellStyle name="20% - Accent3 4 5_Exh G" xfId="2257" xr:uid="{00000000-0005-0000-0000-000050120000}"/>
    <cellStyle name="20% - Accent3 4 6" xfId="3825" xr:uid="{00000000-0005-0000-0000-000051120000}"/>
    <cellStyle name="20% - Accent3 4 6 2" xfId="7417" xr:uid="{00000000-0005-0000-0000-000052120000}"/>
    <cellStyle name="20% - Accent3 4 6 2 2" xfId="15387" xr:uid="{00000000-0005-0000-0000-000053120000}"/>
    <cellStyle name="20% - Accent3 4 6 2 2 2" xfId="39229" xr:uid="{EF116AC8-E8A0-465F-9938-AEA4D1C8D292}"/>
    <cellStyle name="20% - Accent3 4 6 2 3" xfId="23333" xr:uid="{00000000-0005-0000-0000-000054120000}"/>
    <cellStyle name="20% - Accent3 4 6 2 3 2" xfId="47165" xr:uid="{11AD49E0-EDAC-43A3-91AC-94032025098E}"/>
    <cellStyle name="20% - Accent3 4 6 2 4" xfId="31288" xr:uid="{F8F577F8-8481-4BFC-8DC4-75AC1DA587F1}"/>
    <cellStyle name="20% - Accent3 4 6 3" xfId="11849" xr:uid="{00000000-0005-0000-0000-000055120000}"/>
    <cellStyle name="20% - Accent3 4 6 3 2" xfId="35698" xr:uid="{B6C1701E-65BD-4279-93A0-49D57C8EAC64}"/>
    <cellStyle name="20% - Accent3 4 6 4" xfId="19804" xr:uid="{00000000-0005-0000-0000-000056120000}"/>
    <cellStyle name="20% - Accent3 4 6 4 2" xfId="43636" xr:uid="{A92D54DF-A89B-4F95-B38D-E85197A99CF2}"/>
    <cellStyle name="20% - Accent3 4 6 5" xfId="27757" xr:uid="{42AADFF1-964B-4F63-8D23-92D41570F0EE}"/>
    <cellStyle name="20% - Accent3 4 7" xfId="5645" xr:uid="{00000000-0005-0000-0000-000057120000}"/>
    <cellStyle name="20% - Accent3 4 7 2" xfId="13628" xr:uid="{00000000-0005-0000-0000-000058120000}"/>
    <cellStyle name="20% - Accent3 4 7 2 2" xfId="37471" xr:uid="{4DF9E97A-CE1E-4E61-9A6B-5464598EAA88}"/>
    <cellStyle name="20% - Accent3 4 7 3" xfId="21576" xr:uid="{00000000-0005-0000-0000-000059120000}"/>
    <cellStyle name="20% - Accent3 4 7 3 2" xfId="45408" xr:uid="{0793D30A-2C5B-47A7-9E99-170EBF9B944B}"/>
    <cellStyle name="20% - Accent3 4 7 4" xfId="29530" xr:uid="{52C518CB-05CC-4B07-AD03-2ECF7E63DDF3}"/>
    <cellStyle name="20% - Accent3 4 8" xfId="9197" xr:uid="{00000000-0005-0000-0000-00005A120000}"/>
    <cellStyle name="20% - Accent3 4 8 2" xfId="17155" xr:uid="{00000000-0005-0000-0000-00005B120000}"/>
    <cellStyle name="20% - Accent3 4 8 2 2" xfId="40995" xr:uid="{04714234-EC74-43F8-952B-3110A656689E}"/>
    <cellStyle name="20% - Accent3 4 8 3" xfId="25099" xr:uid="{00000000-0005-0000-0000-00005C120000}"/>
    <cellStyle name="20% - Accent3 4 8 3 2" xfId="48931" xr:uid="{1DF455F5-30BC-4BCB-B9E0-B398BF336BAC}"/>
    <cellStyle name="20% - Accent3 4 8 4" xfId="33054" xr:uid="{7BC2C539-0FF2-4CE5-A330-82391D7D26C4}"/>
    <cellStyle name="20% - Accent3 4 9" xfId="10093" xr:uid="{00000000-0005-0000-0000-00005D120000}"/>
    <cellStyle name="20% - Accent3 4 9 2" xfId="33942" xr:uid="{E170415D-17B6-4A28-B6FA-B34A47A248C2}"/>
    <cellStyle name="20% - Accent3 4_Exh G" xfId="2246" xr:uid="{00000000-0005-0000-0000-00005E120000}"/>
    <cellStyle name="20% - Accent3 5" xfId="155" xr:uid="{00000000-0005-0000-0000-00005F120000}"/>
    <cellStyle name="20% - Accent3 5 10" xfId="18052" xr:uid="{00000000-0005-0000-0000-000060120000}"/>
    <cellStyle name="20% - Accent3 5 10 2" xfId="41884" xr:uid="{C2420C7D-37CA-417C-BDF2-3DB2AC44A4FE}"/>
    <cellStyle name="20% - Accent3 5 11" xfId="26004" xr:uid="{36E61278-177A-46A7-AFEA-54A0893C56DE}"/>
    <cellStyle name="20% - Accent3 5 2" xfId="156" xr:uid="{00000000-0005-0000-0000-000061120000}"/>
    <cellStyle name="20% - Accent3 5 2 2" xfId="157" xr:uid="{00000000-0005-0000-0000-000062120000}"/>
    <cellStyle name="20% - Accent3 5 2 2 2" xfId="1183" xr:uid="{00000000-0005-0000-0000-000063120000}"/>
    <cellStyle name="20% - Accent3 5 2 2 2 2" xfId="4710" xr:uid="{00000000-0005-0000-0000-000064120000}"/>
    <cellStyle name="20% - Accent3 5 2 2 2 2 2" xfId="8301" xr:uid="{00000000-0005-0000-0000-000065120000}"/>
    <cellStyle name="20% - Accent3 5 2 2 2 2 2 2" xfId="16271" xr:uid="{00000000-0005-0000-0000-000066120000}"/>
    <cellStyle name="20% - Accent3 5 2 2 2 2 2 2 2" xfId="40113" xr:uid="{8531F6A6-5408-46E9-8450-900D283DA286}"/>
    <cellStyle name="20% - Accent3 5 2 2 2 2 2 3" xfId="24217" xr:uid="{00000000-0005-0000-0000-000067120000}"/>
    <cellStyle name="20% - Accent3 5 2 2 2 2 2 3 2" xfId="48049" xr:uid="{02BBCF29-A73A-4504-9231-CAF8030C202A}"/>
    <cellStyle name="20% - Accent3 5 2 2 2 2 2 4" xfId="32172" xr:uid="{8CD2E624-8B41-483E-93A6-81E8F99BDAB6}"/>
    <cellStyle name="20% - Accent3 5 2 2 2 2 3" xfId="12733" xr:uid="{00000000-0005-0000-0000-000068120000}"/>
    <cellStyle name="20% - Accent3 5 2 2 2 2 3 2" xfId="36582" xr:uid="{73164DA9-0DEE-40B7-B82C-B778CEB291AA}"/>
    <cellStyle name="20% - Accent3 5 2 2 2 2 4" xfId="20688" xr:uid="{00000000-0005-0000-0000-000069120000}"/>
    <cellStyle name="20% - Accent3 5 2 2 2 2 4 2" xfId="44520" xr:uid="{192E489F-BE07-4381-B944-55E29A96808D}"/>
    <cellStyle name="20% - Accent3 5 2 2 2 2 5" xfId="28641" xr:uid="{6A21514F-D138-4709-BDC1-AA933B5CB16D}"/>
    <cellStyle name="20% - Accent3 5 2 2 2 3" xfId="6542" xr:uid="{00000000-0005-0000-0000-00006A120000}"/>
    <cellStyle name="20% - Accent3 5 2 2 2 3 2" xfId="14513" xr:uid="{00000000-0005-0000-0000-00006B120000}"/>
    <cellStyle name="20% - Accent3 5 2 2 2 3 2 2" xfId="38355" xr:uid="{D8C88DB3-B342-4E81-8D99-DA6BC29F4C8F}"/>
    <cellStyle name="20% - Accent3 5 2 2 2 3 3" xfId="22460" xr:uid="{00000000-0005-0000-0000-00006C120000}"/>
    <cellStyle name="20% - Accent3 5 2 2 2 3 3 2" xfId="46292" xr:uid="{5E0174E0-B1CE-4D08-BF03-9122F0952168}"/>
    <cellStyle name="20% - Accent3 5 2 2 2 3 4" xfId="30414" xr:uid="{60401F43-0077-46D2-B24A-739916E49112}"/>
    <cellStyle name="20% - Accent3 5 2 2 2 4" xfId="10977" xr:uid="{00000000-0005-0000-0000-00006D120000}"/>
    <cellStyle name="20% - Accent3 5 2 2 2 4 2" xfId="34826" xr:uid="{FE94F4DB-AD2F-425A-A4A6-5827987EDAAF}"/>
    <cellStyle name="20% - Accent3 5 2 2 2 5" xfId="18932" xr:uid="{00000000-0005-0000-0000-00006E120000}"/>
    <cellStyle name="20% - Accent3 5 2 2 2 5 2" xfId="42764" xr:uid="{05728BC7-2179-4CA6-8D21-F25926511026}"/>
    <cellStyle name="20% - Accent3 5 2 2 2 6" xfId="26884" xr:uid="{5B971909-2BC0-438C-A27C-5FDE2AE0FA33}"/>
    <cellStyle name="20% - Accent3 5 2 2 2_Exh G" xfId="2261" xr:uid="{00000000-0005-0000-0000-00006F120000}"/>
    <cellStyle name="20% - Accent3 5 2 2 3" xfId="3831" xr:uid="{00000000-0005-0000-0000-000070120000}"/>
    <cellStyle name="20% - Accent3 5 2 2 3 2" xfId="7423" xr:uid="{00000000-0005-0000-0000-000071120000}"/>
    <cellStyle name="20% - Accent3 5 2 2 3 2 2" xfId="15393" xr:uid="{00000000-0005-0000-0000-000072120000}"/>
    <cellStyle name="20% - Accent3 5 2 2 3 2 2 2" xfId="39235" xr:uid="{5680F2C7-72EB-4A61-9F99-583C6FED8C8D}"/>
    <cellStyle name="20% - Accent3 5 2 2 3 2 3" xfId="23339" xr:uid="{00000000-0005-0000-0000-000073120000}"/>
    <cellStyle name="20% - Accent3 5 2 2 3 2 3 2" xfId="47171" xr:uid="{6A1AD65F-E5D2-4238-A90C-4B2350FC0D86}"/>
    <cellStyle name="20% - Accent3 5 2 2 3 2 4" xfId="31294" xr:uid="{D19CC1F7-EA1F-4AB5-B834-2BA5E30FA75D}"/>
    <cellStyle name="20% - Accent3 5 2 2 3 3" xfId="11855" xr:uid="{00000000-0005-0000-0000-000074120000}"/>
    <cellStyle name="20% - Accent3 5 2 2 3 3 2" xfId="35704" xr:uid="{9DC04DCF-C136-4F8D-B6F3-3774CF85DD23}"/>
    <cellStyle name="20% - Accent3 5 2 2 3 4" xfId="19810" xr:uid="{00000000-0005-0000-0000-000075120000}"/>
    <cellStyle name="20% - Accent3 5 2 2 3 4 2" xfId="43642" xr:uid="{597DA99B-FD94-415D-B7F4-F7442DC96DDB}"/>
    <cellStyle name="20% - Accent3 5 2 2 3 5" xfId="27763" xr:uid="{93E6367B-E641-4CCC-8E42-04CD8BE3DB70}"/>
    <cellStyle name="20% - Accent3 5 2 2 4" xfId="5651" xr:uid="{00000000-0005-0000-0000-000076120000}"/>
    <cellStyle name="20% - Accent3 5 2 2 4 2" xfId="13634" xr:uid="{00000000-0005-0000-0000-000077120000}"/>
    <cellStyle name="20% - Accent3 5 2 2 4 2 2" xfId="37477" xr:uid="{885D5E26-E7BF-445D-B682-D267C8255BF3}"/>
    <cellStyle name="20% - Accent3 5 2 2 4 3" xfId="21582" xr:uid="{00000000-0005-0000-0000-000078120000}"/>
    <cellStyle name="20% - Accent3 5 2 2 4 3 2" xfId="45414" xr:uid="{FDF456FE-3E93-4B07-8FA4-05AEF6E153EA}"/>
    <cellStyle name="20% - Accent3 5 2 2 4 4" xfId="29536" xr:uid="{159B9F03-675C-46E9-9B27-2073175CA7A9}"/>
    <cellStyle name="20% - Accent3 5 2 2 5" xfId="9203" xr:uid="{00000000-0005-0000-0000-000079120000}"/>
    <cellStyle name="20% - Accent3 5 2 2 5 2" xfId="17161" xr:uid="{00000000-0005-0000-0000-00007A120000}"/>
    <cellStyle name="20% - Accent3 5 2 2 5 2 2" xfId="41001" xr:uid="{D151AD84-BB35-4621-938A-E47D5EBC5DD1}"/>
    <cellStyle name="20% - Accent3 5 2 2 5 3" xfId="25105" xr:uid="{00000000-0005-0000-0000-00007B120000}"/>
    <cellStyle name="20% - Accent3 5 2 2 5 3 2" xfId="48937" xr:uid="{394C85E8-B7F8-428B-A79E-E0F1B279464E}"/>
    <cellStyle name="20% - Accent3 5 2 2 5 4" xfId="33060" xr:uid="{F29749F2-DDD3-4DC2-8428-5A7AB32800CA}"/>
    <cellStyle name="20% - Accent3 5 2 2 6" xfId="10099" xr:uid="{00000000-0005-0000-0000-00007C120000}"/>
    <cellStyle name="20% - Accent3 5 2 2 6 2" xfId="33948" xr:uid="{F18EFBFE-4A29-4AB0-A546-2DBC8D77193F}"/>
    <cellStyle name="20% - Accent3 5 2 2 7" xfId="18054" xr:uid="{00000000-0005-0000-0000-00007D120000}"/>
    <cellStyle name="20% - Accent3 5 2 2 7 2" xfId="41886" xr:uid="{540CE81B-B365-486C-B3AD-119BC42A2045}"/>
    <cellStyle name="20% - Accent3 5 2 2 8" xfId="26006" xr:uid="{84EFFCCB-675D-4F33-BF1F-49014B22995D}"/>
    <cellStyle name="20% - Accent3 5 2 2_Exh G" xfId="2260" xr:uid="{00000000-0005-0000-0000-00007E120000}"/>
    <cellStyle name="20% - Accent3 5 2 3" xfId="1182" xr:uid="{00000000-0005-0000-0000-00007F120000}"/>
    <cellStyle name="20% - Accent3 5 2 3 2" xfId="4709" xr:uid="{00000000-0005-0000-0000-000080120000}"/>
    <cellStyle name="20% - Accent3 5 2 3 2 2" xfId="8300" xr:uid="{00000000-0005-0000-0000-000081120000}"/>
    <cellStyle name="20% - Accent3 5 2 3 2 2 2" xfId="16270" xr:uid="{00000000-0005-0000-0000-000082120000}"/>
    <cellStyle name="20% - Accent3 5 2 3 2 2 2 2" xfId="40112" xr:uid="{1C73235F-8111-4034-9720-6A1C96AF7386}"/>
    <cellStyle name="20% - Accent3 5 2 3 2 2 3" xfId="24216" xr:uid="{00000000-0005-0000-0000-000083120000}"/>
    <cellStyle name="20% - Accent3 5 2 3 2 2 3 2" xfId="48048" xr:uid="{E94086E0-7C62-4A6D-84F1-7212E0AF6643}"/>
    <cellStyle name="20% - Accent3 5 2 3 2 2 4" xfId="32171" xr:uid="{0A652AE3-B0A3-4A40-AAC5-2F83168391A0}"/>
    <cellStyle name="20% - Accent3 5 2 3 2 3" xfId="12732" xr:uid="{00000000-0005-0000-0000-000084120000}"/>
    <cellStyle name="20% - Accent3 5 2 3 2 3 2" xfId="36581" xr:uid="{CC8112E5-DB41-4EC7-AEA9-DE93C008896C}"/>
    <cellStyle name="20% - Accent3 5 2 3 2 4" xfId="20687" xr:uid="{00000000-0005-0000-0000-000085120000}"/>
    <cellStyle name="20% - Accent3 5 2 3 2 4 2" xfId="44519" xr:uid="{155DDA0D-968A-45A4-AAF2-764538DE82A0}"/>
    <cellStyle name="20% - Accent3 5 2 3 2 5" xfId="28640" xr:uid="{D01EF92F-86CF-443F-8C7B-EE307F87A9AA}"/>
    <cellStyle name="20% - Accent3 5 2 3 3" xfId="6541" xr:uid="{00000000-0005-0000-0000-000086120000}"/>
    <cellStyle name="20% - Accent3 5 2 3 3 2" xfId="14512" xr:uid="{00000000-0005-0000-0000-000087120000}"/>
    <cellStyle name="20% - Accent3 5 2 3 3 2 2" xfId="38354" xr:uid="{92936EFC-F99D-4E66-B00D-84F68A1BB7CE}"/>
    <cellStyle name="20% - Accent3 5 2 3 3 3" xfId="22459" xr:uid="{00000000-0005-0000-0000-000088120000}"/>
    <cellStyle name="20% - Accent3 5 2 3 3 3 2" xfId="46291" xr:uid="{BDF0E076-E617-4621-B9E7-2AD7F35581B6}"/>
    <cellStyle name="20% - Accent3 5 2 3 3 4" xfId="30413" xr:uid="{48047DC5-B686-43E2-BFB8-22D5F0316699}"/>
    <cellStyle name="20% - Accent3 5 2 3 4" xfId="10976" xr:uid="{00000000-0005-0000-0000-000089120000}"/>
    <cellStyle name="20% - Accent3 5 2 3 4 2" xfId="34825" xr:uid="{AF06BE18-2485-4968-A130-4ED0CCFDDA76}"/>
    <cellStyle name="20% - Accent3 5 2 3 5" xfId="18931" xr:uid="{00000000-0005-0000-0000-00008A120000}"/>
    <cellStyle name="20% - Accent3 5 2 3 5 2" xfId="42763" xr:uid="{A800D26B-9CBF-478D-970B-F627ABDACA70}"/>
    <cellStyle name="20% - Accent3 5 2 3 6" xfId="26883" xr:uid="{A8363798-5267-4077-B182-C9EE30AB97EA}"/>
    <cellStyle name="20% - Accent3 5 2 3_Exh G" xfId="2262" xr:uid="{00000000-0005-0000-0000-00008B120000}"/>
    <cellStyle name="20% - Accent3 5 2 4" xfId="3830" xr:uid="{00000000-0005-0000-0000-00008C120000}"/>
    <cellStyle name="20% - Accent3 5 2 4 2" xfId="7422" xr:uid="{00000000-0005-0000-0000-00008D120000}"/>
    <cellStyle name="20% - Accent3 5 2 4 2 2" xfId="15392" xr:uid="{00000000-0005-0000-0000-00008E120000}"/>
    <cellStyle name="20% - Accent3 5 2 4 2 2 2" xfId="39234" xr:uid="{9CCE4A18-48E7-4B7E-9FF4-3644A1A5E7E9}"/>
    <cellStyle name="20% - Accent3 5 2 4 2 3" xfId="23338" xr:uid="{00000000-0005-0000-0000-00008F120000}"/>
    <cellStyle name="20% - Accent3 5 2 4 2 3 2" xfId="47170" xr:uid="{30094CFB-C239-473C-A465-477555E1F357}"/>
    <cellStyle name="20% - Accent3 5 2 4 2 4" xfId="31293" xr:uid="{8E5417D2-EA72-4CE5-8659-973929CEC286}"/>
    <cellStyle name="20% - Accent3 5 2 4 3" xfId="11854" xr:uid="{00000000-0005-0000-0000-000090120000}"/>
    <cellStyle name="20% - Accent3 5 2 4 3 2" xfId="35703" xr:uid="{B9793186-12E8-4EA4-9332-150704EED8C9}"/>
    <cellStyle name="20% - Accent3 5 2 4 4" xfId="19809" xr:uid="{00000000-0005-0000-0000-000091120000}"/>
    <cellStyle name="20% - Accent3 5 2 4 4 2" xfId="43641" xr:uid="{0DAA5948-13EF-4E32-A4CB-8D6534EA0B15}"/>
    <cellStyle name="20% - Accent3 5 2 4 5" xfId="27762" xr:uid="{E0BA644D-8A20-485E-8A3E-97BDE1F68452}"/>
    <cellStyle name="20% - Accent3 5 2 5" xfId="5650" xr:uid="{00000000-0005-0000-0000-000092120000}"/>
    <cellStyle name="20% - Accent3 5 2 5 2" xfId="13633" xr:uid="{00000000-0005-0000-0000-000093120000}"/>
    <cellStyle name="20% - Accent3 5 2 5 2 2" xfId="37476" xr:uid="{C66C591A-8198-4E7B-AC7A-174BE923AADA}"/>
    <cellStyle name="20% - Accent3 5 2 5 3" xfId="21581" xr:uid="{00000000-0005-0000-0000-000094120000}"/>
    <cellStyle name="20% - Accent3 5 2 5 3 2" xfId="45413" xr:uid="{6EADB63D-8FAC-4B0B-AA90-63BCB9131BD5}"/>
    <cellStyle name="20% - Accent3 5 2 5 4" xfId="29535" xr:uid="{FE900C90-1BA4-4921-8011-368CD53BD5F4}"/>
    <cellStyle name="20% - Accent3 5 2 6" xfId="9202" xr:uid="{00000000-0005-0000-0000-000095120000}"/>
    <cellStyle name="20% - Accent3 5 2 6 2" xfId="17160" xr:uid="{00000000-0005-0000-0000-000096120000}"/>
    <cellStyle name="20% - Accent3 5 2 6 2 2" xfId="41000" xr:uid="{C99A85E1-9FB4-4F46-B1B8-A3E86AACC377}"/>
    <cellStyle name="20% - Accent3 5 2 6 3" xfId="25104" xr:uid="{00000000-0005-0000-0000-000097120000}"/>
    <cellStyle name="20% - Accent3 5 2 6 3 2" xfId="48936" xr:uid="{AD5BCF93-DEA5-4B5D-AFE6-9B49738262ED}"/>
    <cellStyle name="20% - Accent3 5 2 6 4" xfId="33059" xr:uid="{2C8E8E0C-B605-4653-88B5-36AAF34D5AC8}"/>
    <cellStyle name="20% - Accent3 5 2 7" xfId="10098" xr:uid="{00000000-0005-0000-0000-000098120000}"/>
    <cellStyle name="20% - Accent3 5 2 7 2" xfId="33947" xr:uid="{30B33D2C-97FB-447B-B94B-65C65B390F82}"/>
    <cellStyle name="20% - Accent3 5 2 8" xfId="18053" xr:uid="{00000000-0005-0000-0000-000099120000}"/>
    <cellStyle name="20% - Accent3 5 2 8 2" xfId="41885" xr:uid="{1671628F-2B19-49EA-B4DD-FD1C283B90A0}"/>
    <cellStyle name="20% - Accent3 5 2 9" xfId="26005" xr:uid="{E2B45DD8-4B48-4E75-A529-B01903F0D795}"/>
    <cellStyle name="20% - Accent3 5 2_Exh G" xfId="2259" xr:uid="{00000000-0005-0000-0000-00009A120000}"/>
    <cellStyle name="20% - Accent3 5 3" xfId="158" xr:uid="{00000000-0005-0000-0000-00009B120000}"/>
    <cellStyle name="20% - Accent3 5 3 2" xfId="1184" xr:uid="{00000000-0005-0000-0000-00009C120000}"/>
    <cellStyle name="20% - Accent3 5 3 2 2" xfId="4711" xr:uid="{00000000-0005-0000-0000-00009D120000}"/>
    <cellStyle name="20% - Accent3 5 3 2 2 2" xfId="8302" xr:uid="{00000000-0005-0000-0000-00009E120000}"/>
    <cellStyle name="20% - Accent3 5 3 2 2 2 2" xfId="16272" xr:uid="{00000000-0005-0000-0000-00009F120000}"/>
    <cellStyle name="20% - Accent3 5 3 2 2 2 2 2" xfId="40114" xr:uid="{8F7628CB-7B65-431F-B009-AB62DA5D9D84}"/>
    <cellStyle name="20% - Accent3 5 3 2 2 2 3" xfId="24218" xr:uid="{00000000-0005-0000-0000-0000A0120000}"/>
    <cellStyle name="20% - Accent3 5 3 2 2 2 3 2" xfId="48050" xr:uid="{EF3EF9CA-1752-4942-BC33-42091DA03757}"/>
    <cellStyle name="20% - Accent3 5 3 2 2 2 4" xfId="32173" xr:uid="{6976FEA5-1D56-421B-BC10-241B6DEFA6F8}"/>
    <cellStyle name="20% - Accent3 5 3 2 2 3" xfId="12734" xr:uid="{00000000-0005-0000-0000-0000A1120000}"/>
    <cellStyle name="20% - Accent3 5 3 2 2 3 2" xfId="36583" xr:uid="{C99EDDBB-61FC-4AC9-8F68-4CCCBE8E4669}"/>
    <cellStyle name="20% - Accent3 5 3 2 2 4" xfId="20689" xr:uid="{00000000-0005-0000-0000-0000A2120000}"/>
    <cellStyle name="20% - Accent3 5 3 2 2 4 2" xfId="44521" xr:uid="{96F025F0-360A-4CE8-B53B-B4281C085B00}"/>
    <cellStyle name="20% - Accent3 5 3 2 2 5" xfId="28642" xr:uid="{0CF2960B-A0F5-49A5-86E0-44E585C8370C}"/>
    <cellStyle name="20% - Accent3 5 3 2 3" xfId="6543" xr:uid="{00000000-0005-0000-0000-0000A3120000}"/>
    <cellStyle name="20% - Accent3 5 3 2 3 2" xfId="14514" xr:uid="{00000000-0005-0000-0000-0000A4120000}"/>
    <cellStyle name="20% - Accent3 5 3 2 3 2 2" xfId="38356" xr:uid="{35DF8966-80C9-40AD-9AF6-C2D14E61B874}"/>
    <cellStyle name="20% - Accent3 5 3 2 3 3" xfId="22461" xr:uid="{00000000-0005-0000-0000-0000A5120000}"/>
    <cellStyle name="20% - Accent3 5 3 2 3 3 2" xfId="46293" xr:uid="{7F66B2AD-FA2F-4FBE-99E0-E9306083D43A}"/>
    <cellStyle name="20% - Accent3 5 3 2 3 4" xfId="30415" xr:uid="{518F4130-9FF7-40DF-888E-4A6DCD82D0EB}"/>
    <cellStyle name="20% - Accent3 5 3 2 4" xfId="10978" xr:uid="{00000000-0005-0000-0000-0000A6120000}"/>
    <cellStyle name="20% - Accent3 5 3 2 4 2" xfId="34827" xr:uid="{E96C0D7F-6045-4DBE-B6D9-45DA9545753A}"/>
    <cellStyle name="20% - Accent3 5 3 2 5" xfId="18933" xr:uid="{00000000-0005-0000-0000-0000A7120000}"/>
    <cellStyle name="20% - Accent3 5 3 2 5 2" xfId="42765" xr:uid="{26574A94-B85A-42FB-9216-8573479EA677}"/>
    <cellStyle name="20% - Accent3 5 3 2 6" xfId="26885" xr:uid="{D813F121-9C95-4F01-9B7F-C431B54E9DD6}"/>
    <cellStyle name="20% - Accent3 5 3 2_Exh G" xfId="2264" xr:uid="{00000000-0005-0000-0000-0000A8120000}"/>
    <cellStyle name="20% - Accent3 5 3 3" xfId="3832" xr:uid="{00000000-0005-0000-0000-0000A9120000}"/>
    <cellStyle name="20% - Accent3 5 3 3 2" xfId="7424" xr:uid="{00000000-0005-0000-0000-0000AA120000}"/>
    <cellStyle name="20% - Accent3 5 3 3 2 2" xfId="15394" xr:uid="{00000000-0005-0000-0000-0000AB120000}"/>
    <cellStyle name="20% - Accent3 5 3 3 2 2 2" xfId="39236" xr:uid="{63205D1B-2A54-4965-ACE4-19B02434D515}"/>
    <cellStyle name="20% - Accent3 5 3 3 2 3" xfId="23340" xr:uid="{00000000-0005-0000-0000-0000AC120000}"/>
    <cellStyle name="20% - Accent3 5 3 3 2 3 2" xfId="47172" xr:uid="{F53C6E6A-AF69-4F24-9DEB-70780E43116D}"/>
    <cellStyle name="20% - Accent3 5 3 3 2 4" xfId="31295" xr:uid="{B2DD0C52-52BE-4B63-B9F8-DD289D293E22}"/>
    <cellStyle name="20% - Accent3 5 3 3 3" xfId="11856" xr:uid="{00000000-0005-0000-0000-0000AD120000}"/>
    <cellStyle name="20% - Accent3 5 3 3 3 2" xfId="35705" xr:uid="{65A53F67-4C61-468C-B9E1-29FE0F5641A9}"/>
    <cellStyle name="20% - Accent3 5 3 3 4" xfId="19811" xr:uid="{00000000-0005-0000-0000-0000AE120000}"/>
    <cellStyle name="20% - Accent3 5 3 3 4 2" xfId="43643" xr:uid="{34607DDD-51ED-480A-95F4-5D3AE50350EA}"/>
    <cellStyle name="20% - Accent3 5 3 3 5" xfId="27764" xr:uid="{5DD9062B-BB8E-4AEA-847E-67C7BE31A52E}"/>
    <cellStyle name="20% - Accent3 5 3 4" xfId="5652" xr:uid="{00000000-0005-0000-0000-0000AF120000}"/>
    <cellStyle name="20% - Accent3 5 3 4 2" xfId="13635" xr:uid="{00000000-0005-0000-0000-0000B0120000}"/>
    <cellStyle name="20% - Accent3 5 3 4 2 2" xfId="37478" xr:uid="{07E2F9D5-1E8B-438A-ACCC-2AF0AEFCAE7F}"/>
    <cellStyle name="20% - Accent3 5 3 4 3" xfId="21583" xr:uid="{00000000-0005-0000-0000-0000B1120000}"/>
    <cellStyle name="20% - Accent3 5 3 4 3 2" xfId="45415" xr:uid="{06DA822E-881B-4829-829F-EC16709EEEC4}"/>
    <cellStyle name="20% - Accent3 5 3 4 4" xfId="29537" xr:uid="{5AFC224E-A9F4-4F0A-BF8C-B2098D1BDAD1}"/>
    <cellStyle name="20% - Accent3 5 3 5" xfId="9204" xr:uid="{00000000-0005-0000-0000-0000B2120000}"/>
    <cellStyle name="20% - Accent3 5 3 5 2" xfId="17162" xr:uid="{00000000-0005-0000-0000-0000B3120000}"/>
    <cellStyle name="20% - Accent3 5 3 5 2 2" xfId="41002" xr:uid="{59F71586-E7B7-4C18-99AA-AD3D95024E79}"/>
    <cellStyle name="20% - Accent3 5 3 5 3" xfId="25106" xr:uid="{00000000-0005-0000-0000-0000B4120000}"/>
    <cellStyle name="20% - Accent3 5 3 5 3 2" xfId="48938" xr:uid="{7AE3E95E-48CB-4F26-860E-7F9F6091ED5A}"/>
    <cellStyle name="20% - Accent3 5 3 5 4" xfId="33061" xr:uid="{ED2FEFE9-0229-4AFA-BB79-1F52E269268D}"/>
    <cellStyle name="20% - Accent3 5 3 6" xfId="10100" xr:uid="{00000000-0005-0000-0000-0000B5120000}"/>
    <cellStyle name="20% - Accent3 5 3 6 2" xfId="33949" xr:uid="{B46C4583-D0F0-4938-8574-4061D826550B}"/>
    <cellStyle name="20% - Accent3 5 3 7" xfId="18055" xr:uid="{00000000-0005-0000-0000-0000B6120000}"/>
    <cellStyle name="20% - Accent3 5 3 7 2" xfId="41887" xr:uid="{69E09B68-1CF2-4B43-8BA4-5C50C96E7B6D}"/>
    <cellStyle name="20% - Accent3 5 3 8" xfId="26007" xr:uid="{361FFCF5-6816-43D3-921A-1688B4EFEB40}"/>
    <cellStyle name="20% - Accent3 5 3_Exh G" xfId="2263" xr:uid="{00000000-0005-0000-0000-0000B7120000}"/>
    <cellStyle name="20% - Accent3 5 4" xfId="890" xr:uid="{00000000-0005-0000-0000-0000B8120000}"/>
    <cellStyle name="20% - Accent3 5 5" xfId="1181" xr:uid="{00000000-0005-0000-0000-0000B9120000}"/>
    <cellStyle name="20% - Accent3 5 5 2" xfId="4708" xr:uid="{00000000-0005-0000-0000-0000BA120000}"/>
    <cellStyle name="20% - Accent3 5 5 2 2" xfId="8299" xr:uid="{00000000-0005-0000-0000-0000BB120000}"/>
    <cellStyle name="20% - Accent3 5 5 2 2 2" xfId="16269" xr:uid="{00000000-0005-0000-0000-0000BC120000}"/>
    <cellStyle name="20% - Accent3 5 5 2 2 2 2" xfId="40111" xr:uid="{9BDC27B2-3616-4CB3-9B7F-1608B09DAEEC}"/>
    <cellStyle name="20% - Accent3 5 5 2 2 3" xfId="24215" xr:uid="{00000000-0005-0000-0000-0000BD120000}"/>
    <cellStyle name="20% - Accent3 5 5 2 2 3 2" xfId="48047" xr:uid="{B330F8BC-6DD5-477E-9965-52736BC69E69}"/>
    <cellStyle name="20% - Accent3 5 5 2 2 4" xfId="32170" xr:uid="{4A63EA6B-DDB6-46EF-BE7F-1E52B271BDD1}"/>
    <cellStyle name="20% - Accent3 5 5 2 3" xfId="12731" xr:uid="{00000000-0005-0000-0000-0000BE120000}"/>
    <cellStyle name="20% - Accent3 5 5 2 3 2" xfId="36580" xr:uid="{7C2E2813-9EB6-4E70-A73E-4E81BEA64531}"/>
    <cellStyle name="20% - Accent3 5 5 2 4" xfId="20686" xr:uid="{00000000-0005-0000-0000-0000BF120000}"/>
    <cellStyle name="20% - Accent3 5 5 2 4 2" xfId="44518" xr:uid="{0AC5879A-A1E4-4185-9445-FED94D8DB235}"/>
    <cellStyle name="20% - Accent3 5 5 2 5" xfId="28639" xr:uid="{52069224-0972-4001-B8A2-04F0749BACD4}"/>
    <cellStyle name="20% - Accent3 5 5 3" xfId="6540" xr:uid="{00000000-0005-0000-0000-0000C0120000}"/>
    <cellStyle name="20% - Accent3 5 5 3 2" xfId="14511" xr:uid="{00000000-0005-0000-0000-0000C1120000}"/>
    <cellStyle name="20% - Accent3 5 5 3 2 2" xfId="38353" xr:uid="{ED48B24C-F2FD-4065-B560-2816AE3CC93B}"/>
    <cellStyle name="20% - Accent3 5 5 3 3" xfId="22458" xr:uid="{00000000-0005-0000-0000-0000C2120000}"/>
    <cellStyle name="20% - Accent3 5 5 3 3 2" xfId="46290" xr:uid="{324B0BD5-7006-4E8C-B8CE-5C5B0D8F9006}"/>
    <cellStyle name="20% - Accent3 5 5 3 4" xfId="30412" xr:uid="{BED47BAB-DDC7-46B8-A8EF-10D9996AD9C9}"/>
    <cellStyle name="20% - Accent3 5 5 4" xfId="10975" xr:uid="{00000000-0005-0000-0000-0000C3120000}"/>
    <cellStyle name="20% - Accent3 5 5 4 2" xfId="34824" xr:uid="{59B46549-1228-4A6C-B495-DDF21B1DC615}"/>
    <cellStyle name="20% - Accent3 5 5 5" xfId="18930" xr:uid="{00000000-0005-0000-0000-0000C4120000}"/>
    <cellStyle name="20% - Accent3 5 5 5 2" xfId="42762" xr:uid="{3B8B8471-E6D1-4E48-8CDD-28E4467AC21E}"/>
    <cellStyle name="20% - Accent3 5 5 6" xfId="26882" xr:uid="{28D47FE1-4E99-496B-9A4C-99B2403072FC}"/>
    <cellStyle name="20% - Accent3 5 5_Exh G" xfId="2265" xr:uid="{00000000-0005-0000-0000-0000C5120000}"/>
    <cellStyle name="20% - Accent3 5 6" xfId="3829" xr:uid="{00000000-0005-0000-0000-0000C6120000}"/>
    <cellStyle name="20% - Accent3 5 6 2" xfId="7421" xr:uid="{00000000-0005-0000-0000-0000C7120000}"/>
    <cellStyle name="20% - Accent3 5 6 2 2" xfId="15391" xr:uid="{00000000-0005-0000-0000-0000C8120000}"/>
    <cellStyle name="20% - Accent3 5 6 2 2 2" xfId="39233" xr:uid="{FDDB68C6-192F-4575-BF0E-056A28C3DC6F}"/>
    <cellStyle name="20% - Accent3 5 6 2 3" xfId="23337" xr:uid="{00000000-0005-0000-0000-0000C9120000}"/>
    <cellStyle name="20% - Accent3 5 6 2 3 2" xfId="47169" xr:uid="{305854BB-6752-4CA0-83C7-35FE2D0B8CD9}"/>
    <cellStyle name="20% - Accent3 5 6 2 4" xfId="31292" xr:uid="{DB4CD0CF-B096-440C-835D-6113720BC662}"/>
    <cellStyle name="20% - Accent3 5 6 3" xfId="11853" xr:uid="{00000000-0005-0000-0000-0000CA120000}"/>
    <cellStyle name="20% - Accent3 5 6 3 2" xfId="35702" xr:uid="{02C5AD7C-F223-4712-B586-E4E6E966AB0E}"/>
    <cellStyle name="20% - Accent3 5 6 4" xfId="19808" xr:uid="{00000000-0005-0000-0000-0000CB120000}"/>
    <cellStyle name="20% - Accent3 5 6 4 2" xfId="43640" xr:uid="{5F48FB8B-2EAD-4329-8F7F-71647BDD24A2}"/>
    <cellStyle name="20% - Accent3 5 6 5" xfId="27761" xr:uid="{BA9D7540-33A9-43EE-B3FC-301FDA5F4CF8}"/>
    <cellStyle name="20% - Accent3 5 7" xfId="5649" xr:uid="{00000000-0005-0000-0000-0000CC120000}"/>
    <cellStyle name="20% - Accent3 5 7 2" xfId="13632" xr:uid="{00000000-0005-0000-0000-0000CD120000}"/>
    <cellStyle name="20% - Accent3 5 7 2 2" xfId="37475" xr:uid="{41EFD2FC-9C61-4364-B587-6F17D8EC7C5C}"/>
    <cellStyle name="20% - Accent3 5 7 3" xfId="21580" xr:uid="{00000000-0005-0000-0000-0000CE120000}"/>
    <cellStyle name="20% - Accent3 5 7 3 2" xfId="45412" xr:uid="{BE41D626-FBE3-4167-ADF4-C4CA8AD1A460}"/>
    <cellStyle name="20% - Accent3 5 7 4" xfId="29534" xr:uid="{4AA378BC-9ADD-4920-B37B-DB0AAC6A25E7}"/>
    <cellStyle name="20% - Accent3 5 8" xfId="9201" xr:uid="{00000000-0005-0000-0000-0000CF120000}"/>
    <cellStyle name="20% - Accent3 5 8 2" xfId="17159" xr:uid="{00000000-0005-0000-0000-0000D0120000}"/>
    <cellStyle name="20% - Accent3 5 8 2 2" xfId="40999" xr:uid="{3E740367-CD0E-48B7-B57B-2A32AED98FE1}"/>
    <cellStyle name="20% - Accent3 5 8 3" xfId="25103" xr:uid="{00000000-0005-0000-0000-0000D1120000}"/>
    <cellStyle name="20% - Accent3 5 8 3 2" xfId="48935" xr:uid="{5012728D-0FD5-45DE-A5E9-4F9D1463D552}"/>
    <cellStyle name="20% - Accent3 5 8 4" xfId="33058" xr:uid="{961561AD-DA25-4CA5-B7D3-2C6398995517}"/>
    <cellStyle name="20% - Accent3 5 9" xfId="10097" xr:uid="{00000000-0005-0000-0000-0000D2120000}"/>
    <cellStyle name="20% - Accent3 5 9 2" xfId="33946" xr:uid="{1AE0AB78-F8F5-4EC7-A70A-312FD0811984}"/>
    <cellStyle name="20% - Accent3 5_Exh G" xfId="2258" xr:uid="{00000000-0005-0000-0000-0000D3120000}"/>
    <cellStyle name="20% - Accent3 6" xfId="159" xr:uid="{00000000-0005-0000-0000-0000D4120000}"/>
    <cellStyle name="20% - Accent3 6 10" xfId="18056" xr:uid="{00000000-0005-0000-0000-0000D5120000}"/>
    <cellStyle name="20% - Accent3 6 10 2" xfId="41888" xr:uid="{AE89570D-E0B2-4E9F-A23F-244CE782C9CD}"/>
    <cellStyle name="20% - Accent3 6 11" xfId="26008" xr:uid="{179BF5FA-40BF-4456-B2CE-EC7DC91A1AAD}"/>
    <cellStyle name="20% - Accent3 6 2" xfId="160" xr:uid="{00000000-0005-0000-0000-0000D6120000}"/>
    <cellStyle name="20% - Accent3 6 2 2" xfId="161" xr:uid="{00000000-0005-0000-0000-0000D7120000}"/>
    <cellStyle name="20% - Accent3 6 2 2 2" xfId="1187" xr:uid="{00000000-0005-0000-0000-0000D8120000}"/>
    <cellStyle name="20% - Accent3 6 2 2 2 2" xfId="4714" xr:uid="{00000000-0005-0000-0000-0000D9120000}"/>
    <cellStyle name="20% - Accent3 6 2 2 2 2 2" xfId="8305" xr:uid="{00000000-0005-0000-0000-0000DA120000}"/>
    <cellStyle name="20% - Accent3 6 2 2 2 2 2 2" xfId="16275" xr:uid="{00000000-0005-0000-0000-0000DB120000}"/>
    <cellStyle name="20% - Accent3 6 2 2 2 2 2 2 2" xfId="40117" xr:uid="{BCA2BBBB-E8EA-4F3F-B5B8-179E2AAC3431}"/>
    <cellStyle name="20% - Accent3 6 2 2 2 2 2 3" xfId="24221" xr:uid="{00000000-0005-0000-0000-0000DC120000}"/>
    <cellStyle name="20% - Accent3 6 2 2 2 2 2 3 2" xfId="48053" xr:uid="{56F8FCAA-6ADE-4125-A250-1A2FE2003653}"/>
    <cellStyle name="20% - Accent3 6 2 2 2 2 2 4" xfId="32176" xr:uid="{9162850A-A45D-430B-9589-0E752D15E4AF}"/>
    <cellStyle name="20% - Accent3 6 2 2 2 2 3" xfId="12737" xr:uid="{00000000-0005-0000-0000-0000DD120000}"/>
    <cellStyle name="20% - Accent3 6 2 2 2 2 3 2" xfId="36586" xr:uid="{C1F26310-DB14-482A-B26F-AC7A1D0A6EAE}"/>
    <cellStyle name="20% - Accent3 6 2 2 2 2 4" xfId="20692" xr:uid="{00000000-0005-0000-0000-0000DE120000}"/>
    <cellStyle name="20% - Accent3 6 2 2 2 2 4 2" xfId="44524" xr:uid="{8428CA31-C8BD-44A3-AF9F-B31ED2C07A75}"/>
    <cellStyle name="20% - Accent3 6 2 2 2 2 5" xfId="28645" xr:uid="{066FC198-ABDE-400D-8CF2-FD81382486B6}"/>
    <cellStyle name="20% - Accent3 6 2 2 2 3" xfId="6546" xr:uid="{00000000-0005-0000-0000-0000DF120000}"/>
    <cellStyle name="20% - Accent3 6 2 2 2 3 2" xfId="14517" xr:uid="{00000000-0005-0000-0000-0000E0120000}"/>
    <cellStyle name="20% - Accent3 6 2 2 2 3 2 2" xfId="38359" xr:uid="{4DC563B2-26FE-4857-BEE3-B4A35A70C89C}"/>
    <cellStyle name="20% - Accent3 6 2 2 2 3 3" xfId="22464" xr:uid="{00000000-0005-0000-0000-0000E1120000}"/>
    <cellStyle name="20% - Accent3 6 2 2 2 3 3 2" xfId="46296" xr:uid="{295526D8-4D83-4283-B67E-67F04D1FE740}"/>
    <cellStyle name="20% - Accent3 6 2 2 2 3 4" xfId="30418" xr:uid="{0AFE3CF8-6561-4A82-932A-E371905E35AE}"/>
    <cellStyle name="20% - Accent3 6 2 2 2 4" xfId="10981" xr:uid="{00000000-0005-0000-0000-0000E2120000}"/>
    <cellStyle name="20% - Accent3 6 2 2 2 4 2" xfId="34830" xr:uid="{F4D072EC-002D-452C-B16E-AACB855D06B4}"/>
    <cellStyle name="20% - Accent3 6 2 2 2 5" xfId="18936" xr:uid="{00000000-0005-0000-0000-0000E3120000}"/>
    <cellStyle name="20% - Accent3 6 2 2 2 5 2" xfId="42768" xr:uid="{EDB44CB6-3A9F-4D88-B12E-08219A790635}"/>
    <cellStyle name="20% - Accent3 6 2 2 2 6" xfId="26888" xr:uid="{41AE686E-9C54-4AB9-9110-8563391549DE}"/>
    <cellStyle name="20% - Accent3 6 2 2 2_Exh G" xfId="2269" xr:uid="{00000000-0005-0000-0000-0000E4120000}"/>
    <cellStyle name="20% - Accent3 6 2 2 3" xfId="3835" xr:uid="{00000000-0005-0000-0000-0000E5120000}"/>
    <cellStyle name="20% - Accent3 6 2 2 3 2" xfId="7427" xr:uid="{00000000-0005-0000-0000-0000E6120000}"/>
    <cellStyle name="20% - Accent3 6 2 2 3 2 2" xfId="15397" xr:uid="{00000000-0005-0000-0000-0000E7120000}"/>
    <cellStyle name="20% - Accent3 6 2 2 3 2 2 2" xfId="39239" xr:uid="{600C8D09-7C59-41C1-B5F7-9A7B0516AB3A}"/>
    <cellStyle name="20% - Accent3 6 2 2 3 2 3" xfId="23343" xr:uid="{00000000-0005-0000-0000-0000E8120000}"/>
    <cellStyle name="20% - Accent3 6 2 2 3 2 3 2" xfId="47175" xr:uid="{0748037A-89F5-45DA-B7B4-8E1CEF955291}"/>
    <cellStyle name="20% - Accent3 6 2 2 3 2 4" xfId="31298" xr:uid="{2CA10150-17A0-42D1-9B6D-2C70CD3859FF}"/>
    <cellStyle name="20% - Accent3 6 2 2 3 3" xfId="11859" xr:uid="{00000000-0005-0000-0000-0000E9120000}"/>
    <cellStyle name="20% - Accent3 6 2 2 3 3 2" xfId="35708" xr:uid="{6DBB9448-D55B-42D1-A1C1-C79C41B2775B}"/>
    <cellStyle name="20% - Accent3 6 2 2 3 4" xfId="19814" xr:uid="{00000000-0005-0000-0000-0000EA120000}"/>
    <cellStyle name="20% - Accent3 6 2 2 3 4 2" xfId="43646" xr:uid="{751147CC-4762-4F71-901D-C816F604CC17}"/>
    <cellStyle name="20% - Accent3 6 2 2 3 5" xfId="27767" xr:uid="{65BA590B-06D9-4F4E-9348-EC85E1F38CD3}"/>
    <cellStyle name="20% - Accent3 6 2 2 4" xfId="5655" xr:uid="{00000000-0005-0000-0000-0000EB120000}"/>
    <cellStyle name="20% - Accent3 6 2 2 4 2" xfId="13638" xr:uid="{00000000-0005-0000-0000-0000EC120000}"/>
    <cellStyle name="20% - Accent3 6 2 2 4 2 2" xfId="37481" xr:uid="{8A74D438-0761-472C-8691-F23DFA3A4634}"/>
    <cellStyle name="20% - Accent3 6 2 2 4 3" xfId="21586" xr:uid="{00000000-0005-0000-0000-0000ED120000}"/>
    <cellStyle name="20% - Accent3 6 2 2 4 3 2" xfId="45418" xr:uid="{704D449F-2141-4143-8A7B-A7F02BAAB943}"/>
    <cellStyle name="20% - Accent3 6 2 2 4 4" xfId="29540" xr:uid="{3045AB3B-3407-45C3-B65C-F7E7567E60FD}"/>
    <cellStyle name="20% - Accent3 6 2 2 5" xfId="9207" xr:uid="{00000000-0005-0000-0000-0000EE120000}"/>
    <cellStyle name="20% - Accent3 6 2 2 5 2" xfId="17165" xr:uid="{00000000-0005-0000-0000-0000EF120000}"/>
    <cellStyle name="20% - Accent3 6 2 2 5 2 2" xfId="41005" xr:uid="{4EF62761-F60C-4545-8BD4-84C6B1C68607}"/>
    <cellStyle name="20% - Accent3 6 2 2 5 3" xfId="25109" xr:uid="{00000000-0005-0000-0000-0000F0120000}"/>
    <cellStyle name="20% - Accent3 6 2 2 5 3 2" xfId="48941" xr:uid="{AA3CBE0C-2C64-4E11-A3AB-86862031890B}"/>
    <cellStyle name="20% - Accent3 6 2 2 5 4" xfId="33064" xr:uid="{9045A574-00BC-47FC-86CD-BFC1ECD69C64}"/>
    <cellStyle name="20% - Accent3 6 2 2 6" xfId="10103" xr:uid="{00000000-0005-0000-0000-0000F1120000}"/>
    <cellStyle name="20% - Accent3 6 2 2 6 2" xfId="33952" xr:uid="{B2573C5B-4C6A-4211-BE8A-6CAE24532596}"/>
    <cellStyle name="20% - Accent3 6 2 2 7" xfId="18058" xr:uid="{00000000-0005-0000-0000-0000F2120000}"/>
    <cellStyle name="20% - Accent3 6 2 2 7 2" xfId="41890" xr:uid="{4957D0EA-55C6-4CCC-876C-A9BE9BD6ED02}"/>
    <cellStyle name="20% - Accent3 6 2 2 8" xfId="26010" xr:uid="{05E3D913-093D-4FE7-94A1-4A074B60C953}"/>
    <cellStyle name="20% - Accent3 6 2 2_Exh G" xfId="2268" xr:uid="{00000000-0005-0000-0000-0000F3120000}"/>
    <cellStyle name="20% - Accent3 6 2 3" xfId="1186" xr:uid="{00000000-0005-0000-0000-0000F4120000}"/>
    <cellStyle name="20% - Accent3 6 2 3 2" xfId="4713" xr:uid="{00000000-0005-0000-0000-0000F5120000}"/>
    <cellStyle name="20% - Accent3 6 2 3 2 2" xfId="8304" xr:uid="{00000000-0005-0000-0000-0000F6120000}"/>
    <cellStyle name="20% - Accent3 6 2 3 2 2 2" xfId="16274" xr:uid="{00000000-0005-0000-0000-0000F7120000}"/>
    <cellStyle name="20% - Accent3 6 2 3 2 2 2 2" xfId="40116" xr:uid="{C0911728-3F38-41B8-922F-FE15915A50AB}"/>
    <cellStyle name="20% - Accent3 6 2 3 2 2 3" xfId="24220" xr:uid="{00000000-0005-0000-0000-0000F8120000}"/>
    <cellStyle name="20% - Accent3 6 2 3 2 2 3 2" xfId="48052" xr:uid="{C05F6B3F-544A-4B37-B8F6-7E0560AEEE0D}"/>
    <cellStyle name="20% - Accent3 6 2 3 2 2 4" xfId="32175" xr:uid="{B23B058B-25B4-4184-A916-61C915BF465E}"/>
    <cellStyle name="20% - Accent3 6 2 3 2 3" xfId="12736" xr:uid="{00000000-0005-0000-0000-0000F9120000}"/>
    <cellStyle name="20% - Accent3 6 2 3 2 3 2" xfId="36585" xr:uid="{F6784C45-E74D-498A-9D45-2714AFC1161F}"/>
    <cellStyle name="20% - Accent3 6 2 3 2 4" xfId="20691" xr:uid="{00000000-0005-0000-0000-0000FA120000}"/>
    <cellStyle name="20% - Accent3 6 2 3 2 4 2" xfId="44523" xr:uid="{5A06257B-1298-49F6-9E6C-10706D57A420}"/>
    <cellStyle name="20% - Accent3 6 2 3 2 5" xfId="28644" xr:uid="{11C7DD05-D28A-4B2C-ADA0-604B317085CB}"/>
    <cellStyle name="20% - Accent3 6 2 3 3" xfId="6545" xr:uid="{00000000-0005-0000-0000-0000FB120000}"/>
    <cellStyle name="20% - Accent3 6 2 3 3 2" xfId="14516" xr:uid="{00000000-0005-0000-0000-0000FC120000}"/>
    <cellStyle name="20% - Accent3 6 2 3 3 2 2" xfId="38358" xr:uid="{3E02DDE8-6F69-4588-A8BF-B035487E23D2}"/>
    <cellStyle name="20% - Accent3 6 2 3 3 3" xfId="22463" xr:uid="{00000000-0005-0000-0000-0000FD120000}"/>
    <cellStyle name="20% - Accent3 6 2 3 3 3 2" xfId="46295" xr:uid="{77FB41D2-B2B4-44C8-BDF2-476FEA73FE34}"/>
    <cellStyle name="20% - Accent3 6 2 3 3 4" xfId="30417" xr:uid="{8D4CDF99-0A71-441D-9ADA-F4A7549CBFCC}"/>
    <cellStyle name="20% - Accent3 6 2 3 4" xfId="10980" xr:uid="{00000000-0005-0000-0000-0000FE120000}"/>
    <cellStyle name="20% - Accent3 6 2 3 4 2" xfId="34829" xr:uid="{5D118603-A588-4B57-B0D7-AE8284D5708B}"/>
    <cellStyle name="20% - Accent3 6 2 3 5" xfId="18935" xr:uid="{00000000-0005-0000-0000-0000FF120000}"/>
    <cellStyle name="20% - Accent3 6 2 3 5 2" xfId="42767" xr:uid="{19AFAE08-061A-4DFB-B6A1-6DB5806D1CFA}"/>
    <cellStyle name="20% - Accent3 6 2 3 6" xfId="26887" xr:uid="{F7CCE88A-3A3E-403A-998D-596A55ED237D}"/>
    <cellStyle name="20% - Accent3 6 2 3_Exh G" xfId="2270" xr:uid="{00000000-0005-0000-0000-000000130000}"/>
    <cellStyle name="20% - Accent3 6 2 4" xfId="3834" xr:uid="{00000000-0005-0000-0000-000001130000}"/>
    <cellStyle name="20% - Accent3 6 2 4 2" xfId="7426" xr:uid="{00000000-0005-0000-0000-000002130000}"/>
    <cellStyle name="20% - Accent3 6 2 4 2 2" xfId="15396" xr:uid="{00000000-0005-0000-0000-000003130000}"/>
    <cellStyle name="20% - Accent3 6 2 4 2 2 2" xfId="39238" xr:uid="{7FCCD0BE-1920-4AC3-ABC0-F3149F27F5A7}"/>
    <cellStyle name="20% - Accent3 6 2 4 2 3" xfId="23342" xr:uid="{00000000-0005-0000-0000-000004130000}"/>
    <cellStyle name="20% - Accent3 6 2 4 2 3 2" xfId="47174" xr:uid="{752BEC9D-07F9-4029-BE0F-67B2B1B3A598}"/>
    <cellStyle name="20% - Accent3 6 2 4 2 4" xfId="31297" xr:uid="{59A6EE58-3565-48AF-B126-8816530FD8D2}"/>
    <cellStyle name="20% - Accent3 6 2 4 3" xfId="11858" xr:uid="{00000000-0005-0000-0000-000005130000}"/>
    <cellStyle name="20% - Accent3 6 2 4 3 2" xfId="35707" xr:uid="{B5779102-A077-4743-A009-6E3ECA486B39}"/>
    <cellStyle name="20% - Accent3 6 2 4 4" xfId="19813" xr:uid="{00000000-0005-0000-0000-000006130000}"/>
    <cellStyle name="20% - Accent3 6 2 4 4 2" xfId="43645" xr:uid="{99F37979-F077-4EB6-A06F-8022C2A7C33D}"/>
    <cellStyle name="20% - Accent3 6 2 4 5" xfId="27766" xr:uid="{41921DDD-7B30-45B4-AB1D-D464520C34E1}"/>
    <cellStyle name="20% - Accent3 6 2 5" xfId="5654" xr:uid="{00000000-0005-0000-0000-000007130000}"/>
    <cellStyle name="20% - Accent3 6 2 5 2" xfId="13637" xr:uid="{00000000-0005-0000-0000-000008130000}"/>
    <cellStyle name="20% - Accent3 6 2 5 2 2" xfId="37480" xr:uid="{64082061-8115-44E5-AFB9-784275AC81A4}"/>
    <cellStyle name="20% - Accent3 6 2 5 3" xfId="21585" xr:uid="{00000000-0005-0000-0000-000009130000}"/>
    <cellStyle name="20% - Accent3 6 2 5 3 2" xfId="45417" xr:uid="{87772B99-843E-41F9-8E2A-7E75F9CECEE4}"/>
    <cellStyle name="20% - Accent3 6 2 5 4" xfId="29539" xr:uid="{1202F724-2A53-47FF-AE93-1D32FC978ED0}"/>
    <cellStyle name="20% - Accent3 6 2 6" xfId="9206" xr:uid="{00000000-0005-0000-0000-00000A130000}"/>
    <cellStyle name="20% - Accent3 6 2 6 2" xfId="17164" xr:uid="{00000000-0005-0000-0000-00000B130000}"/>
    <cellStyle name="20% - Accent3 6 2 6 2 2" xfId="41004" xr:uid="{9F0D1451-C572-488E-8EDE-3EBBD4DD78DC}"/>
    <cellStyle name="20% - Accent3 6 2 6 3" xfId="25108" xr:uid="{00000000-0005-0000-0000-00000C130000}"/>
    <cellStyle name="20% - Accent3 6 2 6 3 2" xfId="48940" xr:uid="{624D2720-950C-4DF8-B6E1-59E3661922DF}"/>
    <cellStyle name="20% - Accent3 6 2 6 4" xfId="33063" xr:uid="{33167ECC-83A7-4E9A-9D5B-BBFBDFA6F42C}"/>
    <cellStyle name="20% - Accent3 6 2 7" xfId="10102" xr:uid="{00000000-0005-0000-0000-00000D130000}"/>
    <cellStyle name="20% - Accent3 6 2 7 2" xfId="33951" xr:uid="{73F78676-3F65-4C65-A3FE-828CFE8E553C}"/>
    <cellStyle name="20% - Accent3 6 2 8" xfId="18057" xr:uid="{00000000-0005-0000-0000-00000E130000}"/>
    <cellStyle name="20% - Accent3 6 2 8 2" xfId="41889" xr:uid="{CF1A6711-24D1-4DDD-A97C-5CC48FB19FA2}"/>
    <cellStyle name="20% - Accent3 6 2 9" xfId="26009" xr:uid="{A91DA412-36A0-433A-8538-95D1CAF372EE}"/>
    <cellStyle name="20% - Accent3 6 2_Exh G" xfId="2267" xr:uid="{00000000-0005-0000-0000-00000F130000}"/>
    <cellStyle name="20% - Accent3 6 3" xfId="162" xr:uid="{00000000-0005-0000-0000-000010130000}"/>
    <cellStyle name="20% - Accent3 6 3 2" xfId="1188" xr:uid="{00000000-0005-0000-0000-000011130000}"/>
    <cellStyle name="20% - Accent3 6 3 2 2" xfId="4715" xr:uid="{00000000-0005-0000-0000-000012130000}"/>
    <cellStyle name="20% - Accent3 6 3 2 2 2" xfId="8306" xr:uid="{00000000-0005-0000-0000-000013130000}"/>
    <cellStyle name="20% - Accent3 6 3 2 2 2 2" xfId="16276" xr:uid="{00000000-0005-0000-0000-000014130000}"/>
    <cellStyle name="20% - Accent3 6 3 2 2 2 2 2" xfId="40118" xr:uid="{CB765734-4CBD-404D-8D97-927330B946D8}"/>
    <cellStyle name="20% - Accent3 6 3 2 2 2 3" xfId="24222" xr:uid="{00000000-0005-0000-0000-000015130000}"/>
    <cellStyle name="20% - Accent3 6 3 2 2 2 3 2" xfId="48054" xr:uid="{F31E05E6-379D-4F14-AFA6-1807827B9169}"/>
    <cellStyle name="20% - Accent3 6 3 2 2 2 4" xfId="32177" xr:uid="{9B10B30F-CB8C-40B2-A193-16E62844D0DD}"/>
    <cellStyle name="20% - Accent3 6 3 2 2 3" xfId="12738" xr:uid="{00000000-0005-0000-0000-000016130000}"/>
    <cellStyle name="20% - Accent3 6 3 2 2 3 2" xfId="36587" xr:uid="{E467E58D-06F9-46D2-8CEF-1F4C8313D40B}"/>
    <cellStyle name="20% - Accent3 6 3 2 2 4" xfId="20693" xr:uid="{00000000-0005-0000-0000-000017130000}"/>
    <cellStyle name="20% - Accent3 6 3 2 2 4 2" xfId="44525" xr:uid="{417B50FC-F466-4E85-8AC0-4F2CE235964A}"/>
    <cellStyle name="20% - Accent3 6 3 2 2 5" xfId="28646" xr:uid="{7488C01A-36DC-42E0-BF4A-4623B7B7C694}"/>
    <cellStyle name="20% - Accent3 6 3 2 3" xfId="6547" xr:uid="{00000000-0005-0000-0000-000018130000}"/>
    <cellStyle name="20% - Accent3 6 3 2 3 2" xfId="14518" xr:uid="{00000000-0005-0000-0000-000019130000}"/>
    <cellStyle name="20% - Accent3 6 3 2 3 2 2" xfId="38360" xr:uid="{46C2635B-6414-439C-A301-747E51462D19}"/>
    <cellStyle name="20% - Accent3 6 3 2 3 3" xfId="22465" xr:uid="{00000000-0005-0000-0000-00001A130000}"/>
    <cellStyle name="20% - Accent3 6 3 2 3 3 2" xfId="46297" xr:uid="{6E3231EC-8D29-4CCC-9F80-B5F156F2F957}"/>
    <cellStyle name="20% - Accent3 6 3 2 3 4" xfId="30419" xr:uid="{30B5620A-45BE-4668-BD7B-1E256DE532C6}"/>
    <cellStyle name="20% - Accent3 6 3 2 4" xfId="10982" xr:uid="{00000000-0005-0000-0000-00001B130000}"/>
    <cellStyle name="20% - Accent3 6 3 2 4 2" xfId="34831" xr:uid="{1533A5F5-F121-49F0-BD78-3549830EAE46}"/>
    <cellStyle name="20% - Accent3 6 3 2 5" xfId="18937" xr:uid="{00000000-0005-0000-0000-00001C130000}"/>
    <cellStyle name="20% - Accent3 6 3 2 5 2" xfId="42769" xr:uid="{F8CE7178-BFE5-47F3-B1E2-1ECA4E377563}"/>
    <cellStyle name="20% - Accent3 6 3 2 6" xfId="26889" xr:uid="{357E00C6-60D0-447F-A0FF-56F51BB3C562}"/>
    <cellStyle name="20% - Accent3 6 3 2_Exh G" xfId="2272" xr:uid="{00000000-0005-0000-0000-00001D130000}"/>
    <cellStyle name="20% - Accent3 6 3 3" xfId="3836" xr:uid="{00000000-0005-0000-0000-00001E130000}"/>
    <cellStyle name="20% - Accent3 6 3 3 2" xfId="7428" xr:uid="{00000000-0005-0000-0000-00001F130000}"/>
    <cellStyle name="20% - Accent3 6 3 3 2 2" xfId="15398" xr:uid="{00000000-0005-0000-0000-000020130000}"/>
    <cellStyle name="20% - Accent3 6 3 3 2 2 2" xfId="39240" xr:uid="{7F90B549-A335-4DF2-B0B1-6B1B536C515D}"/>
    <cellStyle name="20% - Accent3 6 3 3 2 3" xfId="23344" xr:uid="{00000000-0005-0000-0000-000021130000}"/>
    <cellStyle name="20% - Accent3 6 3 3 2 3 2" xfId="47176" xr:uid="{A143A175-89D9-487F-88D3-2FF9448C900D}"/>
    <cellStyle name="20% - Accent3 6 3 3 2 4" xfId="31299" xr:uid="{844BE49C-CDF5-462C-89A5-6A281CD2DFAB}"/>
    <cellStyle name="20% - Accent3 6 3 3 3" xfId="11860" xr:uid="{00000000-0005-0000-0000-000022130000}"/>
    <cellStyle name="20% - Accent3 6 3 3 3 2" xfId="35709" xr:uid="{E7A1F60A-60AB-4F05-8BEF-5B3501E92AC3}"/>
    <cellStyle name="20% - Accent3 6 3 3 4" xfId="19815" xr:uid="{00000000-0005-0000-0000-000023130000}"/>
    <cellStyle name="20% - Accent3 6 3 3 4 2" xfId="43647" xr:uid="{555C796D-65FD-4D3B-ADC3-F868D5AEC982}"/>
    <cellStyle name="20% - Accent3 6 3 3 5" xfId="27768" xr:uid="{84133587-2B13-452B-BAA6-D7A4FA5C0BE8}"/>
    <cellStyle name="20% - Accent3 6 3 4" xfId="5656" xr:uid="{00000000-0005-0000-0000-000024130000}"/>
    <cellStyle name="20% - Accent3 6 3 4 2" xfId="13639" xr:uid="{00000000-0005-0000-0000-000025130000}"/>
    <cellStyle name="20% - Accent3 6 3 4 2 2" xfId="37482" xr:uid="{5B9FDB83-BD67-4A4F-A720-BF3BA2DAFE98}"/>
    <cellStyle name="20% - Accent3 6 3 4 3" xfId="21587" xr:uid="{00000000-0005-0000-0000-000026130000}"/>
    <cellStyle name="20% - Accent3 6 3 4 3 2" xfId="45419" xr:uid="{F0A5B062-1096-417D-AC58-21440D8C8DDA}"/>
    <cellStyle name="20% - Accent3 6 3 4 4" xfId="29541" xr:uid="{31AE9161-6DBD-4718-B705-BFA9D2D38897}"/>
    <cellStyle name="20% - Accent3 6 3 5" xfId="9208" xr:uid="{00000000-0005-0000-0000-000027130000}"/>
    <cellStyle name="20% - Accent3 6 3 5 2" xfId="17166" xr:uid="{00000000-0005-0000-0000-000028130000}"/>
    <cellStyle name="20% - Accent3 6 3 5 2 2" xfId="41006" xr:uid="{C778CA65-8316-4538-8B8C-1E03BEC1832E}"/>
    <cellStyle name="20% - Accent3 6 3 5 3" xfId="25110" xr:uid="{00000000-0005-0000-0000-000029130000}"/>
    <cellStyle name="20% - Accent3 6 3 5 3 2" xfId="48942" xr:uid="{632117C5-D685-4DC0-A283-2BAE0FF951CA}"/>
    <cellStyle name="20% - Accent3 6 3 5 4" xfId="33065" xr:uid="{2264F270-6AE5-4CC0-9A8E-956B8CAA4DB7}"/>
    <cellStyle name="20% - Accent3 6 3 6" xfId="10104" xr:uid="{00000000-0005-0000-0000-00002A130000}"/>
    <cellStyle name="20% - Accent3 6 3 6 2" xfId="33953" xr:uid="{C2451C53-17DB-4D5C-ABC2-BF4F689C9BEF}"/>
    <cellStyle name="20% - Accent3 6 3 7" xfId="18059" xr:uid="{00000000-0005-0000-0000-00002B130000}"/>
    <cellStyle name="20% - Accent3 6 3 7 2" xfId="41891" xr:uid="{E1AB56F9-56A1-4D2A-80F6-27A714063813}"/>
    <cellStyle name="20% - Accent3 6 3 8" xfId="26011" xr:uid="{B68FEB38-E54E-4858-B260-2626EA4A1BFE}"/>
    <cellStyle name="20% - Accent3 6 3_Exh G" xfId="2271" xr:uid="{00000000-0005-0000-0000-00002C130000}"/>
    <cellStyle name="20% - Accent3 6 4" xfId="891" xr:uid="{00000000-0005-0000-0000-00002D130000}"/>
    <cellStyle name="20% - Accent3 6 4 2" xfId="1818" xr:uid="{00000000-0005-0000-0000-00002E130000}"/>
    <cellStyle name="20% - Accent3 6 4 2 2" xfId="5335" xr:uid="{00000000-0005-0000-0000-00002F130000}"/>
    <cellStyle name="20% - Accent3 6 4 2 2 2" xfId="8926" xr:uid="{00000000-0005-0000-0000-000030130000}"/>
    <cellStyle name="20% - Accent3 6 4 2 2 2 2" xfId="16896" xr:uid="{00000000-0005-0000-0000-000031130000}"/>
    <cellStyle name="20% - Accent3 6 4 2 2 2 2 2" xfId="40738" xr:uid="{39D38B52-B417-4067-874D-914E06854D6E}"/>
    <cellStyle name="20% - Accent3 6 4 2 2 2 3" xfId="24842" xr:uid="{00000000-0005-0000-0000-000032130000}"/>
    <cellStyle name="20% - Accent3 6 4 2 2 2 3 2" xfId="48674" xr:uid="{1FA85CAB-2BDB-47A6-A3D0-76A66BB2D0CB}"/>
    <cellStyle name="20% - Accent3 6 4 2 2 2 4" xfId="32797" xr:uid="{695EC9B3-4989-4987-9972-68103A8BD380}"/>
    <cellStyle name="20% - Accent3 6 4 2 2 3" xfId="13358" xr:uid="{00000000-0005-0000-0000-000033130000}"/>
    <cellStyle name="20% - Accent3 6 4 2 2 3 2" xfId="37207" xr:uid="{2F97A3DF-7C93-48A6-9CB2-F9ECA7C54B20}"/>
    <cellStyle name="20% - Accent3 6 4 2 2 4" xfId="21313" xr:uid="{00000000-0005-0000-0000-000034130000}"/>
    <cellStyle name="20% - Accent3 6 4 2 2 4 2" xfId="45145" xr:uid="{4AE1A3B6-5D7D-4327-9C8A-34BACB740074}"/>
    <cellStyle name="20% - Accent3 6 4 2 2 5" xfId="29266" xr:uid="{A6DD0150-77A0-4599-95BA-52B6478A7B38}"/>
    <cellStyle name="20% - Accent3 6 4 2 3" xfId="7167" xr:uid="{00000000-0005-0000-0000-000035130000}"/>
    <cellStyle name="20% - Accent3 6 4 2 3 2" xfId="15138" xr:uid="{00000000-0005-0000-0000-000036130000}"/>
    <cellStyle name="20% - Accent3 6 4 2 3 2 2" xfId="38980" xr:uid="{D73A8692-9F02-4427-9B44-A3839206147B}"/>
    <cellStyle name="20% - Accent3 6 4 2 3 3" xfId="23085" xr:uid="{00000000-0005-0000-0000-000037130000}"/>
    <cellStyle name="20% - Accent3 6 4 2 3 3 2" xfId="46917" xr:uid="{9BF9C506-D566-4433-A979-473D55BFFD34}"/>
    <cellStyle name="20% - Accent3 6 4 2 3 4" xfId="31039" xr:uid="{C24CC51E-C89E-47AF-AFC8-BEC101974E9B}"/>
    <cellStyle name="20% - Accent3 6 4 2 4" xfId="11602" xr:uid="{00000000-0005-0000-0000-000038130000}"/>
    <cellStyle name="20% - Accent3 6 4 2 4 2" xfId="35451" xr:uid="{ECE9216D-0731-4379-9C16-FFDB1473EC42}"/>
    <cellStyle name="20% - Accent3 6 4 2 5" xfId="19557" xr:uid="{00000000-0005-0000-0000-000039130000}"/>
    <cellStyle name="20% - Accent3 6 4 2 5 2" xfId="43389" xr:uid="{76936206-1DFC-477B-97CA-C5120F118878}"/>
    <cellStyle name="20% - Accent3 6 4 2 6" xfId="27509" xr:uid="{CABB3061-9BD8-449D-80C6-23EC1091BDB4}"/>
    <cellStyle name="20% - Accent3 6 4 2_Exh G" xfId="2274" xr:uid="{00000000-0005-0000-0000-00003A130000}"/>
    <cellStyle name="20% - Accent3 6 4 3" xfId="4456" xr:uid="{00000000-0005-0000-0000-00003B130000}"/>
    <cellStyle name="20% - Accent3 6 4 3 2" xfId="8048" xr:uid="{00000000-0005-0000-0000-00003C130000}"/>
    <cellStyle name="20% - Accent3 6 4 3 2 2" xfId="16018" xr:uid="{00000000-0005-0000-0000-00003D130000}"/>
    <cellStyle name="20% - Accent3 6 4 3 2 2 2" xfId="39860" xr:uid="{B643609E-9D9C-48BF-B18A-D094E9379AC3}"/>
    <cellStyle name="20% - Accent3 6 4 3 2 3" xfId="23964" xr:uid="{00000000-0005-0000-0000-00003E130000}"/>
    <cellStyle name="20% - Accent3 6 4 3 2 3 2" xfId="47796" xr:uid="{C174CC4A-3C25-4981-88E2-B488EEE7E64E}"/>
    <cellStyle name="20% - Accent3 6 4 3 2 4" xfId="31919" xr:uid="{9FBCA08F-DB64-41AD-B2A5-289DA577DC0C}"/>
    <cellStyle name="20% - Accent3 6 4 3 3" xfId="12480" xr:uid="{00000000-0005-0000-0000-00003F130000}"/>
    <cellStyle name="20% - Accent3 6 4 3 3 2" xfId="36329" xr:uid="{7722DFBC-C52F-44E2-AFC8-1959B0CDC56C}"/>
    <cellStyle name="20% - Accent3 6 4 3 4" xfId="20435" xr:uid="{00000000-0005-0000-0000-000040130000}"/>
    <cellStyle name="20% - Accent3 6 4 3 4 2" xfId="44267" xr:uid="{451246AF-CB33-4ED6-8F8B-092F6721889C}"/>
    <cellStyle name="20% - Accent3 6 4 3 5" xfId="28388" xr:uid="{92C22965-F548-4A81-98F5-E587D0F0D8BC}"/>
    <cellStyle name="20% - Accent3 6 4 4" xfId="6286" xr:uid="{00000000-0005-0000-0000-000041130000}"/>
    <cellStyle name="20% - Accent3 6 4 4 2" xfId="14260" xr:uid="{00000000-0005-0000-0000-000042130000}"/>
    <cellStyle name="20% - Accent3 6 4 4 2 2" xfId="38102" xr:uid="{EF835A2E-4D51-41EF-9D62-8DC700833600}"/>
    <cellStyle name="20% - Accent3 6 4 4 3" xfId="22207" xr:uid="{00000000-0005-0000-0000-000043130000}"/>
    <cellStyle name="20% - Accent3 6 4 4 3 2" xfId="46039" xr:uid="{805BC80B-8732-44D5-8DC9-C0FCE15A8271}"/>
    <cellStyle name="20% - Accent3 6 4 4 4" xfId="30161" xr:uid="{35F036AD-5F44-4AF3-9416-17C589BF6917}"/>
    <cellStyle name="20% - Accent3 6 4 5" xfId="9828" xr:uid="{00000000-0005-0000-0000-000044130000}"/>
    <cellStyle name="20% - Accent3 6 4 5 2" xfId="17786" xr:uid="{00000000-0005-0000-0000-000045130000}"/>
    <cellStyle name="20% - Accent3 6 4 5 2 2" xfId="41626" xr:uid="{CA424F05-410C-43DE-9BF3-1AA7DF1ECA6F}"/>
    <cellStyle name="20% - Accent3 6 4 5 3" xfId="25730" xr:uid="{00000000-0005-0000-0000-000046130000}"/>
    <cellStyle name="20% - Accent3 6 4 5 3 2" xfId="49562" xr:uid="{AF87AB56-65B8-42A4-996A-7CFBCE5259B5}"/>
    <cellStyle name="20% - Accent3 6 4 5 4" xfId="33685" xr:uid="{006DD90E-F48E-43B2-A4DF-01C26F3B5D43}"/>
    <cellStyle name="20% - Accent3 6 4 6" xfId="10724" xr:uid="{00000000-0005-0000-0000-000047130000}"/>
    <cellStyle name="20% - Accent3 6 4 6 2" xfId="34573" xr:uid="{7E2A5902-5EBF-4F97-AFDD-CEE06884A494}"/>
    <cellStyle name="20% - Accent3 6 4 7" xfId="18679" xr:uid="{00000000-0005-0000-0000-000048130000}"/>
    <cellStyle name="20% - Accent3 6 4 7 2" xfId="42511" xr:uid="{3B069D40-F502-48A5-AC60-B47B130B1301}"/>
    <cellStyle name="20% - Accent3 6 4 8" xfId="26631" xr:uid="{2B09830D-9741-42D1-8B11-627D6CCEA92E}"/>
    <cellStyle name="20% - Accent3 6 4_Exh G" xfId="2273" xr:uid="{00000000-0005-0000-0000-000049130000}"/>
    <cellStyle name="20% - Accent3 6 5" xfId="1185" xr:uid="{00000000-0005-0000-0000-00004A130000}"/>
    <cellStyle name="20% - Accent3 6 5 2" xfId="4712" xr:uid="{00000000-0005-0000-0000-00004B130000}"/>
    <cellStyle name="20% - Accent3 6 5 2 2" xfId="8303" xr:uid="{00000000-0005-0000-0000-00004C130000}"/>
    <cellStyle name="20% - Accent3 6 5 2 2 2" xfId="16273" xr:uid="{00000000-0005-0000-0000-00004D130000}"/>
    <cellStyle name="20% - Accent3 6 5 2 2 2 2" xfId="40115" xr:uid="{E93BD5D7-A167-49B0-9CC9-14E0CF1F9F7F}"/>
    <cellStyle name="20% - Accent3 6 5 2 2 3" xfId="24219" xr:uid="{00000000-0005-0000-0000-00004E130000}"/>
    <cellStyle name="20% - Accent3 6 5 2 2 3 2" xfId="48051" xr:uid="{28C77BC0-72FE-411E-88D0-38AE7582C0B3}"/>
    <cellStyle name="20% - Accent3 6 5 2 2 4" xfId="32174" xr:uid="{068EA3AD-78DA-4DA5-A59C-26E7B2F100DA}"/>
    <cellStyle name="20% - Accent3 6 5 2 3" xfId="12735" xr:uid="{00000000-0005-0000-0000-00004F130000}"/>
    <cellStyle name="20% - Accent3 6 5 2 3 2" xfId="36584" xr:uid="{0055D75B-DF20-49D1-B9CC-4F6F0EF5E4DC}"/>
    <cellStyle name="20% - Accent3 6 5 2 4" xfId="20690" xr:uid="{00000000-0005-0000-0000-000050130000}"/>
    <cellStyle name="20% - Accent3 6 5 2 4 2" xfId="44522" xr:uid="{4B037008-A638-43FA-80EB-ADB80A832C67}"/>
    <cellStyle name="20% - Accent3 6 5 2 5" xfId="28643" xr:uid="{92B6B4D8-DF75-4B7F-8681-2263A23D7D3D}"/>
    <cellStyle name="20% - Accent3 6 5 3" xfId="6544" xr:uid="{00000000-0005-0000-0000-000051130000}"/>
    <cellStyle name="20% - Accent3 6 5 3 2" xfId="14515" xr:uid="{00000000-0005-0000-0000-000052130000}"/>
    <cellStyle name="20% - Accent3 6 5 3 2 2" xfId="38357" xr:uid="{45641752-2A70-4108-9752-D9C3B092D3A9}"/>
    <cellStyle name="20% - Accent3 6 5 3 3" xfId="22462" xr:uid="{00000000-0005-0000-0000-000053130000}"/>
    <cellStyle name="20% - Accent3 6 5 3 3 2" xfId="46294" xr:uid="{69DFBF6D-E562-4DC1-B614-38DAAFEBE34F}"/>
    <cellStyle name="20% - Accent3 6 5 3 4" xfId="30416" xr:uid="{30E6C99D-F4DE-447E-A132-AC8103B617BE}"/>
    <cellStyle name="20% - Accent3 6 5 4" xfId="10979" xr:uid="{00000000-0005-0000-0000-000054130000}"/>
    <cellStyle name="20% - Accent3 6 5 4 2" xfId="34828" xr:uid="{A06D4D6E-A7AA-4306-9531-596A51C2F9FE}"/>
    <cellStyle name="20% - Accent3 6 5 5" xfId="18934" xr:uid="{00000000-0005-0000-0000-000055130000}"/>
    <cellStyle name="20% - Accent3 6 5 5 2" xfId="42766" xr:uid="{BD3F7F6C-3665-4B72-9013-DAABB1953D72}"/>
    <cellStyle name="20% - Accent3 6 5 6" xfId="26886" xr:uid="{1B11ABA8-B80D-4912-928F-4A9FBE4C12FF}"/>
    <cellStyle name="20% - Accent3 6 5_Exh G" xfId="2275" xr:uid="{00000000-0005-0000-0000-000056130000}"/>
    <cellStyle name="20% - Accent3 6 6" xfId="3833" xr:uid="{00000000-0005-0000-0000-000057130000}"/>
    <cellStyle name="20% - Accent3 6 6 2" xfId="7425" xr:uid="{00000000-0005-0000-0000-000058130000}"/>
    <cellStyle name="20% - Accent3 6 6 2 2" xfId="15395" xr:uid="{00000000-0005-0000-0000-000059130000}"/>
    <cellStyle name="20% - Accent3 6 6 2 2 2" xfId="39237" xr:uid="{9A1029DE-6753-4890-B2FC-E34E50E8FEE6}"/>
    <cellStyle name="20% - Accent3 6 6 2 3" xfId="23341" xr:uid="{00000000-0005-0000-0000-00005A130000}"/>
    <cellStyle name="20% - Accent3 6 6 2 3 2" xfId="47173" xr:uid="{3138037C-67E2-4A4B-8701-85A72DFDC8D0}"/>
    <cellStyle name="20% - Accent3 6 6 2 4" xfId="31296" xr:uid="{4FDFF869-78FD-418D-AE41-ABBF8FCC2418}"/>
    <cellStyle name="20% - Accent3 6 6 3" xfId="11857" xr:uid="{00000000-0005-0000-0000-00005B130000}"/>
    <cellStyle name="20% - Accent3 6 6 3 2" xfId="35706" xr:uid="{94F7F5E3-F444-42C2-95DF-6B4F10278BBA}"/>
    <cellStyle name="20% - Accent3 6 6 4" xfId="19812" xr:uid="{00000000-0005-0000-0000-00005C130000}"/>
    <cellStyle name="20% - Accent3 6 6 4 2" xfId="43644" xr:uid="{6D557031-DF3A-4DBF-B33A-2B2C07BE677A}"/>
    <cellStyle name="20% - Accent3 6 6 5" xfId="27765" xr:uid="{B4A1D0D7-DA54-41DD-AAF1-2C8FCB2B6DEC}"/>
    <cellStyle name="20% - Accent3 6 7" xfId="5653" xr:uid="{00000000-0005-0000-0000-00005D130000}"/>
    <cellStyle name="20% - Accent3 6 7 2" xfId="13636" xr:uid="{00000000-0005-0000-0000-00005E130000}"/>
    <cellStyle name="20% - Accent3 6 7 2 2" xfId="37479" xr:uid="{8E425D2A-AC14-4FB6-8074-EC4498BE1C4E}"/>
    <cellStyle name="20% - Accent3 6 7 3" xfId="21584" xr:uid="{00000000-0005-0000-0000-00005F130000}"/>
    <cellStyle name="20% - Accent3 6 7 3 2" xfId="45416" xr:uid="{F57F1C6A-9DC7-4285-BF69-2C639C66179C}"/>
    <cellStyle name="20% - Accent3 6 7 4" xfId="29538" xr:uid="{1E33980F-FAD9-41ED-892B-68347F45B74A}"/>
    <cellStyle name="20% - Accent3 6 8" xfId="9205" xr:uid="{00000000-0005-0000-0000-000060130000}"/>
    <cellStyle name="20% - Accent3 6 8 2" xfId="17163" xr:uid="{00000000-0005-0000-0000-000061130000}"/>
    <cellStyle name="20% - Accent3 6 8 2 2" xfId="41003" xr:uid="{2CE5CA4E-8940-4CBE-A103-34409878BAEA}"/>
    <cellStyle name="20% - Accent3 6 8 3" xfId="25107" xr:uid="{00000000-0005-0000-0000-000062130000}"/>
    <cellStyle name="20% - Accent3 6 8 3 2" xfId="48939" xr:uid="{4CE10670-C12E-4026-B86B-4D61E9E15B18}"/>
    <cellStyle name="20% - Accent3 6 8 4" xfId="33062" xr:uid="{73CEFD03-B473-4B9C-BF46-42613E58F987}"/>
    <cellStyle name="20% - Accent3 6 9" xfId="10101" xr:uid="{00000000-0005-0000-0000-000063130000}"/>
    <cellStyle name="20% - Accent3 6 9 2" xfId="33950" xr:uid="{C7E579E0-8842-406E-A12B-617A9D90A960}"/>
    <cellStyle name="20% - Accent3 6_Exh G" xfId="2266" xr:uid="{00000000-0005-0000-0000-000064130000}"/>
    <cellStyle name="20% - Accent3 7" xfId="163" xr:uid="{00000000-0005-0000-0000-000065130000}"/>
    <cellStyle name="20% - Accent3 7 10" xfId="18060" xr:uid="{00000000-0005-0000-0000-000066130000}"/>
    <cellStyle name="20% - Accent3 7 10 2" xfId="41892" xr:uid="{435D9D7D-0CAB-4A29-B02B-4CD1DF968CE6}"/>
    <cellStyle name="20% - Accent3 7 11" xfId="26012" xr:uid="{03EB0177-8DD7-46F7-9E65-6204CA880862}"/>
    <cellStyle name="20% - Accent3 7 2" xfId="164" xr:uid="{00000000-0005-0000-0000-000067130000}"/>
    <cellStyle name="20% - Accent3 7 2 2" xfId="165" xr:uid="{00000000-0005-0000-0000-000068130000}"/>
    <cellStyle name="20% - Accent3 7 2 2 2" xfId="1191" xr:uid="{00000000-0005-0000-0000-000069130000}"/>
    <cellStyle name="20% - Accent3 7 2 2 2 2" xfId="4718" xr:uid="{00000000-0005-0000-0000-00006A130000}"/>
    <cellStyle name="20% - Accent3 7 2 2 2 2 2" xfId="8309" xr:uid="{00000000-0005-0000-0000-00006B130000}"/>
    <cellStyle name="20% - Accent3 7 2 2 2 2 2 2" xfId="16279" xr:uid="{00000000-0005-0000-0000-00006C130000}"/>
    <cellStyle name="20% - Accent3 7 2 2 2 2 2 2 2" xfId="40121" xr:uid="{2AAB54A0-7FDB-4876-94B7-68EB9D29FD1F}"/>
    <cellStyle name="20% - Accent3 7 2 2 2 2 2 3" xfId="24225" xr:uid="{00000000-0005-0000-0000-00006D130000}"/>
    <cellStyle name="20% - Accent3 7 2 2 2 2 2 3 2" xfId="48057" xr:uid="{1E036F6A-1F08-4D29-B9D0-5A2992775906}"/>
    <cellStyle name="20% - Accent3 7 2 2 2 2 2 4" xfId="32180" xr:uid="{D2302B1A-2BC3-458B-AF17-D2D408B9FB86}"/>
    <cellStyle name="20% - Accent3 7 2 2 2 2 3" xfId="12741" xr:uid="{00000000-0005-0000-0000-00006E130000}"/>
    <cellStyle name="20% - Accent3 7 2 2 2 2 3 2" xfId="36590" xr:uid="{78869085-4FA4-4346-8974-FFA5553CF056}"/>
    <cellStyle name="20% - Accent3 7 2 2 2 2 4" xfId="20696" xr:uid="{00000000-0005-0000-0000-00006F130000}"/>
    <cellStyle name="20% - Accent3 7 2 2 2 2 4 2" xfId="44528" xr:uid="{96477FC9-AA45-4992-9746-2689BE91C739}"/>
    <cellStyle name="20% - Accent3 7 2 2 2 2 5" xfId="28649" xr:uid="{C3C78958-8D78-4409-B1E0-C064D53C3CC2}"/>
    <cellStyle name="20% - Accent3 7 2 2 2 3" xfId="6550" xr:uid="{00000000-0005-0000-0000-000070130000}"/>
    <cellStyle name="20% - Accent3 7 2 2 2 3 2" xfId="14521" xr:uid="{00000000-0005-0000-0000-000071130000}"/>
    <cellStyle name="20% - Accent3 7 2 2 2 3 2 2" xfId="38363" xr:uid="{32359BA8-D68B-4CA7-A3C6-F6531E0F066B}"/>
    <cellStyle name="20% - Accent3 7 2 2 2 3 3" xfId="22468" xr:uid="{00000000-0005-0000-0000-000072130000}"/>
    <cellStyle name="20% - Accent3 7 2 2 2 3 3 2" xfId="46300" xr:uid="{E4D311EE-64CC-47CD-A841-C7A9F217FEDE}"/>
    <cellStyle name="20% - Accent3 7 2 2 2 3 4" xfId="30422" xr:uid="{DCC45A86-FDE5-409C-8A29-13902F36C647}"/>
    <cellStyle name="20% - Accent3 7 2 2 2 4" xfId="10985" xr:uid="{00000000-0005-0000-0000-000073130000}"/>
    <cellStyle name="20% - Accent3 7 2 2 2 4 2" xfId="34834" xr:uid="{012AD5A8-2892-4893-9907-9E7EA381DDDC}"/>
    <cellStyle name="20% - Accent3 7 2 2 2 5" xfId="18940" xr:uid="{00000000-0005-0000-0000-000074130000}"/>
    <cellStyle name="20% - Accent3 7 2 2 2 5 2" xfId="42772" xr:uid="{BB4C86F0-E593-4B10-9237-DBED96423483}"/>
    <cellStyle name="20% - Accent3 7 2 2 2 6" xfId="26892" xr:uid="{74F4A31C-49B7-4EC8-90FF-934D641BE79A}"/>
    <cellStyle name="20% - Accent3 7 2 2 2_Exh G" xfId="2279" xr:uid="{00000000-0005-0000-0000-000075130000}"/>
    <cellStyle name="20% - Accent3 7 2 2 3" xfId="3839" xr:uid="{00000000-0005-0000-0000-000076130000}"/>
    <cellStyle name="20% - Accent3 7 2 2 3 2" xfId="7431" xr:uid="{00000000-0005-0000-0000-000077130000}"/>
    <cellStyle name="20% - Accent3 7 2 2 3 2 2" xfId="15401" xr:uid="{00000000-0005-0000-0000-000078130000}"/>
    <cellStyle name="20% - Accent3 7 2 2 3 2 2 2" xfId="39243" xr:uid="{46190A47-9BB8-4CDD-BEFF-3601505D4C96}"/>
    <cellStyle name="20% - Accent3 7 2 2 3 2 3" xfId="23347" xr:uid="{00000000-0005-0000-0000-000079130000}"/>
    <cellStyle name="20% - Accent3 7 2 2 3 2 3 2" xfId="47179" xr:uid="{7C549447-34AC-4E91-86CD-206723E80DFF}"/>
    <cellStyle name="20% - Accent3 7 2 2 3 2 4" xfId="31302" xr:uid="{4B9373EB-3516-416E-9D5B-85EF494AD5FB}"/>
    <cellStyle name="20% - Accent3 7 2 2 3 3" xfId="11863" xr:uid="{00000000-0005-0000-0000-00007A130000}"/>
    <cellStyle name="20% - Accent3 7 2 2 3 3 2" xfId="35712" xr:uid="{3799BAC6-543D-4B3A-8EE4-F91525859534}"/>
    <cellStyle name="20% - Accent3 7 2 2 3 4" xfId="19818" xr:uid="{00000000-0005-0000-0000-00007B130000}"/>
    <cellStyle name="20% - Accent3 7 2 2 3 4 2" xfId="43650" xr:uid="{F13409E1-CF51-4E93-AE31-A58A020E8860}"/>
    <cellStyle name="20% - Accent3 7 2 2 3 5" xfId="27771" xr:uid="{DF5FBE9C-D314-4EB9-9C8A-27089A9E21EE}"/>
    <cellStyle name="20% - Accent3 7 2 2 4" xfId="5659" xr:uid="{00000000-0005-0000-0000-00007C130000}"/>
    <cellStyle name="20% - Accent3 7 2 2 4 2" xfId="13642" xr:uid="{00000000-0005-0000-0000-00007D130000}"/>
    <cellStyle name="20% - Accent3 7 2 2 4 2 2" xfId="37485" xr:uid="{1FC6AD10-2C68-4961-8FAF-6A4D5A18E574}"/>
    <cellStyle name="20% - Accent3 7 2 2 4 3" xfId="21590" xr:uid="{00000000-0005-0000-0000-00007E130000}"/>
    <cellStyle name="20% - Accent3 7 2 2 4 3 2" xfId="45422" xr:uid="{29321924-A680-4FF6-B69D-2B9363546A51}"/>
    <cellStyle name="20% - Accent3 7 2 2 4 4" xfId="29544" xr:uid="{1CA5AA11-CEB7-4417-8BDD-8E56B2548EB7}"/>
    <cellStyle name="20% - Accent3 7 2 2 5" xfId="9211" xr:uid="{00000000-0005-0000-0000-00007F130000}"/>
    <cellStyle name="20% - Accent3 7 2 2 5 2" xfId="17169" xr:uid="{00000000-0005-0000-0000-000080130000}"/>
    <cellStyle name="20% - Accent3 7 2 2 5 2 2" xfId="41009" xr:uid="{D406AECF-D367-4902-A03D-036EBEE28B2F}"/>
    <cellStyle name="20% - Accent3 7 2 2 5 3" xfId="25113" xr:uid="{00000000-0005-0000-0000-000081130000}"/>
    <cellStyle name="20% - Accent3 7 2 2 5 3 2" xfId="48945" xr:uid="{E40E2ACF-358A-4242-872C-1458D3D54C6F}"/>
    <cellStyle name="20% - Accent3 7 2 2 5 4" xfId="33068" xr:uid="{845437C6-F356-4F2E-A494-FC4B505A8ADC}"/>
    <cellStyle name="20% - Accent3 7 2 2 6" xfId="10107" xr:uid="{00000000-0005-0000-0000-000082130000}"/>
    <cellStyle name="20% - Accent3 7 2 2 6 2" xfId="33956" xr:uid="{14EB5DA5-0AB1-4444-8657-5E748ACCC904}"/>
    <cellStyle name="20% - Accent3 7 2 2 7" xfId="18062" xr:uid="{00000000-0005-0000-0000-000083130000}"/>
    <cellStyle name="20% - Accent3 7 2 2 7 2" xfId="41894" xr:uid="{02FC6689-D671-490E-980E-0FC021769F52}"/>
    <cellStyle name="20% - Accent3 7 2 2 8" xfId="26014" xr:uid="{8E18429A-C484-4766-B2C1-450F9A565A89}"/>
    <cellStyle name="20% - Accent3 7 2 2_Exh G" xfId="2278" xr:uid="{00000000-0005-0000-0000-000084130000}"/>
    <cellStyle name="20% - Accent3 7 2 3" xfId="1190" xr:uid="{00000000-0005-0000-0000-000085130000}"/>
    <cellStyle name="20% - Accent3 7 2 3 2" xfId="4717" xr:uid="{00000000-0005-0000-0000-000086130000}"/>
    <cellStyle name="20% - Accent3 7 2 3 2 2" xfId="8308" xr:uid="{00000000-0005-0000-0000-000087130000}"/>
    <cellStyle name="20% - Accent3 7 2 3 2 2 2" xfId="16278" xr:uid="{00000000-0005-0000-0000-000088130000}"/>
    <cellStyle name="20% - Accent3 7 2 3 2 2 2 2" xfId="40120" xr:uid="{586298E0-BE39-4BEB-BA09-44DB22C4398F}"/>
    <cellStyle name="20% - Accent3 7 2 3 2 2 3" xfId="24224" xr:uid="{00000000-0005-0000-0000-000089130000}"/>
    <cellStyle name="20% - Accent3 7 2 3 2 2 3 2" xfId="48056" xr:uid="{617138B5-6366-4909-8CC3-2E9B26EF42C5}"/>
    <cellStyle name="20% - Accent3 7 2 3 2 2 4" xfId="32179" xr:uid="{2099908E-074C-44E7-A4BA-D154CCFC037A}"/>
    <cellStyle name="20% - Accent3 7 2 3 2 3" xfId="12740" xr:uid="{00000000-0005-0000-0000-00008A130000}"/>
    <cellStyle name="20% - Accent3 7 2 3 2 3 2" xfId="36589" xr:uid="{CA07EE53-7293-4273-8CCC-E7602BA179CF}"/>
    <cellStyle name="20% - Accent3 7 2 3 2 4" xfId="20695" xr:uid="{00000000-0005-0000-0000-00008B130000}"/>
    <cellStyle name="20% - Accent3 7 2 3 2 4 2" xfId="44527" xr:uid="{30C47542-B1F5-46FA-ABC1-B8A86C074A66}"/>
    <cellStyle name="20% - Accent3 7 2 3 2 5" xfId="28648" xr:uid="{57BD1A26-9E5D-44E2-967D-CA90BE3BCDFC}"/>
    <cellStyle name="20% - Accent3 7 2 3 3" xfId="6549" xr:uid="{00000000-0005-0000-0000-00008C130000}"/>
    <cellStyle name="20% - Accent3 7 2 3 3 2" xfId="14520" xr:uid="{00000000-0005-0000-0000-00008D130000}"/>
    <cellStyle name="20% - Accent3 7 2 3 3 2 2" xfId="38362" xr:uid="{56E4CB60-4C25-4937-93FB-AEB2B38ADB27}"/>
    <cellStyle name="20% - Accent3 7 2 3 3 3" xfId="22467" xr:uid="{00000000-0005-0000-0000-00008E130000}"/>
    <cellStyle name="20% - Accent3 7 2 3 3 3 2" xfId="46299" xr:uid="{3CF5FC6A-1838-4379-895B-0EB3F3C6FA15}"/>
    <cellStyle name="20% - Accent3 7 2 3 3 4" xfId="30421" xr:uid="{B7754247-3441-4875-9A70-49E4DFCF9573}"/>
    <cellStyle name="20% - Accent3 7 2 3 4" xfId="10984" xr:uid="{00000000-0005-0000-0000-00008F130000}"/>
    <cellStyle name="20% - Accent3 7 2 3 4 2" xfId="34833" xr:uid="{94D1A584-DAA4-44E0-8F6B-CBC82BF2FB0B}"/>
    <cellStyle name="20% - Accent3 7 2 3 5" xfId="18939" xr:uid="{00000000-0005-0000-0000-000090130000}"/>
    <cellStyle name="20% - Accent3 7 2 3 5 2" xfId="42771" xr:uid="{319579C0-0378-498A-83AC-52A3885E19D4}"/>
    <cellStyle name="20% - Accent3 7 2 3 6" xfId="26891" xr:uid="{7C56C5FB-695A-4F92-BCC5-F497DE672CAA}"/>
    <cellStyle name="20% - Accent3 7 2 3_Exh G" xfId="2280" xr:uid="{00000000-0005-0000-0000-000091130000}"/>
    <cellStyle name="20% - Accent3 7 2 4" xfId="3838" xr:uid="{00000000-0005-0000-0000-000092130000}"/>
    <cellStyle name="20% - Accent3 7 2 4 2" xfId="7430" xr:uid="{00000000-0005-0000-0000-000093130000}"/>
    <cellStyle name="20% - Accent3 7 2 4 2 2" xfId="15400" xr:uid="{00000000-0005-0000-0000-000094130000}"/>
    <cellStyle name="20% - Accent3 7 2 4 2 2 2" xfId="39242" xr:uid="{461D92C7-B43B-4753-80D8-D2BB4CA88117}"/>
    <cellStyle name="20% - Accent3 7 2 4 2 3" xfId="23346" xr:uid="{00000000-0005-0000-0000-000095130000}"/>
    <cellStyle name="20% - Accent3 7 2 4 2 3 2" xfId="47178" xr:uid="{79CDED39-C01D-43DA-B9A6-F367662A51C1}"/>
    <cellStyle name="20% - Accent3 7 2 4 2 4" xfId="31301" xr:uid="{4EE5E472-5411-4285-B0EC-A3A744A6AE48}"/>
    <cellStyle name="20% - Accent3 7 2 4 3" xfId="11862" xr:uid="{00000000-0005-0000-0000-000096130000}"/>
    <cellStyle name="20% - Accent3 7 2 4 3 2" xfId="35711" xr:uid="{40FB5959-5F5C-4DC6-B8DA-702C33FF299A}"/>
    <cellStyle name="20% - Accent3 7 2 4 4" xfId="19817" xr:uid="{00000000-0005-0000-0000-000097130000}"/>
    <cellStyle name="20% - Accent3 7 2 4 4 2" xfId="43649" xr:uid="{D01B57C9-A511-46B9-B874-DD3DF5957597}"/>
    <cellStyle name="20% - Accent3 7 2 4 5" xfId="27770" xr:uid="{72F0AAC7-5950-4904-B097-6BBD9330B9DB}"/>
    <cellStyle name="20% - Accent3 7 2 5" xfId="5658" xr:uid="{00000000-0005-0000-0000-000098130000}"/>
    <cellStyle name="20% - Accent3 7 2 5 2" xfId="13641" xr:uid="{00000000-0005-0000-0000-000099130000}"/>
    <cellStyle name="20% - Accent3 7 2 5 2 2" xfId="37484" xr:uid="{FC3A77DA-91EF-4A80-8193-87F4ACAC45F8}"/>
    <cellStyle name="20% - Accent3 7 2 5 3" xfId="21589" xr:uid="{00000000-0005-0000-0000-00009A130000}"/>
    <cellStyle name="20% - Accent3 7 2 5 3 2" xfId="45421" xr:uid="{228FB966-7265-4750-8C65-8CA4E88A5801}"/>
    <cellStyle name="20% - Accent3 7 2 5 4" xfId="29543" xr:uid="{0BF5D4C0-690B-495D-8F78-CEA010203E5C}"/>
    <cellStyle name="20% - Accent3 7 2 6" xfId="9210" xr:uid="{00000000-0005-0000-0000-00009B130000}"/>
    <cellStyle name="20% - Accent3 7 2 6 2" xfId="17168" xr:uid="{00000000-0005-0000-0000-00009C130000}"/>
    <cellStyle name="20% - Accent3 7 2 6 2 2" xfId="41008" xr:uid="{EF9200CF-152C-40C8-A6E0-D4F468DD85DB}"/>
    <cellStyle name="20% - Accent3 7 2 6 3" xfId="25112" xr:uid="{00000000-0005-0000-0000-00009D130000}"/>
    <cellStyle name="20% - Accent3 7 2 6 3 2" xfId="48944" xr:uid="{F906FC2F-028E-4ADC-A154-804350BA6478}"/>
    <cellStyle name="20% - Accent3 7 2 6 4" xfId="33067" xr:uid="{EAD23473-0887-4287-B700-4A7F81B2ADCF}"/>
    <cellStyle name="20% - Accent3 7 2 7" xfId="10106" xr:uid="{00000000-0005-0000-0000-00009E130000}"/>
    <cellStyle name="20% - Accent3 7 2 7 2" xfId="33955" xr:uid="{EC33D501-8470-47FB-BBA8-3F38CC20602F}"/>
    <cellStyle name="20% - Accent3 7 2 8" xfId="18061" xr:uid="{00000000-0005-0000-0000-00009F130000}"/>
    <cellStyle name="20% - Accent3 7 2 8 2" xfId="41893" xr:uid="{0610D34E-9DAC-4E51-9BA5-11711E3C6D28}"/>
    <cellStyle name="20% - Accent3 7 2 9" xfId="26013" xr:uid="{30C09B04-F50D-4518-B268-8B92571F82D0}"/>
    <cellStyle name="20% - Accent3 7 2_Exh G" xfId="2277" xr:uid="{00000000-0005-0000-0000-0000A0130000}"/>
    <cellStyle name="20% - Accent3 7 3" xfId="166" xr:uid="{00000000-0005-0000-0000-0000A1130000}"/>
    <cellStyle name="20% - Accent3 7 3 2" xfId="1192" xr:uid="{00000000-0005-0000-0000-0000A2130000}"/>
    <cellStyle name="20% - Accent3 7 3 2 2" xfId="4719" xr:uid="{00000000-0005-0000-0000-0000A3130000}"/>
    <cellStyle name="20% - Accent3 7 3 2 2 2" xfId="8310" xr:uid="{00000000-0005-0000-0000-0000A4130000}"/>
    <cellStyle name="20% - Accent3 7 3 2 2 2 2" xfId="16280" xr:uid="{00000000-0005-0000-0000-0000A5130000}"/>
    <cellStyle name="20% - Accent3 7 3 2 2 2 2 2" xfId="40122" xr:uid="{49DF3DDC-4615-40D6-A2A4-60E5661BECC3}"/>
    <cellStyle name="20% - Accent3 7 3 2 2 2 3" xfId="24226" xr:uid="{00000000-0005-0000-0000-0000A6130000}"/>
    <cellStyle name="20% - Accent3 7 3 2 2 2 3 2" xfId="48058" xr:uid="{D4A1B62C-B5CB-41C4-B9A7-12B3980A3AB5}"/>
    <cellStyle name="20% - Accent3 7 3 2 2 2 4" xfId="32181" xr:uid="{6180084A-9001-4732-85D7-BFE1B5DAE6B9}"/>
    <cellStyle name="20% - Accent3 7 3 2 2 3" xfId="12742" xr:uid="{00000000-0005-0000-0000-0000A7130000}"/>
    <cellStyle name="20% - Accent3 7 3 2 2 3 2" xfId="36591" xr:uid="{EC2678B0-473A-4996-82B2-176725B1ABB9}"/>
    <cellStyle name="20% - Accent3 7 3 2 2 4" xfId="20697" xr:uid="{00000000-0005-0000-0000-0000A8130000}"/>
    <cellStyle name="20% - Accent3 7 3 2 2 4 2" xfId="44529" xr:uid="{4A6C7D7C-9FE6-4222-993B-2EDB38BE8374}"/>
    <cellStyle name="20% - Accent3 7 3 2 2 5" xfId="28650" xr:uid="{D82CABAE-2E17-41F1-AE39-C6EED35F7FE6}"/>
    <cellStyle name="20% - Accent3 7 3 2 3" xfId="6551" xr:uid="{00000000-0005-0000-0000-0000A9130000}"/>
    <cellStyle name="20% - Accent3 7 3 2 3 2" xfId="14522" xr:uid="{00000000-0005-0000-0000-0000AA130000}"/>
    <cellStyle name="20% - Accent3 7 3 2 3 2 2" xfId="38364" xr:uid="{924E0AF1-CFCB-446D-81AE-6F87D4143760}"/>
    <cellStyle name="20% - Accent3 7 3 2 3 3" xfId="22469" xr:uid="{00000000-0005-0000-0000-0000AB130000}"/>
    <cellStyle name="20% - Accent3 7 3 2 3 3 2" xfId="46301" xr:uid="{921732E2-1FE1-4FED-BFC0-9285CDE8268C}"/>
    <cellStyle name="20% - Accent3 7 3 2 3 4" xfId="30423" xr:uid="{2E22C18E-E6D8-47B7-AE7A-3A52FBA200AA}"/>
    <cellStyle name="20% - Accent3 7 3 2 4" xfId="10986" xr:uid="{00000000-0005-0000-0000-0000AC130000}"/>
    <cellStyle name="20% - Accent3 7 3 2 4 2" xfId="34835" xr:uid="{39CD203B-52AC-4CB9-8919-0973FD594106}"/>
    <cellStyle name="20% - Accent3 7 3 2 5" xfId="18941" xr:uid="{00000000-0005-0000-0000-0000AD130000}"/>
    <cellStyle name="20% - Accent3 7 3 2 5 2" xfId="42773" xr:uid="{D74CAF11-2B82-4D0E-B682-F7BB59CA6FD7}"/>
    <cellStyle name="20% - Accent3 7 3 2 6" xfId="26893" xr:uid="{2AC48844-D90F-4CD3-A3FF-E760E586AE65}"/>
    <cellStyle name="20% - Accent3 7 3 2_Exh G" xfId="2282" xr:uid="{00000000-0005-0000-0000-0000AE130000}"/>
    <cellStyle name="20% - Accent3 7 3 3" xfId="3840" xr:uid="{00000000-0005-0000-0000-0000AF130000}"/>
    <cellStyle name="20% - Accent3 7 3 3 2" xfId="7432" xr:uid="{00000000-0005-0000-0000-0000B0130000}"/>
    <cellStyle name="20% - Accent3 7 3 3 2 2" xfId="15402" xr:uid="{00000000-0005-0000-0000-0000B1130000}"/>
    <cellStyle name="20% - Accent3 7 3 3 2 2 2" xfId="39244" xr:uid="{50A88FC9-D1A9-404D-AF27-B2C117A18B15}"/>
    <cellStyle name="20% - Accent3 7 3 3 2 3" xfId="23348" xr:uid="{00000000-0005-0000-0000-0000B2130000}"/>
    <cellStyle name="20% - Accent3 7 3 3 2 3 2" xfId="47180" xr:uid="{93D371E3-D9EA-462F-BAB1-0A780AA13649}"/>
    <cellStyle name="20% - Accent3 7 3 3 2 4" xfId="31303" xr:uid="{4EBA155D-027A-48D9-93AA-17377D077CD5}"/>
    <cellStyle name="20% - Accent3 7 3 3 3" xfId="11864" xr:uid="{00000000-0005-0000-0000-0000B3130000}"/>
    <cellStyle name="20% - Accent3 7 3 3 3 2" xfId="35713" xr:uid="{F2ECD777-8A5F-4906-91EC-63D2FA04C54D}"/>
    <cellStyle name="20% - Accent3 7 3 3 4" xfId="19819" xr:uid="{00000000-0005-0000-0000-0000B4130000}"/>
    <cellStyle name="20% - Accent3 7 3 3 4 2" xfId="43651" xr:uid="{0B94676C-4E5D-41A5-8BA2-08F426F5B85B}"/>
    <cellStyle name="20% - Accent3 7 3 3 5" xfId="27772" xr:uid="{45DFC9DC-86F9-474A-A898-57D3F29FB37B}"/>
    <cellStyle name="20% - Accent3 7 3 4" xfId="5660" xr:uid="{00000000-0005-0000-0000-0000B5130000}"/>
    <cellStyle name="20% - Accent3 7 3 4 2" xfId="13643" xr:uid="{00000000-0005-0000-0000-0000B6130000}"/>
    <cellStyle name="20% - Accent3 7 3 4 2 2" xfId="37486" xr:uid="{FD842B16-E367-4C0C-B7EB-B1CA92A54507}"/>
    <cellStyle name="20% - Accent3 7 3 4 3" xfId="21591" xr:uid="{00000000-0005-0000-0000-0000B7130000}"/>
    <cellStyle name="20% - Accent3 7 3 4 3 2" xfId="45423" xr:uid="{BA124305-F364-48F3-954E-991F5A80D348}"/>
    <cellStyle name="20% - Accent3 7 3 4 4" xfId="29545" xr:uid="{1ECC4119-5E87-4FB1-8D9C-D4B71377348B}"/>
    <cellStyle name="20% - Accent3 7 3 5" xfId="9212" xr:uid="{00000000-0005-0000-0000-0000B8130000}"/>
    <cellStyle name="20% - Accent3 7 3 5 2" xfId="17170" xr:uid="{00000000-0005-0000-0000-0000B9130000}"/>
    <cellStyle name="20% - Accent3 7 3 5 2 2" xfId="41010" xr:uid="{6F4CB018-D422-4CC9-A7BA-36E622159B45}"/>
    <cellStyle name="20% - Accent3 7 3 5 3" xfId="25114" xr:uid="{00000000-0005-0000-0000-0000BA130000}"/>
    <cellStyle name="20% - Accent3 7 3 5 3 2" xfId="48946" xr:uid="{9A40AC0B-BD5B-4F13-B4B6-EB47B25F1478}"/>
    <cellStyle name="20% - Accent3 7 3 5 4" xfId="33069" xr:uid="{CB6D54F8-4C82-4A28-BD16-FF8EEFCD6E02}"/>
    <cellStyle name="20% - Accent3 7 3 6" xfId="10108" xr:uid="{00000000-0005-0000-0000-0000BB130000}"/>
    <cellStyle name="20% - Accent3 7 3 6 2" xfId="33957" xr:uid="{842AD810-BE2E-4F5E-8DAE-65C893551649}"/>
    <cellStyle name="20% - Accent3 7 3 7" xfId="18063" xr:uid="{00000000-0005-0000-0000-0000BC130000}"/>
    <cellStyle name="20% - Accent3 7 3 7 2" xfId="41895" xr:uid="{C29EF8B6-C0E2-4EBB-A160-39AC9C654752}"/>
    <cellStyle name="20% - Accent3 7 3 8" xfId="26015" xr:uid="{E4A68BB0-80AE-4D1E-8BFF-683D8F9A3F4D}"/>
    <cellStyle name="20% - Accent3 7 3_Exh G" xfId="2281" xr:uid="{00000000-0005-0000-0000-0000BD130000}"/>
    <cellStyle name="20% - Accent3 7 4" xfId="892" xr:uid="{00000000-0005-0000-0000-0000BE130000}"/>
    <cellStyle name="20% - Accent3 7 4 2" xfId="1819" xr:uid="{00000000-0005-0000-0000-0000BF130000}"/>
    <cellStyle name="20% - Accent3 7 4 2 2" xfId="5336" xr:uid="{00000000-0005-0000-0000-0000C0130000}"/>
    <cellStyle name="20% - Accent3 7 4 2 2 2" xfId="8927" xr:uid="{00000000-0005-0000-0000-0000C1130000}"/>
    <cellStyle name="20% - Accent3 7 4 2 2 2 2" xfId="16897" xr:uid="{00000000-0005-0000-0000-0000C2130000}"/>
    <cellStyle name="20% - Accent3 7 4 2 2 2 2 2" xfId="40739" xr:uid="{5F645265-05CF-4A68-8810-3B6216908D44}"/>
    <cellStyle name="20% - Accent3 7 4 2 2 2 3" xfId="24843" xr:uid="{00000000-0005-0000-0000-0000C3130000}"/>
    <cellStyle name="20% - Accent3 7 4 2 2 2 3 2" xfId="48675" xr:uid="{0C37DB2E-D917-4B15-9C3B-509DA5C4D55F}"/>
    <cellStyle name="20% - Accent3 7 4 2 2 2 4" xfId="32798" xr:uid="{94C12CE1-DE5B-4CE7-AF3D-8D20D2772875}"/>
    <cellStyle name="20% - Accent3 7 4 2 2 3" xfId="13359" xr:uid="{00000000-0005-0000-0000-0000C4130000}"/>
    <cellStyle name="20% - Accent3 7 4 2 2 3 2" xfId="37208" xr:uid="{DD3E484B-A7A9-465E-9B1F-CFE34860AF30}"/>
    <cellStyle name="20% - Accent3 7 4 2 2 4" xfId="21314" xr:uid="{00000000-0005-0000-0000-0000C5130000}"/>
    <cellStyle name="20% - Accent3 7 4 2 2 4 2" xfId="45146" xr:uid="{BB1ACC08-9089-458D-8639-5486DDFA134E}"/>
    <cellStyle name="20% - Accent3 7 4 2 2 5" xfId="29267" xr:uid="{4BAD837F-A10D-4A60-9BAC-E3A58902B459}"/>
    <cellStyle name="20% - Accent3 7 4 2 3" xfId="7168" xr:uid="{00000000-0005-0000-0000-0000C6130000}"/>
    <cellStyle name="20% - Accent3 7 4 2 3 2" xfId="15139" xr:uid="{00000000-0005-0000-0000-0000C7130000}"/>
    <cellStyle name="20% - Accent3 7 4 2 3 2 2" xfId="38981" xr:uid="{A6683123-AF87-44A4-8B72-E0A7F43C96F9}"/>
    <cellStyle name="20% - Accent3 7 4 2 3 3" xfId="23086" xr:uid="{00000000-0005-0000-0000-0000C8130000}"/>
    <cellStyle name="20% - Accent3 7 4 2 3 3 2" xfId="46918" xr:uid="{540D06D1-3860-462A-A76D-8ED864EE5196}"/>
    <cellStyle name="20% - Accent3 7 4 2 3 4" xfId="31040" xr:uid="{BDC474D2-2ABF-45AF-9AD9-75F3B309205C}"/>
    <cellStyle name="20% - Accent3 7 4 2 4" xfId="11603" xr:uid="{00000000-0005-0000-0000-0000C9130000}"/>
    <cellStyle name="20% - Accent3 7 4 2 4 2" xfId="35452" xr:uid="{937DA7BB-964E-4EBD-B1CF-14F1B57C23AF}"/>
    <cellStyle name="20% - Accent3 7 4 2 5" xfId="19558" xr:uid="{00000000-0005-0000-0000-0000CA130000}"/>
    <cellStyle name="20% - Accent3 7 4 2 5 2" xfId="43390" xr:uid="{E920D772-4A17-47E5-8106-156A3CB3673B}"/>
    <cellStyle name="20% - Accent3 7 4 2 6" xfId="27510" xr:uid="{701EE697-A15B-42DE-A56B-3265E75C5033}"/>
    <cellStyle name="20% - Accent3 7 4 2_Exh G" xfId="2284" xr:uid="{00000000-0005-0000-0000-0000CB130000}"/>
    <cellStyle name="20% - Accent3 7 4 3" xfId="4457" xr:uid="{00000000-0005-0000-0000-0000CC130000}"/>
    <cellStyle name="20% - Accent3 7 4 3 2" xfId="8049" xr:uid="{00000000-0005-0000-0000-0000CD130000}"/>
    <cellStyle name="20% - Accent3 7 4 3 2 2" xfId="16019" xr:uid="{00000000-0005-0000-0000-0000CE130000}"/>
    <cellStyle name="20% - Accent3 7 4 3 2 2 2" xfId="39861" xr:uid="{D05149C4-C463-4125-8DB2-23764D12B971}"/>
    <cellStyle name="20% - Accent3 7 4 3 2 3" xfId="23965" xr:uid="{00000000-0005-0000-0000-0000CF130000}"/>
    <cellStyle name="20% - Accent3 7 4 3 2 3 2" xfId="47797" xr:uid="{446EFB47-C3C3-4FDA-86DA-2715123D1461}"/>
    <cellStyle name="20% - Accent3 7 4 3 2 4" xfId="31920" xr:uid="{81AC562A-B9AE-4850-91CB-ADA400531EEF}"/>
    <cellStyle name="20% - Accent3 7 4 3 3" xfId="12481" xr:uid="{00000000-0005-0000-0000-0000D0130000}"/>
    <cellStyle name="20% - Accent3 7 4 3 3 2" xfId="36330" xr:uid="{69D6BBA0-6575-484C-9918-309EEC371047}"/>
    <cellStyle name="20% - Accent3 7 4 3 4" xfId="20436" xr:uid="{00000000-0005-0000-0000-0000D1130000}"/>
    <cellStyle name="20% - Accent3 7 4 3 4 2" xfId="44268" xr:uid="{E15C6469-0945-4F43-8A4C-AE5B12F2521A}"/>
    <cellStyle name="20% - Accent3 7 4 3 5" xfId="28389" xr:uid="{8602E8DE-F43D-49D1-9882-ED0A04552294}"/>
    <cellStyle name="20% - Accent3 7 4 4" xfId="6287" xr:uid="{00000000-0005-0000-0000-0000D2130000}"/>
    <cellStyle name="20% - Accent3 7 4 4 2" xfId="14261" xr:uid="{00000000-0005-0000-0000-0000D3130000}"/>
    <cellStyle name="20% - Accent3 7 4 4 2 2" xfId="38103" xr:uid="{92D9C13B-C442-460C-A167-B3A65FCB022F}"/>
    <cellStyle name="20% - Accent3 7 4 4 3" xfId="22208" xr:uid="{00000000-0005-0000-0000-0000D4130000}"/>
    <cellStyle name="20% - Accent3 7 4 4 3 2" xfId="46040" xr:uid="{C95FF1F8-A3FE-45AD-A034-6637D3C09EDD}"/>
    <cellStyle name="20% - Accent3 7 4 4 4" xfId="30162" xr:uid="{9CB78339-164B-499B-BC86-0D5A9AF87B8B}"/>
    <cellStyle name="20% - Accent3 7 4 5" xfId="9829" xr:uid="{00000000-0005-0000-0000-0000D5130000}"/>
    <cellStyle name="20% - Accent3 7 4 5 2" xfId="17787" xr:uid="{00000000-0005-0000-0000-0000D6130000}"/>
    <cellStyle name="20% - Accent3 7 4 5 2 2" xfId="41627" xr:uid="{97BF39B3-AE2B-4D9F-937E-9DD3152F4651}"/>
    <cellStyle name="20% - Accent3 7 4 5 3" xfId="25731" xr:uid="{00000000-0005-0000-0000-0000D7130000}"/>
    <cellStyle name="20% - Accent3 7 4 5 3 2" xfId="49563" xr:uid="{54D45E0F-27D2-4611-A651-1AB791E9ECAE}"/>
    <cellStyle name="20% - Accent3 7 4 5 4" xfId="33686" xr:uid="{D7D359F7-8DB2-4BD4-91D2-AEB44CFD26E5}"/>
    <cellStyle name="20% - Accent3 7 4 6" xfId="10725" xr:uid="{00000000-0005-0000-0000-0000D8130000}"/>
    <cellStyle name="20% - Accent3 7 4 6 2" xfId="34574" xr:uid="{2D028E63-9DC0-4ADF-93C6-295D2B44BBE9}"/>
    <cellStyle name="20% - Accent3 7 4 7" xfId="18680" xr:uid="{00000000-0005-0000-0000-0000D9130000}"/>
    <cellStyle name="20% - Accent3 7 4 7 2" xfId="42512" xr:uid="{1EDE052E-07BF-460C-B1B3-9E1513508E14}"/>
    <cellStyle name="20% - Accent3 7 4 8" xfId="26632" xr:uid="{1B4BF223-F88D-43CA-8337-2CBB3060D91B}"/>
    <cellStyle name="20% - Accent3 7 4_Exh G" xfId="2283" xr:uid="{00000000-0005-0000-0000-0000DA130000}"/>
    <cellStyle name="20% - Accent3 7 5" xfId="1189" xr:uid="{00000000-0005-0000-0000-0000DB130000}"/>
    <cellStyle name="20% - Accent3 7 5 2" xfId="4716" xr:uid="{00000000-0005-0000-0000-0000DC130000}"/>
    <cellStyle name="20% - Accent3 7 5 2 2" xfId="8307" xr:uid="{00000000-0005-0000-0000-0000DD130000}"/>
    <cellStyle name="20% - Accent3 7 5 2 2 2" xfId="16277" xr:uid="{00000000-0005-0000-0000-0000DE130000}"/>
    <cellStyle name="20% - Accent3 7 5 2 2 2 2" xfId="40119" xr:uid="{F78D6361-555F-4205-A625-674401489264}"/>
    <cellStyle name="20% - Accent3 7 5 2 2 3" xfId="24223" xr:uid="{00000000-0005-0000-0000-0000DF130000}"/>
    <cellStyle name="20% - Accent3 7 5 2 2 3 2" xfId="48055" xr:uid="{2FFF001D-18CC-4C6A-A69D-3D4A0241DFEB}"/>
    <cellStyle name="20% - Accent3 7 5 2 2 4" xfId="32178" xr:uid="{C6EC2FF8-3574-45DD-8089-48AA919C5643}"/>
    <cellStyle name="20% - Accent3 7 5 2 3" xfId="12739" xr:uid="{00000000-0005-0000-0000-0000E0130000}"/>
    <cellStyle name="20% - Accent3 7 5 2 3 2" xfId="36588" xr:uid="{5F3574FE-4541-4268-932B-26D1C2DA64D2}"/>
    <cellStyle name="20% - Accent3 7 5 2 4" xfId="20694" xr:uid="{00000000-0005-0000-0000-0000E1130000}"/>
    <cellStyle name="20% - Accent3 7 5 2 4 2" xfId="44526" xr:uid="{6059BE15-A111-4B9B-AD6D-C7D7AC5A4D53}"/>
    <cellStyle name="20% - Accent3 7 5 2 5" xfId="28647" xr:uid="{7201A579-9B2E-4099-93AE-1D230B4D3C4A}"/>
    <cellStyle name="20% - Accent3 7 5 3" xfId="6548" xr:uid="{00000000-0005-0000-0000-0000E2130000}"/>
    <cellStyle name="20% - Accent3 7 5 3 2" xfId="14519" xr:uid="{00000000-0005-0000-0000-0000E3130000}"/>
    <cellStyle name="20% - Accent3 7 5 3 2 2" xfId="38361" xr:uid="{C9A4A13D-3167-4D16-946A-783EFEBAA5A4}"/>
    <cellStyle name="20% - Accent3 7 5 3 3" xfId="22466" xr:uid="{00000000-0005-0000-0000-0000E4130000}"/>
    <cellStyle name="20% - Accent3 7 5 3 3 2" xfId="46298" xr:uid="{069EEED1-6CD5-42A9-9AB8-9E1D9FFD940D}"/>
    <cellStyle name="20% - Accent3 7 5 3 4" xfId="30420" xr:uid="{34DFEF2E-B1F8-4AA1-8F85-B4E8EB4E2D69}"/>
    <cellStyle name="20% - Accent3 7 5 4" xfId="10983" xr:uid="{00000000-0005-0000-0000-0000E5130000}"/>
    <cellStyle name="20% - Accent3 7 5 4 2" xfId="34832" xr:uid="{FEDE30B2-5325-4DAA-850C-B33AE8EC8E34}"/>
    <cellStyle name="20% - Accent3 7 5 5" xfId="18938" xr:uid="{00000000-0005-0000-0000-0000E6130000}"/>
    <cellStyle name="20% - Accent3 7 5 5 2" xfId="42770" xr:uid="{5D45007C-5BB1-46F3-88CD-C1D12E61714A}"/>
    <cellStyle name="20% - Accent3 7 5 6" xfId="26890" xr:uid="{56DA7C44-4FA4-49D0-B2F7-E39C71CEF373}"/>
    <cellStyle name="20% - Accent3 7 5_Exh G" xfId="2285" xr:uid="{00000000-0005-0000-0000-0000E7130000}"/>
    <cellStyle name="20% - Accent3 7 6" xfId="3837" xr:uid="{00000000-0005-0000-0000-0000E8130000}"/>
    <cellStyle name="20% - Accent3 7 6 2" xfId="7429" xr:uid="{00000000-0005-0000-0000-0000E9130000}"/>
    <cellStyle name="20% - Accent3 7 6 2 2" xfId="15399" xr:uid="{00000000-0005-0000-0000-0000EA130000}"/>
    <cellStyle name="20% - Accent3 7 6 2 2 2" xfId="39241" xr:uid="{3D767813-CF09-4A65-ADEC-A375DE8D5AAA}"/>
    <cellStyle name="20% - Accent3 7 6 2 3" xfId="23345" xr:uid="{00000000-0005-0000-0000-0000EB130000}"/>
    <cellStyle name="20% - Accent3 7 6 2 3 2" xfId="47177" xr:uid="{16BA5675-FEF9-4201-84DE-6ADD8AACA34E}"/>
    <cellStyle name="20% - Accent3 7 6 2 4" xfId="31300" xr:uid="{10D39963-D604-41BE-B105-0C1D334BD1F4}"/>
    <cellStyle name="20% - Accent3 7 6 3" xfId="11861" xr:uid="{00000000-0005-0000-0000-0000EC130000}"/>
    <cellStyle name="20% - Accent3 7 6 3 2" xfId="35710" xr:uid="{AB2713B3-4A8C-450E-90F2-62FF1D9C25F4}"/>
    <cellStyle name="20% - Accent3 7 6 4" xfId="19816" xr:uid="{00000000-0005-0000-0000-0000ED130000}"/>
    <cellStyle name="20% - Accent3 7 6 4 2" xfId="43648" xr:uid="{BC24D900-8DE2-4123-9E93-D577CE0DEB7F}"/>
    <cellStyle name="20% - Accent3 7 6 5" xfId="27769" xr:uid="{EA9B0F03-9B84-466E-AF24-27DDA138390F}"/>
    <cellStyle name="20% - Accent3 7 7" xfId="5657" xr:uid="{00000000-0005-0000-0000-0000EE130000}"/>
    <cellStyle name="20% - Accent3 7 7 2" xfId="13640" xr:uid="{00000000-0005-0000-0000-0000EF130000}"/>
    <cellStyle name="20% - Accent3 7 7 2 2" xfId="37483" xr:uid="{2ADD237D-C75D-462E-BD72-44C13C91F3D3}"/>
    <cellStyle name="20% - Accent3 7 7 3" xfId="21588" xr:uid="{00000000-0005-0000-0000-0000F0130000}"/>
    <cellStyle name="20% - Accent3 7 7 3 2" xfId="45420" xr:uid="{63AF88B8-2190-4922-8DD5-9589546F2E86}"/>
    <cellStyle name="20% - Accent3 7 7 4" xfId="29542" xr:uid="{54B8B3B0-28D6-479C-AE57-BAB4874210F2}"/>
    <cellStyle name="20% - Accent3 7 8" xfId="9209" xr:uid="{00000000-0005-0000-0000-0000F1130000}"/>
    <cellStyle name="20% - Accent3 7 8 2" xfId="17167" xr:uid="{00000000-0005-0000-0000-0000F2130000}"/>
    <cellStyle name="20% - Accent3 7 8 2 2" xfId="41007" xr:uid="{F71F9E40-F842-44E6-812D-254731F5F6FE}"/>
    <cellStyle name="20% - Accent3 7 8 3" xfId="25111" xr:uid="{00000000-0005-0000-0000-0000F3130000}"/>
    <cellStyle name="20% - Accent3 7 8 3 2" xfId="48943" xr:uid="{04D6253A-E0FF-4D2D-B751-80F41BB37960}"/>
    <cellStyle name="20% - Accent3 7 8 4" xfId="33066" xr:uid="{607917E9-D9CF-4C3D-B3DB-0BF96F33FDD1}"/>
    <cellStyle name="20% - Accent3 7 9" xfId="10105" xr:uid="{00000000-0005-0000-0000-0000F4130000}"/>
    <cellStyle name="20% - Accent3 7 9 2" xfId="33954" xr:uid="{62BB0912-F955-47CA-8157-A1B7FC9E5F54}"/>
    <cellStyle name="20% - Accent3 7_Exh G" xfId="2276" xr:uid="{00000000-0005-0000-0000-0000F5130000}"/>
    <cellStyle name="20% - Accent3 8" xfId="167" xr:uid="{00000000-0005-0000-0000-0000F6130000}"/>
    <cellStyle name="20% - Accent3 8 10" xfId="18064" xr:uid="{00000000-0005-0000-0000-0000F7130000}"/>
    <cellStyle name="20% - Accent3 8 10 2" xfId="41896" xr:uid="{639EB1AC-FCF6-4B5F-B705-FF9E276A534D}"/>
    <cellStyle name="20% - Accent3 8 11" xfId="26016" xr:uid="{301175D6-87C6-4B3C-855B-8DE9A1C69ECC}"/>
    <cellStyle name="20% - Accent3 8 2" xfId="168" xr:uid="{00000000-0005-0000-0000-0000F8130000}"/>
    <cellStyle name="20% - Accent3 8 2 2" xfId="169" xr:uid="{00000000-0005-0000-0000-0000F9130000}"/>
    <cellStyle name="20% - Accent3 8 2 2 2" xfId="1195" xr:uid="{00000000-0005-0000-0000-0000FA130000}"/>
    <cellStyle name="20% - Accent3 8 2 2 2 2" xfId="4722" xr:uid="{00000000-0005-0000-0000-0000FB130000}"/>
    <cellStyle name="20% - Accent3 8 2 2 2 2 2" xfId="8313" xr:uid="{00000000-0005-0000-0000-0000FC130000}"/>
    <cellStyle name="20% - Accent3 8 2 2 2 2 2 2" xfId="16283" xr:uid="{00000000-0005-0000-0000-0000FD130000}"/>
    <cellStyle name="20% - Accent3 8 2 2 2 2 2 2 2" xfId="40125" xr:uid="{8E1F8DA1-8386-4F20-8743-BA7F7979EE33}"/>
    <cellStyle name="20% - Accent3 8 2 2 2 2 2 3" xfId="24229" xr:uid="{00000000-0005-0000-0000-0000FE130000}"/>
    <cellStyle name="20% - Accent3 8 2 2 2 2 2 3 2" xfId="48061" xr:uid="{94E71E54-3E23-46B8-9D22-ECEC87138A43}"/>
    <cellStyle name="20% - Accent3 8 2 2 2 2 2 4" xfId="32184" xr:uid="{57232EF1-603B-403D-8E21-62FE68C85A2E}"/>
    <cellStyle name="20% - Accent3 8 2 2 2 2 3" xfId="12745" xr:uid="{00000000-0005-0000-0000-0000FF130000}"/>
    <cellStyle name="20% - Accent3 8 2 2 2 2 3 2" xfId="36594" xr:uid="{98C71943-1B79-47E8-9C98-6B9C038E7D4F}"/>
    <cellStyle name="20% - Accent3 8 2 2 2 2 4" xfId="20700" xr:uid="{00000000-0005-0000-0000-000000140000}"/>
    <cellStyle name="20% - Accent3 8 2 2 2 2 4 2" xfId="44532" xr:uid="{3BE2E2E6-1D45-477A-8385-472866E3F546}"/>
    <cellStyle name="20% - Accent3 8 2 2 2 2 5" xfId="28653" xr:uid="{B163DFBD-384C-4F85-98D7-AA3E57D7C177}"/>
    <cellStyle name="20% - Accent3 8 2 2 2 3" xfId="6554" xr:uid="{00000000-0005-0000-0000-000001140000}"/>
    <cellStyle name="20% - Accent3 8 2 2 2 3 2" xfId="14525" xr:uid="{00000000-0005-0000-0000-000002140000}"/>
    <cellStyle name="20% - Accent3 8 2 2 2 3 2 2" xfId="38367" xr:uid="{0CA3BD70-78CD-40F8-8BE6-C664B4CA7780}"/>
    <cellStyle name="20% - Accent3 8 2 2 2 3 3" xfId="22472" xr:uid="{00000000-0005-0000-0000-000003140000}"/>
    <cellStyle name="20% - Accent3 8 2 2 2 3 3 2" xfId="46304" xr:uid="{1634DB4D-9BCE-429F-A4B8-DD84072838E0}"/>
    <cellStyle name="20% - Accent3 8 2 2 2 3 4" xfId="30426" xr:uid="{C9D6326F-6CF8-4804-8437-6563EA0AEBCA}"/>
    <cellStyle name="20% - Accent3 8 2 2 2 4" xfId="10989" xr:uid="{00000000-0005-0000-0000-000004140000}"/>
    <cellStyle name="20% - Accent3 8 2 2 2 4 2" xfId="34838" xr:uid="{3806F7F0-1070-43F8-B1AE-C7CE4CB13F33}"/>
    <cellStyle name="20% - Accent3 8 2 2 2 5" xfId="18944" xr:uid="{00000000-0005-0000-0000-000005140000}"/>
    <cellStyle name="20% - Accent3 8 2 2 2 5 2" xfId="42776" xr:uid="{E43C762D-56C1-40FF-9946-745E438F891B}"/>
    <cellStyle name="20% - Accent3 8 2 2 2 6" xfId="26896" xr:uid="{C07E4C61-3103-40D6-97AC-170BFF603362}"/>
    <cellStyle name="20% - Accent3 8 2 2 2_Exh G" xfId="2289" xr:uid="{00000000-0005-0000-0000-000006140000}"/>
    <cellStyle name="20% - Accent3 8 2 2 3" xfId="3843" xr:uid="{00000000-0005-0000-0000-000007140000}"/>
    <cellStyle name="20% - Accent3 8 2 2 3 2" xfId="7435" xr:uid="{00000000-0005-0000-0000-000008140000}"/>
    <cellStyle name="20% - Accent3 8 2 2 3 2 2" xfId="15405" xr:uid="{00000000-0005-0000-0000-000009140000}"/>
    <cellStyle name="20% - Accent3 8 2 2 3 2 2 2" xfId="39247" xr:uid="{BE9ACD02-0DE9-449C-A9B0-2EFBC03D2A6E}"/>
    <cellStyle name="20% - Accent3 8 2 2 3 2 3" xfId="23351" xr:uid="{00000000-0005-0000-0000-00000A140000}"/>
    <cellStyle name="20% - Accent3 8 2 2 3 2 3 2" xfId="47183" xr:uid="{8D1B42FB-6C15-41BB-9E57-63A9DF820ED0}"/>
    <cellStyle name="20% - Accent3 8 2 2 3 2 4" xfId="31306" xr:uid="{7AA8CB37-00D2-44D1-A7B4-7FFB32392DA6}"/>
    <cellStyle name="20% - Accent3 8 2 2 3 3" xfId="11867" xr:uid="{00000000-0005-0000-0000-00000B140000}"/>
    <cellStyle name="20% - Accent3 8 2 2 3 3 2" xfId="35716" xr:uid="{260F1FEB-D401-4D07-B90B-F408FB7A6813}"/>
    <cellStyle name="20% - Accent3 8 2 2 3 4" xfId="19822" xr:uid="{00000000-0005-0000-0000-00000C140000}"/>
    <cellStyle name="20% - Accent3 8 2 2 3 4 2" xfId="43654" xr:uid="{3E892235-7CFB-4DD0-BB0E-12EB3432D4DC}"/>
    <cellStyle name="20% - Accent3 8 2 2 3 5" xfId="27775" xr:uid="{53C44E91-A091-4B92-8DDE-F71CBFD133A4}"/>
    <cellStyle name="20% - Accent3 8 2 2 4" xfId="5663" xr:uid="{00000000-0005-0000-0000-00000D140000}"/>
    <cellStyle name="20% - Accent3 8 2 2 4 2" xfId="13646" xr:uid="{00000000-0005-0000-0000-00000E140000}"/>
    <cellStyle name="20% - Accent3 8 2 2 4 2 2" xfId="37489" xr:uid="{3A53EF5B-BAFE-462F-BE4A-4F49D37DD6C0}"/>
    <cellStyle name="20% - Accent3 8 2 2 4 3" xfId="21594" xr:uid="{00000000-0005-0000-0000-00000F140000}"/>
    <cellStyle name="20% - Accent3 8 2 2 4 3 2" xfId="45426" xr:uid="{EF4CFDEE-651B-457D-9366-50754D735D70}"/>
    <cellStyle name="20% - Accent3 8 2 2 4 4" xfId="29548" xr:uid="{984E6F96-58F6-4DB0-A39C-A18057C84A7F}"/>
    <cellStyle name="20% - Accent3 8 2 2 5" xfId="9215" xr:uid="{00000000-0005-0000-0000-000010140000}"/>
    <cellStyle name="20% - Accent3 8 2 2 5 2" xfId="17173" xr:uid="{00000000-0005-0000-0000-000011140000}"/>
    <cellStyle name="20% - Accent3 8 2 2 5 2 2" xfId="41013" xr:uid="{E8FECC2C-7A1D-4817-95D2-1186CA6AF865}"/>
    <cellStyle name="20% - Accent3 8 2 2 5 3" xfId="25117" xr:uid="{00000000-0005-0000-0000-000012140000}"/>
    <cellStyle name="20% - Accent3 8 2 2 5 3 2" xfId="48949" xr:uid="{8210BE30-C0AA-4609-98E7-CADC99C2213C}"/>
    <cellStyle name="20% - Accent3 8 2 2 5 4" xfId="33072" xr:uid="{18756C93-6CF4-4BEB-9A06-7E4D7B142079}"/>
    <cellStyle name="20% - Accent3 8 2 2 6" xfId="10111" xr:uid="{00000000-0005-0000-0000-000013140000}"/>
    <cellStyle name="20% - Accent3 8 2 2 6 2" xfId="33960" xr:uid="{DF198CC5-AA54-4E90-AD40-194A4F672874}"/>
    <cellStyle name="20% - Accent3 8 2 2 7" xfId="18066" xr:uid="{00000000-0005-0000-0000-000014140000}"/>
    <cellStyle name="20% - Accent3 8 2 2 7 2" xfId="41898" xr:uid="{9B6EB26F-C30F-4CAF-B632-47AEC536E3FF}"/>
    <cellStyle name="20% - Accent3 8 2 2 8" xfId="26018" xr:uid="{BC872FCF-A296-4A51-B48B-F2F16B973335}"/>
    <cellStyle name="20% - Accent3 8 2 2_Exh G" xfId="2288" xr:uid="{00000000-0005-0000-0000-000015140000}"/>
    <cellStyle name="20% - Accent3 8 2 3" xfId="1194" xr:uid="{00000000-0005-0000-0000-000016140000}"/>
    <cellStyle name="20% - Accent3 8 2 3 2" xfId="4721" xr:uid="{00000000-0005-0000-0000-000017140000}"/>
    <cellStyle name="20% - Accent3 8 2 3 2 2" xfId="8312" xr:uid="{00000000-0005-0000-0000-000018140000}"/>
    <cellStyle name="20% - Accent3 8 2 3 2 2 2" xfId="16282" xr:uid="{00000000-0005-0000-0000-000019140000}"/>
    <cellStyle name="20% - Accent3 8 2 3 2 2 2 2" xfId="40124" xr:uid="{6A3DB609-D03B-4E84-8624-398FA997FCF9}"/>
    <cellStyle name="20% - Accent3 8 2 3 2 2 3" xfId="24228" xr:uid="{00000000-0005-0000-0000-00001A140000}"/>
    <cellStyle name="20% - Accent3 8 2 3 2 2 3 2" xfId="48060" xr:uid="{1D870528-45DB-4E4B-BA43-E8294422B1EA}"/>
    <cellStyle name="20% - Accent3 8 2 3 2 2 4" xfId="32183" xr:uid="{DEB69800-F089-45A8-ADE8-0F73D9B550C9}"/>
    <cellStyle name="20% - Accent3 8 2 3 2 3" xfId="12744" xr:uid="{00000000-0005-0000-0000-00001B140000}"/>
    <cellStyle name="20% - Accent3 8 2 3 2 3 2" xfId="36593" xr:uid="{82536CDD-69E1-4887-9FBB-71C2920DA517}"/>
    <cellStyle name="20% - Accent3 8 2 3 2 4" xfId="20699" xr:uid="{00000000-0005-0000-0000-00001C140000}"/>
    <cellStyle name="20% - Accent3 8 2 3 2 4 2" xfId="44531" xr:uid="{3B0905F0-8F2A-4D3D-B3F9-0E2D9F327FB4}"/>
    <cellStyle name="20% - Accent3 8 2 3 2 5" xfId="28652" xr:uid="{971BB298-BCB8-4A22-A3F9-143056608C21}"/>
    <cellStyle name="20% - Accent3 8 2 3 3" xfId="6553" xr:uid="{00000000-0005-0000-0000-00001D140000}"/>
    <cellStyle name="20% - Accent3 8 2 3 3 2" xfId="14524" xr:uid="{00000000-0005-0000-0000-00001E140000}"/>
    <cellStyle name="20% - Accent3 8 2 3 3 2 2" xfId="38366" xr:uid="{776D3CB8-559D-4B53-AA7D-D9E9FDFA3000}"/>
    <cellStyle name="20% - Accent3 8 2 3 3 3" xfId="22471" xr:uid="{00000000-0005-0000-0000-00001F140000}"/>
    <cellStyle name="20% - Accent3 8 2 3 3 3 2" xfId="46303" xr:uid="{DE66646B-EE45-4E83-B5CF-8B000A541EBA}"/>
    <cellStyle name="20% - Accent3 8 2 3 3 4" xfId="30425" xr:uid="{BCC4085B-D91B-407B-ABE9-6E8609F55861}"/>
    <cellStyle name="20% - Accent3 8 2 3 4" xfId="10988" xr:uid="{00000000-0005-0000-0000-000020140000}"/>
    <cellStyle name="20% - Accent3 8 2 3 4 2" xfId="34837" xr:uid="{66ADB88C-C135-4759-9080-91B32285C782}"/>
    <cellStyle name="20% - Accent3 8 2 3 5" xfId="18943" xr:uid="{00000000-0005-0000-0000-000021140000}"/>
    <cellStyle name="20% - Accent3 8 2 3 5 2" xfId="42775" xr:uid="{2C70C476-B360-4DC2-A34F-BCDEF574CF01}"/>
    <cellStyle name="20% - Accent3 8 2 3 6" xfId="26895" xr:uid="{1B130BC4-00DB-407A-BE7F-02D63120232B}"/>
    <cellStyle name="20% - Accent3 8 2 3_Exh G" xfId="2290" xr:uid="{00000000-0005-0000-0000-000022140000}"/>
    <cellStyle name="20% - Accent3 8 2 4" xfId="3842" xr:uid="{00000000-0005-0000-0000-000023140000}"/>
    <cellStyle name="20% - Accent3 8 2 4 2" xfId="7434" xr:uid="{00000000-0005-0000-0000-000024140000}"/>
    <cellStyle name="20% - Accent3 8 2 4 2 2" xfId="15404" xr:uid="{00000000-0005-0000-0000-000025140000}"/>
    <cellStyle name="20% - Accent3 8 2 4 2 2 2" xfId="39246" xr:uid="{BD1A8790-D51D-47A0-BF39-0AAEC09C9163}"/>
    <cellStyle name="20% - Accent3 8 2 4 2 3" xfId="23350" xr:uid="{00000000-0005-0000-0000-000026140000}"/>
    <cellStyle name="20% - Accent3 8 2 4 2 3 2" xfId="47182" xr:uid="{962193BE-4FCB-4AF9-B50D-18D7EC91C01F}"/>
    <cellStyle name="20% - Accent3 8 2 4 2 4" xfId="31305" xr:uid="{E4405514-FB63-4528-855D-C196CB6219B0}"/>
    <cellStyle name="20% - Accent3 8 2 4 3" xfId="11866" xr:uid="{00000000-0005-0000-0000-000027140000}"/>
    <cellStyle name="20% - Accent3 8 2 4 3 2" xfId="35715" xr:uid="{AD8085EB-1BFB-4F02-BBB6-1EEFD98BC3E5}"/>
    <cellStyle name="20% - Accent3 8 2 4 4" xfId="19821" xr:uid="{00000000-0005-0000-0000-000028140000}"/>
    <cellStyle name="20% - Accent3 8 2 4 4 2" xfId="43653" xr:uid="{E723CDD1-28B7-4B04-863C-DF823B1E768D}"/>
    <cellStyle name="20% - Accent3 8 2 4 5" xfId="27774" xr:uid="{1CDB61E7-3AA3-4C3E-9774-5743399B0BF0}"/>
    <cellStyle name="20% - Accent3 8 2 5" xfId="5662" xr:uid="{00000000-0005-0000-0000-000029140000}"/>
    <cellStyle name="20% - Accent3 8 2 5 2" xfId="13645" xr:uid="{00000000-0005-0000-0000-00002A140000}"/>
    <cellStyle name="20% - Accent3 8 2 5 2 2" xfId="37488" xr:uid="{F22E82C5-15DA-4EFF-B2C6-43F1DD26C70A}"/>
    <cellStyle name="20% - Accent3 8 2 5 3" xfId="21593" xr:uid="{00000000-0005-0000-0000-00002B140000}"/>
    <cellStyle name="20% - Accent3 8 2 5 3 2" xfId="45425" xr:uid="{30823552-4D72-466E-83C6-D320E0ED7026}"/>
    <cellStyle name="20% - Accent3 8 2 5 4" xfId="29547" xr:uid="{328996C7-3ED1-4570-B7F9-F5AF6B9AE533}"/>
    <cellStyle name="20% - Accent3 8 2 6" xfId="9214" xr:uid="{00000000-0005-0000-0000-00002C140000}"/>
    <cellStyle name="20% - Accent3 8 2 6 2" xfId="17172" xr:uid="{00000000-0005-0000-0000-00002D140000}"/>
    <cellStyle name="20% - Accent3 8 2 6 2 2" xfId="41012" xr:uid="{252A4868-F90C-4685-A985-0C7CDDDCAFD3}"/>
    <cellStyle name="20% - Accent3 8 2 6 3" xfId="25116" xr:uid="{00000000-0005-0000-0000-00002E140000}"/>
    <cellStyle name="20% - Accent3 8 2 6 3 2" xfId="48948" xr:uid="{F72DEB32-58B9-4746-BDA9-56E292C4D3D4}"/>
    <cellStyle name="20% - Accent3 8 2 6 4" xfId="33071" xr:uid="{A5AA3D34-64F6-40B6-8694-DA8129545381}"/>
    <cellStyle name="20% - Accent3 8 2 7" xfId="10110" xr:uid="{00000000-0005-0000-0000-00002F140000}"/>
    <cellStyle name="20% - Accent3 8 2 7 2" xfId="33959" xr:uid="{2D297502-E46D-4A59-BD78-0081AB99FCD6}"/>
    <cellStyle name="20% - Accent3 8 2 8" xfId="18065" xr:uid="{00000000-0005-0000-0000-000030140000}"/>
    <cellStyle name="20% - Accent3 8 2 8 2" xfId="41897" xr:uid="{A0642B4B-8D2A-4878-8706-1349E57658F5}"/>
    <cellStyle name="20% - Accent3 8 2 9" xfId="26017" xr:uid="{4BA21A9F-CC1D-415A-82CD-918F0FB9B7E5}"/>
    <cellStyle name="20% - Accent3 8 2_Exh G" xfId="2287" xr:uid="{00000000-0005-0000-0000-000031140000}"/>
    <cellStyle name="20% - Accent3 8 3" xfId="170" xr:uid="{00000000-0005-0000-0000-000032140000}"/>
    <cellStyle name="20% - Accent3 8 3 2" xfId="1196" xr:uid="{00000000-0005-0000-0000-000033140000}"/>
    <cellStyle name="20% - Accent3 8 3 2 2" xfId="4723" xr:uid="{00000000-0005-0000-0000-000034140000}"/>
    <cellStyle name="20% - Accent3 8 3 2 2 2" xfId="8314" xr:uid="{00000000-0005-0000-0000-000035140000}"/>
    <cellStyle name="20% - Accent3 8 3 2 2 2 2" xfId="16284" xr:uid="{00000000-0005-0000-0000-000036140000}"/>
    <cellStyle name="20% - Accent3 8 3 2 2 2 2 2" xfId="40126" xr:uid="{BE88E7FF-7F08-4F83-AFDF-F4A0570B0C2E}"/>
    <cellStyle name="20% - Accent3 8 3 2 2 2 3" xfId="24230" xr:uid="{00000000-0005-0000-0000-000037140000}"/>
    <cellStyle name="20% - Accent3 8 3 2 2 2 3 2" xfId="48062" xr:uid="{392271E8-CC92-4637-9283-998CB7394BD4}"/>
    <cellStyle name="20% - Accent3 8 3 2 2 2 4" xfId="32185" xr:uid="{9EDD5456-8376-48C6-8F6F-F0867D7CDC8E}"/>
    <cellStyle name="20% - Accent3 8 3 2 2 3" xfId="12746" xr:uid="{00000000-0005-0000-0000-000038140000}"/>
    <cellStyle name="20% - Accent3 8 3 2 2 3 2" xfId="36595" xr:uid="{F9529D96-4273-4564-892D-5F4E33DE9C12}"/>
    <cellStyle name="20% - Accent3 8 3 2 2 4" xfId="20701" xr:uid="{00000000-0005-0000-0000-000039140000}"/>
    <cellStyle name="20% - Accent3 8 3 2 2 4 2" xfId="44533" xr:uid="{227582FB-FE91-4129-B058-ECFFB9282400}"/>
    <cellStyle name="20% - Accent3 8 3 2 2 5" xfId="28654" xr:uid="{C9FB1ABD-7965-4C81-B7E2-98C7920B7AA4}"/>
    <cellStyle name="20% - Accent3 8 3 2 3" xfId="6555" xr:uid="{00000000-0005-0000-0000-00003A140000}"/>
    <cellStyle name="20% - Accent3 8 3 2 3 2" xfId="14526" xr:uid="{00000000-0005-0000-0000-00003B140000}"/>
    <cellStyle name="20% - Accent3 8 3 2 3 2 2" xfId="38368" xr:uid="{82DABFAA-4541-450D-A753-C1D282EAAE42}"/>
    <cellStyle name="20% - Accent3 8 3 2 3 3" xfId="22473" xr:uid="{00000000-0005-0000-0000-00003C140000}"/>
    <cellStyle name="20% - Accent3 8 3 2 3 3 2" xfId="46305" xr:uid="{659B1578-9DB5-4E46-A64A-8CC7C803742A}"/>
    <cellStyle name="20% - Accent3 8 3 2 3 4" xfId="30427" xr:uid="{354CE2DD-6A08-470B-8A84-1E0433CD29DF}"/>
    <cellStyle name="20% - Accent3 8 3 2 4" xfId="10990" xr:uid="{00000000-0005-0000-0000-00003D140000}"/>
    <cellStyle name="20% - Accent3 8 3 2 4 2" xfId="34839" xr:uid="{3E5BD1E8-6CBC-483F-A0CE-FC485D9A8C4D}"/>
    <cellStyle name="20% - Accent3 8 3 2 5" xfId="18945" xr:uid="{00000000-0005-0000-0000-00003E140000}"/>
    <cellStyle name="20% - Accent3 8 3 2 5 2" xfId="42777" xr:uid="{70D96003-4FCF-45E9-B494-34195F3CCC17}"/>
    <cellStyle name="20% - Accent3 8 3 2 6" xfId="26897" xr:uid="{333F22DF-C1CF-4096-90C3-1AF69E8AB9D0}"/>
    <cellStyle name="20% - Accent3 8 3 2_Exh G" xfId="2292" xr:uid="{00000000-0005-0000-0000-00003F140000}"/>
    <cellStyle name="20% - Accent3 8 3 3" xfId="3844" xr:uid="{00000000-0005-0000-0000-000040140000}"/>
    <cellStyle name="20% - Accent3 8 3 3 2" xfId="7436" xr:uid="{00000000-0005-0000-0000-000041140000}"/>
    <cellStyle name="20% - Accent3 8 3 3 2 2" xfId="15406" xr:uid="{00000000-0005-0000-0000-000042140000}"/>
    <cellStyle name="20% - Accent3 8 3 3 2 2 2" xfId="39248" xr:uid="{2550F957-7125-4AF5-BF76-B3D02A0C3E7B}"/>
    <cellStyle name="20% - Accent3 8 3 3 2 3" xfId="23352" xr:uid="{00000000-0005-0000-0000-000043140000}"/>
    <cellStyle name="20% - Accent3 8 3 3 2 3 2" xfId="47184" xr:uid="{26D64F0A-F70E-433E-9431-D1589F3B7EC9}"/>
    <cellStyle name="20% - Accent3 8 3 3 2 4" xfId="31307" xr:uid="{EEAA4744-FFF6-4725-9E58-57C8267F8226}"/>
    <cellStyle name="20% - Accent3 8 3 3 3" xfId="11868" xr:uid="{00000000-0005-0000-0000-000044140000}"/>
    <cellStyle name="20% - Accent3 8 3 3 3 2" xfId="35717" xr:uid="{D4B5252A-BF22-451F-B180-E78F2D5D8F8F}"/>
    <cellStyle name="20% - Accent3 8 3 3 4" xfId="19823" xr:uid="{00000000-0005-0000-0000-000045140000}"/>
    <cellStyle name="20% - Accent3 8 3 3 4 2" xfId="43655" xr:uid="{6EFED3F2-8850-4143-A7AD-D2C18671708F}"/>
    <cellStyle name="20% - Accent3 8 3 3 5" xfId="27776" xr:uid="{2A185AE6-46E7-4CFB-8D25-802CDC08150E}"/>
    <cellStyle name="20% - Accent3 8 3 4" xfId="5664" xr:uid="{00000000-0005-0000-0000-000046140000}"/>
    <cellStyle name="20% - Accent3 8 3 4 2" xfId="13647" xr:uid="{00000000-0005-0000-0000-000047140000}"/>
    <cellStyle name="20% - Accent3 8 3 4 2 2" xfId="37490" xr:uid="{9B6ADEE0-D0F0-4C31-AC1D-76270A756A0E}"/>
    <cellStyle name="20% - Accent3 8 3 4 3" xfId="21595" xr:uid="{00000000-0005-0000-0000-000048140000}"/>
    <cellStyle name="20% - Accent3 8 3 4 3 2" xfId="45427" xr:uid="{4FE40798-58A7-446B-9631-2DB76B0F184C}"/>
    <cellStyle name="20% - Accent3 8 3 4 4" xfId="29549" xr:uid="{47824DC0-5D54-4843-A796-2924AA696A68}"/>
    <cellStyle name="20% - Accent3 8 3 5" xfId="9216" xr:uid="{00000000-0005-0000-0000-000049140000}"/>
    <cellStyle name="20% - Accent3 8 3 5 2" xfId="17174" xr:uid="{00000000-0005-0000-0000-00004A140000}"/>
    <cellStyle name="20% - Accent3 8 3 5 2 2" xfId="41014" xr:uid="{1D8CA2E5-4320-424F-BA87-0F85534F9053}"/>
    <cellStyle name="20% - Accent3 8 3 5 3" xfId="25118" xr:uid="{00000000-0005-0000-0000-00004B140000}"/>
    <cellStyle name="20% - Accent3 8 3 5 3 2" xfId="48950" xr:uid="{C7A30BA6-C826-4F86-87F1-077319FDB099}"/>
    <cellStyle name="20% - Accent3 8 3 5 4" xfId="33073" xr:uid="{A41F48E2-8B8B-4160-AD30-4900E3B7584D}"/>
    <cellStyle name="20% - Accent3 8 3 6" xfId="10112" xr:uid="{00000000-0005-0000-0000-00004C140000}"/>
    <cellStyle name="20% - Accent3 8 3 6 2" xfId="33961" xr:uid="{B88B3A36-DDAB-4E1B-8B39-D40CC6F3656B}"/>
    <cellStyle name="20% - Accent3 8 3 7" xfId="18067" xr:uid="{00000000-0005-0000-0000-00004D140000}"/>
    <cellStyle name="20% - Accent3 8 3 7 2" xfId="41899" xr:uid="{8EA91AEB-81AF-4A2B-BDDB-36180DA906DF}"/>
    <cellStyle name="20% - Accent3 8 3 8" xfId="26019" xr:uid="{1AA79E3E-7C70-4675-BA81-4B9962CE7F9F}"/>
    <cellStyle name="20% - Accent3 8 3_Exh G" xfId="2291" xr:uid="{00000000-0005-0000-0000-00004E140000}"/>
    <cellStyle name="20% - Accent3 8 4" xfId="893" xr:uid="{00000000-0005-0000-0000-00004F140000}"/>
    <cellStyle name="20% - Accent3 8 4 2" xfId="1820" xr:uid="{00000000-0005-0000-0000-000050140000}"/>
    <cellStyle name="20% - Accent3 8 4 2 2" xfId="5337" xr:uid="{00000000-0005-0000-0000-000051140000}"/>
    <cellStyle name="20% - Accent3 8 4 2 2 2" xfId="8928" xr:uid="{00000000-0005-0000-0000-000052140000}"/>
    <cellStyle name="20% - Accent3 8 4 2 2 2 2" xfId="16898" xr:uid="{00000000-0005-0000-0000-000053140000}"/>
    <cellStyle name="20% - Accent3 8 4 2 2 2 2 2" xfId="40740" xr:uid="{4FDB4832-F09B-426D-9549-CC5A68498778}"/>
    <cellStyle name="20% - Accent3 8 4 2 2 2 3" xfId="24844" xr:uid="{00000000-0005-0000-0000-000054140000}"/>
    <cellStyle name="20% - Accent3 8 4 2 2 2 3 2" xfId="48676" xr:uid="{3ABA3790-AB53-418D-9F32-A25ADACDA62E}"/>
    <cellStyle name="20% - Accent3 8 4 2 2 2 4" xfId="32799" xr:uid="{CE194952-2407-422D-8C79-94EE26E67FF2}"/>
    <cellStyle name="20% - Accent3 8 4 2 2 3" xfId="13360" xr:uid="{00000000-0005-0000-0000-000055140000}"/>
    <cellStyle name="20% - Accent3 8 4 2 2 3 2" xfId="37209" xr:uid="{6A26252E-8D76-4360-B35A-20C55B74E02D}"/>
    <cellStyle name="20% - Accent3 8 4 2 2 4" xfId="21315" xr:uid="{00000000-0005-0000-0000-000056140000}"/>
    <cellStyle name="20% - Accent3 8 4 2 2 4 2" xfId="45147" xr:uid="{3895F62F-CA1D-4BCB-BF21-11C6D77100F8}"/>
    <cellStyle name="20% - Accent3 8 4 2 2 5" xfId="29268" xr:uid="{9957FF5B-ED32-4760-9AC3-667B7A419091}"/>
    <cellStyle name="20% - Accent3 8 4 2 3" xfId="7169" xr:uid="{00000000-0005-0000-0000-000057140000}"/>
    <cellStyle name="20% - Accent3 8 4 2 3 2" xfId="15140" xr:uid="{00000000-0005-0000-0000-000058140000}"/>
    <cellStyle name="20% - Accent3 8 4 2 3 2 2" xfId="38982" xr:uid="{2FF49F4F-1C70-4CA1-B650-E016CCC9AFF1}"/>
    <cellStyle name="20% - Accent3 8 4 2 3 3" xfId="23087" xr:uid="{00000000-0005-0000-0000-000059140000}"/>
    <cellStyle name="20% - Accent3 8 4 2 3 3 2" xfId="46919" xr:uid="{05D18BE4-AF18-48FC-86D5-CDA8B1FD5DA6}"/>
    <cellStyle name="20% - Accent3 8 4 2 3 4" xfId="31041" xr:uid="{94933989-B633-4761-A84E-94E0601464EF}"/>
    <cellStyle name="20% - Accent3 8 4 2 4" xfId="11604" xr:uid="{00000000-0005-0000-0000-00005A140000}"/>
    <cellStyle name="20% - Accent3 8 4 2 4 2" xfId="35453" xr:uid="{E10E473C-1C6C-43DB-976A-F6C7D77FE018}"/>
    <cellStyle name="20% - Accent3 8 4 2 5" xfId="19559" xr:uid="{00000000-0005-0000-0000-00005B140000}"/>
    <cellStyle name="20% - Accent3 8 4 2 5 2" xfId="43391" xr:uid="{B094E22E-4B46-4FDE-B56C-204EEEC8EFA1}"/>
    <cellStyle name="20% - Accent3 8 4 2 6" xfId="27511" xr:uid="{F7279314-C149-4FF8-B29B-066E64C48C0F}"/>
    <cellStyle name="20% - Accent3 8 4 2_Exh G" xfId="2294" xr:uid="{00000000-0005-0000-0000-00005C140000}"/>
    <cellStyle name="20% - Accent3 8 4 3" xfId="4458" xr:uid="{00000000-0005-0000-0000-00005D140000}"/>
    <cellStyle name="20% - Accent3 8 4 3 2" xfId="8050" xr:uid="{00000000-0005-0000-0000-00005E140000}"/>
    <cellStyle name="20% - Accent3 8 4 3 2 2" xfId="16020" xr:uid="{00000000-0005-0000-0000-00005F140000}"/>
    <cellStyle name="20% - Accent3 8 4 3 2 2 2" xfId="39862" xr:uid="{15A0E881-A375-4437-8BB5-E53A93E49599}"/>
    <cellStyle name="20% - Accent3 8 4 3 2 3" xfId="23966" xr:uid="{00000000-0005-0000-0000-000060140000}"/>
    <cellStyle name="20% - Accent3 8 4 3 2 3 2" xfId="47798" xr:uid="{A40F8844-4195-4DE0-9C3C-8401DC966F87}"/>
    <cellStyle name="20% - Accent3 8 4 3 2 4" xfId="31921" xr:uid="{ECF43AB0-6911-4317-BD90-0EA8A6E21346}"/>
    <cellStyle name="20% - Accent3 8 4 3 3" xfId="12482" xr:uid="{00000000-0005-0000-0000-000061140000}"/>
    <cellStyle name="20% - Accent3 8 4 3 3 2" xfId="36331" xr:uid="{93E33A39-7AF4-4919-A3F8-E85BF088F059}"/>
    <cellStyle name="20% - Accent3 8 4 3 4" xfId="20437" xr:uid="{00000000-0005-0000-0000-000062140000}"/>
    <cellStyle name="20% - Accent3 8 4 3 4 2" xfId="44269" xr:uid="{72FE5E22-BA0C-4F25-A370-02D3192CC705}"/>
    <cellStyle name="20% - Accent3 8 4 3 5" xfId="28390" xr:uid="{A9B71E51-73D9-4D72-B5B7-1197D9F4C995}"/>
    <cellStyle name="20% - Accent3 8 4 4" xfId="6288" xr:uid="{00000000-0005-0000-0000-000063140000}"/>
    <cellStyle name="20% - Accent3 8 4 4 2" xfId="14262" xr:uid="{00000000-0005-0000-0000-000064140000}"/>
    <cellStyle name="20% - Accent3 8 4 4 2 2" xfId="38104" xr:uid="{3712A6D6-3987-4B06-AC96-0A43F00794D5}"/>
    <cellStyle name="20% - Accent3 8 4 4 3" xfId="22209" xr:uid="{00000000-0005-0000-0000-000065140000}"/>
    <cellStyle name="20% - Accent3 8 4 4 3 2" xfId="46041" xr:uid="{2E9AB3CE-7519-4D8E-88C7-E08BFE1B7F5E}"/>
    <cellStyle name="20% - Accent3 8 4 4 4" xfId="30163" xr:uid="{A97F7548-5E7B-470C-8DF7-196AD853F878}"/>
    <cellStyle name="20% - Accent3 8 4 5" xfId="9830" xr:uid="{00000000-0005-0000-0000-000066140000}"/>
    <cellStyle name="20% - Accent3 8 4 5 2" xfId="17788" xr:uid="{00000000-0005-0000-0000-000067140000}"/>
    <cellStyle name="20% - Accent3 8 4 5 2 2" xfId="41628" xr:uid="{AA84F16C-1B4B-4680-A60A-185E0E0AF2A2}"/>
    <cellStyle name="20% - Accent3 8 4 5 3" xfId="25732" xr:uid="{00000000-0005-0000-0000-000068140000}"/>
    <cellStyle name="20% - Accent3 8 4 5 3 2" xfId="49564" xr:uid="{2B190F29-CF08-4EE7-A286-339A3E75F05E}"/>
    <cellStyle name="20% - Accent3 8 4 5 4" xfId="33687" xr:uid="{CD519FBF-1C6F-45BA-BF36-A1A18B70DD8B}"/>
    <cellStyle name="20% - Accent3 8 4 6" xfId="10726" xr:uid="{00000000-0005-0000-0000-000069140000}"/>
    <cellStyle name="20% - Accent3 8 4 6 2" xfId="34575" xr:uid="{4A1DF77F-DE11-474E-9E57-A2C8481594BF}"/>
    <cellStyle name="20% - Accent3 8 4 7" xfId="18681" xr:uid="{00000000-0005-0000-0000-00006A140000}"/>
    <cellStyle name="20% - Accent3 8 4 7 2" xfId="42513" xr:uid="{5498C6D3-F7D8-4662-A39F-FC62C08170F2}"/>
    <cellStyle name="20% - Accent3 8 4 8" xfId="26633" xr:uid="{C5FF0F91-1A8F-43E1-9AFA-7F3FF0330A91}"/>
    <cellStyle name="20% - Accent3 8 4_Exh G" xfId="2293" xr:uid="{00000000-0005-0000-0000-00006B140000}"/>
    <cellStyle name="20% - Accent3 8 5" xfId="1193" xr:uid="{00000000-0005-0000-0000-00006C140000}"/>
    <cellStyle name="20% - Accent3 8 5 2" xfId="4720" xr:uid="{00000000-0005-0000-0000-00006D140000}"/>
    <cellStyle name="20% - Accent3 8 5 2 2" xfId="8311" xr:uid="{00000000-0005-0000-0000-00006E140000}"/>
    <cellStyle name="20% - Accent3 8 5 2 2 2" xfId="16281" xr:uid="{00000000-0005-0000-0000-00006F140000}"/>
    <cellStyle name="20% - Accent3 8 5 2 2 2 2" xfId="40123" xr:uid="{684B2407-57F2-45BB-936A-84450FD93EBC}"/>
    <cellStyle name="20% - Accent3 8 5 2 2 3" xfId="24227" xr:uid="{00000000-0005-0000-0000-000070140000}"/>
    <cellStyle name="20% - Accent3 8 5 2 2 3 2" xfId="48059" xr:uid="{C262E4B3-D134-4107-9B59-BB02A1D8A697}"/>
    <cellStyle name="20% - Accent3 8 5 2 2 4" xfId="32182" xr:uid="{9B57FC7C-57F3-4561-A1FE-57C8280282E9}"/>
    <cellStyle name="20% - Accent3 8 5 2 3" xfId="12743" xr:uid="{00000000-0005-0000-0000-000071140000}"/>
    <cellStyle name="20% - Accent3 8 5 2 3 2" xfId="36592" xr:uid="{031D6319-9878-46A7-84A5-B15809BE2B03}"/>
    <cellStyle name="20% - Accent3 8 5 2 4" xfId="20698" xr:uid="{00000000-0005-0000-0000-000072140000}"/>
    <cellStyle name="20% - Accent3 8 5 2 4 2" xfId="44530" xr:uid="{5C0B1EAB-5A38-4DA4-98C2-519F6194DFD0}"/>
    <cellStyle name="20% - Accent3 8 5 2 5" xfId="28651" xr:uid="{13AE26BE-BFFF-4E86-93F8-BCC7CA2C3D65}"/>
    <cellStyle name="20% - Accent3 8 5 3" xfId="6552" xr:uid="{00000000-0005-0000-0000-000073140000}"/>
    <cellStyle name="20% - Accent3 8 5 3 2" xfId="14523" xr:uid="{00000000-0005-0000-0000-000074140000}"/>
    <cellStyle name="20% - Accent3 8 5 3 2 2" xfId="38365" xr:uid="{8A567E1F-2066-42A4-A329-A2EC030475B8}"/>
    <cellStyle name="20% - Accent3 8 5 3 3" xfId="22470" xr:uid="{00000000-0005-0000-0000-000075140000}"/>
    <cellStyle name="20% - Accent3 8 5 3 3 2" xfId="46302" xr:uid="{5224DB80-0B21-4E74-B4C7-69195D63557B}"/>
    <cellStyle name="20% - Accent3 8 5 3 4" xfId="30424" xr:uid="{72F9F337-7D0B-4A9B-86D1-71F1AE103557}"/>
    <cellStyle name="20% - Accent3 8 5 4" xfId="10987" xr:uid="{00000000-0005-0000-0000-000076140000}"/>
    <cellStyle name="20% - Accent3 8 5 4 2" xfId="34836" xr:uid="{1E422875-4C82-43AA-9473-D4AC25CE3F8C}"/>
    <cellStyle name="20% - Accent3 8 5 5" xfId="18942" xr:uid="{00000000-0005-0000-0000-000077140000}"/>
    <cellStyle name="20% - Accent3 8 5 5 2" xfId="42774" xr:uid="{34545472-3005-4B79-A77A-4FF628A3C93A}"/>
    <cellStyle name="20% - Accent3 8 5 6" xfId="26894" xr:uid="{ED88FD6F-CFF8-4772-9263-5EC57F6B64A2}"/>
    <cellStyle name="20% - Accent3 8 5_Exh G" xfId="2295" xr:uid="{00000000-0005-0000-0000-000078140000}"/>
    <cellStyle name="20% - Accent3 8 6" xfId="3841" xr:uid="{00000000-0005-0000-0000-000079140000}"/>
    <cellStyle name="20% - Accent3 8 6 2" xfId="7433" xr:uid="{00000000-0005-0000-0000-00007A140000}"/>
    <cellStyle name="20% - Accent3 8 6 2 2" xfId="15403" xr:uid="{00000000-0005-0000-0000-00007B140000}"/>
    <cellStyle name="20% - Accent3 8 6 2 2 2" xfId="39245" xr:uid="{94454EF1-D37F-4A24-8B35-DBF54047CB1C}"/>
    <cellStyle name="20% - Accent3 8 6 2 3" xfId="23349" xr:uid="{00000000-0005-0000-0000-00007C140000}"/>
    <cellStyle name="20% - Accent3 8 6 2 3 2" xfId="47181" xr:uid="{6B95BFA7-BE25-4E39-BC93-433965F186BC}"/>
    <cellStyle name="20% - Accent3 8 6 2 4" xfId="31304" xr:uid="{671BC6A3-AE5F-4A69-97C7-0B24480FBA3F}"/>
    <cellStyle name="20% - Accent3 8 6 3" xfId="11865" xr:uid="{00000000-0005-0000-0000-00007D140000}"/>
    <cellStyle name="20% - Accent3 8 6 3 2" xfId="35714" xr:uid="{9CFF9F51-2F13-42EB-BC3B-F2A569A5B496}"/>
    <cellStyle name="20% - Accent3 8 6 4" xfId="19820" xr:uid="{00000000-0005-0000-0000-00007E140000}"/>
    <cellStyle name="20% - Accent3 8 6 4 2" xfId="43652" xr:uid="{CE423196-BD3F-416A-A1E0-D1E3393E0E96}"/>
    <cellStyle name="20% - Accent3 8 6 5" xfId="27773" xr:uid="{060B50C8-2EB7-4DBA-BC68-9AAE2BAD9B13}"/>
    <cellStyle name="20% - Accent3 8 7" xfId="5661" xr:uid="{00000000-0005-0000-0000-00007F140000}"/>
    <cellStyle name="20% - Accent3 8 7 2" xfId="13644" xr:uid="{00000000-0005-0000-0000-000080140000}"/>
    <cellStyle name="20% - Accent3 8 7 2 2" xfId="37487" xr:uid="{15A81B93-8994-4409-A797-D991C5F0E595}"/>
    <cellStyle name="20% - Accent3 8 7 3" xfId="21592" xr:uid="{00000000-0005-0000-0000-000081140000}"/>
    <cellStyle name="20% - Accent3 8 7 3 2" xfId="45424" xr:uid="{E76309CB-F858-4345-B8EB-826BB8E13353}"/>
    <cellStyle name="20% - Accent3 8 7 4" xfId="29546" xr:uid="{61500F1E-DD39-49E3-8738-7DE91600CAAE}"/>
    <cellStyle name="20% - Accent3 8 8" xfId="9213" xr:uid="{00000000-0005-0000-0000-000082140000}"/>
    <cellStyle name="20% - Accent3 8 8 2" xfId="17171" xr:uid="{00000000-0005-0000-0000-000083140000}"/>
    <cellStyle name="20% - Accent3 8 8 2 2" xfId="41011" xr:uid="{B7A9B587-A5B1-4F2C-B576-DD7B1A582FB7}"/>
    <cellStyle name="20% - Accent3 8 8 3" xfId="25115" xr:uid="{00000000-0005-0000-0000-000084140000}"/>
    <cellStyle name="20% - Accent3 8 8 3 2" xfId="48947" xr:uid="{E2C81954-A407-4134-A1C4-88AE271CF5E2}"/>
    <cellStyle name="20% - Accent3 8 8 4" xfId="33070" xr:uid="{676FABE0-FDE1-447C-9EF6-8CE37DB30680}"/>
    <cellStyle name="20% - Accent3 8 9" xfId="10109" xr:uid="{00000000-0005-0000-0000-000085140000}"/>
    <cellStyle name="20% - Accent3 8 9 2" xfId="33958" xr:uid="{42B8B552-5C59-479C-B05B-9D205F4A2E95}"/>
    <cellStyle name="20% - Accent3 8_Exh G" xfId="2286" xr:uid="{00000000-0005-0000-0000-000086140000}"/>
    <cellStyle name="20% - Accent3 9" xfId="171" xr:uid="{00000000-0005-0000-0000-000087140000}"/>
    <cellStyle name="20% - Accent3 9 10" xfId="18068" xr:uid="{00000000-0005-0000-0000-000088140000}"/>
    <cellStyle name="20% - Accent3 9 10 2" xfId="41900" xr:uid="{385AB4ED-348F-4EB8-8B98-6917D1B491E3}"/>
    <cellStyle name="20% - Accent3 9 11" xfId="26020" xr:uid="{09BCE94D-BE8D-4351-AB22-8C4BD60E4285}"/>
    <cellStyle name="20% - Accent3 9 2" xfId="172" xr:uid="{00000000-0005-0000-0000-000089140000}"/>
    <cellStyle name="20% - Accent3 9 2 2" xfId="173" xr:uid="{00000000-0005-0000-0000-00008A140000}"/>
    <cellStyle name="20% - Accent3 9 2 2 2" xfId="1199" xr:uid="{00000000-0005-0000-0000-00008B140000}"/>
    <cellStyle name="20% - Accent3 9 2 2 2 2" xfId="4726" xr:uid="{00000000-0005-0000-0000-00008C140000}"/>
    <cellStyle name="20% - Accent3 9 2 2 2 2 2" xfId="8317" xr:uid="{00000000-0005-0000-0000-00008D140000}"/>
    <cellStyle name="20% - Accent3 9 2 2 2 2 2 2" xfId="16287" xr:uid="{00000000-0005-0000-0000-00008E140000}"/>
    <cellStyle name="20% - Accent3 9 2 2 2 2 2 2 2" xfId="40129" xr:uid="{B7C12DCF-BA12-4340-A421-0184FD5C8673}"/>
    <cellStyle name="20% - Accent3 9 2 2 2 2 2 3" xfId="24233" xr:uid="{00000000-0005-0000-0000-00008F140000}"/>
    <cellStyle name="20% - Accent3 9 2 2 2 2 2 3 2" xfId="48065" xr:uid="{9DC86057-B758-44D2-AE78-C1AC1C9F32AE}"/>
    <cellStyle name="20% - Accent3 9 2 2 2 2 2 4" xfId="32188" xr:uid="{E67A3762-6167-4E97-8419-F4AFE69F1DE6}"/>
    <cellStyle name="20% - Accent3 9 2 2 2 2 3" xfId="12749" xr:uid="{00000000-0005-0000-0000-000090140000}"/>
    <cellStyle name="20% - Accent3 9 2 2 2 2 3 2" xfId="36598" xr:uid="{998E31BA-EE08-48CE-ABC4-9A96E4130151}"/>
    <cellStyle name="20% - Accent3 9 2 2 2 2 4" xfId="20704" xr:uid="{00000000-0005-0000-0000-000091140000}"/>
    <cellStyle name="20% - Accent3 9 2 2 2 2 4 2" xfId="44536" xr:uid="{82D96AD6-E758-443A-9CEC-DADD3F144C07}"/>
    <cellStyle name="20% - Accent3 9 2 2 2 2 5" xfId="28657" xr:uid="{5B9BF274-CB35-4709-AB8E-E445A607DA6D}"/>
    <cellStyle name="20% - Accent3 9 2 2 2 3" xfId="6558" xr:uid="{00000000-0005-0000-0000-000092140000}"/>
    <cellStyle name="20% - Accent3 9 2 2 2 3 2" xfId="14529" xr:uid="{00000000-0005-0000-0000-000093140000}"/>
    <cellStyle name="20% - Accent3 9 2 2 2 3 2 2" xfId="38371" xr:uid="{AAB87F57-C8C0-437B-8BAF-1FBCDE045C60}"/>
    <cellStyle name="20% - Accent3 9 2 2 2 3 3" xfId="22476" xr:uid="{00000000-0005-0000-0000-000094140000}"/>
    <cellStyle name="20% - Accent3 9 2 2 2 3 3 2" xfId="46308" xr:uid="{6986C662-E857-411A-B5E4-1B0891566021}"/>
    <cellStyle name="20% - Accent3 9 2 2 2 3 4" xfId="30430" xr:uid="{F243C2F3-0773-4704-BF0C-06682BD52898}"/>
    <cellStyle name="20% - Accent3 9 2 2 2 4" xfId="10993" xr:uid="{00000000-0005-0000-0000-000095140000}"/>
    <cellStyle name="20% - Accent3 9 2 2 2 4 2" xfId="34842" xr:uid="{52D1E14A-2D4F-4E25-BF05-53779F16AF63}"/>
    <cellStyle name="20% - Accent3 9 2 2 2 5" xfId="18948" xr:uid="{00000000-0005-0000-0000-000096140000}"/>
    <cellStyle name="20% - Accent3 9 2 2 2 5 2" xfId="42780" xr:uid="{52FE93B9-8E71-4058-9660-8C9D3F3290D8}"/>
    <cellStyle name="20% - Accent3 9 2 2 2 6" xfId="26900" xr:uid="{40DA7A99-5379-422E-8341-BD116841BC35}"/>
    <cellStyle name="20% - Accent3 9 2 2 2_Exh G" xfId="2299" xr:uid="{00000000-0005-0000-0000-000097140000}"/>
    <cellStyle name="20% - Accent3 9 2 2 3" xfId="3847" xr:uid="{00000000-0005-0000-0000-000098140000}"/>
    <cellStyle name="20% - Accent3 9 2 2 3 2" xfId="7439" xr:uid="{00000000-0005-0000-0000-000099140000}"/>
    <cellStyle name="20% - Accent3 9 2 2 3 2 2" xfId="15409" xr:uid="{00000000-0005-0000-0000-00009A140000}"/>
    <cellStyle name="20% - Accent3 9 2 2 3 2 2 2" xfId="39251" xr:uid="{1F528E3A-2C0E-4930-8754-95C65098943F}"/>
    <cellStyle name="20% - Accent3 9 2 2 3 2 3" xfId="23355" xr:uid="{00000000-0005-0000-0000-00009B140000}"/>
    <cellStyle name="20% - Accent3 9 2 2 3 2 3 2" xfId="47187" xr:uid="{FA6D55AA-96C5-4055-8D9A-0AECE54CA5E8}"/>
    <cellStyle name="20% - Accent3 9 2 2 3 2 4" xfId="31310" xr:uid="{6CFD7E09-BF62-4323-8C7F-07655C9F7ACF}"/>
    <cellStyle name="20% - Accent3 9 2 2 3 3" xfId="11871" xr:uid="{00000000-0005-0000-0000-00009C140000}"/>
    <cellStyle name="20% - Accent3 9 2 2 3 3 2" xfId="35720" xr:uid="{5A69B9F8-2F3E-489F-B237-145F2E3C56EA}"/>
    <cellStyle name="20% - Accent3 9 2 2 3 4" xfId="19826" xr:uid="{00000000-0005-0000-0000-00009D140000}"/>
    <cellStyle name="20% - Accent3 9 2 2 3 4 2" xfId="43658" xr:uid="{6A56500B-2538-4B28-ADF7-FB2B382A219E}"/>
    <cellStyle name="20% - Accent3 9 2 2 3 5" xfId="27779" xr:uid="{3570D0A6-F059-4499-839D-17E9F85962F5}"/>
    <cellStyle name="20% - Accent3 9 2 2 4" xfId="5667" xr:uid="{00000000-0005-0000-0000-00009E140000}"/>
    <cellStyle name="20% - Accent3 9 2 2 4 2" xfId="13650" xr:uid="{00000000-0005-0000-0000-00009F140000}"/>
    <cellStyle name="20% - Accent3 9 2 2 4 2 2" xfId="37493" xr:uid="{68F7B1C1-EE94-42E4-875A-7051660CD218}"/>
    <cellStyle name="20% - Accent3 9 2 2 4 3" xfId="21598" xr:uid="{00000000-0005-0000-0000-0000A0140000}"/>
    <cellStyle name="20% - Accent3 9 2 2 4 3 2" xfId="45430" xr:uid="{C8D161E8-A491-4633-ABDF-A6661CF8C8C3}"/>
    <cellStyle name="20% - Accent3 9 2 2 4 4" xfId="29552" xr:uid="{44B99822-9D89-4B58-9D1F-6759686B1D0C}"/>
    <cellStyle name="20% - Accent3 9 2 2 5" xfId="9219" xr:uid="{00000000-0005-0000-0000-0000A1140000}"/>
    <cellStyle name="20% - Accent3 9 2 2 5 2" xfId="17177" xr:uid="{00000000-0005-0000-0000-0000A2140000}"/>
    <cellStyle name="20% - Accent3 9 2 2 5 2 2" xfId="41017" xr:uid="{748A18BA-C181-4995-987F-E1836D9004D2}"/>
    <cellStyle name="20% - Accent3 9 2 2 5 3" xfId="25121" xr:uid="{00000000-0005-0000-0000-0000A3140000}"/>
    <cellStyle name="20% - Accent3 9 2 2 5 3 2" xfId="48953" xr:uid="{112995C9-14F5-4492-80F8-2AD8F6B64B9C}"/>
    <cellStyle name="20% - Accent3 9 2 2 5 4" xfId="33076" xr:uid="{2C8E3B95-9571-4E31-85E5-035B1130BFA7}"/>
    <cellStyle name="20% - Accent3 9 2 2 6" xfId="10115" xr:uid="{00000000-0005-0000-0000-0000A4140000}"/>
    <cellStyle name="20% - Accent3 9 2 2 6 2" xfId="33964" xr:uid="{5CD302B2-031E-449A-90BC-C9E044C3AF93}"/>
    <cellStyle name="20% - Accent3 9 2 2 7" xfId="18070" xr:uid="{00000000-0005-0000-0000-0000A5140000}"/>
    <cellStyle name="20% - Accent3 9 2 2 7 2" xfId="41902" xr:uid="{A20577DB-1215-4715-BD80-7D196E7C9F62}"/>
    <cellStyle name="20% - Accent3 9 2 2 8" xfId="26022" xr:uid="{E9AC216D-BCD9-4DAC-9F31-6B15F0385E7E}"/>
    <cellStyle name="20% - Accent3 9 2 2_Exh G" xfId="2298" xr:uid="{00000000-0005-0000-0000-0000A6140000}"/>
    <cellStyle name="20% - Accent3 9 2 3" xfId="1198" xr:uid="{00000000-0005-0000-0000-0000A7140000}"/>
    <cellStyle name="20% - Accent3 9 2 3 2" xfId="4725" xr:uid="{00000000-0005-0000-0000-0000A8140000}"/>
    <cellStyle name="20% - Accent3 9 2 3 2 2" xfId="8316" xr:uid="{00000000-0005-0000-0000-0000A9140000}"/>
    <cellStyle name="20% - Accent3 9 2 3 2 2 2" xfId="16286" xr:uid="{00000000-0005-0000-0000-0000AA140000}"/>
    <cellStyle name="20% - Accent3 9 2 3 2 2 2 2" xfId="40128" xr:uid="{D7C8AD8F-71F0-4B2C-8C08-54ED0F17C2DC}"/>
    <cellStyle name="20% - Accent3 9 2 3 2 2 3" xfId="24232" xr:uid="{00000000-0005-0000-0000-0000AB140000}"/>
    <cellStyle name="20% - Accent3 9 2 3 2 2 3 2" xfId="48064" xr:uid="{3BE9E440-C78E-4DFE-98FE-6FB394223CD2}"/>
    <cellStyle name="20% - Accent3 9 2 3 2 2 4" xfId="32187" xr:uid="{FF50FCE9-DACD-4C84-8BB0-1B893FBD30BB}"/>
    <cellStyle name="20% - Accent3 9 2 3 2 3" xfId="12748" xr:uid="{00000000-0005-0000-0000-0000AC140000}"/>
    <cellStyle name="20% - Accent3 9 2 3 2 3 2" xfId="36597" xr:uid="{159D6013-0CB2-4919-8352-2573FA4B7549}"/>
    <cellStyle name="20% - Accent3 9 2 3 2 4" xfId="20703" xr:uid="{00000000-0005-0000-0000-0000AD140000}"/>
    <cellStyle name="20% - Accent3 9 2 3 2 4 2" xfId="44535" xr:uid="{1D143755-2056-421A-B0DB-879F98BFFB7F}"/>
    <cellStyle name="20% - Accent3 9 2 3 2 5" xfId="28656" xr:uid="{C7F6E8C0-4126-4838-85B6-90E0B2D4A529}"/>
    <cellStyle name="20% - Accent3 9 2 3 3" xfId="6557" xr:uid="{00000000-0005-0000-0000-0000AE140000}"/>
    <cellStyle name="20% - Accent3 9 2 3 3 2" xfId="14528" xr:uid="{00000000-0005-0000-0000-0000AF140000}"/>
    <cellStyle name="20% - Accent3 9 2 3 3 2 2" xfId="38370" xr:uid="{B8A08A04-2B79-487D-8AC6-97907DCDFF7C}"/>
    <cellStyle name="20% - Accent3 9 2 3 3 3" xfId="22475" xr:uid="{00000000-0005-0000-0000-0000B0140000}"/>
    <cellStyle name="20% - Accent3 9 2 3 3 3 2" xfId="46307" xr:uid="{EA73B769-2DC1-43A8-9E68-C72AF1AA9A38}"/>
    <cellStyle name="20% - Accent3 9 2 3 3 4" xfId="30429" xr:uid="{E199FB02-2E8F-4E70-BDBE-BC54922F5959}"/>
    <cellStyle name="20% - Accent3 9 2 3 4" xfId="10992" xr:uid="{00000000-0005-0000-0000-0000B1140000}"/>
    <cellStyle name="20% - Accent3 9 2 3 4 2" xfId="34841" xr:uid="{41CFD704-F6F2-4B21-B754-8F44B95EC6F5}"/>
    <cellStyle name="20% - Accent3 9 2 3 5" xfId="18947" xr:uid="{00000000-0005-0000-0000-0000B2140000}"/>
    <cellStyle name="20% - Accent3 9 2 3 5 2" xfId="42779" xr:uid="{7AFCAE14-9F78-4743-8E2E-7993C3D7A187}"/>
    <cellStyle name="20% - Accent3 9 2 3 6" xfId="26899" xr:uid="{F1A893C5-DB98-4B96-9BC2-85FC8B3C66E8}"/>
    <cellStyle name="20% - Accent3 9 2 3_Exh G" xfId="2300" xr:uid="{00000000-0005-0000-0000-0000B3140000}"/>
    <cellStyle name="20% - Accent3 9 2 4" xfId="3846" xr:uid="{00000000-0005-0000-0000-0000B4140000}"/>
    <cellStyle name="20% - Accent3 9 2 4 2" xfId="7438" xr:uid="{00000000-0005-0000-0000-0000B5140000}"/>
    <cellStyle name="20% - Accent3 9 2 4 2 2" xfId="15408" xr:uid="{00000000-0005-0000-0000-0000B6140000}"/>
    <cellStyle name="20% - Accent3 9 2 4 2 2 2" xfId="39250" xr:uid="{FB65C384-0791-4618-A720-12CB5D0BFF66}"/>
    <cellStyle name="20% - Accent3 9 2 4 2 3" xfId="23354" xr:uid="{00000000-0005-0000-0000-0000B7140000}"/>
    <cellStyle name="20% - Accent3 9 2 4 2 3 2" xfId="47186" xr:uid="{7F62659A-D286-4CA5-B814-2B05E82834C9}"/>
    <cellStyle name="20% - Accent3 9 2 4 2 4" xfId="31309" xr:uid="{F00DE273-AF3A-4D21-9D64-351A21E2C198}"/>
    <cellStyle name="20% - Accent3 9 2 4 3" xfId="11870" xr:uid="{00000000-0005-0000-0000-0000B8140000}"/>
    <cellStyle name="20% - Accent3 9 2 4 3 2" xfId="35719" xr:uid="{C0601436-0252-4CB9-81D9-EBC318CFAB7B}"/>
    <cellStyle name="20% - Accent3 9 2 4 4" xfId="19825" xr:uid="{00000000-0005-0000-0000-0000B9140000}"/>
    <cellStyle name="20% - Accent3 9 2 4 4 2" xfId="43657" xr:uid="{126865DF-1612-4E2A-AE00-7B32D4B3C4A1}"/>
    <cellStyle name="20% - Accent3 9 2 4 5" xfId="27778" xr:uid="{3DE6927B-4B5D-4118-AC60-DE5437BBC5FF}"/>
    <cellStyle name="20% - Accent3 9 2 5" xfId="5666" xr:uid="{00000000-0005-0000-0000-0000BA140000}"/>
    <cellStyle name="20% - Accent3 9 2 5 2" xfId="13649" xr:uid="{00000000-0005-0000-0000-0000BB140000}"/>
    <cellStyle name="20% - Accent3 9 2 5 2 2" xfId="37492" xr:uid="{EEC900DF-F878-4488-8D67-BC1E4F370D8F}"/>
    <cellStyle name="20% - Accent3 9 2 5 3" xfId="21597" xr:uid="{00000000-0005-0000-0000-0000BC140000}"/>
    <cellStyle name="20% - Accent3 9 2 5 3 2" xfId="45429" xr:uid="{2D91EDB7-996C-44FF-B0BC-0239CD666930}"/>
    <cellStyle name="20% - Accent3 9 2 5 4" xfId="29551" xr:uid="{589391C8-EFA6-4A9E-9848-F7F3E640D6B7}"/>
    <cellStyle name="20% - Accent3 9 2 6" xfId="9218" xr:uid="{00000000-0005-0000-0000-0000BD140000}"/>
    <cellStyle name="20% - Accent3 9 2 6 2" xfId="17176" xr:uid="{00000000-0005-0000-0000-0000BE140000}"/>
    <cellStyle name="20% - Accent3 9 2 6 2 2" xfId="41016" xr:uid="{FE4FD6EA-8F7A-4631-AA78-9F6017D1957C}"/>
    <cellStyle name="20% - Accent3 9 2 6 3" xfId="25120" xr:uid="{00000000-0005-0000-0000-0000BF140000}"/>
    <cellStyle name="20% - Accent3 9 2 6 3 2" xfId="48952" xr:uid="{7D0FCB70-B1A1-4805-9862-90B1CA6DF28A}"/>
    <cellStyle name="20% - Accent3 9 2 6 4" xfId="33075" xr:uid="{5E6C1497-8C33-4672-A783-B0809EDD7062}"/>
    <cellStyle name="20% - Accent3 9 2 7" xfId="10114" xr:uid="{00000000-0005-0000-0000-0000C0140000}"/>
    <cellStyle name="20% - Accent3 9 2 7 2" xfId="33963" xr:uid="{44A06B9B-14CC-4EBE-9CAB-CA33BB3EFE76}"/>
    <cellStyle name="20% - Accent3 9 2 8" xfId="18069" xr:uid="{00000000-0005-0000-0000-0000C1140000}"/>
    <cellStyle name="20% - Accent3 9 2 8 2" xfId="41901" xr:uid="{A4066BE9-333F-4FF8-87DF-58A146C2F78D}"/>
    <cellStyle name="20% - Accent3 9 2 9" xfId="26021" xr:uid="{BF9842D0-CEE7-4954-9394-AB961AE53112}"/>
    <cellStyle name="20% - Accent3 9 2_Exh G" xfId="2297" xr:uid="{00000000-0005-0000-0000-0000C2140000}"/>
    <cellStyle name="20% - Accent3 9 3" xfId="174" xr:uid="{00000000-0005-0000-0000-0000C3140000}"/>
    <cellStyle name="20% - Accent3 9 3 2" xfId="1200" xr:uid="{00000000-0005-0000-0000-0000C4140000}"/>
    <cellStyle name="20% - Accent3 9 3 2 2" xfId="4727" xr:uid="{00000000-0005-0000-0000-0000C5140000}"/>
    <cellStyle name="20% - Accent3 9 3 2 2 2" xfId="8318" xr:uid="{00000000-0005-0000-0000-0000C6140000}"/>
    <cellStyle name="20% - Accent3 9 3 2 2 2 2" xfId="16288" xr:uid="{00000000-0005-0000-0000-0000C7140000}"/>
    <cellStyle name="20% - Accent3 9 3 2 2 2 2 2" xfId="40130" xr:uid="{0CB056F6-12D9-4C80-8E91-D30C4F974D2A}"/>
    <cellStyle name="20% - Accent3 9 3 2 2 2 3" xfId="24234" xr:uid="{00000000-0005-0000-0000-0000C8140000}"/>
    <cellStyle name="20% - Accent3 9 3 2 2 2 3 2" xfId="48066" xr:uid="{352E9727-D09D-45A1-A374-A33875E66BA7}"/>
    <cellStyle name="20% - Accent3 9 3 2 2 2 4" xfId="32189" xr:uid="{2EB79B4D-E15D-4551-9550-EB6C1A1E43D0}"/>
    <cellStyle name="20% - Accent3 9 3 2 2 3" xfId="12750" xr:uid="{00000000-0005-0000-0000-0000C9140000}"/>
    <cellStyle name="20% - Accent3 9 3 2 2 3 2" xfId="36599" xr:uid="{1B6C61F7-268A-4F9B-BCD0-7C8DA32A6817}"/>
    <cellStyle name="20% - Accent3 9 3 2 2 4" xfId="20705" xr:uid="{00000000-0005-0000-0000-0000CA140000}"/>
    <cellStyle name="20% - Accent3 9 3 2 2 4 2" xfId="44537" xr:uid="{9FA5FCF2-22DA-4057-8FB5-BA6AA6EDA75D}"/>
    <cellStyle name="20% - Accent3 9 3 2 2 5" xfId="28658" xr:uid="{BD75BF92-C4A8-4293-9A79-CE9E97058918}"/>
    <cellStyle name="20% - Accent3 9 3 2 3" xfId="6559" xr:uid="{00000000-0005-0000-0000-0000CB140000}"/>
    <cellStyle name="20% - Accent3 9 3 2 3 2" xfId="14530" xr:uid="{00000000-0005-0000-0000-0000CC140000}"/>
    <cellStyle name="20% - Accent3 9 3 2 3 2 2" xfId="38372" xr:uid="{8E332A04-C94C-49F3-A26B-AF5C896E1DDC}"/>
    <cellStyle name="20% - Accent3 9 3 2 3 3" xfId="22477" xr:uid="{00000000-0005-0000-0000-0000CD140000}"/>
    <cellStyle name="20% - Accent3 9 3 2 3 3 2" xfId="46309" xr:uid="{97648D8B-8BB9-4F31-85E9-FD5A900CF7C7}"/>
    <cellStyle name="20% - Accent3 9 3 2 3 4" xfId="30431" xr:uid="{716107AE-F2AB-4B43-B23F-46D8F9A2B74B}"/>
    <cellStyle name="20% - Accent3 9 3 2 4" xfId="10994" xr:uid="{00000000-0005-0000-0000-0000CE140000}"/>
    <cellStyle name="20% - Accent3 9 3 2 4 2" xfId="34843" xr:uid="{85754EB5-C388-4A49-BB50-EEC9DD7F26AD}"/>
    <cellStyle name="20% - Accent3 9 3 2 5" xfId="18949" xr:uid="{00000000-0005-0000-0000-0000CF140000}"/>
    <cellStyle name="20% - Accent3 9 3 2 5 2" xfId="42781" xr:uid="{ED4BF40D-F34E-45B6-B278-66B9381DD7BD}"/>
    <cellStyle name="20% - Accent3 9 3 2 6" xfId="26901" xr:uid="{1C8F9E74-3905-4E9A-A116-3A2D0EBB45E4}"/>
    <cellStyle name="20% - Accent3 9 3 2_Exh G" xfId="2302" xr:uid="{00000000-0005-0000-0000-0000D0140000}"/>
    <cellStyle name="20% - Accent3 9 3 3" xfId="3848" xr:uid="{00000000-0005-0000-0000-0000D1140000}"/>
    <cellStyle name="20% - Accent3 9 3 3 2" xfId="7440" xr:uid="{00000000-0005-0000-0000-0000D2140000}"/>
    <cellStyle name="20% - Accent3 9 3 3 2 2" xfId="15410" xr:uid="{00000000-0005-0000-0000-0000D3140000}"/>
    <cellStyle name="20% - Accent3 9 3 3 2 2 2" xfId="39252" xr:uid="{1139BB4E-B451-440E-A1F1-128030F78C56}"/>
    <cellStyle name="20% - Accent3 9 3 3 2 3" xfId="23356" xr:uid="{00000000-0005-0000-0000-0000D4140000}"/>
    <cellStyle name="20% - Accent3 9 3 3 2 3 2" xfId="47188" xr:uid="{6A7B64D3-A853-4173-A9E2-538E03E86286}"/>
    <cellStyle name="20% - Accent3 9 3 3 2 4" xfId="31311" xr:uid="{298D74C9-877E-4EB2-907E-372F6FF44834}"/>
    <cellStyle name="20% - Accent3 9 3 3 3" xfId="11872" xr:uid="{00000000-0005-0000-0000-0000D5140000}"/>
    <cellStyle name="20% - Accent3 9 3 3 3 2" xfId="35721" xr:uid="{A201DD90-897F-4FE1-BF65-4B813326284E}"/>
    <cellStyle name="20% - Accent3 9 3 3 4" xfId="19827" xr:uid="{00000000-0005-0000-0000-0000D6140000}"/>
    <cellStyle name="20% - Accent3 9 3 3 4 2" xfId="43659" xr:uid="{33BD83C2-2422-4A04-99C2-E7194C8F6F35}"/>
    <cellStyle name="20% - Accent3 9 3 3 5" xfId="27780" xr:uid="{1DF7EA5D-2240-4E66-987C-41452FFC4DAE}"/>
    <cellStyle name="20% - Accent3 9 3 4" xfId="5668" xr:uid="{00000000-0005-0000-0000-0000D7140000}"/>
    <cellStyle name="20% - Accent3 9 3 4 2" xfId="13651" xr:uid="{00000000-0005-0000-0000-0000D8140000}"/>
    <cellStyle name="20% - Accent3 9 3 4 2 2" xfId="37494" xr:uid="{B737035C-C39D-444D-933D-BEA30DC1420C}"/>
    <cellStyle name="20% - Accent3 9 3 4 3" xfId="21599" xr:uid="{00000000-0005-0000-0000-0000D9140000}"/>
    <cellStyle name="20% - Accent3 9 3 4 3 2" xfId="45431" xr:uid="{36D7B509-8E76-4DCF-9153-91D17CC0268C}"/>
    <cellStyle name="20% - Accent3 9 3 4 4" xfId="29553" xr:uid="{9D2135EC-C468-4B1C-A396-117B96D1A1F8}"/>
    <cellStyle name="20% - Accent3 9 3 5" xfId="9220" xr:uid="{00000000-0005-0000-0000-0000DA140000}"/>
    <cellStyle name="20% - Accent3 9 3 5 2" xfId="17178" xr:uid="{00000000-0005-0000-0000-0000DB140000}"/>
    <cellStyle name="20% - Accent3 9 3 5 2 2" xfId="41018" xr:uid="{977DC873-74A3-4DD5-9A61-60B43B7EFCD0}"/>
    <cellStyle name="20% - Accent3 9 3 5 3" xfId="25122" xr:uid="{00000000-0005-0000-0000-0000DC140000}"/>
    <cellStyle name="20% - Accent3 9 3 5 3 2" xfId="48954" xr:uid="{73E6C3DF-16A9-4E7F-8016-16143097B5E7}"/>
    <cellStyle name="20% - Accent3 9 3 5 4" xfId="33077" xr:uid="{B371CBC6-0F27-4EA8-BF23-9DBC849C78F3}"/>
    <cellStyle name="20% - Accent3 9 3 6" xfId="10116" xr:uid="{00000000-0005-0000-0000-0000DD140000}"/>
    <cellStyle name="20% - Accent3 9 3 6 2" xfId="33965" xr:uid="{3DEEBA39-3698-429B-AD7F-097FEEF92B09}"/>
    <cellStyle name="20% - Accent3 9 3 7" xfId="18071" xr:uid="{00000000-0005-0000-0000-0000DE140000}"/>
    <cellStyle name="20% - Accent3 9 3 7 2" xfId="41903" xr:uid="{6BE1AA18-8A0B-433B-B9F5-504B7CFDAC62}"/>
    <cellStyle name="20% - Accent3 9 3 8" xfId="26023" xr:uid="{6A957332-5207-43DF-AD81-CA33499B0451}"/>
    <cellStyle name="20% - Accent3 9 3_Exh G" xfId="2301" xr:uid="{00000000-0005-0000-0000-0000DF140000}"/>
    <cellStyle name="20% - Accent3 9 4" xfId="894" xr:uid="{00000000-0005-0000-0000-0000E0140000}"/>
    <cellStyle name="20% - Accent3 9 4 2" xfId="1821" xr:uid="{00000000-0005-0000-0000-0000E1140000}"/>
    <cellStyle name="20% - Accent3 9 4 2 2" xfId="5338" xr:uid="{00000000-0005-0000-0000-0000E2140000}"/>
    <cellStyle name="20% - Accent3 9 4 2 2 2" xfId="8929" xr:uid="{00000000-0005-0000-0000-0000E3140000}"/>
    <cellStyle name="20% - Accent3 9 4 2 2 2 2" xfId="16899" xr:uid="{00000000-0005-0000-0000-0000E4140000}"/>
    <cellStyle name="20% - Accent3 9 4 2 2 2 2 2" xfId="40741" xr:uid="{FD8E7011-EAC3-4406-9088-03F70BDCBC3F}"/>
    <cellStyle name="20% - Accent3 9 4 2 2 2 3" xfId="24845" xr:uid="{00000000-0005-0000-0000-0000E5140000}"/>
    <cellStyle name="20% - Accent3 9 4 2 2 2 3 2" xfId="48677" xr:uid="{FE034497-E8B0-416B-BABC-077EE98E9477}"/>
    <cellStyle name="20% - Accent3 9 4 2 2 2 4" xfId="32800" xr:uid="{1CDEBDF1-390D-4696-A417-3A81C5BA7F34}"/>
    <cellStyle name="20% - Accent3 9 4 2 2 3" xfId="13361" xr:uid="{00000000-0005-0000-0000-0000E6140000}"/>
    <cellStyle name="20% - Accent3 9 4 2 2 3 2" xfId="37210" xr:uid="{DCAA0EF9-A40B-40CB-8EF5-D73302FD3CCF}"/>
    <cellStyle name="20% - Accent3 9 4 2 2 4" xfId="21316" xr:uid="{00000000-0005-0000-0000-0000E7140000}"/>
    <cellStyle name="20% - Accent3 9 4 2 2 4 2" xfId="45148" xr:uid="{37EF1A8C-DD58-49F5-BA99-F4F942412207}"/>
    <cellStyle name="20% - Accent3 9 4 2 2 5" xfId="29269" xr:uid="{8C8B8036-FF4B-49F6-B78F-785F326CE40E}"/>
    <cellStyle name="20% - Accent3 9 4 2 3" xfId="7170" xr:uid="{00000000-0005-0000-0000-0000E8140000}"/>
    <cellStyle name="20% - Accent3 9 4 2 3 2" xfId="15141" xr:uid="{00000000-0005-0000-0000-0000E9140000}"/>
    <cellStyle name="20% - Accent3 9 4 2 3 2 2" xfId="38983" xr:uid="{773B1E98-480C-492F-9692-943D762E3A0D}"/>
    <cellStyle name="20% - Accent3 9 4 2 3 3" xfId="23088" xr:uid="{00000000-0005-0000-0000-0000EA140000}"/>
    <cellStyle name="20% - Accent3 9 4 2 3 3 2" xfId="46920" xr:uid="{3E089E2E-DDE9-4959-9797-FE352621F73B}"/>
    <cellStyle name="20% - Accent3 9 4 2 3 4" xfId="31042" xr:uid="{4C11658F-3EBB-428C-ABF3-D1EC5127D76F}"/>
    <cellStyle name="20% - Accent3 9 4 2 4" xfId="11605" xr:uid="{00000000-0005-0000-0000-0000EB140000}"/>
    <cellStyle name="20% - Accent3 9 4 2 4 2" xfId="35454" xr:uid="{6E44BD39-1622-484C-9438-40C43B61851A}"/>
    <cellStyle name="20% - Accent3 9 4 2 5" xfId="19560" xr:uid="{00000000-0005-0000-0000-0000EC140000}"/>
    <cellStyle name="20% - Accent3 9 4 2 5 2" xfId="43392" xr:uid="{F12BD5D0-0AEC-4FFA-8038-9AAB8A474C05}"/>
    <cellStyle name="20% - Accent3 9 4 2 6" xfId="27512" xr:uid="{A2A5613E-8C3A-41E4-8B96-D0D75F079804}"/>
    <cellStyle name="20% - Accent3 9 4 2_Exh G" xfId="2304" xr:uid="{00000000-0005-0000-0000-0000ED140000}"/>
    <cellStyle name="20% - Accent3 9 4 3" xfId="4459" xr:uid="{00000000-0005-0000-0000-0000EE140000}"/>
    <cellStyle name="20% - Accent3 9 4 3 2" xfId="8051" xr:uid="{00000000-0005-0000-0000-0000EF140000}"/>
    <cellStyle name="20% - Accent3 9 4 3 2 2" xfId="16021" xr:uid="{00000000-0005-0000-0000-0000F0140000}"/>
    <cellStyle name="20% - Accent3 9 4 3 2 2 2" xfId="39863" xr:uid="{E26EA180-0A2B-40FF-8D53-770B3AD5A5D2}"/>
    <cellStyle name="20% - Accent3 9 4 3 2 3" xfId="23967" xr:uid="{00000000-0005-0000-0000-0000F1140000}"/>
    <cellStyle name="20% - Accent3 9 4 3 2 3 2" xfId="47799" xr:uid="{1B3DD492-688D-4FE6-8E0D-33A356144D56}"/>
    <cellStyle name="20% - Accent3 9 4 3 2 4" xfId="31922" xr:uid="{7F493C64-DFFE-467F-B873-6044DE6628AF}"/>
    <cellStyle name="20% - Accent3 9 4 3 3" xfId="12483" xr:uid="{00000000-0005-0000-0000-0000F2140000}"/>
    <cellStyle name="20% - Accent3 9 4 3 3 2" xfId="36332" xr:uid="{14071E49-62DB-4C3E-B780-8557C106470B}"/>
    <cellStyle name="20% - Accent3 9 4 3 4" xfId="20438" xr:uid="{00000000-0005-0000-0000-0000F3140000}"/>
    <cellStyle name="20% - Accent3 9 4 3 4 2" xfId="44270" xr:uid="{DC7AABC5-78F1-43BF-A2D4-D9AE872283D2}"/>
    <cellStyle name="20% - Accent3 9 4 3 5" xfId="28391" xr:uid="{1A4EB8FD-68C4-42A9-A4E1-E62B63714587}"/>
    <cellStyle name="20% - Accent3 9 4 4" xfId="6289" xr:uid="{00000000-0005-0000-0000-0000F4140000}"/>
    <cellStyle name="20% - Accent3 9 4 4 2" xfId="14263" xr:uid="{00000000-0005-0000-0000-0000F5140000}"/>
    <cellStyle name="20% - Accent3 9 4 4 2 2" xfId="38105" xr:uid="{EBC6B371-61F2-43AC-961F-5CF9DFBC7453}"/>
    <cellStyle name="20% - Accent3 9 4 4 3" xfId="22210" xr:uid="{00000000-0005-0000-0000-0000F6140000}"/>
    <cellStyle name="20% - Accent3 9 4 4 3 2" xfId="46042" xr:uid="{42CD0C5B-FAE8-4662-A7D6-D3B6F7301168}"/>
    <cellStyle name="20% - Accent3 9 4 4 4" xfId="30164" xr:uid="{9FF44706-2102-446E-BFA5-121CE8BF9837}"/>
    <cellStyle name="20% - Accent3 9 4 5" xfId="9831" xr:uid="{00000000-0005-0000-0000-0000F7140000}"/>
    <cellStyle name="20% - Accent3 9 4 5 2" xfId="17789" xr:uid="{00000000-0005-0000-0000-0000F8140000}"/>
    <cellStyle name="20% - Accent3 9 4 5 2 2" xfId="41629" xr:uid="{1C7A1641-43F4-46B8-A178-159AFFA556F4}"/>
    <cellStyle name="20% - Accent3 9 4 5 3" xfId="25733" xr:uid="{00000000-0005-0000-0000-0000F9140000}"/>
    <cellStyle name="20% - Accent3 9 4 5 3 2" xfId="49565" xr:uid="{48143ED0-5113-4383-A492-62EBD8F0C65A}"/>
    <cellStyle name="20% - Accent3 9 4 5 4" xfId="33688" xr:uid="{43DB76FC-39AC-4510-99F4-9759835B1DE3}"/>
    <cellStyle name="20% - Accent3 9 4 6" xfId="10727" xr:uid="{00000000-0005-0000-0000-0000FA140000}"/>
    <cellStyle name="20% - Accent3 9 4 6 2" xfId="34576" xr:uid="{2885A20F-5D2B-4283-9F1E-498F0E5DF4C3}"/>
    <cellStyle name="20% - Accent3 9 4 7" xfId="18682" xr:uid="{00000000-0005-0000-0000-0000FB140000}"/>
    <cellStyle name="20% - Accent3 9 4 7 2" xfId="42514" xr:uid="{24D5E474-F503-41D5-AB35-C1DDFFB94D6F}"/>
    <cellStyle name="20% - Accent3 9 4 8" xfId="26634" xr:uid="{C66B4614-1005-4887-8BE1-DA22156740B1}"/>
    <cellStyle name="20% - Accent3 9 4_Exh G" xfId="2303" xr:uid="{00000000-0005-0000-0000-0000FC140000}"/>
    <cellStyle name="20% - Accent3 9 5" xfId="1197" xr:uid="{00000000-0005-0000-0000-0000FD140000}"/>
    <cellStyle name="20% - Accent3 9 5 2" xfId="4724" xr:uid="{00000000-0005-0000-0000-0000FE140000}"/>
    <cellStyle name="20% - Accent3 9 5 2 2" xfId="8315" xr:uid="{00000000-0005-0000-0000-0000FF140000}"/>
    <cellStyle name="20% - Accent3 9 5 2 2 2" xfId="16285" xr:uid="{00000000-0005-0000-0000-000000150000}"/>
    <cellStyle name="20% - Accent3 9 5 2 2 2 2" xfId="40127" xr:uid="{5F21681E-E8E2-44C7-BC2E-67BD9FFDED20}"/>
    <cellStyle name="20% - Accent3 9 5 2 2 3" xfId="24231" xr:uid="{00000000-0005-0000-0000-000001150000}"/>
    <cellStyle name="20% - Accent3 9 5 2 2 3 2" xfId="48063" xr:uid="{2259CAF4-88E4-4852-B5B6-85A780F85EC3}"/>
    <cellStyle name="20% - Accent3 9 5 2 2 4" xfId="32186" xr:uid="{836AE203-9BEB-4AAF-88FA-465410C13099}"/>
    <cellStyle name="20% - Accent3 9 5 2 3" xfId="12747" xr:uid="{00000000-0005-0000-0000-000002150000}"/>
    <cellStyle name="20% - Accent3 9 5 2 3 2" xfId="36596" xr:uid="{60166B33-2449-44F8-8047-BC1073EFC2BF}"/>
    <cellStyle name="20% - Accent3 9 5 2 4" xfId="20702" xr:uid="{00000000-0005-0000-0000-000003150000}"/>
    <cellStyle name="20% - Accent3 9 5 2 4 2" xfId="44534" xr:uid="{E9C1F6F6-ECCF-414D-81B9-8043215DA4BC}"/>
    <cellStyle name="20% - Accent3 9 5 2 5" xfId="28655" xr:uid="{03DC1EA0-BD09-434E-A8CB-75113258B1F2}"/>
    <cellStyle name="20% - Accent3 9 5 3" xfId="6556" xr:uid="{00000000-0005-0000-0000-000004150000}"/>
    <cellStyle name="20% - Accent3 9 5 3 2" xfId="14527" xr:uid="{00000000-0005-0000-0000-000005150000}"/>
    <cellStyle name="20% - Accent3 9 5 3 2 2" xfId="38369" xr:uid="{46D4F9EE-B09B-428C-AF9F-403A2B3DE642}"/>
    <cellStyle name="20% - Accent3 9 5 3 3" xfId="22474" xr:uid="{00000000-0005-0000-0000-000006150000}"/>
    <cellStyle name="20% - Accent3 9 5 3 3 2" xfId="46306" xr:uid="{54E74C03-31C4-4E24-946D-A3333E98CA96}"/>
    <cellStyle name="20% - Accent3 9 5 3 4" xfId="30428" xr:uid="{7A29D798-DDBC-465C-AED3-91D6C47BE8CC}"/>
    <cellStyle name="20% - Accent3 9 5 4" xfId="10991" xr:uid="{00000000-0005-0000-0000-000007150000}"/>
    <cellStyle name="20% - Accent3 9 5 4 2" xfId="34840" xr:uid="{0B7532A6-4BBF-46CB-8D73-6E9968C74197}"/>
    <cellStyle name="20% - Accent3 9 5 5" xfId="18946" xr:uid="{00000000-0005-0000-0000-000008150000}"/>
    <cellStyle name="20% - Accent3 9 5 5 2" xfId="42778" xr:uid="{DCE1746E-93C9-40B9-9D8D-D32A937F1A7C}"/>
    <cellStyle name="20% - Accent3 9 5 6" xfId="26898" xr:uid="{2F6D3814-1122-4833-9070-4A45659780C1}"/>
    <cellStyle name="20% - Accent3 9 5_Exh G" xfId="2305" xr:uid="{00000000-0005-0000-0000-000009150000}"/>
    <cellStyle name="20% - Accent3 9 6" xfId="3845" xr:uid="{00000000-0005-0000-0000-00000A150000}"/>
    <cellStyle name="20% - Accent3 9 6 2" xfId="7437" xr:uid="{00000000-0005-0000-0000-00000B150000}"/>
    <cellStyle name="20% - Accent3 9 6 2 2" xfId="15407" xr:uid="{00000000-0005-0000-0000-00000C150000}"/>
    <cellStyle name="20% - Accent3 9 6 2 2 2" xfId="39249" xr:uid="{AE63065B-29B2-4575-9B9A-B4BFDF4AEBDD}"/>
    <cellStyle name="20% - Accent3 9 6 2 3" xfId="23353" xr:uid="{00000000-0005-0000-0000-00000D150000}"/>
    <cellStyle name="20% - Accent3 9 6 2 3 2" xfId="47185" xr:uid="{37EBDE0E-3C9C-4E58-8B2E-FDED7C1E817C}"/>
    <cellStyle name="20% - Accent3 9 6 2 4" xfId="31308" xr:uid="{4684D424-CF16-4BF7-9E45-3A5A393626B4}"/>
    <cellStyle name="20% - Accent3 9 6 3" xfId="11869" xr:uid="{00000000-0005-0000-0000-00000E150000}"/>
    <cellStyle name="20% - Accent3 9 6 3 2" xfId="35718" xr:uid="{7403103F-5870-4E9D-8F91-36C9B674380B}"/>
    <cellStyle name="20% - Accent3 9 6 4" xfId="19824" xr:uid="{00000000-0005-0000-0000-00000F150000}"/>
    <cellStyle name="20% - Accent3 9 6 4 2" xfId="43656" xr:uid="{F04D24F0-5D00-4D05-9076-35B74D5F765C}"/>
    <cellStyle name="20% - Accent3 9 6 5" xfId="27777" xr:uid="{32E17575-CBC6-4F53-BC4B-E1A014264D2B}"/>
    <cellStyle name="20% - Accent3 9 7" xfId="5665" xr:uid="{00000000-0005-0000-0000-000010150000}"/>
    <cellStyle name="20% - Accent3 9 7 2" xfId="13648" xr:uid="{00000000-0005-0000-0000-000011150000}"/>
    <cellStyle name="20% - Accent3 9 7 2 2" xfId="37491" xr:uid="{7F3EC53E-C744-45AF-A878-B11A02D1E10E}"/>
    <cellStyle name="20% - Accent3 9 7 3" xfId="21596" xr:uid="{00000000-0005-0000-0000-000012150000}"/>
    <cellStyle name="20% - Accent3 9 7 3 2" xfId="45428" xr:uid="{F095DD1A-0F12-4863-859C-5C441E7CB34C}"/>
    <cellStyle name="20% - Accent3 9 7 4" xfId="29550" xr:uid="{BFFFE00B-0723-4914-A42F-5737CC00CC17}"/>
    <cellStyle name="20% - Accent3 9 8" xfId="9217" xr:uid="{00000000-0005-0000-0000-000013150000}"/>
    <cellStyle name="20% - Accent3 9 8 2" xfId="17175" xr:uid="{00000000-0005-0000-0000-000014150000}"/>
    <cellStyle name="20% - Accent3 9 8 2 2" xfId="41015" xr:uid="{BAC9DA51-2446-4133-A57F-EC0E20A87258}"/>
    <cellStyle name="20% - Accent3 9 8 3" xfId="25119" xr:uid="{00000000-0005-0000-0000-000015150000}"/>
    <cellStyle name="20% - Accent3 9 8 3 2" xfId="48951" xr:uid="{A64122E5-F97F-4244-BCC0-5C1693A80EC2}"/>
    <cellStyle name="20% - Accent3 9 8 4" xfId="33074" xr:uid="{7D538913-FCBE-4525-A31C-F88FAF40DF2A}"/>
    <cellStyle name="20% - Accent3 9 9" xfId="10113" xr:uid="{00000000-0005-0000-0000-000016150000}"/>
    <cellStyle name="20% - Accent3 9 9 2" xfId="33962" xr:uid="{43D3D088-7E98-43DE-8516-B3C42D16493F}"/>
    <cellStyle name="20% - Accent3 9_Exh G" xfId="2296" xr:uid="{00000000-0005-0000-0000-000017150000}"/>
    <cellStyle name="20% - Accent4" xfId="49691" builtinId="42" customBuiltin="1"/>
    <cellStyle name="20% - Accent4 10" xfId="175" xr:uid="{00000000-0005-0000-0000-000018150000}"/>
    <cellStyle name="20% - Accent4 10 10" xfId="18072" xr:uid="{00000000-0005-0000-0000-000019150000}"/>
    <cellStyle name="20% - Accent4 10 10 2" xfId="41904" xr:uid="{16C6ABD7-1802-4D6C-82B9-1FFE6003C3D2}"/>
    <cellStyle name="20% - Accent4 10 11" xfId="26024" xr:uid="{97C73937-31D1-4176-90D5-40B33734DD01}"/>
    <cellStyle name="20% - Accent4 10 2" xfId="176" xr:uid="{00000000-0005-0000-0000-00001A150000}"/>
    <cellStyle name="20% - Accent4 10 2 2" xfId="177" xr:uid="{00000000-0005-0000-0000-00001B150000}"/>
    <cellStyle name="20% - Accent4 10 2 2 2" xfId="1203" xr:uid="{00000000-0005-0000-0000-00001C150000}"/>
    <cellStyle name="20% - Accent4 10 2 2 2 2" xfId="4730" xr:uid="{00000000-0005-0000-0000-00001D150000}"/>
    <cellStyle name="20% - Accent4 10 2 2 2 2 2" xfId="8321" xr:uid="{00000000-0005-0000-0000-00001E150000}"/>
    <cellStyle name="20% - Accent4 10 2 2 2 2 2 2" xfId="16291" xr:uid="{00000000-0005-0000-0000-00001F150000}"/>
    <cellStyle name="20% - Accent4 10 2 2 2 2 2 2 2" xfId="40133" xr:uid="{A8B9E22C-AE54-4DAC-B53B-B5F329ACC4A2}"/>
    <cellStyle name="20% - Accent4 10 2 2 2 2 2 3" xfId="24237" xr:uid="{00000000-0005-0000-0000-000020150000}"/>
    <cellStyle name="20% - Accent4 10 2 2 2 2 2 3 2" xfId="48069" xr:uid="{8C98EADD-1E1F-4331-B63E-D2CB971F071E}"/>
    <cellStyle name="20% - Accent4 10 2 2 2 2 2 4" xfId="32192" xr:uid="{76D1E5AD-7A3B-48FF-AA48-B3F2F0414862}"/>
    <cellStyle name="20% - Accent4 10 2 2 2 2 3" xfId="12753" xr:uid="{00000000-0005-0000-0000-000021150000}"/>
    <cellStyle name="20% - Accent4 10 2 2 2 2 3 2" xfId="36602" xr:uid="{D85BEAC5-D709-403D-86C0-DF8C06DCDB53}"/>
    <cellStyle name="20% - Accent4 10 2 2 2 2 4" xfId="20708" xr:uid="{00000000-0005-0000-0000-000022150000}"/>
    <cellStyle name="20% - Accent4 10 2 2 2 2 4 2" xfId="44540" xr:uid="{37DC7FC6-99AC-4C21-86AA-5D5882461D60}"/>
    <cellStyle name="20% - Accent4 10 2 2 2 2 5" xfId="28661" xr:uid="{4E3D27AB-1A05-4632-975F-73028D8E7BB3}"/>
    <cellStyle name="20% - Accent4 10 2 2 2 3" xfId="6562" xr:uid="{00000000-0005-0000-0000-000023150000}"/>
    <cellStyle name="20% - Accent4 10 2 2 2 3 2" xfId="14533" xr:uid="{00000000-0005-0000-0000-000024150000}"/>
    <cellStyle name="20% - Accent4 10 2 2 2 3 2 2" xfId="38375" xr:uid="{3EF91D84-F058-486B-844F-68CBDA8B1A34}"/>
    <cellStyle name="20% - Accent4 10 2 2 2 3 3" xfId="22480" xr:uid="{00000000-0005-0000-0000-000025150000}"/>
    <cellStyle name="20% - Accent4 10 2 2 2 3 3 2" xfId="46312" xr:uid="{EAB39257-B043-42E9-BA4B-7C06E2481C5A}"/>
    <cellStyle name="20% - Accent4 10 2 2 2 3 4" xfId="30434" xr:uid="{AB493DF0-0326-4D94-88C4-E2179B660D9A}"/>
    <cellStyle name="20% - Accent4 10 2 2 2 4" xfId="10997" xr:uid="{00000000-0005-0000-0000-000026150000}"/>
    <cellStyle name="20% - Accent4 10 2 2 2 4 2" xfId="34846" xr:uid="{066EF958-1E69-4433-A2F8-07592A003C5D}"/>
    <cellStyle name="20% - Accent4 10 2 2 2 5" xfId="18952" xr:uid="{00000000-0005-0000-0000-000027150000}"/>
    <cellStyle name="20% - Accent4 10 2 2 2 5 2" xfId="42784" xr:uid="{8D8142BA-4803-49EC-A306-51EFC522BB5A}"/>
    <cellStyle name="20% - Accent4 10 2 2 2 6" xfId="26904" xr:uid="{57FC2B10-612A-4EB7-9603-C72BC0E71E32}"/>
    <cellStyle name="20% - Accent4 10 2 2 2_Exh G" xfId="2309" xr:uid="{00000000-0005-0000-0000-000028150000}"/>
    <cellStyle name="20% - Accent4 10 2 2 3" xfId="3851" xr:uid="{00000000-0005-0000-0000-000029150000}"/>
    <cellStyle name="20% - Accent4 10 2 2 3 2" xfId="7443" xr:uid="{00000000-0005-0000-0000-00002A150000}"/>
    <cellStyle name="20% - Accent4 10 2 2 3 2 2" xfId="15413" xr:uid="{00000000-0005-0000-0000-00002B150000}"/>
    <cellStyle name="20% - Accent4 10 2 2 3 2 2 2" xfId="39255" xr:uid="{2F5A7FEA-B033-434B-9564-BAFE43B27395}"/>
    <cellStyle name="20% - Accent4 10 2 2 3 2 3" xfId="23359" xr:uid="{00000000-0005-0000-0000-00002C150000}"/>
    <cellStyle name="20% - Accent4 10 2 2 3 2 3 2" xfId="47191" xr:uid="{8BA645BC-DDBB-4133-A76D-DFDBD6D27FEF}"/>
    <cellStyle name="20% - Accent4 10 2 2 3 2 4" xfId="31314" xr:uid="{90A5EBFF-1F23-4019-9C90-5EF19CB9835B}"/>
    <cellStyle name="20% - Accent4 10 2 2 3 3" xfId="11875" xr:uid="{00000000-0005-0000-0000-00002D150000}"/>
    <cellStyle name="20% - Accent4 10 2 2 3 3 2" xfId="35724" xr:uid="{B53CAA47-DAE3-4817-94F3-F3023A5150D8}"/>
    <cellStyle name="20% - Accent4 10 2 2 3 4" xfId="19830" xr:uid="{00000000-0005-0000-0000-00002E150000}"/>
    <cellStyle name="20% - Accent4 10 2 2 3 4 2" xfId="43662" xr:uid="{DA040A11-DCC7-4092-B14C-F398B92E0F6F}"/>
    <cellStyle name="20% - Accent4 10 2 2 3 5" xfId="27783" xr:uid="{39689948-C971-4F16-987D-1872B4DBC146}"/>
    <cellStyle name="20% - Accent4 10 2 2 4" xfId="5671" xr:uid="{00000000-0005-0000-0000-00002F150000}"/>
    <cellStyle name="20% - Accent4 10 2 2 4 2" xfId="13654" xr:uid="{00000000-0005-0000-0000-000030150000}"/>
    <cellStyle name="20% - Accent4 10 2 2 4 2 2" xfId="37497" xr:uid="{4489DA08-9F8E-4D81-AFB8-D9A16F765C88}"/>
    <cellStyle name="20% - Accent4 10 2 2 4 3" xfId="21602" xr:uid="{00000000-0005-0000-0000-000031150000}"/>
    <cellStyle name="20% - Accent4 10 2 2 4 3 2" xfId="45434" xr:uid="{6D9FCA03-4F4C-48FC-851B-A75DD5308898}"/>
    <cellStyle name="20% - Accent4 10 2 2 4 4" xfId="29556" xr:uid="{0D5BDFCC-1B16-40D9-9C6A-39F63943B857}"/>
    <cellStyle name="20% - Accent4 10 2 2 5" xfId="9223" xr:uid="{00000000-0005-0000-0000-000032150000}"/>
    <cellStyle name="20% - Accent4 10 2 2 5 2" xfId="17181" xr:uid="{00000000-0005-0000-0000-000033150000}"/>
    <cellStyle name="20% - Accent4 10 2 2 5 2 2" xfId="41021" xr:uid="{FAA91C26-DBB0-45A7-8678-11E437449C84}"/>
    <cellStyle name="20% - Accent4 10 2 2 5 3" xfId="25125" xr:uid="{00000000-0005-0000-0000-000034150000}"/>
    <cellStyle name="20% - Accent4 10 2 2 5 3 2" xfId="48957" xr:uid="{6563033C-5898-4F1B-AE86-350D51F886DE}"/>
    <cellStyle name="20% - Accent4 10 2 2 5 4" xfId="33080" xr:uid="{261D4A02-0B28-4E1A-AC33-9CF5EC0F07D0}"/>
    <cellStyle name="20% - Accent4 10 2 2 6" xfId="10119" xr:uid="{00000000-0005-0000-0000-000035150000}"/>
    <cellStyle name="20% - Accent4 10 2 2 6 2" xfId="33968" xr:uid="{31E497AF-3310-438B-A346-F072FF4E3FD0}"/>
    <cellStyle name="20% - Accent4 10 2 2 7" xfId="18074" xr:uid="{00000000-0005-0000-0000-000036150000}"/>
    <cellStyle name="20% - Accent4 10 2 2 7 2" xfId="41906" xr:uid="{DF6A3FEB-F0DC-4567-AA96-E34B4C2FD456}"/>
    <cellStyle name="20% - Accent4 10 2 2 8" xfId="26026" xr:uid="{CB2D27BF-7033-4E89-918C-46E95356AE61}"/>
    <cellStyle name="20% - Accent4 10 2 2_Exh G" xfId="2308" xr:uid="{00000000-0005-0000-0000-000037150000}"/>
    <cellStyle name="20% - Accent4 10 2 3" xfId="1202" xr:uid="{00000000-0005-0000-0000-000038150000}"/>
    <cellStyle name="20% - Accent4 10 2 3 2" xfId="4729" xr:uid="{00000000-0005-0000-0000-000039150000}"/>
    <cellStyle name="20% - Accent4 10 2 3 2 2" xfId="8320" xr:uid="{00000000-0005-0000-0000-00003A150000}"/>
    <cellStyle name="20% - Accent4 10 2 3 2 2 2" xfId="16290" xr:uid="{00000000-0005-0000-0000-00003B150000}"/>
    <cellStyle name="20% - Accent4 10 2 3 2 2 2 2" xfId="40132" xr:uid="{64020D15-9BCC-41D2-93DF-9E5BA1ECA8B6}"/>
    <cellStyle name="20% - Accent4 10 2 3 2 2 3" xfId="24236" xr:uid="{00000000-0005-0000-0000-00003C150000}"/>
    <cellStyle name="20% - Accent4 10 2 3 2 2 3 2" xfId="48068" xr:uid="{D8BC23C8-0B8B-4DB2-BBE7-58C237EAE1E8}"/>
    <cellStyle name="20% - Accent4 10 2 3 2 2 4" xfId="32191" xr:uid="{5C3E22D0-EF12-4B2F-99D8-AC1F8E37DB21}"/>
    <cellStyle name="20% - Accent4 10 2 3 2 3" xfId="12752" xr:uid="{00000000-0005-0000-0000-00003D150000}"/>
    <cellStyle name="20% - Accent4 10 2 3 2 3 2" xfId="36601" xr:uid="{445A4A56-D98C-42D8-9EEA-A25E1EF864F2}"/>
    <cellStyle name="20% - Accent4 10 2 3 2 4" xfId="20707" xr:uid="{00000000-0005-0000-0000-00003E150000}"/>
    <cellStyle name="20% - Accent4 10 2 3 2 4 2" xfId="44539" xr:uid="{3B28C993-1FA4-455C-9726-210633B1BA40}"/>
    <cellStyle name="20% - Accent4 10 2 3 2 5" xfId="28660" xr:uid="{1C65A439-CD38-4CFD-B82C-D7BF7BB6BBEA}"/>
    <cellStyle name="20% - Accent4 10 2 3 3" xfId="6561" xr:uid="{00000000-0005-0000-0000-00003F150000}"/>
    <cellStyle name="20% - Accent4 10 2 3 3 2" xfId="14532" xr:uid="{00000000-0005-0000-0000-000040150000}"/>
    <cellStyle name="20% - Accent4 10 2 3 3 2 2" xfId="38374" xr:uid="{BF12241D-D908-420D-B36C-FF50DDC5B8E6}"/>
    <cellStyle name="20% - Accent4 10 2 3 3 3" xfId="22479" xr:uid="{00000000-0005-0000-0000-000041150000}"/>
    <cellStyle name="20% - Accent4 10 2 3 3 3 2" xfId="46311" xr:uid="{5491C274-8EF3-4F92-A437-23CE2088A1C3}"/>
    <cellStyle name="20% - Accent4 10 2 3 3 4" xfId="30433" xr:uid="{D517CD3B-C42F-4EF7-AF62-FEFF30340A2C}"/>
    <cellStyle name="20% - Accent4 10 2 3 4" xfId="10996" xr:uid="{00000000-0005-0000-0000-000042150000}"/>
    <cellStyle name="20% - Accent4 10 2 3 4 2" xfId="34845" xr:uid="{9CA606DC-2B3C-444F-BFF3-BC1FF7501EBF}"/>
    <cellStyle name="20% - Accent4 10 2 3 5" xfId="18951" xr:uid="{00000000-0005-0000-0000-000043150000}"/>
    <cellStyle name="20% - Accent4 10 2 3 5 2" xfId="42783" xr:uid="{61E7E5D9-F51D-488E-A82D-B37D1C3A1637}"/>
    <cellStyle name="20% - Accent4 10 2 3 6" xfId="26903" xr:uid="{CE05AF8C-8E09-4ECC-BC24-14CCA5C7E8BB}"/>
    <cellStyle name="20% - Accent4 10 2 3_Exh G" xfId="2310" xr:uid="{00000000-0005-0000-0000-000044150000}"/>
    <cellStyle name="20% - Accent4 10 2 4" xfId="3850" xr:uid="{00000000-0005-0000-0000-000045150000}"/>
    <cellStyle name="20% - Accent4 10 2 4 2" xfId="7442" xr:uid="{00000000-0005-0000-0000-000046150000}"/>
    <cellStyle name="20% - Accent4 10 2 4 2 2" xfId="15412" xr:uid="{00000000-0005-0000-0000-000047150000}"/>
    <cellStyle name="20% - Accent4 10 2 4 2 2 2" xfId="39254" xr:uid="{22C97E26-C5C8-4C6E-86C5-88D1B0D9910D}"/>
    <cellStyle name="20% - Accent4 10 2 4 2 3" xfId="23358" xr:uid="{00000000-0005-0000-0000-000048150000}"/>
    <cellStyle name="20% - Accent4 10 2 4 2 3 2" xfId="47190" xr:uid="{06E79EAA-CD49-4150-88AF-08259518DF6D}"/>
    <cellStyle name="20% - Accent4 10 2 4 2 4" xfId="31313" xr:uid="{44F41D6A-366C-4848-88B0-D23B63160010}"/>
    <cellStyle name="20% - Accent4 10 2 4 3" xfId="11874" xr:uid="{00000000-0005-0000-0000-000049150000}"/>
    <cellStyle name="20% - Accent4 10 2 4 3 2" xfId="35723" xr:uid="{E96DF573-48BE-450D-9F5B-8C972A64A04C}"/>
    <cellStyle name="20% - Accent4 10 2 4 4" xfId="19829" xr:uid="{00000000-0005-0000-0000-00004A150000}"/>
    <cellStyle name="20% - Accent4 10 2 4 4 2" xfId="43661" xr:uid="{A7163727-4E54-46C6-A482-65F6B7D3A66D}"/>
    <cellStyle name="20% - Accent4 10 2 4 5" xfId="27782" xr:uid="{F6E66A1B-C26A-4DC9-A609-43B5736BF900}"/>
    <cellStyle name="20% - Accent4 10 2 5" xfId="5670" xr:uid="{00000000-0005-0000-0000-00004B150000}"/>
    <cellStyle name="20% - Accent4 10 2 5 2" xfId="13653" xr:uid="{00000000-0005-0000-0000-00004C150000}"/>
    <cellStyle name="20% - Accent4 10 2 5 2 2" xfId="37496" xr:uid="{7E73B51F-52DB-4AA5-913F-0AC3BAAE221B}"/>
    <cellStyle name="20% - Accent4 10 2 5 3" xfId="21601" xr:uid="{00000000-0005-0000-0000-00004D150000}"/>
    <cellStyle name="20% - Accent4 10 2 5 3 2" xfId="45433" xr:uid="{295E67B8-F342-4A69-AAF2-F66941AAFFDC}"/>
    <cellStyle name="20% - Accent4 10 2 5 4" xfId="29555" xr:uid="{5DD75077-557F-40F3-AA4A-0C7615A6E1CC}"/>
    <cellStyle name="20% - Accent4 10 2 6" xfId="9222" xr:uid="{00000000-0005-0000-0000-00004E150000}"/>
    <cellStyle name="20% - Accent4 10 2 6 2" xfId="17180" xr:uid="{00000000-0005-0000-0000-00004F150000}"/>
    <cellStyle name="20% - Accent4 10 2 6 2 2" xfId="41020" xr:uid="{5BE2E86E-C61C-4AED-86D8-BB5F175679FC}"/>
    <cellStyle name="20% - Accent4 10 2 6 3" xfId="25124" xr:uid="{00000000-0005-0000-0000-000050150000}"/>
    <cellStyle name="20% - Accent4 10 2 6 3 2" xfId="48956" xr:uid="{89A07EBA-F341-4163-A3EB-96FFE2819FED}"/>
    <cellStyle name="20% - Accent4 10 2 6 4" xfId="33079" xr:uid="{1B350481-2811-4BE6-B8E9-07876A15FBF6}"/>
    <cellStyle name="20% - Accent4 10 2 7" xfId="10118" xr:uid="{00000000-0005-0000-0000-000051150000}"/>
    <cellStyle name="20% - Accent4 10 2 7 2" xfId="33967" xr:uid="{B706DC68-8B23-42F0-AF55-293B9E89CAF8}"/>
    <cellStyle name="20% - Accent4 10 2 8" xfId="18073" xr:uid="{00000000-0005-0000-0000-000052150000}"/>
    <cellStyle name="20% - Accent4 10 2 8 2" xfId="41905" xr:uid="{782C6BF3-86D9-4FAC-86F1-88DB00384278}"/>
    <cellStyle name="20% - Accent4 10 2 9" xfId="26025" xr:uid="{00BCA8A8-5205-4BE3-996B-46F2B14E9190}"/>
    <cellStyle name="20% - Accent4 10 2_Exh G" xfId="2307" xr:uid="{00000000-0005-0000-0000-000053150000}"/>
    <cellStyle name="20% - Accent4 10 3" xfId="178" xr:uid="{00000000-0005-0000-0000-000054150000}"/>
    <cellStyle name="20% - Accent4 10 3 2" xfId="1204" xr:uid="{00000000-0005-0000-0000-000055150000}"/>
    <cellStyle name="20% - Accent4 10 3 2 2" xfId="4731" xr:uid="{00000000-0005-0000-0000-000056150000}"/>
    <cellStyle name="20% - Accent4 10 3 2 2 2" xfId="8322" xr:uid="{00000000-0005-0000-0000-000057150000}"/>
    <cellStyle name="20% - Accent4 10 3 2 2 2 2" xfId="16292" xr:uid="{00000000-0005-0000-0000-000058150000}"/>
    <cellStyle name="20% - Accent4 10 3 2 2 2 2 2" xfId="40134" xr:uid="{88AF0B6E-8A9B-44C3-B7BC-57F20AA13335}"/>
    <cellStyle name="20% - Accent4 10 3 2 2 2 3" xfId="24238" xr:uid="{00000000-0005-0000-0000-000059150000}"/>
    <cellStyle name="20% - Accent4 10 3 2 2 2 3 2" xfId="48070" xr:uid="{BBE44B71-C689-487A-B263-CE754601966C}"/>
    <cellStyle name="20% - Accent4 10 3 2 2 2 4" xfId="32193" xr:uid="{E8615AE5-AE30-4F77-ACA5-7B2AD9D13E9A}"/>
    <cellStyle name="20% - Accent4 10 3 2 2 3" xfId="12754" xr:uid="{00000000-0005-0000-0000-00005A150000}"/>
    <cellStyle name="20% - Accent4 10 3 2 2 3 2" xfId="36603" xr:uid="{90EE0088-82A5-4C29-A6F6-B4EE03EE446A}"/>
    <cellStyle name="20% - Accent4 10 3 2 2 4" xfId="20709" xr:uid="{00000000-0005-0000-0000-00005B150000}"/>
    <cellStyle name="20% - Accent4 10 3 2 2 4 2" xfId="44541" xr:uid="{4C09EBEF-F8FD-483A-A879-48F1B5FC311E}"/>
    <cellStyle name="20% - Accent4 10 3 2 2 5" xfId="28662" xr:uid="{46D98C04-F832-4EF2-81AC-BB5636FC1278}"/>
    <cellStyle name="20% - Accent4 10 3 2 3" xfId="6563" xr:uid="{00000000-0005-0000-0000-00005C150000}"/>
    <cellStyle name="20% - Accent4 10 3 2 3 2" xfId="14534" xr:uid="{00000000-0005-0000-0000-00005D150000}"/>
    <cellStyle name="20% - Accent4 10 3 2 3 2 2" xfId="38376" xr:uid="{72B511B6-FEB0-43F3-9ADD-7C25EAB6710F}"/>
    <cellStyle name="20% - Accent4 10 3 2 3 3" xfId="22481" xr:uid="{00000000-0005-0000-0000-00005E150000}"/>
    <cellStyle name="20% - Accent4 10 3 2 3 3 2" xfId="46313" xr:uid="{F917EF94-E0ED-4D63-846B-678E8A8BB236}"/>
    <cellStyle name="20% - Accent4 10 3 2 3 4" xfId="30435" xr:uid="{2A7A664E-D013-47C7-AA0A-D47CEA146265}"/>
    <cellStyle name="20% - Accent4 10 3 2 4" xfId="10998" xr:uid="{00000000-0005-0000-0000-00005F150000}"/>
    <cellStyle name="20% - Accent4 10 3 2 4 2" xfId="34847" xr:uid="{3A8FC78D-FCAD-42D2-A932-280DD641FF6F}"/>
    <cellStyle name="20% - Accent4 10 3 2 5" xfId="18953" xr:uid="{00000000-0005-0000-0000-000060150000}"/>
    <cellStyle name="20% - Accent4 10 3 2 5 2" xfId="42785" xr:uid="{06BC5900-B804-447A-8598-FDBD97B561F0}"/>
    <cellStyle name="20% - Accent4 10 3 2 6" xfId="26905" xr:uid="{B8DD3B67-50AB-4C6A-9017-D0373F4DD4B9}"/>
    <cellStyle name="20% - Accent4 10 3 2_Exh G" xfId="2312" xr:uid="{00000000-0005-0000-0000-000061150000}"/>
    <cellStyle name="20% - Accent4 10 3 3" xfId="3852" xr:uid="{00000000-0005-0000-0000-000062150000}"/>
    <cellStyle name="20% - Accent4 10 3 3 2" xfId="7444" xr:uid="{00000000-0005-0000-0000-000063150000}"/>
    <cellStyle name="20% - Accent4 10 3 3 2 2" xfId="15414" xr:uid="{00000000-0005-0000-0000-000064150000}"/>
    <cellStyle name="20% - Accent4 10 3 3 2 2 2" xfId="39256" xr:uid="{66AFA5DE-19C3-4984-8E21-A1C95642B567}"/>
    <cellStyle name="20% - Accent4 10 3 3 2 3" xfId="23360" xr:uid="{00000000-0005-0000-0000-000065150000}"/>
    <cellStyle name="20% - Accent4 10 3 3 2 3 2" xfId="47192" xr:uid="{607587A6-0F4B-424A-A584-D0F5646D3034}"/>
    <cellStyle name="20% - Accent4 10 3 3 2 4" xfId="31315" xr:uid="{CA69BBCD-8A58-4F01-93DF-3E8D5FB24911}"/>
    <cellStyle name="20% - Accent4 10 3 3 3" xfId="11876" xr:uid="{00000000-0005-0000-0000-000066150000}"/>
    <cellStyle name="20% - Accent4 10 3 3 3 2" xfId="35725" xr:uid="{C1263396-4B69-486C-9531-46FD5AE0DFBC}"/>
    <cellStyle name="20% - Accent4 10 3 3 4" xfId="19831" xr:uid="{00000000-0005-0000-0000-000067150000}"/>
    <cellStyle name="20% - Accent4 10 3 3 4 2" xfId="43663" xr:uid="{1F8284BE-CAFA-4C14-ABFE-980F295D5565}"/>
    <cellStyle name="20% - Accent4 10 3 3 5" xfId="27784" xr:uid="{CFBF4359-758E-4C55-8CDB-6F2310C31F2A}"/>
    <cellStyle name="20% - Accent4 10 3 4" xfId="5672" xr:uid="{00000000-0005-0000-0000-000068150000}"/>
    <cellStyle name="20% - Accent4 10 3 4 2" xfId="13655" xr:uid="{00000000-0005-0000-0000-000069150000}"/>
    <cellStyle name="20% - Accent4 10 3 4 2 2" xfId="37498" xr:uid="{72BE41A8-603C-421A-BAE9-54C3A800786A}"/>
    <cellStyle name="20% - Accent4 10 3 4 3" xfId="21603" xr:uid="{00000000-0005-0000-0000-00006A150000}"/>
    <cellStyle name="20% - Accent4 10 3 4 3 2" xfId="45435" xr:uid="{7F7C401C-B6A8-47B3-955D-9FC9E6F0AB2E}"/>
    <cellStyle name="20% - Accent4 10 3 4 4" xfId="29557" xr:uid="{2513CE3D-D20D-411F-B961-89DF08BAB0E4}"/>
    <cellStyle name="20% - Accent4 10 3 5" xfId="9224" xr:uid="{00000000-0005-0000-0000-00006B150000}"/>
    <cellStyle name="20% - Accent4 10 3 5 2" xfId="17182" xr:uid="{00000000-0005-0000-0000-00006C150000}"/>
    <cellStyle name="20% - Accent4 10 3 5 2 2" xfId="41022" xr:uid="{D7D6B323-0647-498C-9CAF-18518797503F}"/>
    <cellStyle name="20% - Accent4 10 3 5 3" xfId="25126" xr:uid="{00000000-0005-0000-0000-00006D150000}"/>
    <cellStyle name="20% - Accent4 10 3 5 3 2" xfId="48958" xr:uid="{6A459695-B6A8-4FF4-9384-54F2282F17D5}"/>
    <cellStyle name="20% - Accent4 10 3 5 4" xfId="33081" xr:uid="{FF61CA36-A66B-4E2F-B945-B6A595F19641}"/>
    <cellStyle name="20% - Accent4 10 3 6" xfId="10120" xr:uid="{00000000-0005-0000-0000-00006E150000}"/>
    <cellStyle name="20% - Accent4 10 3 6 2" xfId="33969" xr:uid="{C2367BA0-4F52-4E29-8B7B-5BC8FEA1B396}"/>
    <cellStyle name="20% - Accent4 10 3 7" xfId="18075" xr:uid="{00000000-0005-0000-0000-00006F150000}"/>
    <cellStyle name="20% - Accent4 10 3 7 2" xfId="41907" xr:uid="{E2530F8E-D264-4147-8499-BF3C094B04E1}"/>
    <cellStyle name="20% - Accent4 10 3 8" xfId="26027" xr:uid="{66AD16FB-BA04-4ECB-A8B8-9B728DCEDF67}"/>
    <cellStyle name="20% - Accent4 10 3_Exh G" xfId="2311" xr:uid="{00000000-0005-0000-0000-000070150000}"/>
    <cellStyle name="20% - Accent4 10 4" xfId="895" xr:uid="{00000000-0005-0000-0000-000071150000}"/>
    <cellStyle name="20% - Accent4 10 5" xfId="1201" xr:uid="{00000000-0005-0000-0000-000072150000}"/>
    <cellStyle name="20% - Accent4 10 5 2" xfId="4728" xr:uid="{00000000-0005-0000-0000-000073150000}"/>
    <cellStyle name="20% - Accent4 10 5 2 2" xfId="8319" xr:uid="{00000000-0005-0000-0000-000074150000}"/>
    <cellStyle name="20% - Accent4 10 5 2 2 2" xfId="16289" xr:uid="{00000000-0005-0000-0000-000075150000}"/>
    <cellStyle name="20% - Accent4 10 5 2 2 2 2" xfId="40131" xr:uid="{DC966311-1FDA-4A47-94D1-D467F7C833E1}"/>
    <cellStyle name="20% - Accent4 10 5 2 2 3" xfId="24235" xr:uid="{00000000-0005-0000-0000-000076150000}"/>
    <cellStyle name="20% - Accent4 10 5 2 2 3 2" xfId="48067" xr:uid="{BF85413C-2207-4095-AC37-5E282D267E8F}"/>
    <cellStyle name="20% - Accent4 10 5 2 2 4" xfId="32190" xr:uid="{AEFEF5D5-0ABC-4AF6-AB98-D787ECD71C1C}"/>
    <cellStyle name="20% - Accent4 10 5 2 3" xfId="12751" xr:uid="{00000000-0005-0000-0000-000077150000}"/>
    <cellStyle name="20% - Accent4 10 5 2 3 2" xfId="36600" xr:uid="{80360BFC-A6DA-48EF-A3B1-45B49562EA7D}"/>
    <cellStyle name="20% - Accent4 10 5 2 4" xfId="20706" xr:uid="{00000000-0005-0000-0000-000078150000}"/>
    <cellStyle name="20% - Accent4 10 5 2 4 2" xfId="44538" xr:uid="{81CC9945-CDE2-47B5-A5F5-E3B51F3FB8C6}"/>
    <cellStyle name="20% - Accent4 10 5 2 5" xfId="28659" xr:uid="{72F968E1-DB0B-496E-8224-16BF7FF32F18}"/>
    <cellStyle name="20% - Accent4 10 5 3" xfId="6560" xr:uid="{00000000-0005-0000-0000-000079150000}"/>
    <cellStyle name="20% - Accent4 10 5 3 2" xfId="14531" xr:uid="{00000000-0005-0000-0000-00007A150000}"/>
    <cellStyle name="20% - Accent4 10 5 3 2 2" xfId="38373" xr:uid="{5A7E1C88-3899-4154-AB64-97D635B4055E}"/>
    <cellStyle name="20% - Accent4 10 5 3 3" xfId="22478" xr:uid="{00000000-0005-0000-0000-00007B150000}"/>
    <cellStyle name="20% - Accent4 10 5 3 3 2" xfId="46310" xr:uid="{B7C09F68-6FE0-4642-BC02-1AC88F871475}"/>
    <cellStyle name="20% - Accent4 10 5 3 4" xfId="30432" xr:uid="{6A9493D7-E681-40AC-89C8-A7956FBA598E}"/>
    <cellStyle name="20% - Accent4 10 5 4" xfId="10995" xr:uid="{00000000-0005-0000-0000-00007C150000}"/>
    <cellStyle name="20% - Accent4 10 5 4 2" xfId="34844" xr:uid="{C9D46572-DE55-45E4-9598-FFD468BCBFE4}"/>
    <cellStyle name="20% - Accent4 10 5 5" xfId="18950" xr:uid="{00000000-0005-0000-0000-00007D150000}"/>
    <cellStyle name="20% - Accent4 10 5 5 2" xfId="42782" xr:uid="{70530A8C-0299-49FD-852A-71098D9398B9}"/>
    <cellStyle name="20% - Accent4 10 5 6" xfId="26902" xr:uid="{AA1396D1-0391-4138-B96C-030BDC9C70F4}"/>
    <cellStyle name="20% - Accent4 10 5_Exh G" xfId="2313" xr:uid="{00000000-0005-0000-0000-00007E150000}"/>
    <cellStyle name="20% - Accent4 10 6" xfId="3849" xr:uid="{00000000-0005-0000-0000-00007F150000}"/>
    <cellStyle name="20% - Accent4 10 6 2" xfId="7441" xr:uid="{00000000-0005-0000-0000-000080150000}"/>
    <cellStyle name="20% - Accent4 10 6 2 2" xfId="15411" xr:uid="{00000000-0005-0000-0000-000081150000}"/>
    <cellStyle name="20% - Accent4 10 6 2 2 2" xfId="39253" xr:uid="{616EDD69-1E13-4391-8FCB-8AFF043D4D17}"/>
    <cellStyle name="20% - Accent4 10 6 2 3" xfId="23357" xr:uid="{00000000-0005-0000-0000-000082150000}"/>
    <cellStyle name="20% - Accent4 10 6 2 3 2" xfId="47189" xr:uid="{77E21415-4792-4DBC-B7BB-49B77C3232B8}"/>
    <cellStyle name="20% - Accent4 10 6 2 4" xfId="31312" xr:uid="{10795B4A-B4BA-4A41-980A-3F8DA2717DF4}"/>
    <cellStyle name="20% - Accent4 10 6 3" xfId="11873" xr:uid="{00000000-0005-0000-0000-000083150000}"/>
    <cellStyle name="20% - Accent4 10 6 3 2" xfId="35722" xr:uid="{B931BB6D-1D79-4F5A-99D3-716D8B8A15B8}"/>
    <cellStyle name="20% - Accent4 10 6 4" xfId="19828" xr:uid="{00000000-0005-0000-0000-000084150000}"/>
    <cellStyle name="20% - Accent4 10 6 4 2" xfId="43660" xr:uid="{A8496F56-5BF2-409D-843B-116F66FB3D3D}"/>
    <cellStyle name="20% - Accent4 10 6 5" xfId="27781" xr:uid="{0F5433B6-CE89-407F-AD74-AF5685366957}"/>
    <cellStyle name="20% - Accent4 10 7" xfId="5669" xr:uid="{00000000-0005-0000-0000-000085150000}"/>
    <cellStyle name="20% - Accent4 10 7 2" xfId="13652" xr:uid="{00000000-0005-0000-0000-000086150000}"/>
    <cellStyle name="20% - Accent4 10 7 2 2" xfId="37495" xr:uid="{360EC7BB-BE3A-4146-AFA8-7FA6DBF5FBF0}"/>
    <cellStyle name="20% - Accent4 10 7 3" xfId="21600" xr:uid="{00000000-0005-0000-0000-000087150000}"/>
    <cellStyle name="20% - Accent4 10 7 3 2" xfId="45432" xr:uid="{8CC2091E-1631-4652-8B6B-693C64ADBE64}"/>
    <cellStyle name="20% - Accent4 10 7 4" xfId="29554" xr:uid="{E447226C-6292-48B5-BE89-5D2D36213063}"/>
    <cellStyle name="20% - Accent4 10 8" xfId="9221" xr:uid="{00000000-0005-0000-0000-000088150000}"/>
    <cellStyle name="20% - Accent4 10 8 2" xfId="17179" xr:uid="{00000000-0005-0000-0000-000089150000}"/>
    <cellStyle name="20% - Accent4 10 8 2 2" xfId="41019" xr:uid="{8EF4ABF5-726D-48FA-818E-310C3FFF2042}"/>
    <cellStyle name="20% - Accent4 10 8 3" xfId="25123" xr:uid="{00000000-0005-0000-0000-00008A150000}"/>
    <cellStyle name="20% - Accent4 10 8 3 2" xfId="48955" xr:uid="{45170288-4A42-439F-B4A7-A02FF1801083}"/>
    <cellStyle name="20% - Accent4 10 8 4" xfId="33078" xr:uid="{63C29B17-AA96-4155-BCF2-D03A8CCC1CEE}"/>
    <cellStyle name="20% - Accent4 10 9" xfId="10117" xr:uid="{00000000-0005-0000-0000-00008B150000}"/>
    <cellStyle name="20% - Accent4 10 9 2" xfId="33966" xr:uid="{EA705EE1-3753-4CC8-96A2-297EABDDA327}"/>
    <cellStyle name="20% - Accent4 10_Exh G" xfId="2306" xr:uid="{00000000-0005-0000-0000-00008C150000}"/>
    <cellStyle name="20% - Accent4 11" xfId="179" xr:uid="{00000000-0005-0000-0000-00008D150000}"/>
    <cellStyle name="20% - Accent4 11 10" xfId="26028" xr:uid="{BDC8E03A-CF4B-44AB-8E7D-DAA683D261AB}"/>
    <cellStyle name="20% - Accent4 11 2" xfId="180" xr:uid="{00000000-0005-0000-0000-00008E150000}"/>
    <cellStyle name="20% - Accent4 11 2 2" xfId="181" xr:uid="{00000000-0005-0000-0000-00008F150000}"/>
    <cellStyle name="20% - Accent4 11 2 2 2" xfId="1207" xr:uid="{00000000-0005-0000-0000-000090150000}"/>
    <cellStyle name="20% - Accent4 11 2 2 2 2" xfId="4734" xr:uid="{00000000-0005-0000-0000-000091150000}"/>
    <cellStyle name="20% - Accent4 11 2 2 2 2 2" xfId="8325" xr:uid="{00000000-0005-0000-0000-000092150000}"/>
    <cellStyle name="20% - Accent4 11 2 2 2 2 2 2" xfId="16295" xr:uid="{00000000-0005-0000-0000-000093150000}"/>
    <cellStyle name="20% - Accent4 11 2 2 2 2 2 2 2" xfId="40137" xr:uid="{1DCEF28A-5918-4FAF-8C04-EB41EE47AEB1}"/>
    <cellStyle name="20% - Accent4 11 2 2 2 2 2 3" xfId="24241" xr:uid="{00000000-0005-0000-0000-000094150000}"/>
    <cellStyle name="20% - Accent4 11 2 2 2 2 2 3 2" xfId="48073" xr:uid="{D93BBA92-FCA8-4810-9BFB-432DA6CC59CF}"/>
    <cellStyle name="20% - Accent4 11 2 2 2 2 2 4" xfId="32196" xr:uid="{B5D2352D-1FE3-4ED7-B163-D1AC479AE4B0}"/>
    <cellStyle name="20% - Accent4 11 2 2 2 2 3" xfId="12757" xr:uid="{00000000-0005-0000-0000-000095150000}"/>
    <cellStyle name="20% - Accent4 11 2 2 2 2 3 2" xfId="36606" xr:uid="{8FE521DC-BDDC-4BB2-9491-78C6DF392424}"/>
    <cellStyle name="20% - Accent4 11 2 2 2 2 4" xfId="20712" xr:uid="{00000000-0005-0000-0000-000096150000}"/>
    <cellStyle name="20% - Accent4 11 2 2 2 2 4 2" xfId="44544" xr:uid="{AE59A4F6-2C83-4D14-92BE-56AC0698E9DD}"/>
    <cellStyle name="20% - Accent4 11 2 2 2 2 5" xfId="28665" xr:uid="{46DBD68E-CFDC-4692-8F9A-DEC2D90D31AD}"/>
    <cellStyle name="20% - Accent4 11 2 2 2 3" xfId="6566" xr:uid="{00000000-0005-0000-0000-000097150000}"/>
    <cellStyle name="20% - Accent4 11 2 2 2 3 2" xfId="14537" xr:uid="{00000000-0005-0000-0000-000098150000}"/>
    <cellStyle name="20% - Accent4 11 2 2 2 3 2 2" xfId="38379" xr:uid="{FF6AF8F9-F833-4DA1-98F3-060929277860}"/>
    <cellStyle name="20% - Accent4 11 2 2 2 3 3" xfId="22484" xr:uid="{00000000-0005-0000-0000-000099150000}"/>
    <cellStyle name="20% - Accent4 11 2 2 2 3 3 2" xfId="46316" xr:uid="{1BC7A11E-8135-4B2D-952F-692EB6BB4225}"/>
    <cellStyle name="20% - Accent4 11 2 2 2 3 4" xfId="30438" xr:uid="{50A6A34A-16A4-4D3E-AA8C-90F9794294EE}"/>
    <cellStyle name="20% - Accent4 11 2 2 2 4" xfId="11001" xr:uid="{00000000-0005-0000-0000-00009A150000}"/>
    <cellStyle name="20% - Accent4 11 2 2 2 4 2" xfId="34850" xr:uid="{36B84685-B312-4CBE-8A6A-B39C32ED79D0}"/>
    <cellStyle name="20% - Accent4 11 2 2 2 5" xfId="18956" xr:uid="{00000000-0005-0000-0000-00009B150000}"/>
    <cellStyle name="20% - Accent4 11 2 2 2 5 2" xfId="42788" xr:uid="{7B4A3263-650A-4760-B1D9-84FDBE2D2952}"/>
    <cellStyle name="20% - Accent4 11 2 2 2 6" xfId="26908" xr:uid="{72FFB77F-B781-49CA-9D03-025BA4C08C9F}"/>
    <cellStyle name="20% - Accent4 11 2 2 2_Exh G" xfId="2317" xr:uid="{00000000-0005-0000-0000-00009C150000}"/>
    <cellStyle name="20% - Accent4 11 2 2 3" xfId="3855" xr:uid="{00000000-0005-0000-0000-00009D150000}"/>
    <cellStyle name="20% - Accent4 11 2 2 3 2" xfId="7447" xr:uid="{00000000-0005-0000-0000-00009E150000}"/>
    <cellStyle name="20% - Accent4 11 2 2 3 2 2" xfId="15417" xr:uid="{00000000-0005-0000-0000-00009F150000}"/>
    <cellStyle name="20% - Accent4 11 2 2 3 2 2 2" xfId="39259" xr:uid="{16726827-DEF0-411B-8CE7-C7F1B636F07E}"/>
    <cellStyle name="20% - Accent4 11 2 2 3 2 3" xfId="23363" xr:uid="{00000000-0005-0000-0000-0000A0150000}"/>
    <cellStyle name="20% - Accent4 11 2 2 3 2 3 2" xfId="47195" xr:uid="{7C6793B9-7A7F-4AC4-A826-0BAC4313E1EC}"/>
    <cellStyle name="20% - Accent4 11 2 2 3 2 4" xfId="31318" xr:uid="{A44B9F49-2425-411F-AEDD-59CCFF5FE34E}"/>
    <cellStyle name="20% - Accent4 11 2 2 3 3" xfId="11879" xr:uid="{00000000-0005-0000-0000-0000A1150000}"/>
    <cellStyle name="20% - Accent4 11 2 2 3 3 2" xfId="35728" xr:uid="{E5EC2F9D-3BB3-4C0F-BEB6-3B889B643435}"/>
    <cellStyle name="20% - Accent4 11 2 2 3 4" xfId="19834" xr:uid="{00000000-0005-0000-0000-0000A2150000}"/>
    <cellStyle name="20% - Accent4 11 2 2 3 4 2" xfId="43666" xr:uid="{9B256A4F-F09F-46EA-A31F-C0E48DC176F4}"/>
    <cellStyle name="20% - Accent4 11 2 2 3 5" xfId="27787" xr:uid="{2AAC4CCB-2173-470C-9B85-413E23992960}"/>
    <cellStyle name="20% - Accent4 11 2 2 4" xfId="5675" xr:uid="{00000000-0005-0000-0000-0000A3150000}"/>
    <cellStyle name="20% - Accent4 11 2 2 4 2" xfId="13658" xr:uid="{00000000-0005-0000-0000-0000A4150000}"/>
    <cellStyle name="20% - Accent4 11 2 2 4 2 2" xfId="37501" xr:uid="{3911875F-FE4A-408F-AA30-D3F382890120}"/>
    <cellStyle name="20% - Accent4 11 2 2 4 3" xfId="21606" xr:uid="{00000000-0005-0000-0000-0000A5150000}"/>
    <cellStyle name="20% - Accent4 11 2 2 4 3 2" xfId="45438" xr:uid="{4FB36950-C87D-405B-B1A3-49ED4914A3B9}"/>
    <cellStyle name="20% - Accent4 11 2 2 4 4" xfId="29560" xr:uid="{9E520545-9DDF-4136-84F8-E5B384C04576}"/>
    <cellStyle name="20% - Accent4 11 2 2 5" xfId="9227" xr:uid="{00000000-0005-0000-0000-0000A6150000}"/>
    <cellStyle name="20% - Accent4 11 2 2 5 2" xfId="17185" xr:uid="{00000000-0005-0000-0000-0000A7150000}"/>
    <cellStyle name="20% - Accent4 11 2 2 5 2 2" xfId="41025" xr:uid="{CB2184E6-2B2D-4D61-B2E4-DBFFD8E0538E}"/>
    <cellStyle name="20% - Accent4 11 2 2 5 3" xfId="25129" xr:uid="{00000000-0005-0000-0000-0000A8150000}"/>
    <cellStyle name="20% - Accent4 11 2 2 5 3 2" xfId="48961" xr:uid="{862C3AC2-04B7-4A26-ADDB-46518EB59C27}"/>
    <cellStyle name="20% - Accent4 11 2 2 5 4" xfId="33084" xr:uid="{190C4582-674A-410A-85C7-8CD1F0752740}"/>
    <cellStyle name="20% - Accent4 11 2 2 6" xfId="10123" xr:uid="{00000000-0005-0000-0000-0000A9150000}"/>
    <cellStyle name="20% - Accent4 11 2 2 6 2" xfId="33972" xr:uid="{7A18680E-170D-4E18-80E5-14DA0FFE9095}"/>
    <cellStyle name="20% - Accent4 11 2 2 7" xfId="18078" xr:uid="{00000000-0005-0000-0000-0000AA150000}"/>
    <cellStyle name="20% - Accent4 11 2 2 7 2" xfId="41910" xr:uid="{21C73FCF-4C56-431A-9E11-8040D61A7C1B}"/>
    <cellStyle name="20% - Accent4 11 2 2 8" xfId="26030" xr:uid="{1A44994F-B61E-4F2C-9854-EE619F78077F}"/>
    <cellStyle name="20% - Accent4 11 2 2_Exh G" xfId="2316" xr:uid="{00000000-0005-0000-0000-0000AB150000}"/>
    <cellStyle name="20% - Accent4 11 2 3" xfId="1206" xr:uid="{00000000-0005-0000-0000-0000AC150000}"/>
    <cellStyle name="20% - Accent4 11 2 3 2" xfId="4733" xr:uid="{00000000-0005-0000-0000-0000AD150000}"/>
    <cellStyle name="20% - Accent4 11 2 3 2 2" xfId="8324" xr:uid="{00000000-0005-0000-0000-0000AE150000}"/>
    <cellStyle name="20% - Accent4 11 2 3 2 2 2" xfId="16294" xr:uid="{00000000-0005-0000-0000-0000AF150000}"/>
    <cellStyle name="20% - Accent4 11 2 3 2 2 2 2" xfId="40136" xr:uid="{B52CA9B9-4FF5-4E92-9F73-00CA6D71CF0C}"/>
    <cellStyle name="20% - Accent4 11 2 3 2 2 3" xfId="24240" xr:uid="{00000000-0005-0000-0000-0000B0150000}"/>
    <cellStyle name="20% - Accent4 11 2 3 2 2 3 2" xfId="48072" xr:uid="{2EBC5B06-F692-4274-BAB3-4E69E0BC1AAC}"/>
    <cellStyle name="20% - Accent4 11 2 3 2 2 4" xfId="32195" xr:uid="{26F1D267-3AAA-448F-95B1-71756A69EF51}"/>
    <cellStyle name="20% - Accent4 11 2 3 2 3" xfId="12756" xr:uid="{00000000-0005-0000-0000-0000B1150000}"/>
    <cellStyle name="20% - Accent4 11 2 3 2 3 2" xfId="36605" xr:uid="{E82EC15C-7652-4017-9553-B32DC6A3B640}"/>
    <cellStyle name="20% - Accent4 11 2 3 2 4" xfId="20711" xr:uid="{00000000-0005-0000-0000-0000B2150000}"/>
    <cellStyle name="20% - Accent4 11 2 3 2 4 2" xfId="44543" xr:uid="{191BF4FC-AD25-4A32-B012-3B83D1E12456}"/>
    <cellStyle name="20% - Accent4 11 2 3 2 5" xfId="28664" xr:uid="{C16D68CA-94F1-4A95-9380-3B2B681B63D7}"/>
    <cellStyle name="20% - Accent4 11 2 3 3" xfId="6565" xr:uid="{00000000-0005-0000-0000-0000B3150000}"/>
    <cellStyle name="20% - Accent4 11 2 3 3 2" xfId="14536" xr:uid="{00000000-0005-0000-0000-0000B4150000}"/>
    <cellStyle name="20% - Accent4 11 2 3 3 2 2" xfId="38378" xr:uid="{9A2D6161-1EE3-444F-A5C3-BC59A68A4405}"/>
    <cellStyle name="20% - Accent4 11 2 3 3 3" xfId="22483" xr:uid="{00000000-0005-0000-0000-0000B5150000}"/>
    <cellStyle name="20% - Accent4 11 2 3 3 3 2" xfId="46315" xr:uid="{81611B60-D9F5-4712-9BC9-25E94DBF9190}"/>
    <cellStyle name="20% - Accent4 11 2 3 3 4" xfId="30437" xr:uid="{EB6F2FCA-31FF-409A-BB69-7BFD7B19175D}"/>
    <cellStyle name="20% - Accent4 11 2 3 4" xfId="11000" xr:uid="{00000000-0005-0000-0000-0000B6150000}"/>
    <cellStyle name="20% - Accent4 11 2 3 4 2" xfId="34849" xr:uid="{E12BF34E-163E-4B36-BEA6-FC3C630A016F}"/>
    <cellStyle name="20% - Accent4 11 2 3 5" xfId="18955" xr:uid="{00000000-0005-0000-0000-0000B7150000}"/>
    <cellStyle name="20% - Accent4 11 2 3 5 2" xfId="42787" xr:uid="{047DD8DA-2550-49E4-93DE-F197C3801332}"/>
    <cellStyle name="20% - Accent4 11 2 3 6" xfId="26907" xr:uid="{7B1ADCDB-BB59-45BD-AA04-1F09FEE865B9}"/>
    <cellStyle name="20% - Accent4 11 2 3_Exh G" xfId="2318" xr:uid="{00000000-0005-0000-0000-0000B8150000}"/>
    <cellStyle name="20% - Accent4 11 2 4" xfId="3854" xr:uid="{00000000-0005-0000-0000-0000B9150000}"/>
    <cellStyle name="20% - Accent4 11 2 4 2" xfId="7446" xr:uid="{00000000-0005-0000-0000-0000BA150000}"/>
    <cellStyle name="20% - Accent4 11 2 4 2 2" xfId="15416" xr:uid="{00000000-0005-0000-0000-0000BB150000}"/>
    <cellStyle name="20% - Accent4 11 2 4 2 2 2" xfId="39258" xr:uid="{28C065E6-9F04-4BE9-A979-87FFE44C6971}"/>
    <cellStyle name="20% - Accent4 11 2 4 2 3" xfId="23362" xr:uid="{00000000-0005-0000-0000-0000BC150000}"/>
    <cellStyle name="20% - Accent4 11 2 4 2 3 2" xfId="47194" xr:uid="{77637918-0B6E-4C41-AE82-91C2FFB6142E}"/>
    <cellStyle name="20% - Accent4 11 2 4 2 4" xfId="31317" xr:uid="{613C1F34-F3CE-47C1-88AF-C194955C82E9}"/>
    <cellStyle name="20% - Accent4 11 2 4 3" xfId="11878" xr:uid="{00000000-0005-0000-0000-0000BD150000}"/>
    <cellStyle name="20% - Accent4 11 2 4 3 2" xfId="35727" xr:uid="{CCADD2EE-7D3B-4017-A173-768869842A4D}"/>
    <cellStyle name="20% - Accent4 11 2 4 4" xfId="19833" xr:uid="{00000000-0005-0000-0000-0000BE150000}"/>
    <cellStyle name="20% - Accent4 11 2 4 4 2" xfId="43665" xr:uid="{BE8F8A70-1ACF-45AF-B64F-0423B59AF7F2}"/>
    <cellStyle name="20% - Accent4 11 2 4 5" xfId="27786" xr:uid="{5293BF40-E20C-4D30-9B0B-076A64D4D6EC}"/>
    <cellStyle name="20% - Accent4 11 2 5" xfId="5674" xr:uid="{00000000-0005-0000-0000-0000BF150000}"/>
    <cellStyle name="20% - Accent4 11 2 5 2" xfId="13657" xr:uid="{00000000-0005-0000-0000-0000C0150000}"/>
    <cellStyle name="20% - Accent4 11 2 5 2 2" xfId="37500" xr:uid="{5E3808ED-2AE4-4C64-9A18-FA4B71E33504}"/>
    <cellStyle name="20% - Accent4 11 2 5 3" xfId="21605" xr:uid="{00000000-0005-0000-0000-0000C1150000}"/>
    <cellStyle name="20% - Accent4 11 2 5 3 2" xfId="45437" xr:uid="{5620B62D-8670-4D86-ADCC-ED3108FCA52B}"/>
    <cellStyle name="20% - Accent4 11 2 5 4" xfId="29559" xr:uid="{82C00095-CC8B-464B-888F-0D5E9F3D7AD1}"/>
    <cellStyle name="20% - Accent4 11 2 6" xfId="9226" xr:uid="{00000000-0005-0000-0000-0000C2150000}"/>
    <cellStyle name="20% - Accent4 11 2 6 2" xfId="17184" xr:uid="{00000000-0005-0000-0000-0000C3150000}"/>
    <cellStyle name="20% - Accent4 11 2 6 2 2" xfId="41024" xr:uid="{8774B525-0832-4359-BA37-309241B43472}"/>
    <cellStyle name="20% - Accent4 11 2 6 3" xfId="25128" xr:uid="{00000000-0005-0000-0000-0000C4150000}"/>
    <cellStyle name="20% - Accent4 11 2 6 3 2" xfId="48960" xr:uid="{0E098764-382C-4343-A95E-F384DC4BDC63}"/>
    <cellStyle name="20% - Accent4 11 2 6 4" xfId="33083" xr:uid="{303714C6-20F5-4554-A3FE-B7AB0E60BC1B}"/>
    <cellStyle name="20% - Accent4 11 2 7" xfId="10122" xr:uid="{00000000-0005-0000-0000-0000C5150000}"/>
    <cellStyle name="20% - Accent4 11 2 7 2" xfId="33971" xr:uid="{75C603DF-C886-4D9B-A9C9-74DD753D09C3}"/>
    <cellStyle name="20% - Accent4 11 2 8" xfId="18077" xr:uid="{00000000-0005-0000-0000-0000C6150000}"/>
    <cellStyle name="20% - Accent4 11 2 8 2" xfId="41909" xr:uid="{627FC1CC-D8B2-4D58-AE9A-20929063093D}"/>
    <cellStyle name="20% - Accent4 11 2 9" xfId="26029" xr:uid="{EC190855-D00B-48C7-BB2B-2734C5165676}"/>
    <cellStyle name="20% - Accent4 11 2_Exh G" xfId="2315" xr:uid="{00000000-0005-0000-0000-0000C7150000}"/>
    <cellStyle name="20% - Accent4 11 3" xfId="182" xr:uid="{00000000-0005-0000-0000-0000C8150000}"/>
    <cellStyle name="20% - Accent4 11 3 2" xfId="1208" xr:uid="{00000000-0005-0000-0000-0000C9150000}"/>
    <cellStyle name="20% - Accent4 11 3 2 2" xfId="4735" xr:uid="{00000000-0005-0000-0000-0000CA150000}"/>
    <cellStyle name="20% - Accent4 11 3 2 2 2" xfId="8326" xr:uid="{00000000-0005-0000-0000-0000CB150000}"/>
    <cellStyle name="20% - Accent4 11 3 2 2 2 2" xfId="16296" xr:uid="{00000000-0005-0000-0000-0000CC150000}"/>
    <cellStyle name="20% - Accent4 11 3 2 2 2 2 2" xfId="40138" xr:uid="{7728494C-6A0D-496F-BF2F-B0C672699AEB}"/>
    <cellStyle name="20% - Accent4 11 3 2 2 2 3" xfId="24242" xr:uid="{00000000-0005-0000-0000-0000CD150000}"/>
    <cellStyle name="20% - Accent4 11 3 2 2 2 3 2" xfId="48074" xr:uid="{BC8552C0-4A44-49C4-9C01-DD01D14DBB36}"/>
    <cellStyle name="20% - Accent4 11 3 2 2 2 4" xfId="32197" xr:uid="{96AF4C8C-B981-45CB-BAF6-3D46E0F3E5AB}"/>
    <cellStyle name="20% - Accent4 11 3 2 2 3" xfId="12758" xr:uid="{00000000-0005-0000-0000-0000CE150000}"/>
    <cellStyle name="20% - Accent4 11 3 2 2 3 2" xfId="36607" xr:uid="{1D3DFF48-3C72-46CA-BC38-80CA0DE4986E}"/>
    <cellStyle name="20% - Accent4 11 3 2 2 4" xfId="20713" xr:uid="{00000000-0005-0000-0000-0000CF150000}"/>
    <cellStyle name="20% - Accent4 11 3 2 2 4 2" xfId="44545" xr:uid="{CFC8B57C-0B90-434C-A67A-651BEBAEC3E4}"/>
    <cellStyle name="20% - Accent4 11 3 2 2 5" xfId="28666" xr:uid="{5B6A203E-49B6-44D9-B7F6-4B109D71E16D}"/>
    <cellStyle name="20% - Accent4 11 3 2 3" xfId="6567" xr:uid="{00000000-0005-0000-0000-0000D0150000}"/>
    <cellStyle name="20% - Accent4 11 3 2 3 2" xfId="14538" xr:uid="{00000000-0005-0000-0000-0000D1150000}"/>
    <cellStyle name="20% - Accent4 11 3 2 3 2 2" xfId="38380" xr:uid="{FC2F5D1F-36B0-42F6-A4F6-1928079D75D2}"/>
    <cellStyle name="20% - Accent4 11 3 2 3 3" xfId="22485" xr:uid="{00000000-0005-0000-0000-0000D2150000}"/>
    <cellStyle name="20% - Accent4 11 3 2 3 3 2" xfId="46317" xr:uid="{6AAFA889-38A0-4C19-A980-243F10E190EB}"/>
    <cellStyle name="20% - Accent4 11 3 2 3 4" xfId="30439" xr:uid="{1339FB02-E09E-49BF-8B06-6AFDDB977E69}"/>
    <cellStyle name="20% - Accent4 11 3 2 4" xfId="11002" xr:uid="{00000000-0005-0000-0000-0000D3150000}"/>
    <cellStyle name="20% - Accent4 11 3 2 4 2" xfId="34851" xr:uid="{B852E5B6-B9E1-4701-91F7-9CF4544878DE}"/>
    <cellStyle name="20% - Accent4 11 3 2 5" xfId="18957" xr:uid="{00000000-0005-0000-0000-0000D4150000}"/>
    <cellStyle name="20% - Accent4 11 3 2 5 2" xfId="42789" xr:uid="{7FB4DE12-992C-40BD-9141-2966A2DFBC38}"/>
    <cellStyle name="20% - Accent4 11 3 2 6" xfId="26909" xr:uid="{C749CE0F-A5F1-4187-A42D-DF9AA1308E69}"/>
    <cellStyle name="20% - Accent4 11 3 2_Exh G" xfId="2320" xr:uid="{00000000-0005-0000-0000-0000D5150000}"/>
    <cellStyle name="20% - Accent4 11 3 3" xfId="3856" xr:uid="{00000000-0005-0000-0000-0000D6150000}"/>
    <cellStyle name="20% - Accent4 11 3 3 2" xfId="7448" xr:uid="{00000000-0005-0000-0000-0000D7150000}"/>
    <cellStyle name="20% - Accent4 11 3 3 2 2" xfId="15418" xr:uid="{00000000-0005-0000-0000-0000D8150000}"/>
    <cellStyle name="20% - Accent4 11 3 3 2 2 2" xfId="39260" xr:uid="{1E9F6D65-D2BB-4F1A-8737-3D51B4D5B6EA}"/>
    <cellStyle name="20% - Accent4 11 3 3 2 3" xfId="23364" xr:uid="{00000000-0005-0000-0000-0000D9150000}"/>
    <cellStyle name="20% - Accent4 11 3 3 2 3 2" xfId="47196" xr:uid="{7F0B8D72-1E74-4611-A571-9E3D416F464B}"/>
    <cellStyle name="20% - Accent4 11 3 3 2 4" xfId="31319" xr:uid="{E1E4F0F1-1AFD-4985-88B3-FD5E8F6AF94D}"/>
    <cellStyle name="20% - Accent4 11 3 3 3" xfId="11880" xr:uid="{00000000-0005-0000-0000-0000DA150000}"/>
    <cellStyle name="20% - Accent4 11 3 3 3 2" xfId="35729" xr:uid="{B675256A-A566-4BA8-8AFA-E9C5C20E4C42}"/>
    <cellStyle name="20% - Accent4 11 3 3 4" xfId="19835" xr:uid="{00000000-0005-0000-0000-0000DB150000}"/>
    <cellStyle name="20% - Accent4 11 3 3 4 2" xfId="43667" xr:uid="{16E6D20D-8BC6-4E4C-A01D-EE513D469C97}"/>
    <cellStyle name="20% - Accent4 11 3 3 5" xfId="27788" xr:uid="{A116636C-45ED-4FFC-AE37-DE7A9D33E912}"/>
    <cellStyle name="20% - Accent4 11 3 4" xfId="5676" xr:uid="{00000000-0005-0000-0000-0000DC150000}"/>
    <cellStyle name="20% - Accent4 11 3 4 2" xfId="13659" xr:uid="{00000000-0005-0000-0000-0000DD150000}"/>
    <cellStyle name="20% - Accent4 11 3 4 2 2" xfId="37502" xr:uid="{5570DA48-BCEE-4011-A409-DF6EAC4660D1}"/>
    <cellStyle name="20% - Accent4 11 3 4 3" xfId="21607" xr:uid="{00000000-0005-0000-0000-0000DE150000}"/>
    <cellStyle name="20% - Accent4 11 3 4 3 2" xfId="45439" xr:uid="{C1CE9D3D-4FE6-4950-A2D1-C1AEF0737231}"/>
    <cellStyle name="20% - Accent4 11 3 4 4" xfId="29561" xr:uid="{27F7CF36-0CE1-45EF-A228-64DCE6D4612B}"/>
    <cellStyle name="20% - Accent4 11 3 5" xfId="9228" xr:uid="{00000000-0005-0000-0000-0000DF150000}"/>
    <cellStyle name="20% - Accent4 11 3 5 2" xfId="17186" xr:uid="{00000000-0005-0000-0000-0000E0150000}"/>
    <cellStyle name="20% - Accent4 11 3 5 2 2" xfId="41026" xr:uid="{45EAC9B6-C599-48DE-BAEA-79C5F3D4B74D}"/>
    <cellStyle name="20% - Accent4 11 3 5 3" xfId="25130" xr:uid="{00000000-0005-0000-0000-0000E1150000}"/>
    <cellStyle name="20% - Accent4 11 3 5 3 2" xfId="48962" xr:uid="{460F77A9-A846-4706-B1D7-F7DE910AE2E2}"/>
    <cellStyle name="20% - Accent4 11 3 5 4" xfId="33085" xr:uid="{C0224C64-4C73-41A4-B386-38CE82D5F219}"/>
    <cellStyle name="20% - Accent4 11 3 6" xfId="10124" xr:uid="{00000000-0005-0000-0000-0000E2150000}"/>
    <cellStyle name="20% - Accent4 11 3 6 2" xfId="33973" xr:uid="{0A279D6F-2117-464D-8CDB-26FD79AAEDD4}"/>
    <cellStyle name="20% - Accent4 11 3 7" xfId="18079" xr:uid="{00000000-0005-0000-0000-0000E3150000}"/>
    <cellStyle name="20% - Accent4 11 3 7 2" xfId="41911" xr:uid="{58B6D9FA-7AAA-47B0-875A-4F0BCFA2036F}"/>
    <cellStyle name="20% - Accent4 11 3 8" xfId="26031" xr:uid="{BE95DE7F-A7D1-4308-B6BD-2EF5DD5EC435}"/>
    <cellStyle name="20% - Accent4 11 3_Exh G" xfId="2319" xr:uid="{00000000-0005-0000-0000-0000E4150000}"/>
    <cellStyle name="20% - Accent4 11 4" xfId="1205" xr:uid="{00000000-0005-0000-0000-0000E5150000}"/>
    <cellStyle name="20% - Accent4 11 4 2" xfId="4732" xr:uid="{00000000-0005-0000-0000-0000E6150000}"/>
    <cellStyle name="20% - Accent4 11 4 2 2" xfId="8323" xr:uid="{00000000-0005-0000-0000-0000E7150000}"/>
    <cellStyle name="20% - Accent4 11 4 2 2 2" xfId="16293" xr:uid="{00000000-0005-0000-0000-0000E8150000}"/>
    <cellStyle name="20% - Accent4 11 4 2 2 2 2" xfId="40135" xr:uid="{A998DDC2-269A-4C23-8834-0184B925F188}"/>
    <cellStyle name="20% - Accent4 11 4 2 2 3" xfId="24239" xr:uid="{00000000-0005-0000-0000-0000E9150000}"/>
    <cellStyle name="20% - Accent4 11 4 2 2 3 2" xfId="48071" xr:uid="{A103453B-3AA8-4D62-B358-55F582DABC03}"/>
    <cellStyle name="20% - Accent4 11 4 2 2 4" xfId="32194" xr:uid="{93F9D95F-31BC-44F3-B485-D263935DC85C}"/>
    <cellStyle name="20% - Accent4 11 4 2 3" xfId="12755" xr:uid="{00000000-0005-0000-0000-0000EA150000}"/>
    <cellStyle name="20% - Accent4 11 4 2 3 2" xfId="36604" xr:uid="{5E68E9DC-C0FD-4917-9F43-8F559C0887B8}"/>
    <cellStyle name="20% - Accent4 11 4 2 4" xfId="20710" xr:uid="{00000000-0005-0000-0000-0000EB150000}"/>
    <cellStyle name="20% - Accent4 11 4 2 4 2" xfId="44542" xr:uid="{7AD58E3F-4841-4153-80F2-822BE5B7C772}"/>
    <cellStyle name="20% - Accent4 11 4 2 5" xfId="28663" xr:uid="{A150AA2E-95C7-4A89-ACBF-B064D8D62743}"/>
    <cellStyle name="20% - Accent4 11 4 3" xfId="6564" xr:uid="{00000000-0005-0000-0000-0000EC150000}"/>
    <cellStyle name="20% - Accent4 11 4 3 2" xfId="14535" xr:uid="{00000000-0005-0000-0000-0000ED150000}"/>
    <cellStyle name="20% - Accent4 11 4 3 2 2" xfId="38377" xr:uid="{0B7A7551-3A6D-4624-8D3A-3DA6EA2E1249}"/>
    <cellStyle name="20% - Accent4 11 4 3 3" xfId="22482" xr:uid="{00000000-0005-0000-0000-0000EE150000}"/>
    <cellStyle name="20% - Accent4 11 4 3 3 2" xfId="46314" xr:uid="{F9DAA9DE-3076-4831-A404-58A7B24F427A}"/>
    <cellStyle name="20% - Accent4 11 4 3 4" xfId="30436" xr:uid="{6FDB28F6-1BFC-40CD-AAE7-52876BBE4377}"/>
    <cellStyle name="20% - Accent4 11 4 4" xfId="10999" xr:uid="{00000000-0005-0000-0000-0000EF150000}"/>
    <cellStyle name="20% - Accent4 11 4 4 2" xfId="34848" xr:uid="{13D90BF1-FEC8-49D7-911F-D495089D32CE}"/>
    <cellStyle name="20% - Accent4 11 4 5" xfId="18954" xr:uid="{00000000-0005-0000-0000-0000F0150000}"/>
    <cellStyle name="20% - Accent4 11 4 5 2" xfId="42786" xr:uid="{3675DEE1-BB06-471A-BBAC-6A594B7235B8}"/>
    <cellStyle name="20% - Accent4 11 4 6" xfId="26906" xr:uid="{7FB80FB8-8686-4A35-8CCC-75ED76CB7FB0}"/>
    <cellStyle name="20% - Accent4 11 4_Exh G" xfId="2321" xr:uid="{00000000-0005-0000-0000-0000F1150000}"/>
    <cellStyle name="20% - Accent4 11 5" xfId="3853" xr:uid="{00000000-0005-0000-0000-0000F2150000}"/>
    <cellStyle name="20% - Accent4 11 5 2" xfId="7445" xr:uid="{00000000-0005-0000-0000-0000F3150000}"/>
    <cellStyle name="20% - Accent4 11 5 2 2" xfId="15415" xr:uid="{00000000-0005-0000-0000-0000F4150000}"/>
    <cellStyle name="20% - Accent4 11 5 2 2 2" xfId="39257" xr:uid="{618C9EAE-688C-4B0F-8DA8-31CADBB94FD5}"/>
    <cellStyle name="20% - Accent4 11 5 2 3" xfId="23361" xr:uid="{00000000-0005-0000-0000-0000F5150000}"/>
    <cellStyle name="20% - Accent4 11 5 2 3 2" xfId="47193" xr:uid="{80BC86B9-4065-47EC-82B2-A3CC2B827394}"/>
    <cellStyle name="20% - Accent4 11 5 2 4" xfId="31316" xr:uid="{1830D61E-FD9B-4B00-B4FD-9036132E4D42}"/>
    <cellStyle name="20% - Accent4 11 5 3" xfId="11877" xr:uid="{00000000-0005-0000-0000-0000F6150000}"/>
    <cellStyle name="20% - Accent4 11 5 3 2" xfId="35726" xr:uid="{81872AB2-41EC-420E-A112-91C8952400DC}"/>
    <cellStyle name="20% - Accent4 11 5 4" xfId="19832" xr:uid="{00000000-0005-0000-0000-0000F7150000}"/>
    <cellStyle name="20% - Accent4 11 5 4 2" xfId="43664" xr:uid="{A895BF5E-E28D-4746-8E1D-92D61A407552}"/>
    <cellStyle name="20% - Accent4 11 5 5" xfId="27785" xr:uid="{67D5B266-9462-4AB2-BA03-869CF452AF5C}"/>
    <cellStyle name="20% - Accent4 11 6" xfId="5673" xr:uid="{00000000-0005-0000-0000-0000F8150000}"/>
    <cellStyle name="20% - Accent4 11 6 2" xfId="13656" xr:uid="{00000000-0005-0000-0000-0000F9150000}"/>
    <cellStyle name="20% - Accent4 11 6 2 2" xfId="37499" xr:uid="{D6BF039A-DA00-4688-B0DB-808D306CDA85}"/>
    <cellStyle name="20% - Accent4 11 6 3" xfId="21604" xr:uid="{00000000-0005-0000-0000-0000FA150000}"/>
    <cellStyle name="20% - Accent4 11 6 3 2" xfId="45436" xr:uid="{AAB5CFD3-B575-4116-9249-AA27677E06E0}"/>
    <cellStyle name="20% - Accent4 11 6 4" xfId="29558" xr:uid="{E840B43D-BC31-45E7-9EC8-44D98725A90C}"/>
    <cellStyle name="20% - Accent4 11 7" xfId="9225" xr:uid="{00000000-0005-0000-0000-0000FB150000}"/>
    <cellStyle name="20% - Accent4 11 7 2" xfId="17183" xr:uid="{00000000-0005-0000-0000-0000FC150000}"/>
    <cellStyle name="20% - Accent4 11 7 2 2" xfId="41023" xr:uid="{6FF4B179-E7CD-473D-BAFB-B23BDA2296B5}"/>
    <cellStyle name="20% - Accent4 11 7 3" xfId="25127" xr:uid="{00000000-0005-0000-0000-0000FD150000}"/>
    <cellStyle name="20% - Accent4 11 7 3 2" xfId="48959" xr:uid="{69B3B36C-0A43-423E-A5BC-63F2D1C6962C}"/>
    <cellStyle name="20% - Accent4 11 7 4" xfId="33082" xr:uid="{063298CE-8FC6-4C29-B26D-924544C42493}"/>
    <cellStyle name="20% - Accent4 11 8" xfId="10121" xr:uid="{00000000-0005-0000-0000-0000FE150000}"/>
    <cellStyle name="20% - Accent4 11 8 2" xfId="33970" xr:uid="{B22BF482-ECC3-4444-890B-7EC4FC668881}"/>
    <cellStyle name="20% - Accent4 11 9" xfId="18076" xr:uid="{00000000-0005-0000-0000-0000FF150000}"/>
    <cellStyle name="20% - Accent4 11 9 2" xfId="41908" xr:uid="{771DD72A-4A69-428D-B94D-63FED03EE4CD}"/>
    <cellStyle name="20% - Accent4 11_Exh G" xfId="2314" xr:uid="{00000000-0005-0000-0000-000000160000}"/>
    <cellStyle name="20% - Accent4 12" xfId="183" xr:uid="{00000000-0005-0000-0000-000001160000}"/>
    <cellStyle name="20% - Accent4 12 10" xfId="26032" xr:uid="{6CF9B369-A0DC-4D39-8240-A40D811BA7D2}"/>
    <cellStyle name="20% - Accent4 12 2" xfId="184" xr:uid="{00000000-0005-0000-0000-000002160000}"/>
    <cellStyle name="20% - Accent4 12 2 2" xfId="185" xr:uid="{00000000-0005-0000-0000-000003160000}"/>
    <cellStyle name="20% - Accent4 12 2 2 2" xfId="1211" xr:uid="{00000000-0005-0000-0000-000004160000}"/>
    <cellStyle name="20% - Accent4 12 2 2 2 2" xfId="4738" xr:uid="{00000000-0005-0000-0000-000005160000}"/>
    <cellStyle name="20% - Accent4 12 2 2 2 2 2" xfId="8329" xr:uid="{00000000-0005-0000-0000-000006160000}"/>
    <cellStyle name="20% - Accent4 12 2 2 2 2 2 2" xfId="16299" xr:uid="{00000000-0005-0000-0000-000007160000}"/>
    <cellStyle name="20% - Accent4 12 2 2 2 2 2 2 2" xfId="40141" xr:uid="{B4687F4C-827B-494E-A64D-1A827BADEFCE}"/>
    <cellStyle name="20% - Accent4 12 2 2 2 2 2 3" xfId="24245" xr:uid="{00000000-0005-0000-0000-000008160000}"/>
    <cellStyle name="20% - Accent4 12 2 2 2 2 2 3 2" xfId="48077" xr:uid="{85DCC25F-E9E8-41F1-A222-70D1F9CDC450}"/>
    <cellStyle name="20% - Accent4 12 2 2 2 2 2 4" xfId="32200" xr:uid="{48DE0789-4362-472F-970C-D04002C9358C}"/>
    <cellStyle name="20% - Accent4 12 2 2 2 2 3" xfId="12761" xr:uid="{00000000-0005-0000-0000-000009160000}"/>
    <cellStyle name="20% - Accent4 12 2 2 2 2 3 2" xfId="36610" xr:uid="{FF774A3F-F5F0-4432-872F-A9BCF8F6F92B}"/>
    <cellStyle name="20% - Accent4 12 2 2 2 2 4" xfId="20716" xr:uid="{00000000-0005-0000-0000-00000A160000}"/>
    <cellStyle name="20% - Accent4 12 2 2 2 2 4 2" xfId="44548" xr:uid="{2C401732-7D73-438D-9BCC-7E7A4AA48556}"/>
    <cellStyle name="20% - Accent4 12 2 2 2 2 5" xfId="28669" xr:uid="{3CA61447-7D31-4F87-AB9A-5BA80C4CEEE4}"/>
    <cellStyle name="20% - Accent4 12 2 2 2 3" xfId="6570" xr:uid="{00000000-0005-0000-0000-00000B160000}"/>
    <cellStyle name="20% - Accent4 12 2 2 2 3 2" xfId="14541" xr:uid="{00000000-0005-0000-0000-00000C160000}"/>
    <cellStyle name="20% - Accent4 12 2 2 2 3 2 2" xfId="38383" xr:uid="{63B2B3FD-4C6F-4B4F-B268-942616333834}"/>
    <cellStyle name="20% - Accent4 12 2 2 2 3 3" xfId="22488" xr:uid="{00000000-0005-0000-0000-00000D160000}"/>
    <cellStyle name="20% - Accent4 12 2 2 2 3 3 2" xfId="46320" xr:uid="{AFB0BF52-B507-4E5A-B01C-78318A30ED17}"/>
    <cellStyle name="20% - Accent4 12 2 2 2 3 4" xfId="30442" xr:uid="{B4AEC5AC-C58A-40CB-A4BC-5D61AA40828A}"/>
    <cellStyle name="20% - Accent4 12 2 2 2 4" xfId="11005" xr:uid="{00000000-0005-0000-0000-00000E160000}"/>
    <cellStyle name="20% - Accent4 12 2 2 2 4 2" xfId="34854" xr:uid="{CA393414-21BE-4FDA-9325-4032802D7C89}"/>
    <cellStyle name="20% - Accent4 12 2 2 2 5" xfId="18960" xr:uid="{00000000-0005-0000-0000-00000F160000}"/>
    <cellStyle name="20% - Accent4 12 2 2 2 5 2" xfId="42792" xr:uid="{B4BFB7E3-5FF5-4553-A4A0-2A19D28B32BB}"/>
    <cellStyle name="20% - Accent4 12 2 2 2 6" xfId="26912" xr:uid="{D28F58A1-CAC5-4230-A67A-628C505784BF}"/>
    <cellStyle name="20% - Accent4 12 2 2 2_Exh G" xfId="2325" xr:uid="{00000000-0005-0000-0000-000010160000}"/>
    <cellStyle name="20% - Accent4 12 2 2 3" xfId="3859" xr:uid="{00000000-0005-0000-0000-000011160000}"/>
    <cellStyle name="20% - Accent4 12 2 2 3 2" xfId="7451" xr:uid="{00000000-0005-0000-0000-000012160000}"/>
    <cellStyle name="20% - Accent4 12 2 2 3 2 2" xfId="15421" xr:uid="{00000000-0005-0000-0000-000013160000}"/>
    <cellStyle name="20% - Accent4 12 2 2 3 2 2 2" xfId="39263" xr:uid="{33196827-927C-4430-B571-4E4BC202DD2F}"/>
    <cellStyle name="20% - Accent4 12 2 2 3 2 3" xfId="23367" xr:uid="{00000000-0005-0000-0000-000014160000}"/>
    <cellStyle name="20% - Accent4 12 2 2 3 2 3 2" xfId="47199" xr:uid="{2C878BAC-0574-46FC-BAD6-7B6C7637C95C}"/>
    <cellStyle name="20% - Accent4 12 2 2 3 2 4" xfId="31322" xr:uid="{548D2F52-5DEF-4364-A7FC-DDE67C04DA98}"/>
    <cellStyle name="20% - Accent4 12 2 2 3 3" xfId="11883" xr:uid="{00000000-0005-0000-0000-000015160000}"/>
    <cellStyle name="20% - Accent4 12 2 2 3 3 2" xfId="35732" xr:uid="{9821DF50-50D9-4A33-BB33-9CFD09AA0D5E}"/>
    <cellStyle name="20% - Accent4 12 2 2 3 4" xfId="19838" xr:uid="{00000000-0005-0000-0000-000016160000}"/>
    <cellStyle name="20% - Accent4 12 2 2 3 4 2" xfId="43670" xr:uid="{AF9E34B7-89AA-495B-BC71-21C5C4033E81}"/>
    <cellStyle name="20% - Accent4 12 2 2 3 5" xfId="27791" xr:uid="{0804760C-BEDD-4707-ADBD-E3AC0D4C2D95}"/>
    <cellStyle name="20% - Accent4 12 2 2 4" xfId="5679" xr:uid="{00000000-0005-0000-0000-000017160000}"/>
    <cellStyle name="20% - Accent4 12 2 2 4 2" xfId="13662" xr:uid="{00000000-0005-0000-0000-000018160000}"/>
    <cellStyle name="20% - Accent4 12 2 2 4 2 2" xfId="37505" xr:uid="{EA39DBBD-7366-4222-93E4-C53431CEC142}"/>
    <cellStyle name="20% - Accent4 12 2 2 4 3" xfId="21610" xr:uid="{00000000-0005-0000-0000-000019160000}"/>
    <cellStyle name="20% - Accent4 12 2 2 4 3 2" xfId="45442" xr:uid="{2270718A-5DB1-4BB3-9871-EFD3743C4E4D}"/>
    <cellStyle name="20% - Accent4 12 2 2 4 4" xfId="29564" xr:uid="{1094387D-B8F1-4E2A-A2B2-C21CCB467F4D}"/>
    <cellStyle name="20% - Accent4 12 2 2 5" xfId="9231" xr:uid="{00000000-0005-0000-0000-00001A160000}"/>
    <cellStyle name="20% - Accent4 12 2 2 5 2" xfId="17189" xr:uid="{00000000-0005-0000-0000-00001B160000}"/>
    <cellStyle name="20% - Accent4 12 2 2 5 2 2" xfId="41029" xr:uid="{DFC49B45-4D09-48ED-A481-DDFE2925EA0C}"/>
    <cellStyle name="20% - Accent4 12 2 2 5 3" xfId="25133" xr:uid="{00000000-0005-0000-0000-00001C160000}"/>
    <cellStyle name="20% - Accent4 12 2 2 5 3 2" xfId="48965" xr:uid="{ADA11EF1-84A3-484E-BF12-0BA3AD08D069}"/>
    <cellStyle name="20% - Accent4 12 2 2 5 4" xfId="33088" xr:uid="{F54C9D6C-1FC2-4C1C-9969-EC6C95382B5E}"/>
    <cellStyle name="20% - Accent4 12 2 2 6" xfId="10127" xr:uid="{00000000-0005-0000-0000-00001D160000}"/>
    <cellStyle name="20% - Accent4 12 2 2 6 2" xfId="33976" xr:uid="{C5BBCFFE-7841-487A-A647-A3A615C6EF66}"/>
    <cellStyle name="20% - Accent4 12 2 2 7" xfId="18082" xr:uid="{00000000-0005-0000-0000-00001E160000}"/>
    <cellStyle name="20% - Accent4 12 2 2 7 2" xfId="41914" xr:uid="{B3CE8B93-4AA6-4F54-BC8A-90ED8CB03368}"/>
    <cellStyle name="20% - Accent4 12 2 2 8" xfId="26034" xr:uid="{9EAB7A8C-2ADA-490C-86B7-AF518CCE1ADA}"/>
    <cellStyle name="20% - Accent4 12 2 2_Exh G" xfId="2324" xr:uid="{00000000-0005-0000-0000-00001F160000}"/>
    <cellStyle name="20% - Accent4 12 2 3" xfId="1210" xr:uid="{00000000-0005-0000-0000-000020160000}"/>
    <cellStyle name="20% - Accent4 12 2 3 2" xfId="4737" xr:uid="{00000000-0005-0000-0000-000021160000}"/>
    <cellStyle name="20% - Accent4 12 2 3 2 2" xfId="8328" xr:uid="{00000000-0005-0000-0000-000022160000}"/>
    <cellStyle name="20% - Accent4 12 2 3 2 2 2" xfId="16298" xr:uid="{00000000-0005-0000-0000-000023160000}"/>
    <cellStyle name="20% - Accent4 12 2 3 2 2 2 2" xfId="40140" xr:uid="{3DFB20A8-DC3E-4997-AC31-E855F10ADFCE}"/>
    <cellStyle name="20% - Accent4 12 2 3 2 2 3" xfId="24244" xr:uid="{00000000-0005-0000-0000-000024160000}"/>
    <cellStyle name="20% - Accent4 12 2 3 2 2 3 2" xfId="48076" xr:uid="{DF116907-2E82-40E9-9D3B-080B5FE86B98}"/>
    <cellStyle name="20% - Accent4 12 2 3 2 2 4" xfId="32199" xr:uid="{6E385BA1-B135-4356-97C4-BEC990311311}"/>
    <cellStyle name="20% - Accent4 12 2 3 2 3" xfId="12760" xr:uid="{00000000-0005-0000-0000-000025160000}"/>
    <cellStyle name="20% - Accent4 12 2 3 2 3 2" xfId="36609" xr:uid="{B1FEF9EE-87CD-4333-AD4E-A21D0ED6675B}"/>
    <cellStyle name="20% - Accent4 12 2 3 2 4" xfId="20715" xr:uid="{00000000-0005-0000-0000-000026160000}"/>
    <cellStyle name="20% - Accent4 12 2 3 2 4 2" xfId="44547" xr:uid="{B0DA0BAB-B6E5-42DD-BCB4-576049BE992E}"/>
    <cellStyle name="20% - Accent4 12 2 3 2 5" xfId="28668" xr:uid="{4E14BD1E-9297-4768-AAE2-EEF06FDE441D}"/>
    <cellStyle name="20% - Accent4 12 2 3 3" xfId="6569" xr:uid="{00000000-0005-0000-0000-000027160000}"/>
    <cellStyle name="20% - Accent4 12 2 3 3 2" xfId="14540" xr:uid="{00000000-0005-0000-0000-000028160000}"/>
    <cellStyle name="20% - Accent4 12 2 3 3 2 2" xfId="38382" xr:uid="{ECC57FC2-056F-46DA-8899-C318981C6FEA}"/>
    <cellStyle name="20% - Accent4 12 2 3 3 3" xfId="22487" xr:uid="{00000000-0005-0000-0000-000029160000}"/>
    <cellStyle name="20% - Accent4 12 2 3 3 3 2" xfId="46319" xr:uid="{4710358D-B554-435F-BB54-AA84420697C7}"/>
    <cellStyle name="20% - Accent4 12 2 3 3 4" xfId="30441" xr:uid="{0EE95819-EC54-4B5E-98A7-E8D3DF96B6E9}"/>
    <cellStyle name="20% - Accent4 12 2 3 4" xfId="11004" xr:uid="{00000000-0005-0000-0000-00002A160000}"/>
    <cellStyle name="20% - Accent4 12 2 3 4 2" xfId="34853" xr:uid="{94F6A2C6-5AB1-4AA5-80BF-42C6604CFC90}"/>
    <cellStyle name="20% - Accent4 12 2 3 5" xfId="18959" xr:uid="{00000000-0005-0000-0000-00002B160000}"/>
    <cellStyle name="20% - Accent4 12 2 3 5 2" xfId="42791" xr:uid="{FAD97375-234B-4B26-884A-CC227FF847C1}"/>
    <cellStyle name="20% - Accent4 12 2 3 6" xfId="26911" xr:uid="{C0BAE6C6-A157-4414-8C46-6BF26C67ECDA}"/>
    <cellStyle name="20% - Accent4 12 2 3_Exh G" xfId="2326" xr:uid="{00000000-0005-0000-0000-00002C160000}"/>
    <cellStyle name="20% - Accent4 12 2 4" xfId="3858" xr:uid="{00000000-0005-0000-0000-00002D160000}"/>
    <cellStyle name="20% - Accent4 12 2 4 2" xfId="7450" xr:uid="{00000000-0005-0000-0000-00002E160000}"/>
    <cellStyle name="20% - Accent4 12 2 4 2 2" xfId="15420" xr:uid="{00000000-0005-0000-0000-00002F160000}"/>
    <cellStyle name="20% - Accent4 12 2 4 2 2 2" xfId="39262" xr:uid="{A11B3628-D79A-4D88-A3D1-2B315F6CF3B3}"/>
    <cellStyle name="20% - Accent4 12 2 4 2 3" xfId="23366" xr:uid="{00000000-0005-0000-0000-000030160000}"/>
    <cellStyle name="20% - Accent4 12 2 4 2 3 2" xfId="47198" xr:uid="{6BADF46B-BAAD-41DF-BA8D-D0EA4CBDBE30}"/>
    <cellStyle name="20% - Accent4 12 2 4 2 4" xfId="31321" xr:uid="{8C6FBD2F-90B5-4164-98B4-DE2E502FC86F}"/>
    <cellStyle name="20% - Accent4 12 2 4 3" xfId="11882" xr:uid="{00000000-0005-0000-0000-000031160000}"/>
    <cellStyle name="20% - Accent4 12 2 4 3 2" xfId="35731" xr:uid="{918B7B0B-D0E8-42CF-BBFC-042498FDDA0C}"/>
    <cellStyle name="20% - Accent4 12 2 4 4" xfId="19837" xr:uid="{00000000-0005-0000-0000-000032160000}"/>
    <cellStyle name="20% - Accent4 12 2 4 4 2" xfId="43669" xr:uid="{3EFEE22A-1123-46A3-84DB-EC4627565886}"/>
    <cellStyle name="20% - Accent4 12 2 4 5" xfId="27790" xr:uid="{51CE409C-A06B-4F59-8838-6E3091E21B85}"/>
    <cellStyle name="20% - Accent4 12 2 5" xfId="5678" xr:uid="{00000000-0005-0000-0000-000033160000}"/>
    <cellStyle name="20% - Accent4 12 2 5 2" xfId="13661" xr:uid="{00000000-0005-0000-0000-000034160000}"/>
    <cellStyle name="20% - Accent4 12 2 5 2 2" xfId="37504" xr:uid="{2E0AE052-505B-4C03-9338-F17A88A9756A}"/>
    <cellStyle name="20% - Accent4 12 2 5 3" xfId="21609" xr:uid="{00000000-0005-0000-0000-000035160000}"/>
    <cellStyle name="20% - Accent4 12 2 5 3 2" xfId="45441" xr:uid="{7AA24F0F-D850-4EBC-B426-9E52E9DDE38C}"/>
    <cellStyle name="20% - Accent4 12 2 5 4" xfId="29563" xr:uid="{BC16B37B-4185-4D9B-BBA7-6D9800F51F3E}"/>
    <cellStyle name="20% - Accent4 12 2 6" xfId="9230" xr:uid="{00000000-0005-0000-0000-000036160000}"/>
    <cellStyle name="20% - Accent4 12 2 6 2" xfId="17188" xr:uid="{00000000-0005-0000-0000-000037160000}"/>
    <cellStyle name="20% - Accent4 12 2 6 2 2" xfId="41028" xr:uid="{FD3D546A-B85D-4766-AF90-3511A8F59FAC}"/>
    <cellStyle name="20% - Accent4 12 2 6 3" xfId="25132" xr:uid="{00000000-0005-0000-0000-000038160000}"/>
    <cellStyle name="20% - Accent4 12 2 6 3 2" xfId="48964" xr:uid="{F1EBBB8C-A1D1-4959-BFAC-E3F10B782B6E}"/>
    <cellStyle name="20% - Accent4 12 2 6 4" xfId="33087" xr:uid="{CCF29C7C-44F2-4B25-8CA1-4D6349ADC44F}"/>
    <cellStyle name="20% - Accent4 12 2 7" xfId="10126" xr:uid="{00000000-0005-0000-0000-000039160000}"/>
    <cellStyle name="20% - Accent4 12 2 7 2" xfId="33975" xr:uid="{AC43B768-2689-45EE-B2EA-6BF664411DD5}"/>
    <cellStyle name="20% - Accent4 12 2 8" xfId="18081" xr:uid="{00000000-0005-0000-0000-00003A160000}"/>
    <cellStyle name="20% - Accent4 12 2 8 2" xfId="41913" xr:uid="{67645EAE-B615-4E32-ACFD-DA15F4E6CE48}"/>
    <cellStyle name="20% - Accent4 12 2 9" xfId="26033" xr:uid="{810BA896-AE9C-4AA2-8744-CAEA6D45E4CD}"/>
    <cellStyle name="20% - Accent4 12 2_Exh G" xfId="2323" xr:uid="{00000000-0005-0000-0000-00003B160000}"/>
    <cellStyle name="20% - Accent4 12 3" xfId="186" xr:uid="{00000000-0005-0000-0000-00003C160000}"/>
    <cellStyle name="20% - Accent4 12 3 2" xfId="1212" xr:uid="{00000000-0005-0000-0000-00003D160000}"/>
    <cellStyle name="20% - Accent4 12 3 2 2" xfId="4739" xr:uid="{00000000-0005-0000-0000-00003E160000}"/>
    <cellStyle name="20% - Accent4 12 3 2 2 2" xfId="8330" xr:uid="{00000000-0005-0000-0000-00003F160000}"/>
    <cellStyle name="20% - Accent4 12 3 2 2 2 2" xfId="16300" xr:uid="{00000000-0005-0000-0000-000040160000}"/>
    <cellStyle name="20% - Accent4 12 3 2 2 2 2 2" xfId="40142" xr:uid="{7C13217E-7768-4471-B807-2AE0B296B37A}"/>
    <cellStyle name="20% - Accent4 12 3 2 2 2 3" xfId="24246" xr:uid="{00000000-0005-0000-0000-000041160000}"/>
    <cellStyle name="20% - Accent4 12 3 2 2 2 3 2" xfId="48078" xr:uid="{01D2C9AE-C03F-4FA6-84FF-7331DF7EDDCF}"/>
    <cellStyle name="20% - Accent4 12 3 2 2 2 4" xfId="32201" xr:uid="{C77EC8E7-50D0-46AC-9104-4859EF505F41}"/>
    <cellStyle name="20% - Accent4 12 3 2 2 3" xfId="12762" xr:uid="{00000000-0005-0000-0000-000042160000}"/>
    <cellStyle name="20% - Accent4 12 3 2 2 3 2" xfId="36611" xr:uid="{801A5FC0-7538-473D-AEFB-89AC5090B8AB}"/>
    <cellStyle name="20% - Accent4 12 3 2 2 4" xfId="20717" xr:uid="{00000000-0005-0000-0000-000043160000}"/>
    <cellStyle name="20% - Accent4 12 3 2 2 4 2" xfId="44549" xr:uid="{45909E42-B398-4CC3-9BDA-61B2C5B81D1C}"/>
    <cellStyle name="20% - Accent4 12 3 2 2 5" xfId="28670" xr:uid="{9014D20B-6CD7-45A2-B8D0-0FA638B89061}"/>
    <cellStyle name="20% - Accent4 12 3 2 3" xfId="6571" xr:uid="{00000000-0005-0000-0000-000044160000}"/>
    <cellStyle name="20% - Accent4 12 3 2 3 2" xfId="14542" xr:uid="{00000000-0005-0000-0000-000045160000}"/>
    <cellStyle name="20% - Accent4 12 3 2 3 2 2" xfId="38384" xr:uid="{E0512257-90F0-4E0F-8995-9AC5214C8D1B}"/>
    <cellStyle name="20% - Accent4 12 3 2 3 3" xfId="22489" xr:uid="{00000000-0005-0000-0000-000046160000}"/>
    <cellStyle name="20% - Accent4 12 3 2 3 3 2" xfId="46321" xr:uid="{250F8098-E0F5-40F9-BB0F-54D1D3120A25}"/>
    <cellStyle name="20% - Accent4 12 3 2 3 4" xfId="30443" xr:uid="{08305654-87E4-48AB-B609-CF23DCAEBC43}"/>
    <cellStyle name="20% - Accent4 12 3 2 4" xfId="11006" xr:uid="{00000000-0005-0000-0000-000047160000}"/>
    <cellStyle name="20% - Accent4 12 3 2 4 2" xfId="34855" xr:uid="{0C0BD62C-F074-46F2-B1BE-7AB8150706A7}"/>
    <cellStyle name="20% - Accent4 12 3 2 5" xfId="18961" xr:uid="{00000000-0005-0000-0000-000048160000}"/>
    <cellStyle name="20% - Accent4 12 3 2 5 2" xfId="42793" xr:uid="{5D6F59D5-6437-474C-BBA8-02E8388A3037}"/>
    <cellStyle name="20% - Accent4 12 3 2 6" xfId="26913" xr:uid="{D7EF6FED-7F42-4392-8584-DDF360AE38A0}"/>
    <cellStyle name="20% - Accent4 12 3 2_Exh G" xfId="2328" xr:uid="{00000000-0005-0000-0000-000049160000}"/>
    <cellStyle name="20% - Accent4 12 3 3" xfId="3860" xr:uid="{00000000-0005-0000-0000-00004A160000}"/>
    <cellStyle name="20% - Accent4 12 3 3 2" xfId="7452" xr:uid="{00000000-0005-0000-0000-00004B160000}"/>
    <cellStyle name="20% - Accent4 12 3 3 2 2" xfId="15422" xr:uid="{00000000-0005-0000-0000-00004C160000}"/>
    <cellStyle name="20% - Accent4 12 3 3 2 2 2" xfId="39264" xr:uid="{AEE72240-C820-4473-89FF-532D355813A6}"/>
    <cellStyle name="20% - Accent4 12 3 3 2 3" xfId="23368" xr:uid="{00000000-0005-0000-0000-00004D160000}"/>
    <cellStyle name="20% - Accent4 12 3 3 2 3 2" xfId="47200" xr:uid="{1D2D67F2-22F8-47C0-9DEB-C6B6FB0F2763}"/>
    <cellStyle name="20% - Accent4 12 3 3 2 4" xfId="31323" xr:uid="{18CA2048-8CEA-4DFD-8676-9AA6E1A0BD2A}"/>
    <cellStyle name="20% - Accent4 12 3 3 3" xfId="11884" xr:uid="{00000000-0005-0000-0000-00004E160000}"/>
    <cellStyle name="20% - Accent4 12 3 3 3 2" xfId="35733" xr:uid="{0A107440-AF17-494D-9C24-B82487B02001}"/>
    <cellStyle name="20% - Accent4 12 3 3 4" xfId="19839" xr:uid="{00000000-0005-0000-0000-00004F160000}"/>
    <cellStyle name="20% - Accent4 12 3 3 4 2" xfId="43671" xr:uid="{8D3638BA-7C0C-4BE6-B6E4-DE7D34AD5ACB}"/>
    <cellStyle name="20% - Accent4 12 3 3 5" xfId="27792" xr:uid="{B752CB4A-FB73-4A57-AFCC-B2762DB52DDA}"/>
    <cellStyle name="20% - Accent4 12 3 4" xfId="5680" xr:uid="{00000000-0005-0000-0000-000050160000}"/>
    <cellStyle name="20% - Accent4 12 3 4 2" xfId="13663" xr:uid="{00000000-0005-0000-0000-000051160000}"/>
    <cellStyle name="20% - Accent4 12 3 4 2 2" xfId="37506" xr:uid="{4C4762D3-5FFD-471F-84AE-97918CDD42F5}"/>
    <cellStyle name="20% - Accent4 12 3 4 3" xfId="21611" xr:uid="{00000000-0005-0000-0000-000052160000}"/>
    <cellStyle name="20% - Accent4 12 3 4 3 2" xfId="45443" xr:uid="{DF444F12-ECD3-480B-AD68-078C9889CEA7}"/>
    <cellStyle name="20% - Accent4 12 3 4 4" xfId="29565" xr:uid="{C7227B8A-6B42-4139-910E-C3A5C8DD3447}"/>
    <cellStyle name="20% - Accent4 12 3 5" xfId="9232" xr:uid="{00000000-0005-0000-0000-000053160000}"/>
    <cellStyle name="20% - Accent4 12 3 5 2" xfId="17190" xr:uid="{00000000-0005-0000-0000-000054160000}"/>
    <cellStyle name="20% - Accent4 12 3 5 2 2" xfId="41030" xr:uid="{37E58E72-77B5-47E3-978D-0C9F39B55748}"/>
    <cellStyle name="20% - Accent4 12 3 5 3" xfId="25134" xr:uid="{00000000-0005-0000-0000-000055160000}"/>
    <cellStyle name="20% - Accent4 12 3 5 3 2" xfId="48966" xr:uid="{9B422FBD-10B4-4970-88BD-B6106D1E4CC9}"/>
    <cellStyle name="20% - Accent4 12 3 5 4" xfId="33089" xr:uid="{BF4892AE-B876-454D-A651-ABC7060F26BC}"/>
    <cellStyle name="20% - Accent4 12 3 6" xfId="10128" xr:uid="{00000000-0005-0000-0000-000056160000}"/>
    <cellStyle name="20% - Accent4 12 3 6 2" xfId="33977" xr:uid="{6319D469-3022-4DC5-A449-2F52BE44D15B}"/>
    <cellStyle name="20% - Accent4 12 3 7" xfId="18083" xr:uid="{00000000-0005-0000-0000-000057160000}"/>
    <cellStyle name="20% - Accent4 12 3 7 2" xfId="41915" xr:uid="{D56BEDF7-2E85-4E47-9432-10ABFD887027}"/>
    <cellStyle name="20% - Accent4 12 3 8" xfId="26035" xr:uid="{50EC9E41-1503-4680-B762-248BA242EF28}"/>
    <cellStyle name="20% - Accent4 12 3_Exh G" xfId="2327" xr:uid="{00000000-0005-0000-0000-000058160000}"/>
    <cellStyle name="20% - Accent4 12 4" xfId="1209" xr:uid="{00000000-0005-0000-0000-000059160000}"/>
    <cellStyle name="20% - Accent4 12 4 2" xfId="4736" xr:uid="{00000000-0005-0000-0000-00005A160000}"/>
    <cellStyle name="20% - Accent4 12 4 2 2" xfId="8327" xr:uid="{00000000-0005-0000-0000-00005B160000}"/>
    <cellStyle name="20% - Accent4 12 4 2 2 2" xfId="16297" xr:uid="{00000000-0005-0000-0000-00005C160000}"/>
    <cellStyle name="20% - Accent4 12 4 2 2 2 2" xfId="40139" xr:uid="{FB3CA43B-E3AA-4622-828A-71E821D02732}"/>
    <cellStyle name="20% - Accent4 12 4 2 2 3" xfId="24243" xr:uid="{00000000-0005-0000-0000-00005D160000}"/>
    <cellStyle name="20% - Accent4 12 4 2 2 3 2" xfId="48075" xr:uid="{2808A028-AC6A-4F5F-A528-F22B1CF4C6E2}"/>
    <cellStyle name="20% - Accent4 12 4 2 2 4" xfId="32198" xr:uid="{92F1B3C4-F7F7-4A3D-8856-72E40CFDDE02}"/>
    <cellStyle name="20% - Accent4 12 4 2 3" xfId="12759" xr:uid="{00000000-0005-0000-0000-00005E160000}"/>
    <cellStyle name="20% - Accent4 12 4 2 3 2" xfId="36608" xr:uid="{3768BB8F-D4FB-4749-9269-D8C2780C8718}"/>
    <cellStyle name="20% - Accent4 12 4 2 4" xfId="20714" xr:uid="{00000000-0005-0000-0000-00005F160000}"/>
    <cellStyle name="20% - Accent4 12 4 2 4 2" xfId="44546" xr:uid="{7BE0F957-6567-490B-89DE-545C30E3CC3E}"/>
    <cellStyle name="20% - Accent4 12 4 2 5" xfId="28667" xr:uid="{BCA0D2E8-58E0-4E04-9E82-B7EAEB6595F9}"/>
    <cellStyle name="20% - Accent4 12 4 3" xfId="6568" xr:uid="{00000000-0005-0000-0000-000060160000}"/>
    <cellStyle name="20% - Accent4 12 4 3 2" xfId="14539" xr:uid="{00000000-0005-0000-0000-000061160000}"/>
    <cellStyle name="20% - Accent4 12 4 3 2 2" xfId="38381" xr:uid="{8B8BB47E-B409-4317-98A6-5CBFFF2676CA}"/>
    <cellStyle name="20% - Accent4 12 4 3 3" xfId="22486" xr:uid="{00000000-0005-0000-0000-000062160000}"/>
    <cellStyle name="20% - Accent4 12 4 3 3 2" xfId="46318" xr:uid="{99A45C95-B149-4C19-8592-9993A0F95C5D}"/>
    <cellStyle name="20% - Accent4 12 4 3 4" xfId="30440" xr:uid="{2345F73D-86FA-471D-9BD8-D29BEC5A3801}"/>
    <cellStyle name="20% - Accent4 12 4 4" xfId="11003" xr:uid="{00000000-0005-0000-0000-000063160000}"/>
    <cellStyle name="20% - Accent4 12 4 4 2" xfId="34852" xr:uid="{895E5F28-5822-4C72-878F-C9F9B3C3F776}"/>
    <cellStyle name="20% - Accent4 12 4 5" xfId="18958" xr:uid="{00000000-0005-0000-0000-000064160000}"/>
    <cellStyle name="20% - Accent4 12 4 5 2" xfId="42790" xr:uid="{33B25F61-224D-44FF-BBDA-BDF1EEDAF02A}"/>
    <cellStyle name="20% - Accent4 12 4 6" xfId="26910" xr:uid="{4845F2E3-575E-497C-9014-ACDEF4F8251F}"/>
    <cellStyle name="20% - Accent4 12 4_Exh G" xfId="2329" xr:uid="{00000000-0005-0000-0000-000065160000}"/>
    <cellStyle name="20% - Accent4 12 5" xfId="3857" xr:uid="{00000000-0005-0000-0000-000066160000}"/>
    <cellStyle name="20% - Accent4 12 5 2" xfId="7449" xr:uid="{00000000-0005-0000-0000-000067160000}"/>
    <cellStyle name="20% - Accent4 12 5 2 2" xfId="15419" xr:uid="{00000000-0005-0000-0000-000068160000}"/>
    <cellStyle name="20% - Accent4 12 5 2 2 2" xfId="39261" xr:uid="{B9237904-DDF7-4531-8808-578AC898F258}"/>
    <cellStyle name="20% - Accent4 12 5 2 3" xfId="23365" xr:uid="{00000000-0005-0000-0000-000069160000}"/>
    <cellStyle name="20% - Accent4 12 5 2 3 2" xfId="47197" xr:uid="{AE2348D7-F613-4436-9A77-2094E53A3598}"/>
    <cellStyle name="20% - Accent4 12 5 2 4" xfId="31320" xr:uid="{E8AE57A0-DB30-406A-BFAD-D542F5852DD9}"/>
    <cellStyle name="20% - Accent4 12 5 3" xfId="11881" xr:uid="{00000000-0005-0000-0000-00006A160000}"/>
    <cellStyle name="20% - Accent4 12 5 3 2" xfId="35730" xr:uid="{39630328-C66F-44E1-8806-01AB66484C27}"/>
    <cellStyle name="20% - Accent4 12 5 4" xfId="19836" xr:uid="{00000000-0005-0000-0000-00006B160000}"/>
    <cellStyle name="20% - Accent4 12 5 4 2" xfId="43668" xr:uid="{ED507C33-DDE7-44FD-A20A-0BE7031E778F}"/>
    <cellStyle name="20% - Accent4 12 5 5" xfId="27789" xr:uid="{90651E93-AC7D-4879-B0B0-E6DFA7F3575B}"/>
    <cellStyle name="20% - Accent4 12 6" xfId="5677" xr:uid="{00000000-0005-0000-0000-00006C160000}"/>
    <cellStyle name="20% - Accent4 12 6 2" xfId="13660" xr:uid="{00000000-0005-0000-0000-00006D160000}"/>
    <cellStyle name="20% - Accent4 12 6 2 2" xfId="37503" xr:uid="{524392F8-9FF7-499C-9CF6-C6240402CA80}"/>
    <cellStyle name="20% - Accent4 12 6 3" xfId="21608" xr:uid="{00000000-0005-0000-0000-00006E160000}"/>
    <cellStyle name="20% - Accent4 12 6 3 2" xfId="45440" xr:uid="{A577D628-D9E7-4105-BED8-CC07CBE2BE99}"/>
    <cellStyle name="20% - Accent4 12 6 4" xfId="29562" xr:uid="{0CF89D1A-94BA-4405-AD12-2195D356D0EE}"/>
    <cellStyle name="20% - Accent4 12 7" xfId="9229" xr:uid="{00000000-0005-0000-0000-00006F160000}"/>
    <cellStyle name="20% - Accent4 12 7 2" xfId="17187" xr:uid="{00000000-0005-0000-0000-000070160000}"/>
    <cellStyle name="20% - Accent4 12 7 2 2" xfId="41027" xr:uid="{24F6F55A-77FE-4B14-BB03-250EAA3EF1DC}"/>
    <cellStyle name="20% - Accent4 12 7 3" xfId="25131" xr:uid="{00000000-0005-0000-0000-000071160000}"/>
    <cellStyle name="20% - Accent4 12 7 3 2" xfId="48963" xr:uid="{B1E16701-4202-4BE8-8E47-45512DB237CA}"/>
    <cellStyle name="20% - Accent4 12 7 4" xfId="33086" xr:uid="{8C25E8D8-D9AE-4CC5-9BD7-488619B0779B}"/>
    <cellStyle name="20% - Accent4 12 8" xfId="10125" xr:uid="{00000000-0005-0000-0000-000072160000}"/>
    <cellStyle name="20% - Accent4 12 8 2" xfId="33974" xr:uid="{B5D4C626-70BA-4D25-9632-6F225F5B6B9A}"/>
    <cellStyle name="20% - Accent4 12 9" xfId="18080" xr:uid="{00000000-0005-0000-0000-000073160000}"/>
    <cellStyle name="20% - Accent4 12 9 2" xfId="41912" xr:uid="{1524F188-B1C7-4A71-8D63-41CEF65E045D}"/>
    <cellStyle name="20% - Accent4 12_Exh G" xfId="2322" xr:uid="{00000000-0005-0000-0000-000074160000}"/>
    <cellStyle name="20% - Accent4 13" xfId="187" xr:uid="{00000000-0005-0000-0000-000075160000}"/>
    <cellStyle name="20% - Accent4 13 10" xfId="26036" xr:uid="{D4291A3F-414A-46E7-B053-504E8B60AC0D}"/>
    <cellStyle name="20% - Accent4 13 2" xfId="188" xr:uid="{00000000-0005-0000-0000-000076160000}"/>
    <cellStyle name="20% - Accent4 13 2 2" xfId="189" xr:uid="{00000000-0005-0000-0000-000077160000}"/>
    <cellStyle name="20% - Accent4 13 2 2 2" xfId="1215" xr:uid="{00000000-0005-0000-0000-000078160000}"/>
    <cellStyle name="20% - Accent4 13 2 2 2 2" xfId="4742" xr:uid="{00000000-0005-0000-0000-000079160000}"/>
    <cellStyle name="20% - Accent4 13 2 2 2 2 2" xfId="8333" xr:uid="{00000000-0005-0000-0000-00007A160000}"/>
    <cellStyle name="20% - Accent4 13 2 2 2 2 2 2" xfId="16303" xr:uid="{00000000-0005-0000-0000-00007B160000}"/>
    <cellStyle name="20% - Accent4 13 2 2 2 2 2 2 2" xfId="40145" xr:uid="{93BC912A-5323-4100-BA59-7D7052A62878}"/>
    <cellStyle name="20% - Accent4 13 2 2 2 2 2 3" xfId="24249" xr:uid="{00000000-0005-0000-0000-00007C160000}"/>
    <cellStyle name="20% - Accent4 13 2 2 2 2 2 3 2" xfId="48081" xr:uid="{6E39FB3C-3E67-4902-9DB7-94CD50D1FF3A}"/>
    <cellStyle name="20% - Accent4 13 2 2 2 2 2 4" xfId="32204" xr:uid="{595AA259-EFA7-4F80-9D74-BBB70D15AFB6}"/>
    <cellStyle name="20% - Accent4 13 2 2 2 2 3" xfId="12765" xr:uid="{00000000-0005-0000-0000-00007D160000}"/>
    <cellStyle name="20% - Accent4 13 2 2 2 2 3 2" xfId="36614" xr:uid="{5AB80783-BC78-41DD-BA24-D738077A69BA}"/>
    <cellStyle name="20% - Accent4 13 2 2 2 2 4" xfId="20720" xr:uid="{00000000-0005-0000-0000-00007E160000}"/>
    <cellStyle name="20% - Accent4 13 2 2 2 2 4 2" xfId="44552" xr:uid="{638998BE-BC2C-4F75-B01E-3F851AD8658C}"/>
    <cellStyle name="20% - Accent4 13 2 2 2 2 5" xfId="28673" xr:uid="{FC0076F4-7519-4138-A819-BB0F04712745}"/>
    <cellStyle name="20% - Accent4 13 2 2 2 3" xfId="6574" xr:uid="{00000000-0005-0000-0000-00007F160000}"/>
    <cellStyle name="20% - Accent4 13 2 2 2 3 2" xfId="14545" xr:uid="{00000000-0005-0000-0000-000080160000}"/>
    <cellStyle name="20% - Accent4 13 2 2 2 3 2 2" xfId="38387" xr:uid="{A1596840-FD52-493B-A9CE-212301011CFE}"/>
    <cellStyle name="20% - Accent4 13 2 2 2 3 3" xfId="22492" xr:uid="{00000000-0005-0000-0000-000081160000}"/>
    <cellStyle name="20% - Accent4 13 2 2 2 3 3 2" xfId="46324" xr:uid="{EFE1EB5C-CD55-4660-B096-4737AC67D455}"/>
    <cellStyle name="20% - Accent4 13 2 2 2 3 4" xfId="30446" xr:uid="{58FEEFC6-A2AD-4D4D-BD6B-3EA89F808618}"/>
    <cellStyle name="20% - Accent4 13 2 2 2 4" xfId="11009" xr:uid="{00000000-0005-0000-0000-000082160000}"/>
    <cellStyle name="20% - Accent4 13 2 2 2 4 2" xfId="34858" xr:uid="{438C4B3F-6418-42F7-B2D3-4EB08141E8A0}"/>
    <cellStyle name="20% - Accent4 13 2 2 2 5" xfId="18964" xr:uid="{00000000-0005-0000-0000-000083160000}"/>
    <cellStyle name="20% - Accent4 13 2 2 2 5 2" xfId="42796" xr:uid="{D74EC25B-979F-4E1F-9221-E14E4B78B49E}"/>
    <cellStyle name="20% - Accent4 13 2 2 2 6" xfId="26916" xr:uid="{B3085CAC-0825-4DAA-91C2-009D12CB5D30}"/>
    <cellStyle name="20% - Accent4 13 2 2 2_Exh G" xfId="2333" xr:uid="{00000000-0005-0000-0000-000084160000}"/>
    <cellStyle name="20% - Accent4 13 2 2 3" xfId="3863" xr:uid="{00000000-0005-0000-0000-000085160000}"/>
    <cellStyle name="20% - Accent4 13 2 2 3 2" xfId="7455" xr:uid="{00000000-0005-0000-0000-000086160000}"/>
    <cellStyle name="20% - Accent4 13 2 2 3 2 2" xfId="15425" xr:uid="{00000000-0005-0000-0000-000087160000}"/>
    <cellStyle name="20% - Accent4 13 2 2 3 2 2 2" xfId="39267" xr:uid="{219C8540-BD4B-4595-9364-D565034AE3EA}"/>
    <cellStyle name="20% - Accent4 13 2 2 3 2 3" xfId="23371" xr:uid="{00000000-0005-0000-0000-000088160000}"/>
    <cellStyle name="20% - Accent4 13 2 2 3 2 3 2" xfId="47203" xr:uid="{38C36C08-F9FD-46B8-BFAB-A6141AD559A3}"/>
    <cellStyle name="20% - Accent4 13 2 2 3 2 4" xfId="31326" xr:uid="{A7AECAA7-5FCF-4874-B638-D84C4DC8902E}"/>
    <cellStyle name="20% - Accent4 13 2 2 3 3" xfId="11887" xr:uid="{00000000-0005-0000-0000-000089160000}"/>
    <cellStyle name="20% - Accent4 13 2 2 3 3 2" xfId="35736" xr:uid="{E3AA8188-4F1A-4624-934C-741D36430526}"/>
    <cellStyle name="20% - Accent4 13 2 2 3 4" xfId="19842" xr:uid="{00000000-0005-0000-0000-00008A160000}"/>
    <cellStyle name="20% - Accent4 13 2 2 3 4 2" xfId="43674" xr:uid="{9311AF6A-6174-4B8F-A4E4-242DCBF182AB}"/>
    <cellStyle name="20% - Accent4 13 2 2 3 5" xfId="27795" xr:uid="{6DB9AF1B-CB93-4295-AA0C-CC754E71CED6}"/>
    <cellStyle name="20% - Accent4 13 2 2 4" xfId="5683" xr:uid="{00000000-0005-0000-0000-00008B160000}"/>
    <cellStyle name="20% - Accent4 13 2 2 4 2" xfId="13666" xr:uid="{00000000-0005-0000-0000-00008C160000}"/>
    <cellStyle name="20% - Accent4 13 2 2 4 2 2" xfId="37509" xr:uid="{E330ACED-BD08-4789-8859-1C47B9ABBB11}"/>
    <cellStyle name="20% - Accent4 13 2 2 4 3" xfId="21614" xr:uid="{00000000-0005-0000-0000-00008D160000}"/>
    <cellStyle name="20% - Accent4 13 2 2 4 3 2" xfId="45446" xr:uid="{53F7D085-935C-423F-B899-90E5F21C45BD}"/>
    <cellStyle name="20% - Accent4 13 2 2 4 4" xfId="29568" xr:uid="{B4FA69E8-199E-43B6-8A24-41D006A4B279}"/>
    <cellStyle name="20% - Accent4 13 2 2 5" xfId="9235" xr:uid="{00000000-0005-0000-0000-00008E160000}"/>
    <cellStyle name="20% - Accent4 13 2 2 5 2" xfId="17193" xr:uid="{00000000-0005-0000-0000-00008F160000}"/>
    <cellStyle name="20% - Accent4 13 2 2 5 2 2" xfId="41033" xr:uid="{419DDD08-8159-4E03-9E14-8F83BC69239A}"/>
    <cellStyle name="20% - Accent4 13 2 2 5 3" xfId="25137" xr:uid="{00000000-0005-0000-0000-000090160000}"/>
    <cellStyle name="20% - Accent4 13 2 2 5 3 2" xfId="48969" xr:uid="{1E5D8B98-BB2C-4C55-BF6A-5E32E4E2E0B6}"/>
    <cellStyle name="20% - Accent4 13 2 2 5 4" xfId="33092" xr:uid="{B3886C09-7161-4084-9A37-7F6797289940}"/>
    <cellStyle name="20% - Accent4 13 2 2 6" xfId="10131" xr:uid="{00000000-0005-0000-0000-000091160000}"/>
    <cellStyle name="20% - Accent4 13 2 2 6 2" xfId="33980" xr:uid="{6524EAD6-7AA4-413C-A514-9D67E917A4D1}"/>
    <cellStyle name="20% - Accent4 13 2 2 7" xfId="18086" xr:uid="{00000000-0005-0000-0000-000092160000}"/>
    <cellStyle name="20% - Accent4 13 2 2 7 2" xfId="41918" xr:uid="{ABA138B7-F3FB-4A6A-AACA-C3A1F9ED1218}"/>
    <cellStyle name="20% - Accent4 13 2 2 8" xfId="26038" xr:uid="{D6416472-E482-47D6-8571-67237B387BA8}"/>
    <cellStyle name="20% - Accent4 13 2 2_Exh G" xfId="2332" xr:uid="{00000000-0005-0000-0000-000093160000}"/>
    <cellStyle name="20% - Accent4 13 2 3" xfId="1214" xr:uid="{00000000-0005-0000-0000-000094160000}"/>
    <cellStyle name="20% - Accent4 13 2 3 2" xfId="4741" xr:uid="{00000000-0005-0000-0000-000095160000}"/>
    <cellStyle name="20% - Accent4 13 2 3 2 2" xfId="8332" xr:uid="{00000000-0005-0000-0000-000096160000}"/>
    <cellStyle name="20% - Accent4 13 2 3 2 2 2" xfId="16302" xr:uid="{00000000-0005-0000-0000-000097160000}"/>
    <cellStyle name="20% - Accent4 13 2 3 2 2 2 2" xfId="40144" xr:uid="{D36C803C-5522-4A84-9D74-A4B21CB75BCF}"/>
    <cellStyle name="20% - Accent4 13 2 3 2 2 3" xfId="24248" xr:uid="{00000000-0005-0000-0000-000098160000}"/>
    <cellStyle name="20% - Accent4 13 2 3 2 2 3 2" xfId="48080" xr:uid="{51F5E3C6-F2FE-49E0-8824-98E7363175E6}"/>
    <cellStyle name="20% - Accent4 13 2 3 2 2 4" xfId="32203" xr:uid="{09F1CFF7-9FE9-4BBE-AA6A-37425424E15F}"/>
    <cellStyle name="20% - Accent4 13 2 3 2 3" xfId="12764" xr:uid="{00000000-0005-0000-0000-000099160000}"/>
    <cellStyle name="20% - Accent4 13 2 3 2 3 2" xfId="36613" xr:uid="{9139D4DF-B399-40CF-BE19-CA88B50706C5}"/>
    <cellStyle name="20% - Accent4 13 2 3 2 4" xfId="20719" xr:uid="{00000000-0005-0000-0000-00009A160000}"/>
    <cellStyle name="20% - Accent4 13 2 3 2 4 2" xfId="44551" xr:uid="{491AC1F5-A324-4023-9709-2643FBCAAFEE}"/>
    <cellStyle name="20% - Accent4 13 2 3 2 5" xfId="28672" xr:uid="{3D5C4BC0-92BA-4C28-AFA9-ED7436C36DF0}"/>
    <cellStyle name="20% - Accent4 13 2 3 3" xfId="6573" xr:uid="{00000000-0005-0000-0000-00009B160000}"/>
    <cellStyle name="20% - Accent4 13 2 3 3 2" xfId="14544" xr:uid="{00000000-0005-0000-0000-00009C160000}"/>
    <cellStyle name="20% - Accent4 13 2 3 3 2 2" xfId="38386" xr:uid="{9E3E76C7-EC21-498E-8A39-2546278BE68D}"/>
    <cellStyle name="20% - Accent4 13 2 3 3 3" xfId="22491" xr:uid="{00000000-0005-0000-0000-00009D160000}"/>
    <cellStyle name="20% - Accent4 13 2 3 3 3 2" xfId="46323" xr:uid="{0350D9BB-D0D6-4CB7-A644-A7A6958434A7}"/>
    <cellStyle name="20% - Accent4 13 2 3 3 4" xfId="30445" xr:uid="{E18166B5-A674-4A65-A8E2-EF47CFD30483}"/>
    <cellStyle name="20% - Accent4 13 2 3 4" xfId="11008" xr:uid="{00000000-0005-0000-0000-00009E160000}"/>
    <cellStyle name="20% - Accent4 13 2 3 4 2" xfId="34857" xr:uid="{358DEC09-5B58-4E98-A652-35CEE0B342A7}"/>
    <cellStyle name="20% - Accent4 13 2 3 5" xfId="18963" xr:uid="{00000000-0005-0000-0000-00009F160000}"/>
    <cellStyle name="20% - Accent4 13 2 3 5 2" xfId="42795" xr:uid="{A99982D9-DCAA-40A7-8DBE-D5A2E560DA51}"/>
    <cellStyle name="20% - Accent4 13 2 3 6" xfId="26915" xr:uid="{2ACA430F-5BB9-4BCA-8BB0-0C837A705042}"/>
    <cellStyle name="20% - Accent4 13 2 3_Exh G" xfId="2334" xr:uid="{00000000-0005-0000-0000-0000A0160000}"/>
    <cellStyle name="20% - Accent4 13 2 4" xfId="3862" xr:uid="{00000000-0005-0000-0000-0000A1160000}"/>
    <cellStyle name="20% - Accent4 13 2 4 2" xfId="7454" xr:uid="{00000000-0005-0000-0000-0000A2160000}"/>
    <cellStyle name="20% - Accent4 13 2 4 2 2" xfId="15424" xr:uid="{00000000-0005-0000-0000-0000A3160000}"/>
    <cellStyle name="20% - Accent4 13 2 4 2 2 2" xfId="39266" xr:uid="{AD53B4E5-99DB-405A-AFF9-E8893DBDC163}"/>
    <cellStyle name="20% - Accent4 13 2 4 2 3" xfId="23370" xr:uid="{00000000-0005-0000-0000-0000A4160000}"/>
    <cellStyle name="20% - Accent4 13 2 4 2 3 2" xfId="47202" xr:uid="{F95A938B-C873-4F86-8FEA-2E13EF03FBD4}"/>
    <cellStyle name="20% - Accent4 13 2 4 2 4" xfId="31325" xr:uid="{E09F9DF6-139B-4FE0-B4DE-DA5DD46CEF75}"/>
    <cellStyle name="20% - Accent4 13 2 4 3" xfId="11886" xr:uid="{00000000-0005-0000-0000-0000A5160000}"/>
    <cellStyle name="20% - Accent4 13 2 4 3 2" xfId="35735" xr:uid="{98B07F47-8B7D-46CF-81A4-A6EC3FDEA86F}"/>
    <cellStyle name="20% - Accent4 13 2 4 4" xfId="19841" xr:uid="{00000000-0005-0000-0000-0000A6160000}"/>
    <cellStyle name="20% - Accent4 13 2 4 4 2" xfId="43673" xr:uid="{BA956439-630A-413C-B8D5-7BF01A7FE0ED}"/>
    <cellStyle name="20% - Accent4 13 2 4 5" xfId="27794" xr:uid="{75099FD4-58D1-4D73-BE7D-A41E5E1B03E1}"/>
    <cellStyle name="20% - Accent4 13 2 5" xfId="5682" xr:uid="{00000000-0005-0000-0000-0000A7160000}"/>
    <cellStyle name="20% - Accent4 13 2 5 2" xfId="13665" xr:uid="{00000000-0005-0000-0000-0000A8160000}"/>
    <cellStyle name="20% - Accent4 13 2 5 2 2" xfId="37508" xr:uid="{9CE4B0EA-AF5E-44DB-ABC5-BCE18AF8277A}"/>
    <cellStyle name="20% - Accent4 13 2 5 3" xfId="21613" xr:uid="{00000000-0005-0000-0000-0000A9160000}"/>
    <cellStyle name="20% - Accent4 13 2 5 3 2" xfId="45445" xr:uid="{CB575A8C-6303-4B18-BC66-0926BA40CF8A}"/>
    <cellStyle name="20% - Accent4 13 2 5 4" xfId="29567" xr:uid="{E6CAAD17-32A5-4EFA-B8FD-E514FE87D2FF}"/>
    <cellStyle name="20% - Accent4 13 2 6" xfId="9234" xr:uid="{00000000-0005-0000-0000-0000AA160000}"/>
    <cellStyle name="20% - Accent4 13 2 6 2" xfId="17192" xr:uid="{00000000-0005-0000-0000-0000AB160000}"/>
    <cellStyle name="20% - Accent4 13 2 6 2 2" xfId="41032" xr:uid="{B40B941D-E761-4FEF-A4EE-C381D39F9030}"/>
    <cellStyle name="20% - Accent4 13 2 6 3" xfId="25136" xr:uid="{00000000-0005-0000-0000-0000AC160000}"/>
    <cellStyle name="20% - Accent4 13 2 6 3 2" xfId="48968" xr:uid="{F6847A46-69C8-473B-A201-CAB799ADCBC8}"/>
    <cellStyle name="20% - Accent4 13 2 6 4" xfId="33091" xr:uid="{999100CC-D78B-422F-BF8F-279F9ED585A1}"/>
    <cellStyle name="20% - Accent4 13 2 7" xfId="10130" xr:uid="{00000000-0005-0000-0000-0000AD160000}"/>
    <cellStyle name="20% - Accent4 13 2 7 2" xfId="33979" xr:uid="{99F5D4C6-09EB-4E18-A134-ED2F8218D1B1}"/>
    <cellStyle name="20% - Accent4 13 2 8" xfId="18085" xr:uid="{00000000-0005-0000-0000-0000AE160000}"/>
    <cellStyle name="20% - Accent4 13 2 8 2" xfId="41917" xr:uid="{6CDFF79E-BFDB-49E3-8C3D-1FFE7C5E806E}"/>
    <cellStyle name="20% - Accent4 13 2 9" xfId="26037" xr:uid="{8DC3B285-9095-4C3B-AD10-B624AB1A7675}"/>
    <cellStyle name="20% - Accent4 13 2_Exh G" xfId="2331" xr:uid="{00000000-0005-0000-0000-0000AF160000}"/>
    <cellStyle name="20% - Accent4 13 3" xfId="190" xr:uid="{00000000-0005-0000-0000-0000B0160000}"/>
    <cellStyle name="20% - Accent4 13 3 2" xfId="1216" xr:uid="{00000000-0005-0000-0000-0000B1160000}"/>
    <cellStyle name="20% - Accent4 13 3 2 2" xfId="4743" xr:uid="{00000000-0005-0000-0000-0000B2160000}"/>
    <cellStyle name="20% - Accent4 13 3 2 2 2" xfId="8334" xr:uid="{00000000-0005-0000-0000-0000B3160000}"/>
    <cellStyle name="20% - Accent4 13 3 2 2 2 2" xfId="16304" xr:uid="{00000000-0005-0000-0000-0000B4160000}"/>
    <cellStyle name="20% - Accent4 13 3 2 2 2 2 2" xfId="40146" xr:uid="{0DC25DEF-2982-4F4A-8B8B-C2E94AC3ECA9}"/>
    <cellStyle name="20% - Accent4 13 3 2 2 2 3" xfId="24250" xr:uid="{00000000-0005-0000-0000-0000B5160000}"/>
    <cellStyle name="20% - Accent4 13 3 2 2 2 3 2" xfId="48082" xr:uid="{722E2D52-CE1E-49E4-BD12-13C828065C11}"/>
    <cellStyle name="20% - Accent4 13 3 2 2 2 4" xfId="32205" xr:uid="{41A23DAB-4796-4141-B075-CF311AEA94C8}"/>
    <cellStyle name="20% - Accent4 13 3 2 2 3" xfId="12766" xr:uid="{00000000-0005-0000-0000-0000B6160000}"/>
    <cellStyle name="20% - Accent4 13 3 2 2 3 2" xfId="36615" xr:uid="{6DE20F79-5DF7-404A-83F2-BE9FB5A21FF6}"/>
    <cellStyle name="20% - Accent4 13 3 2 2 4" xfId="20721" xr:uid="{00000000-0005-0000-0000-0000B7160000}"/>
    <cellStyle name="20% - Accent4 13 3 2 2 4 2" xfId="44553" xr:uid="{8A3F4BA0-1991-4FE9-A173-03D7F5EEC6EF}"/>
    <cellStyle name="20% - Accent4 13 3 2 2 5" xfId="28674" xr:uid="{832EB1C9-7E49-4F21-A33F-31EB966E91A8}"/>
    <cellStyle name="20% - Accent4 13 3 2 3" xfId="6575" xr:uid="{00000000-0005-0000-0000-0000B8160000}"/>
    <cellStyle name="20% - Accent4 13 3 2 3 2" xfId="14546" xr:uid="{00000000-0005-0000-0000-0000B9160000}"/>
    <cellStyle name="20% - Accent4 13 3 2 3 2 2" xfId="38388" xr:uid="{350CEC10-DC72-4EE7-8DD0-9B5B5E48256E}"/>
    <cellStyle name="20% - Accent4 13 3 2 3 3" xfId="22493" xr:uid="{00000000-0005-0000-0000-0000BA160000}"/>
    <cellStyle name="20% - Accent4 13 3 2 3 3 2" xfId="46325" xr:uid="{AC816138-D89D-48AE-9977-3CE88F66F57E}"/>
    <cellStyle name="20% - Accent4 13 3 2 3 4" xfId="30447" xr:uid="{99CB161C-8021-4DFB-9CB8-62A218EB4168}"/>
    <cellStyle name="20% - Accent4 13 3 2 4" xfId="11010" xr:uid="{00000000-0005-0000-0000-0000BB160000}"/>
    <cellStyle name="20% - Accent4 13 3 2 4 2" xfId="34859" xr:uid="{5BEECA1A-AF40-4CE7-B870-3F009AFF5D88}"/>
    <cellStyle name="20% - Accent4 13 3 2 5" xfId="18965" xr:uid="{00000000-0005-0000-0000-0000BC160000}"/>
    <cellStyle name="20% - Accent4 13 3 2 5 2" xfId="42797" xr:uid="{0DBC125F-FFF3-457B-B1DE-E112EFE39768}"/>
    <cellStyle name="20% - Accent4 13 3 2 6" xfId="26917" xr:uid="{EE04A0C7-2426-473C-A2BA-D9276617D58F}"/>
    <cellStyle name="20% - Accent4 13 3 2_Exh G" xfId="2336" xr:uid="{00000000-0005-0000-0000-0000BD160000}"/>
    <cellStyle name="20% - Accent4 13 3 3" xfId="3864" xr:uid="{00000000-0005-0000-0000-0000BE160000}"/>
    <cellStyle name="20% - Accent4 13 3 3 2" xfId="7456" xr:uid="{00000000-0005-0000-0000-0000BF160000}"/>
    <cellStyle name="20% - Accent4 13 3 3 2 2" xfId="15426" xr:uid="{00000000-0005-0000-0000-0000C0160000}"/>
    <cellStyle name="20% - Accent4 13 3 3 2 2 2" xfId="39268" xr:uid="{114D1867-A3BE-4183-AC17-3C075260C2BC}"/>
    <cellStyle name="20% - Accent4 13 3 3 2 3" xfId="23372" xr:uid="{00000000-0005-0000-0000-0000C1160000}"/>
    <cellStyle name="20% - Accent4 13 3 3 2 3 2" xfId="47204" xr:uid="{6E3D4F43-07D7-445F-A652-1355DC0E1870}"/>
    <cellStyle name="20% - Accent4 13 3 3 2 4" xfId="31327" xr:uid="{C7DB0A00-215F-4907-A3A1-8A4824D46885}"/>
    <cellStyle name="20% - Accent4 13 3 3 3" xfId="11888" xr:uid="{00000000-0005-0000-0000-0000C2160000}"/>
    <cellStyle name="20% - Accent4 13 3 3 3 2" xfId="35737" xr:uid="{86C8EDE0-A43C-4145-924C-9A0EEC9ECAEC}"/>
    <cellStyle name="20% - Accent4 13 3 3 4" xfId="19843" xr:uid="{00000000-0005-0000-0000-0000C3160000}"/>
    <cellStyle name="20% - Accent4 13 3 3 4 2" xfId="43675" xr:uid="{027F0D0B-73F2-45C1-828B-3B3CC4A553DD}"/>
    <cellStyle name="20% - Accent4 13 3 3 5" xfId="27796" xr:uid="{9FFD55B5-6440-418C-A89B-8950F5A75CF4}"/>
    <cellStyle name="20% - Accent4 13 3 4" xfId="5684" xr:uid="{00000000-0005-0000-0000-0000C4160000}"/>
    <cellStyle name="20% - Accent4 13 3 4 2" xfId="13667" xr:uid="{00000000-0005-0000-0000-0000C5160000}"/>
    <cellStyle name="20% - Accent4 13 3 4 2 2" xfId="37510" xr:uid="{92EEB93A-1589-4AAF-BA69-23FE2A72B3FA}"/>
    <cellStyle name="20% - Accent4 13 3 4 3" xfId="21615" xr:uid="{00000000-0005-0000-0000-0000C6160000}"/>
    <cellStyle name="20% - Accent4 13 3 4 3 2" xfId="45447" xr:uid="{C21DF2C6-E035-48D0-8E51-1C1EEFABE086}"/>
    <cellStyle name="20% - Accent4 13 3 4 4" xfId="29569" xr:uid="{3AAF420C-246D-4B81-9F0E-85C4EB02B35A}"/>
    <cellStyle name="20% - Accent4 13 3 5" xfId="9236" xr:uid="{00000000-0005-0000-0000-0000C7160000}"/>
    <cellStyle name="20% - Accent4 13 3 5 2" xfId="17194" xr:uid="{00000000-0005-0000-0000-0000C8160000}"/>
    <cellStyle name="20% - Accent4 13 3 5 2 2" xfId="41034" xr:uid="{1F099ADE-E1DD-43CD-9B03-0D63F350AC7B}"/>
    <cellStyle name="20% - Accent4 13 3 5 3" xfId="25138" xr:uid="{00000000-0005-0000-0000-0000C9160000}"/>
    <cellStyle name="20% - Accent4 13 3 5 3 2" xfId="48970" xr:uid="{BD033275-FDCD-4438-BAC5-BFE9684DAC3F}"/>
    <cellStyle name="20% - Accent4 13 3 5 4" xfId="33093" xr:uid="{D8FFE303-D360-453F-ABDE-DBF95A8543D0}"/>
    <cellStyle name="20% - Accent4 13 3 6" xfId="10132" xr:uid="{00000000-0005-0000-0000-0000CA160000}"/>
    <cellStyle name="20% - Accent4 13 3 6 2" xfId="33981" xr:uid="{6B577A7C-EDAF-41B5-B55A-3B2EA90754D5}"/>
    <cellStyle name="20% - Accent4 13 3 7" xfId="18087" xr:uid="{00000000-0005-0000-0000-0000CB160000}"/>
    <cellStyle name="20% - Accent4 13 3 7 2" xfId="41919" xr:uid="{8ABEBB06-94B0-409E-9921-0DACD56B7D72}"/>
    <cellStyle name="20% - Accent4 13 3 8" xfId="26039" xr:uid="{6D1432C4-3775-4950-90BE-C95D0E63763B}"/>
    <cellStyle name="20% - Accent4 13 3_Exh G" xfId="2335" xr:uid="{00000000-0005-0000-0000-0000CC160000}"/>
    <cellStyle name="20% - Accent4 13 4" xfId="1213" xr:uid="{00000000-0005-0000-0000-0000CD160000}"/>
    <cellStyle name="20% - Accent4 13 4 2" xfId="4740" xr:uid="{00000000-0005-0000-0000-0000CE160000}"/>
    <cellStyle name="20% - Accent4 13 4 2 2" xfId="8331" xr:uid="{00000000-0005-0000-0000-0000CF160000}"/>
    <cellStyle name="20% - Accent4 13 4 2 2 2" xfId="16301" xr:uid="{00000000-0005-0000-0000-0000D0160000}"/>
    <cellStyle name="20% - Accent4 13 4 2 2 2 2" xfId="40143" xr:uid="{923AD39E-13BC-4739-97E0-83D0D4CBA6AA}"/>
    <cellStyle name="20% - Accent4 13 4 2 2 3" xfId="24247" xr:uid="{00000000-0005-0000-0000-0000D1160000}"/>
    <cellStyle name="20% - Accent4 13 4 2 2 3 2" xfId="48079" xr:uid="{7310053E-BA2E-44DD-8810-A538AFF24C46}"/>
    <cellStyle name="20% - Accent4 13 4 2 2 4" xfId="32202" xr:uid="{16FF6839-1531-4B2D-8196-2215F988C783}"/>
    <cellStyle name="20% - Accent4 13 4 2 3" xfId="12763" xr:uid="{00000000-0005-0000-0000-0000D2160000}"/>
    <cellStyle name="20% - Accent4 13 4 2 3 2" xfId="36612" xr:uid="{5C207924-8D91-4958-8FCD-03037E5C7F45}"/>
    <cellStyle name="20% - Accent4 13 4 2 4" xfId="20718" xr:uid="{00000000-0005-0000-0000-0000D3160000}"/>
    <cellStyle name="20% - Accent4 13 4 2 4 2" xfId="44550" xr:uid="{3CC53B0D-E850-4C87-814F-3E03AAF55234}"/>
    <cellStyle name="20% - Accent4 13 4 2 5" xfId="28671" xr:uid="{24270C27-B2BC-402C-A970-ECF81C02D254}"/>
    <cellStyle name="20% - Accent4 13 4 3" xfId="6572" xr:uid="{00000000-0005-0000-0000-0000D4160000}"/>
    <cellStyle name="20% - Accent4 13 4 3 2" xfId="14543" xr:uid="{00000000-0005-0000-0000-0000D5160000}"/>
    <cellStyle name="20% - Accent4 13 4 3 2 2" xfId="38385" xr:uid="{9F8577F8-E104-48D9-BDDD-645F250ED85D}"/>
    <cellStyle name="20% - Accent4 13 4 3 3" xfId="22490" xr:uid="{00000000-0005-0000-0000-0000D6160000}"/>
    <cellStyle name="20% - Accent4 13 4 3 3 2" xfId="46322" xr:uid="{70B0DFBF-B433-4BE1-A9BD-27859F52AC9E}"/>
    <cellStyle name="20% - Accent4 13 4 3 4" xfId="30444" xr:uid="{F284EAD2-763A-472C-86FF-8FCB4888E3A4}"/>
    <cellStyle name="20% - Accent4 13 4 4" xfId="11007" xr:uid="{00000000-0005-0000-0000-0000D7160000}"/>
    <cellStyle name="20% - Accent4 13 4 4 2" xfId="34856" xr:uid="{B5910FB1-8066-423B-9D04-21349308A650}"/>
    <cellStyle name="20% - Accent4 13 4 5" xfId="18962" xr:uid="{00000000-0005-0000-0000-0000D8160000}"/>
    <cellStyle name="20% - Accent4 13 4 5 2" xfId="42794" xr:uid="{3755B577-E4D6-45B9-8465-34F6C211625C}"/>
    <cellStyle name="20% - Accent4 13 4 6" xfId="26914" xr:uid="{8F88AA6A-02F0-4D92-BF61-9BBA23653F2E}"/>
    <cellStyle name="20% - Accent4 13 4_Exh G" xfId="2337" xr:uid="{00000000-0005-0000-0000-0000D9160000}"/>
    <cellStyle name="20% - Accent4 13 5" xfId="3861" xr:uid="{00000000-0005-0000-0000-0000DA160000}"/>
    <cellStyle name="20% - Accent4 13 5 2" xfId="7453" xr:uid="{00000000-0005-0000-0000-0000DB160000}"/>
    <cellStyle name="20% - Accent4 13 5 2 2" xfId="15423" xr:uid="{00000000-0005-0000-0000-0000DC160000}"/>
    <cellStyle name="20% - Accent4 13 5 2 2 2" xfId="39265" xr:uid="{E365F234-0643-4E0F-881D-3D415D79E7B1}"/>
    <cellStyle name="20% - Accent4 13 5 2 3" xfId="23369" xr:uid="{00000000-0005-0000-0000-0000DD160000}"/>
    <cellStyle name="20% - Accent4 13 5 2 3 2" xfId="47201" xr:uid="{A986F7DE-3B42-4CE9-B17C-941EDE2AF926}"/>
    <cellStyle name="20% - Accent4 13 5 2 4" xfId="31324" xr:uid="{8504541A-08B0-4E29-A371-44E5A5CB7EEE}"/>
    <cellStyle name="20% - Accent4 13 5 3" xfId="11885" xr:uid="{00000000-0005-0000-0000-0000DE160000}"/>
    <cellStyle name="20% - Accent4 13 5 3 2" xfId="35734" xr:uid="{50BE7DFE-46BC-477A-94A4-D52DE45B1D7F}"/>
    <cellStyle name="20% - Accent4 13 5 4" xfId="19840" xr:uid="{00000000-0005-0000-0000-0000DF160000}"/>
    <cellStyle name="20% - Accent4 13 5 4 2" xfId="43672" xr:uid="{FE89A493-8F7B-4807-B616-6B086BDC3794}"/>
    <cellStyle name="20% - Accent4 13 5 5" xfId="27793" xr:uid="{4270BAE5-43F8-42DB-ADE4-C72B6696A283}"/>
    <cellStyle name="20% - Accent4 13 6" xfId="5681" xr:uid="{00000000-0005-0000-0000-0000E0160000}"/>
    <cellStyle name="20% - Accent4 13 6 2" xfId="13664" xr:uid="{00000000-0005-0000-0000-0000E1160000}"/>
    <cellStyle name="20% - Accent4 13 6 2 2" xfId="37507" xr:uid="{60A58195-267E-4936-BC8E-15DE99061FF2}"/>
    <cellStyle name="20% - Accent4 13 6 3" xfId="21612" xr:uid="{00000000-0005-0000-0000-0000E2160000}"/>
    <cellStyle name="20% - Accent4 13 6 3 2" xfId="45444" xr:uid="{8346CAC8-13B5-444B-A3A1-B526EC8B102F}"/>
    <cellStyle name="20% - Accent4 13 6 4" xfId="29566" xr:uid="{E06B8E18-89A2-4FD3-9C35-37F481C9A1FC}"/>
    <cellStyle name="20% - Accent4 13 7" xfId="9233" xr:uid="{00000000-0005-0000-0000-0000E3160000}"/>
    <cellStyle name="20% - Accent4 13 7 2" xfId="17191" xr:uid="{00000000-0005-0000-0000-0000E4160000}"/>
    <cellStyle name="20% - Accent4 13 7 2 2" xfId="41031" xr:uid="{E366A280-9B5F-4CE5-801F-0BABAA5F60D8}"/>
    <cellStyle name="20% - Accent4 13 7 3" xfId="25135" xr:uid="{00000000-0005-0000-0000-0000E5160000}"/>
    <cellStyle name="20% - Accent4 13 7 3 2" xfId="48967" xr:uid="{534567AC-3FFD-4BFE-9616-012A914DEE27}"/>
    <cellStyle name="20% - Accent4 13 7 4" xfId="33090" xr:uid="{DEA603BC-E014-4491-8BAE-643252EC5E70}"/>
    <cellStyle name="20% - Accent4 13 8" xfId="10129" xr:uid="{00000000-0005-0000-0000-0000E6160000}"/>
    <cellStyle name="20% - Accent4 13 8 2" xfId="33978" xr:uid="{2B8C8135-A4F5-43B2-B3AE-515CB3FB93A9}"/>
    <cellStyle name="20% - Accent4 13 9" xfId="18084" xr:uid="{00000000-0005-0000-0000-0000E7160000}"/>
    <cellStyle name="20% - Accent4 13 9 2" xfId="41916" xr:uid="{339C0F4E-3E6D-4E11-84C1-DBF450B1CA64}"/>
    <cellStyle name="20% - Accent4 13_Exh G" xfId="2330" xr:uid="{00000000-0005-0000-0000-0000E8160000}"/>
    <cellStyle name="20% - Accent4 14" xfId="191" xr:uid="{00000000-0005-0000-0000-0000E9160000}"/>
    <cellStyle name="20% - Accent4 14 2" xfId="192" xr:uid="{00000000-0005-0000-0000-0000EA160000}"/>
    <cellStyle name="20% - Accent4 14 2 2" xfId="1218" xr:uid="{00000000-0005-0000-0000-0000EB160000}"/>
    <cellStyle name="20% - Accent4 14 2 2 2" xfId="4745" xr:uid="{00000000-0005-0000-0000-0000EC160000}"/>
    <cellStyle name="20% - Accent4 14 2 2 2 2" xfId="8336" xr:uid="{00000000-0005-0000-0000-0000ED160000}"/>
    <cellStyle name="20% - Accent4 14 2 2 2 2 2" xfId="16306" xr:uid="{00000000-0005-0000-0000-0000EE160000}"/>
    <cellStyle name="20% - Accent4 14 2 2 2 2 2 2" xfId="40148" xr:uid="{C32D841F-D7A1-4E0F-9917-AAB343FDAC43}"/>
    <cellStyle name="20% - Accent4 14 2 2 2 2 3" xfId="24252" xr:uid="{00000000-0005-0000-0000-0000EF160000}"/>
    <cellStyle name="20% - Accent4 14 2 2 2 2 3 2" xfId="48084" xr:uid="{F9E983C5-1098-498B-840F-044A2D7DBC01}"/>
    <cellStyle name="20% - Accent4 14 2 2 2 2 4" xfId="32207" xr:uid="{37A8640F-33AC-46F2-B20A-0BDB29FE871F}"/>
    <cellStyle name="20% - Accent4 14 2 2 2 3" xfId="12768" xr:uid="{00000000-0005-0000-0000-0000F0160000}"/>
    <cellStyle name="20% - Accent4 14 2 2 2 3 2" xfId="36617" xr:uid="{BC89C606-0BCB-4986-8946-D2715DD034C8}"/>
    <cellStyle name="20% - Accent4 14 2 2 2 4" xfId="20723" xr:uid="{00000000-0005-0000-0000-0000F1160000}"/>
    <cellStyle name="20% - Accent4 14 2 2 2 4 2" xfId="44555" xr:uid="{7FD4411F-798D-4397-BB03-3B71F8128062}"/>
    <cellStyle name="20% - Accent4 14 2 2 2 5" xfId="28676" xr:uid="{927FA1A3-90AA-4A4B-9BAD-14F19E9FC051}"/>
    <cellStyle name="20% - Accent4 14 2 2 3" xfId="6577" xr:uid="{00000000-0005-0000-0000-0000F2160000}"/>
    <cellStyle name="20% - Accent4 14 2 2 3 2" xfId="14548" xr:uid="{00000000-0005-0000-0000-0000F3160000}"/>
    <cellStyle name="20% - Accent4 14 2 2 3 2 2" xfId="38390" xr:uid="{DABBEEE2-0483-4FE4-9FB3-A91C299FD002}"/>
    <cellStyle name="20% - Accent4 14 2 2 3 3" xfId="22495" xr:uid="{00000000-0005-0000-0000-0000F4160000}"/>
    <cellStyle name="20% - Accent4 14 2 2 3 3 2" xfId="46327" xr:uid="{086E5833-8F99-4937-99FE-ED8B67DFF434}"/>
    <cellStyle name="20% - Accent4 14 2 2 3 4" xfId="30449" xr:uid="{503F1774-AB54-469F-8D40-0B4FFC259F2A}"/>
    <cellStyle name="20% - Accent4 14 2 2 4" xfId="11012" xr:uid="{00000000-0005-0000-0000-0000F5160000}"/>
    <cellStyle name="20% - Accent4 14 2 2 4 2" xfId="34861" xr:uid="{92A56B23-2F3F-4B9D-94C4-48298D169646}"/>
    <cellStyle name="20% - Accent4 14 2 2 5" xfId="18967" xr:uid="{00000000-0005-0000-0000-0000F6160000}"/>
    <cellStyle name="20% - Accent4 14 2 2 5 2" xfId="42799" xr:uid="{15C111E8-3C71-43A4-B3BB-723A51AB72A3}"/>
    <cellStyle name="20% - Accent4 14 2 2 6" xfId="26919" xr:uid="{086BD844-6A97-4524-8F1A-FF046D015898}"/>
    <cellStyle name="20% - Accent4 14 2 2_Exh G" xfId="2340" xr:uid="{00000000-0005-0000-0000-0000F7160000}"/>
    <cellStyle name="20% - Accent4 14 2 3" xfId="3866" xr:uid="{00000000-0005-0000-0000-0000F8160000}"/>
    <cellStyle name="20% - Accent4 14 2 3 2" xfId="7458" xr:uid="{00000000-0005-0000-0000-0000F9160000}"/>
    <cellStyle name="20% - Accent4 14 2 3 2 2" xfId="15428" xr:uid="{00000000-0005-0000-0000-0000FA160000}"/>
    <cellStyle name="20% - Accent4 14 2 3 2 2 2" xfId="39270" xr:uid="{4245480D-032D-442A-8BAB-AE836BDDAE85}"/>
    <cellStyle name="20% - Accent4 14 2 3 2 3" xfId="23374" xr:uid="{00000000-0005-0000-0000-0000FB160000}"/>
    <cellStyle name="20% - Accent4 14 2 3 2 3 2" xfId="47206" xr:uid="{5760C9BF-2D27-4B5F-A9C7-ECD324DAA4FC}"/>
    <cellStyle name="20% - Accent4 14 2 3 2 4" xfId="31329" xr:uid="{623F45FE-9971-48DD-9704-D77954BF9F0C}"/>
    <cellStyle name="20% - Accent4 14 2 3 3" xfId="11890" xr:uid="{00000000-0005-0000-0000-0000FC160000}"/>
    <cellStyle name="20% - Accent4 14 2 3 3 2" xfId="35739" xr:uid="{567D2F68-61FF-4228-8861-021DF35D15D5}"/>
    <cellStyle name="20% - Accent4 14 2 3 4" xfId="19845" xr:uid="{00000000-0005-0000-0000-0000FD160000}"/>
    <cellStyle name="20% - Accent4 14 2 3 4 2" xfId="43677" xr:uid="{80142DB7-7015-439C-9372-424E1D900706}"/>
    <cellStyle name="20% - Accent4 14 2 3 5" xfId="27798" xr:uid="{7D3C456B-8A18-4284-8093-42A06BBF223A}"/>
    <cellStyle name="20% - Accent4 14 2 4" xfId="5686" xr:uid="{00000000-0005-0000-0000-0000FE160000}"/>
    <cellStyle name="20% - Accent4 14 2 4 2" xfId="13669" xr:uid="{00000000-0005-0000-0000-0000FF160000}"/>
    <cellStyle name="20% - Accent4 14 2 4 2 2" xfId="37512" xr:uid="{4922EE77-081C-480F-A3F7-67CE2FCA114E}"/>
    <cellStyle name="20% - Accent4 14 2 4 3" xfId="21617" xr:uid="{00000000-0005-0000-0000-000000170000}"/>
    <cellStyle name="20% - Accent4 14 2 4 3 2" xfId="45449" xr:uid="{93143FDC-6027-45CD-9D4F-75A113CF058F}"/>
    <cellStyle name="20% - Accent4 14 2 4 4" xfId="29571" xr:uid="{EB6C9867-AA8E-4EDE-B3CB-B1DE718463CE}"/>
    <cellStyle name="20% - Accent4 14 2 5" xfId="9238" xr:uid="{00000000-0005-0000-0000-000001170000}"/>
    <cellStyle name="20% - Accent4 14 2 5 2" xfId="17196" xr:uid="{00000000-0005-0000-0000-000002170000}"/>
    <cellStyle name="20% - Accent4 14 2 5 2 2" xfId="41036" xr:uid="{28ADEFDF-DE9C-45EE-B8E8-9B9D4B961DE2}"/>
    <cellStyle name="20% - Accent4 14 2 5 3" xfId="25140" xr:uid="{00000000-0005-0000-0000-000003170000}"/>
    <cellStyle name="20% - Accent4 14 2 5 3 2" xfId="48972" xr:uid="{66EDFA78-4465-4B34-9C6C-4217D5E4E3FB}"/>
    <cellStyle name="20% - Accent4 14 2 5 4" xfId="33095" xr:uid="{9145C565-AE3F-47BB-BA67-52C480673C1B}"/>
    <cellStyle name="20% - Accent4 14 2 6" xfId="10134" xr:uid="{00000000-0005-0000-0000-000004170000}"/>
    <cellStyle name="20% - Accent4 14 2 6 2" xfId="33983" xr:uid="{80C56B1F-344F-42A5-82C5-6B3341AAF974}"/>
    <cellStyle name="20% - Accent4 14 2 7" xfId="18089" xr:uid="{00000000-0005-0000-0000-000005170000}"/>
    <cellStyle name="20% - Accent4 14 2 7 2" xfId="41921" xr:uid="{1AF1DB51-FC89-441F-A39B-F4CD62B5ACAF}"/>
    <cellStyle name="20% - Accent4 14 2 8" xfId="26041" xr:uid="{5E2A6C53-F600-40F6-9C6F-3DF23F6F99DD}"/>
    <cellStyle name="20% - Accent4 14 2_Exh G" xfId="2339" xr:uid="{00000000-0005-0000-0000-000006170000}"/>
    <cellStyle name="20% - Accent4 14 3" xfId="1217" xr:uid="{00000000-0005-0000-0000-000007170000}"/>
    <cellStyle name="20% - Accent4 14 3 2" xfId="4744" xr:uid="{00000000-0005-0000-0000-000008170000}"/>
    <cellStyle name="20% - Accent4 14 3 2 2" xfId="8335" xr:uid="{00000000-0005-0000-0000-000009170000}"/>
    <cellStyle name="20% - Accent4 14 3 2 2 2" xfId="16305" xr:uid="{00000000-0005-0000-0000-00000A170000}"/>
    <cellStyle name="20% - Accent4 14 3 2 2 2 2" xfId="40147" xr:uid="{38748E51-3FED-488F-B548-2DC71C2F6500}"/>
    <cellStyle name="20% - Accent4 14 3 2 2 3" xfId="24251" xr:uid="{00000000-0005-0000-0000-00000B170000}"/>
    <cellStyle name="20% - Accent4 14 3 2 2 3 2" xfId="48083" xr:uid="{D821BCF6-6CEF-4966-88BA-C3A0741D8E09}"/>
    <cellStyle name="20% - Accent4 14 3 2 2 4" xfId="32206" xr:uid="{9F7D4069-FBBE-47FF-AD04-8A12F58A80BA}"/>
    <cellStyle name="20% - Accent4 14 3 2 3" xfId="12767" xr:uid="{00000000-0005-0000-0000-00000C170000}"/>
    <cellStyle name="20% - Accent4 14 3 2 3 2" xfId="36616" xr:uid="{92D67C95-86C7-4F05-BB31-501CD41E2350}"/>
    <cellStyle name="20% - Accent4 14 3 2 4" xfId="20722" xr:uid="{00000000-0005-0000-0000-00000D170000}"/>
    <cellStyle name="20% - Accent4 14 3 2 4 2" xfId="44554" xr:uid="{A2CA2D2E-043A-4C00-B4FD-0E292D744F36}"/>
    <cellStyle name="20% - Accent4 14 3 2 5" xfId="28675" xr:uid="{03C89482-C8AD-4C93-A18E-BE8EA9C3F5ED}"/>
    <cellStyle name="20% - Accent4 14 3 3" xfId="6576" xr:uid="{00000000-0005-0000-0000-00000E170000}"/>
    <cellStyle name="20% - Accent4 14 3 3 2" xfId="14547" xr:uid="{00000000-0005-0000-0000-00000F170000}"/>
    <cellStyle name="20% - Accent4 14 3 3 2 2" xfId="38389" xr:uid="{23695DBA-49F9-4342-AB84-DDE71DBF68BF}"/>
    <cellStyle name="20% - Accent4 14 3 3 3" xfId="22494" xr:uid="{00000000-0005-0000-0000-000010170000}"/>
    <cellStyle name="20% - Accent4 14 3 3 3 2" xfId="46326" xr:uid="{8E1EBDBD-4CAE-4292-A5EA-62AC11B3AF30}"/>
    <cellStyle name="20% - Accent4 14 3 3 4" xfId="30448" xr:uid="{C25E913A-A521-4BE6-A059-2E42575A2167}"/>
    <cellStyle name="20% - Accent4 14 3 4" xfId="11011" xr:uid="{00000000-0005-0000-0000-000011170000}"/>
    <cellStyle name="20% - Accent4 14 3 4 2" xfId="34860" xr:uid="{6830F753-668C-4FEA-9235-9E5458C52460}"/>
    <cellStyle name="20% - Accent4 14 3 5" xfId="18966" xr:uid="{00000000-0005-0000-0000-000012170000}"/>
    <cellStyle name="20% - Accent4 14 3 5 2" xfId="42798" xr:uid="{3A8DDCC0-F238-493A-8B1F-E98592922C03}"/>
    <cellStyle name="20% - Accent4 14 3 6" xfId="26918" xr:uid="{EB1FFAEA-8614-4916-9095-6994DADB9682}"/>
    <cellStyle name="20% - Accent4 14 3_Exh G" xfId="2341" xr:uid="{00000000-0005-0000-0000-000013170000}"/>
    <cellStyle name="20% - Accent4 14 4" xfId="3865" xr:uid="{00000000-0005-0000-0000-000014170000}"/>
    <cellStyle name="20% - Accent4 14 4 2" xfId="7457" xr:uid="{00000000-0005-0000-0000-000015170000}"/>
    <cellStyle name="20% - Accent4 14 4 2 2" xfId="15427" xr:uid="{00000000-0005-0000-0000-000016170000}"/>
    <cellStyle name="20% - Accent4 14 4 2 2 2" xfId="39269" xr:uid="{3F0B3E9B-F193-4C09-842D-7A6B0CB912AF}"/>
    <cellStyle name="20% - Accent4 14 4 2 3" xfId="23373" xr:uid="{00000000-0005-0000-0000-000017170000}"/>
    <cellStyle name="20% - Accent4 14 4 2 3 2" xfId="47205" xr:uid="{5808C5D5-420A-436A-A8D6-790BB905EF0C}"/>
    <cellStyle name="20% - Accent4 14 4 2 4" xfId="31328" xr:uid="{38C81D4D-0F8E-49C7-800F-4FCA07FCEF5C}"/>
    <cellStyle name="20% - Accent4 14 4 3" xfId="11889" xr:uid="{00000000-0005-0000-0000-000018170000}"/>
    <cellStyle name="20% - Accent4 14 4 3 2" xfId="35738" xr:uid="{727C6BA1-E010-4372-9B6E-20C9A5F1C347}"/>
    <cellStyle name="20% - Accent4 14 4 4" xfId="19844" xr:uid="{00000000-0005-0000-0000-000019170000}"/>
    <cellStyle name="20% - Accent4 14 4 4 2" xfId="43676" xr:uid="{B4D7331E-CADE-4424-940E-C4A596B14411}"/>
    <cellStyle name="20% - Accent4 14 4 5" xfId="27797" xr:uid="{004B2CAF-A353-4E6A-8AD7-D5C81CE73BE0}"/>
    <cellStyle name="20% - Accent4 14 5" xfId="5685" xr:uid="{00000000-0005-0000-0000-00001A170000}"/>
    <cellStyle name="20% - Accent4 14 5 2" xfId="13668" xr:uid="{00000000-0005-0000-0000-00001B170000}"/>
    <cellStyle name="20% - Accent4 14 5 2 2" xfId="37511" xr:uid="{0365D99F-EA6F-4788-B437-D351B9ED8350}"/>
    <cellStyle name="20% - Accent4 14 5 3" xfId="21616" xr:uid="{00000000-0005-0000-0000-00001C170000}"/>
    <cellStyle name="20% - Accent4 14 5 3 2" xfId="45448" xr:uid="{19CFFE20-88EF-4BCC-A43C-25A9BB90A5C2}"/>
    <cellStyle name="20% - Accent4 14 5 4" xfId="29570" xr:uid="{DBBBA0B2-EA7F-485F-B254-54B5E1F5DF8E}"/>
    <cellStyle name="20% - Accent4 14 6" xfId="9237" xr:uid="{00000000-0005-0000-0000-00001D170000}"/>
    <cellStyle name="20% - Accent4 14 6 2" xfId="17195" xr:uid="{00000000-0005-0000-0000-00001E170000}"/>
    <cellStyle name="20% - Accent4 14 6 2 2" xfId="41035" xr:uid="{1A8B8A87-9158-4897-93CA-002D0169D5BE}"/>
    <cellStyle name="20% - Accent4 14 6 3" xfId="25139" xr:uid="{00000000-0005-0000-0000-00001F170000}"/>
    <cellStyle name="20% - Accent4 14 6 3 2" xfId="48971" xr:uid="{46F47240-899E-415F-A01F-DB94AC2CC264}"/>
    <cellStyle name="20% - Accent4 14 6 4" xfId="33094" xr:uid="{30CD99CF-1150-46D6-999D-55556EE84E51}"/>
    <cellStyle name="20% - Accent4 14 7" xfId="10133" xr:uid="{00000000-0005-0000-0000-000020170000}"/>
    <cellStyle name="20% - Accent4 14 7 2" xfId="33982" xr:uid="{95139D4A-DE7E-4511-A7D0-A6E5A093EB00}"/>
    <cellStyle name="20% - Accent4 14 8" xfId="18088" xr:uid="{00000000-0005-0000-0000-000021170000}"/>
    <cellStyle name="20% - Accent4 14 8 2" xfId="41920" xr:uid="{3AABBC34-758F-405F-81F3-9BD6DF31D8CC}"/>
    <cellStyle name="20% - Accent4 14 9" xfId="26040" xr:uid="{3E8DC8F9-024B-45F8-840E-779CCE601BA0}"/>
    <cellStyle name="20% - Accent4 14_Exh G" xfId="2338" xr:uid="{00000000-0005-0000-0000-000022170000}"/>
    <cellStyle name="20% - Accent4 15" xfId="193" xr:uid="{00000000-0005-0000-0000-000023170000}"/>
    <cellStyle name="20% - Accent4 15 2" xfId="1219" xr:uid="{00000000-0005-0000-0000-000024170000}"/>
    <cellStyle name="20% - Accent4 15 2 2" xfId="4746" xr:uid="{00000000-0005-0000-0000-000025170000}"/>
    <cellStyle name="20% - Accent4 15 2 2 2" xfId="8337" xr:uid="{00000000-0005-0000-0000-000026170000}"/>
    <cellStyle name="20% - Accent4 15 2 2 2 2" xfId="16307" xr:uid="{00000000-0005-0000-0000-000027170000}"/>
    <cellStyle name="20% - Accent4 15 2 2 2 2 2" xfId="40149" xr:uid="{989074A1-F261-4600-A8CE-3574BF960507}"/>
    <cellStyle name="20% - Accent4 15 2 2 2 3" xfId="24253" xr:uid="{00000000-0005-0000-0000-000028170000}"/>
    <cellStyle name="20% - Accent4 15 2 2 2 3 2" xfId="48085" xr:uid="{6BC15B6C-3687-4954-B86B-0C4BE72314C0}"/>
    <cellStyle name="20% - Accent4 15 2 2 2 4" xfId="32208" xr:uid="{9BC06D1E-8891-4C2B-A84C-24E7901D7BD2}"/>
    <cellStyle name="20% - Accent4 15 2 2 3" xfId="12769" xr:uid="{00000000-0005-0000-0000-000029170000}"/>
    <cellStyle name="20% - Accent4 15 2 2 3 2" xfId="36618" xr:uid="{EC4CEB87-6773-4141-A24E-0946E9BA4FA5}"/>
    <cellStyle name="20% - Accent4 15 2 2 4" xfId="20724" xr:uid="{00000000-0005-0000-0000-00002A170000}"/>
    <cellStyle name="20% - Accent4 15 2 2 4 2" xfId="44556" xr:uid="{EBEC06D7-27C5-4C00-93C6-6BDC5FF51AC2}"/>
    <cellStyle name="20% - Accent4 15 2 2 5" xfId="28677" xr:uid="{DF885BA2-61F8-41E1-B4C3-DDF522C05C03}"/>
    <cellStyle name="20% - Accent4 15 2 3" xfId="6578" xr:uid="{00000000-0005-0000-0000-00002B170000}"/>
    <cellStyle name="20% - Accent4 15 2 3 2" xfId="14549" xr:uid="{00000000-0005-0000-0000-00002C170000}"/>
    <cellStyle name="20% - Accent4 15 2 3 2 2" xfId="38391" xr:uid="{9C0634E1-6A94-469C-A84F-97B88F28BAFA}"/>
    <cellStyle name="20% - Accent4 15 2 3 3" xfId="22496" xr:uid="{00000000-0005-0000-0000-00002D170000}"/>
    <cellStyle name="20% - Accent4 15 2 3 3 2" xfId="46328" xr:uid="{2DFCAB1B-4B6F-4B86-B724-12F872EE6D41}"/>
    <cellStyle name="20% - Accent4 15 2 3 4" xfId="30450" xr:uid="{9DF45BDB-C2F5-41B3-8DD2-B2890D639D12}"/>
    <cellStyle name="20% - Accent4 15 2 4" xfId="11013" xr:uid="{00000000-0005-0000-0000-00002E170000}"/>
    <cellStyle name="20% - Accent4 15 2 4 2" xfId="34862" xr:uid="{CDBC5F66-56F6-4B01-AF26-0095489ED651}"/>
    <cellStyle name="20% - Accent4 15 2 5" xfId="18968" xr:uid="{00000000-0005-0000-0000-00002F170000}"/>
    <cellStyle name="20% - Accent4 15 2 5 2" xfId="42800" xr:uid="{9F99904C-89CF-44A6-816B-FEC0DD68E183}"/>
    <cellStyle name="20% - Accent4 15 2 6" xfId="26920" xr:uid="{C61A2DB6-8B0D-4B6A-921B-FC234368EDF1}"/>
    <cellStyle name="20% - Accent4 15 2_Exh G" xfId="2343" xr:uid="{00000000-0005-0000-0000-000030170000}"/>
    <cellStyle name="20% - Accent4 15 3" xfId="3867" xr:uid="{00000000-0005-0000-0000-000031170000}"/>
    <cellStyle name="20% - Accent4 15 3 2" xfId="7459" xr:uid="{00000000-0005-0000-0000-000032170000}"/>
    <cellStyle name="20% - Accent4 15 3 2 2" xfId="15429" xr:uid="{00000000-0005-0000-0000-000033170000}"/>
    <cellStyle name="20% - Accent4 15 3 2 2 2" xfId="39271" xr:uid="{F65F53FD-4942-4E08-BFEE-51E2C9A1C876}"/>
    <cellStyle name="20% - Accent4 15 3 2 3" xfId="23375" xr:uid="{00000000-0005-0000-0000-000034170000}"/>
    <cellStyle name="20% - Accent4 15 3 2 3 2" xfId="47207" xr:uid="{E7BCC480-CE96-4537-A4C0-6C65D060E57D}"/>
    <cellStyle name="20% - Accent4 15 3 2 4" xfId="31330" xr:uid="{93169730-431E-4173-9CE7-D0A744BA614A}"/>
    <cellStyle name="20% - Accent4 15 3 3" xfId="11891" xr:uid="{00000000-0005-0000-0000-000035170000}"/>
    <cellStyle name="20% - Accent4 15 3 3 2" xfId="35740" xr:uid="{F0D7CC91-7917-456D-904C-2EEF1F6CA42C}"/>
    <cellStyle name="20% - Accent4 15 3 4" xfId="19846" xr:uid="{00000000-0005-0000-0000-000036170000}"/>
    <cellStyle name="20% - Accent4 15 3 4 2" xfId="43678" xr:uid="{B7CA0CE2-5827-41E5-B231-730CC2FDEA61}"/>
    <cellStyle name="20% - Accent4 15 3 5" xfId="27799" xr:uid="{327C44DA-EA47-4F06-9E44-F2AD0E3051D9}"/>
    <cellStyle name="20% - Accent4 15 4" xfId="5687" xr:uid="{00000000-0005-0000-0000-000037170000}"/>
    <cellStyle name="20% - Accent4 15 4 2" xfId="13670" xr:uid="{00000000-0005-0000-0000-000038170000}"/>
    <cellStyle name="20% - Accent4 15 4 2 2" xfId="37513" xr:uid="{EA388CB9-7207-4BDE-BBB6-1DA8CBA71A6E}"/>
    <cellStyle name="20% - Accent4 15 4 3" xfId="21618" xr:uid="{00000000-0005-0000-0000-000039170000}"/>
    <cellStyle name="20% - Accent4 15 4 3 2" xfId="45450" xr:uid="{A7C0C54F-EC9D-4353-97F1-ACB0D48FB975}"/>
    <cellStyle name="20% - Accent4 15 4 4" xfId="29572" xr:uid="{F7B13615-49B4-4718-9A95-A16244C3BDB0}"/>
    <cellStyle name="20% - Accent4 15 5" xfId="9239" xr:uid="{00000000-0005-0000-0000-00003A170000}"/>
    <cellStyle name="20% - Accent4 15 5 2" xfId="17197" xr:uid="{00000000-0005-0000-0000-00003B170000}"/>
    <cellStyle name="20% - Accent4 15 5 2 2" xfId="41037" xr:uid="{61B90E74-A252-4BC6-A86E-B93BE49A8E0A}"/>
    <cellStyle name="20% - Accent4 15 5 3" xfId="25141" xr:uid="{00000000-0005-0000-0000-00003C170000}"/>
    <cellStyle name="20% - Accent4 15 5 3 2" xfId="48973" xr:uid="{96D9BE28-55FC-4109-A3FC-ADE518747308}"/>
    <cellStyle name="20% - Accent4 15 5 4" xfId="33096" xr:uid="{FE1AE523-1051-4725-8728-AFE6D1E5D55B}"/>
    <cellStyle name="20% - Accent4 15 6" xfId="10135" xr:uid="{00000000-0005-0000-0000-00003D170000}"/>
    <cellStyle name="20% - Accent4 15 6 2" xfId="33984" xr:uid="{ADC246E7-2171-471C-96B1-A278E9AFBDDD}"/>
    <cellStyle name="20% - Accent4 15 7" xfId="18090" xr:uid="{00000000-0005-0000-0000-00003E170000}"/>
    <cellStyle name="20% - Accent4 15 7 2" xfId="41922" xr:uid="{BADE1D0D-7E90-492C-8509-C4D21AF13FF4}"/>
    <cellStyle name="20% - Accent4 15 8" xfId="26042" xr:uid="{D1283B97-7871-4CF8-BD35-14417B9BF528}"/>
    <cellStyle name="20% - Accent4 15_Exh G" xfId="2342" xr:uid="{00000000-0005-0000-0000-00003F170000}"/>
    <cellStyle name="20% - Accent4 16" xfId="843" xr:uid="{00000000-0005-0000-0000-000040170000}"/>
    <cellStyle name="20% - Accent4 16 2" xfId="1778" xr:uid="{00000000-0005-0000-0000-000041170000}"/>
    <cellStyle name="20% - Accent4 16 2 2" xfId="5298" xr:uid="{00000000-0005-0000-0000-000042170000}"/>
    <cellStyle name="20% - Accent4 16 2 2 2" xfId="8889" xr:uid="{00000000-0005-0000-0000-000043170000}"/>
    <cellStyle name="20% - Accent4 16 2 2 2 2" xfId="16859" xr:uid="{00000000-0005-0000-0000-000044170000}"/>
    <cellStyle name="20% - Accent4 16 2 2 2 2 2" xfId="40701" xr:uid="{F137ADA0-C888-45A7-9170-9C42AD3A8143}"/>
    <cellStyle name="20% - Accent4 16 2 2 2 3" xfId="24805" xr:uid="{00000000-0005-0000-0000-000045170000}"/>
    <cellStyle name="20% - Accent4 16 2 2 2 3 2" xfId="48637" xr:uid="{55D11711-46AD-4FCD-ADC9-A83F018D342D}"/>
    <cellStyle name="20% - Accent4 16 2 2 2 4" xfId="32760" xr:uid="{65CD79EB-4795-4673-97BA-28F5E509FB33}"/>
    <cellStyle name="20% - Accent4 16 2 2 3" xfId="13321" xr:uid="{00000000-0005-0000-0000-000046170000}"/>
    <cellStyle name="20% - Accent4 16 2 2 3 2" xfId="37170" xr:uid="{E60670D0-E343-426B-BD4C-4B6EDCCECA3C}"/>
    <cellStyle name="20% - Accent4 16 2 2 4" xfId="21276" xr:uid="{00000000-0005-0000-0000-000047170000}"/>
    <cellStyle name="20% - Accent4 16 2 2 4 2" xfId="45108" xr:uid="{9A538044-39F2-4500-AB23-F3021051946C}"/>
    <cellStyle name="20% - Accent4 16 2 2 5" xfId="29229" xr:uid="{4551AB6C-5CAF-4A4F-AE33-3561B27C75E9}"/>
    <cellStyle name="20% - Accent4 16 2 3" xfId="7130" xr:uid="{00000000-0005-0000-0000-000048170000}"/>
    <cellStyle name="20% - Accent4 16 2 3 2" xfId="15101" xr:uid="{00000000-0005-0000-0000-000049170000}"/>
    <cellStyle name="20% - Accent4 16 2 3 2 2" xfId="38943" xr:uid="{970DB323-39D4-4FA5-A36E-D3F8374C5FD7}"/>
    <cellStyle name="20% - Accent4 16 2 3 3" xfId="23048" xr:uid="{00000000-0005-0000-0000-00004A170000}"/>
    <cellStyle name="20% - Accent4 16 2 3 3 2" xfId="46880" xr:uid="{054030E9-6C1E-4743-B02F-AEF334C6D239}"/>
    <cellStyle name="20% - Accent4 16 2 3 4" xfId="31002" xr:uid="{1ECCBA5F-E463-48E8-B445-C491EA4272AC}"/>
    <cellStyle name="20% - Accent4 16 2 4" xfId="11565" xr:uid="{00000000-0005-0000-0000-00004B170000}"/>
    <cellStyle name="20% - Accent4 16 2 4 2" xfId="35414" xr:uid="{E7DCE463-44E5-4D51-9F07-1EE496DAD930}"/>
    <cellStyle name="20% - Accent4 16 2 5" xfId="19520" xr:uid="{00000000-0005-0000-0000-00004C170000}"/>
    <cellStyle name="20% - Accent4 16 2 5 2" xfId="43352" xr:uid="{5BC5D26D-0C9E-4854-8D15-C11D5AF11E4C}"/>
    <cellStyle name="20% - Accent4 16 2 6" xfId="27472" xr:uid="{E51F6549-8DF3-450B-9132-1AC9146D0F8E}"/>
    <cellStyle name="20% - Accent4 16 2_Exh G" xfId="2345" xr:uid="{00000000-0005-0000-0000-00004D170000}"/>
    <cellStyle name="20% - Accent4 16 3" xfId="4419" xr:uid="{00000000-0005-0000-0000-00004E170000}"/>
    <cellStyle name="20% - Accent4 16 3 2" xfId="8011" xr:uid="{00000000-0005-0000-0000-00004F170000}"/>
    <cellStyle name="20% - Accent4 16 3 2 2" xfId="15981" xr:uid="{00000000-0005-0000-0000-000050170000}"/>
    <cellStyle name="20% - Accent4 16 3 2 2 2" xfId="39823" xr:uid="{95B9B319-B2DD-41DA-9692-07732CDFC607}"/>
    <cellStyle name="20% - Accent4 16 3 2 3" xfId="23927" xr:uid="{00000000-0005-0000-0000-000051170000}"/>
    <cellStyle name="20% - Accent4 16 3 2 3 2" xfId="47759" xr:uid="{6F80BE8C-F24B-4537-8C1D-FA347C24FDB8}"/>
    <cellStyle name="20% - Accent4 16 3 2 4" xfId="31882" xr:uid="{36E05F18-E447-414C-9A2A-F30A53A5AF77}"/>
    <cellStyle name="20% - Accent4 16 3 3" xfId="12443" xr:uid="{00000000-0005-0000-0000-000052170000}"/>
    <cellStyle name="20% - Accent4 16 3 3 2" xfId="36292" xr:uid="{29E7A8F5-4F5E-44C9-AC9B-C376EC0DC428}"/>
    <cellStyle name="20% - Accent4 16 3 4" xfId="20398" xr:uid="{00000000-0005-0000-0000-000053170000}"/>
    <cellStyle name="20% - Accent4 16 3 4 2" xfId="44230" xr:uid="{0D35CB14-3E66-4794-8560-535D327DA903}"/>
    <cellStyle name="20% - Accent4 16 3 5" xfId="28351" xr:uid="{8AA19283-E416-42C4-916C-CAECA3CBF613}"/>
    <cellStyle name="20% - Accent4 16 4" xfId="6249" xr:uid="{00000000-0005-0000-0000-000054170000}"/>
    <cellStyle name="20% - Accent4 16 4 2" xfId="14223" xr:uid="{00000000-0005-0000-0000-000055170000}"/>
    <cellStyle name="20% - Accent4 16 4 2 2" xfId="38065" xr:uid="{2E851126-EA59-41B8-BBEC-80359B690313}"/>
    <cellStyle name="20% - Accent4 16 4 3" xfId="22170" xr:uid="{00000000-0005-0000-0000-000056170000}"/>
    <cellStyle name="20% - Accent4 16 4 3 2" xfId="46002" xr:uid="{CBA17560-3F1F-40B4-A1F7-A7765EEEE483}"/>
    <cellStyle name="20% - Accent4 16 4 4" xfId="30124" xr:uid="{4786A4CF-2DE4-459E-9B9E-4C59CD214542}"/>
    <cellStyle name="20% - Accent4 16 5" xfId="9791" xr:uid="{00000000-0005-0000-0000-000057170000}"/>
    <cellStyle name="20% - Accent4 16 5 2" xfId="17749" xr:uid="{00000000-0005-0000-0000-000058170000}"/>
    <cellStyle name="20% - Accent4 16 5 2 2" xfId="41589" xr:uid="{FB78A3B1-E949-41E8-AEF6-716834A3A70A}"/>
    <cellStyle name="20% - Accent4 16 5 3" xfId="25693" xr:uid="{00000000-0005-0000-0000-000059170000}"/>
    <cellStyle name="20% - Accent4 16 5 3 2" xfId="49525" xr:uid="{215AE99F-E6D7-4E93-8E35-492FEDCFD8BD}"/>
    <cellStyle name="20% - Accent4 16 5 4" xfId="33648" xr:uid="{78952F3D-7208-4073-9EC3-8008B71390F3}"/>
    <cellStyle name="20% - Accent4 16 6" xfId="10687" xr:uid="{00000000-0005-0000-0000-00005A170000}"/>
    <cellStyle name="20% - Accent4 16 6 2" xfId="34536" xr:uid="{BABD544C-ED19-421F-9A01-0E317EF3C38C}"/>
    <cellStyle name="20% - Accent4 16 7" xfId="18642" xr:uid="{00000000-0005-0000-0000-00005B170000}"/>
    <cellStyle name="20% - Accent4 16 7 2" xfId="42474" xr:uid="{8095F00B-5331-4BF7-8A86-C56165B76D74}"/>
    <cellStyle name="20% - Accent4 16 8" xfId="26594" xr:uid="{8F243F6F-702D-4258-A63B-8FCC91F643EC}"/>
    <cellStyle name="20% - Accent4 16_Exh G" xfId="2344" xr:uid="{00000000-0005-0000-0000-00005C170000}"/>
    <cellStyle name="20% - Accent4 17" xfId="49789" xr:uid="{A3501623-C8C2-484F-8D1E-F1490D9A75DE}"/>
    <cellStyle name="20% - Accent4 18" xfId="49829" xr:uid="{6A018B24-7192-4500-A593-FB594C4ADE11}"/>
    <cellStyle name="20% - Accent4 2" xfId="194" xr:uid="{00000000-0005-0000-0000-00005D170000}"/>
    <cellStyle name="20% - Accent4 2 10" xfId="18091" xr:uid="{00000000-0005-0000-0000-00005E170000}"/>
    <cellStyle name="20% - Accent4 2 10 2" xfId="41923" xr:uid="{CB52BEBC-5CC3-45DE-BA66-96418013B0F3}"/>
    <cellStyle name="20% - Accent4 2 11" xfId="26043" xr:uid="{30CF67D0-D4A9-47C7-B828-319DE0D0C45E}"/>
    <cellStyle name="20% - Accent4 2 12" xfId="49774" xr:uid="{EFEC892A-EA61-455C-B0F7-D0FEFE212ADF}"/>
    <cellStyle name="20% - Accent4 2 13" xfId="49802" xr:uid="{1F55978E-94B2-40ED-B708-93BCE7F77B75}"/>
    <cellStyle name="20% - Accent4 2 14" xfId="49843" xr:uid="{BDD705F9-D2E7-481E-9F24-9D6CB17DA704}"/>
    <cellStyle name="20% - Accent4 2 2" xfId="195" xr:uid="{00000000-0005-0000-0000-00005F170000}"/>
    <cellStyle name="20% - Accent4 2 2 10" xfId="26044" xr:uid="{BA715756-92D4-45B8-8527-D3C1CA93EE88}"/>
    <cellStyle name="20% - Accent4 2 2 2" xfId="196" xr:uid="{00000000-0005-0000-0000-000060170000}"/>
    <cellStyle name="20% - Accent4 2 2 2 2" xfId="1222" xr:uid="{00000000-0005-0000-0000-000061170000}"/>
    <cellStyle name="20% - Accent4 2 2 2 2 2" xfId="4749" xr:uid="{00000000-0005-0000-0000-000062170000}"/>
    <cellStyle name="20% - Accent4 2 2 2 2 2 2" xfId="8340" xr:uid="{00000000-0005-0000-0000-000063170000}"/>
    <cellStyle name="20% - Accent4 2 2 2 2 2 2 2" xfId="16310" xr:uid="{00000000-0005-0000-0000-000064170000}"/>
    <cellStyle name="20% - Accent4 2 2 2 2 2 2 2 2" xfId="40152" xr:uid="{EAEB31A5-D1C9-4676-9FC5-FD088F13B903}"/>
    <cellStyle name="20% - Accent4 2 2 2 2 2 2 3" xfId="24256" xr:uid="{00000000-0005-0000-0000-000065170000}"/>
    <cellStyle name="20% - Accent4 2 2 2 2 2 2 3 2" xfId="48088" xr:uid="{E1158F46-8CC2-44B3-9F0D-551C6B5A9D4D}"/>
    <cellStyle name="20% - Accent4 2 2 2 2 2 2 4" xfId="32211" xr:uid="{7FF72CDA-FCDA-47EC-85DB-8013A9B0F6FF}"/>
    <cellStyle name="20% - Accent4 2 2 2 2 2 3" xfId="12772" xr:uid="{00000000-0005-0000-0000-000066170000}"/>
    <cellStyle name="20% - Accent4 2 2 2 2 2 3 2" xfId="36621" xr:uid="{85AA059A-4132-4C65-9919-D4268D9D0766}"/>
    <cellStyle name="20% - Accent4 2 2 2 2 2 4" xfId="20727" xr:uid="{00000000-0005-0000-0000-000067170000}"/>
    <cellStyle name="20% - Accent4 2 2 2 2 2 4 2" xfId="44559" xr:uid="{5FD00FAA-9107-432B-AD19-ABBC88A50A2C}"/>
    <cellStyle name="20% - Accent4 2 2 2 2 2 5" xfId="28680" xr:uid="{0EB94025-24B1-4BFE-BDF9-3A414DD06E47}"/>
    <cellStyle name="20% - Accent4 2 2 2 2 3" xfId="6581" xr:uid="{00000000-0005-0000-0000-000068170000}"/>
    <cellStyle name="20% - Accent4 2 2 2 2 3 2" xfId="14552" xr:uid="{00000000-0005-0000-0000-000069170000}"/>
    <cellStyle name="20% - Accent4 2 2 2 2 3 2 2" xfId="38394" xr:uid="{35EF343B-66CF-42D8-B981-636D1FE9449B}"/>
    <cellStyle name="20% - Accent4 2 2 2 2 3 3" xfId="22499" xr:uid="{00000000-0005-0000-0000-00006A170000}"/>
    <cellStyle name="20% - Accent4 2 2 2 2 3 3 2" xfId="46331" xr:uid="{D288FCEB-3558-454E-8ABA-8E1926A247F2}"/>
    <cellStyle name="20% - Accent4 2 2 2 2 3 4" xfId="30453" xr:uid="{D8137F13-0242-4B9E-8A84-A4274AFBAC38}"/>
    <cellStyle name="20% - Accent4 2 2 2 2 4" xfId="11016" xr:uid="{00000000-0005-0000-0000-00006B170000}"/>
    <cellStyle name="20% - Accent4 2 2 2 2 4 2" xfId="34865" xr:uid="{06C5E298-BFBA-48A1-B131-463FF0F5F5C2}"/>
    <cellStyle name="20% - Accent4 2 2 2 2 5" xfId="18971" xr:uid="{00000000-0005-0000-0000-00006C170000}"/>
    <cellStyle name="20% - Accent4 2 2 2 2 5 2" xfId="42803" xr:uid="{FB8CC742-9C99-4E66-B30A-B8F2A9EADE05}"/>
    <cellStyle name="20% - Accent4 2 2 2 2 6" xfId="26923" xr:uid="{539D815E-593A-4D44-9A71-C7CE22952752}"/>
    <cellStyle name="20% - Accent4 2 2 2 2_Exh G" xfId="2349" xr:uid="{00000000-0005-0000-0000-00006D170000}"/>
    <cellStyle name="20% - Accent4 2 2 2 3" xfId="3870" xr:uid="{00000000-0005-0000-0000-00006E170000}"/>
    <cellStyle name="20% - Accent4 2 2 2 3 2" xfId="7462" xr:uid="{00000000-0005-0000-0000-00006F170000}"/>
    <cellStyle name="20% - Accent4 2 2 2 3 2 2" xfId="15432" xr:uid="{00000000-0005-0000-0000-000070170000}"/>
    <cellStyle name="20% - Accent4 2 2 2 3 2 2 2" xfId="39274" xr:uid="{E7690FAE-A223-4167-8A5D-415194C6E582}"/>
    <cellStyle name="20% - Accent4 2 2 2 3 2 3" xfId="23378" xr:uid="{00000000-0005-0000-0000-000071170000}"/>
    <cellStyle name="20% - Accent4 2 2 2 3 2 3 2" xfId="47210" xr:uid="{8903D47C-8FAD-474A-A86B-DB1EEB3A96B1}"/>
    <cellStyle name="20% - Accent4 2 2 2 3 2 4" xfId="31333" xr:uid="{38D40906-69B7-4BDF-8377-93EF6FDCB9B0}"/>
    <cellStyle name="20% - Accent4 2 2 2 3 3" xfId="11894" xr:uid="{00000000-0005-0000-0000-000072170000}"/>
    <cellStyle name="20% - Accent4 2 2 2 3 3 2" xfId="35743" xr:uid="{F0697F26-C651-431D-9CF0-8C9FBF6811C9}"/>
    <cellStyle name="20% - Accent4 2 2 2 3 4" xfId="19849" xr:uid="{00000000-0005-0000-0000-000073170000}"/>
    <cellStyle name="20% - Accent4 2 2 2 3 4 2" xfId="43681" xr:uid="{F1C2C5FB-6831-4AD3-85B9-E56B9E0889FF}"/>
    <cellStyle name="20% - Accent4 2 2 2 3 5" xfId="27802" xr:uid="{CFE1F9A5-903F-403F-977D-EC1AC830E9EF}"/>
    <cellStyle name="20% - Accent4 2 2 2 4" xfId="5690" xr:uid="{00000000-0005-0000-0000-000074170000}"/>
    <cellStyle name="20% - Accent4 2 2 2 4 2" xfId="13673" xr:uid="{00000000-0005-0000-0000-000075170000}"/>
    <cellStyle name="20% - Accent4 2 2 2 4 2 2" xfId="37516" xr:uid="{67BB0CCE-B1A0-4520-B377-47B87BFEDB44}"/>
    <cellStyle name="20% - Accent4 2 2 2 4 3" xfId="21621" xr:uid="{00000000-0005-0000-0000-000076170000}"/>
    <cellStyle name="20% - Accent4 2 2 2 4 3 2" xfId="45453" xr:uid="{196AB59F-64CF-4EE5-BB2B-9B5802FB18B7}"/>
    <cellStyle name="20% - Accent4 2 2 2 4 4" xfId="29575" xr:uid="{61BE72BB-EAF4-48F1-B6FE-95035D8922C1}"/>
    <cellStyle name="20% - Accent4 2 2 2 5" xfId="9242" xr:uid="{00000000-0005-0000-0000-000077170000}"/>
    <cellStyle name="20% - Accent4 2 2 2 5 2" xfId="17200" xr:uid="{00000000-0005-0000-0000-000078170000}"/>
    <cellStyle name="20% - Accent4 2 2 2 5 2 2" xfId="41040" xr:uid="{1C0924EF-522E-4C26-887B-24BE62F82356}"/>
    <cellStyle name="20% - Accent4 2 2 2 5 3" xfId="25144" xr:uid="{00000000-0005-0000-0000-000079170000}"/>
    <cellStyle name="20% - Accent4 2 2 2 5 3 2" xfId="48976" xr:uid="{C698AC9C-A77F-4DE2-B5A2-4C1B70FF62FB}"/>
    <cellStyle name="20% - Accent4 2 2 2 5 4" xfId="33099" xr:uid="{6B4B839D-783F-4F73-91B4-2E35D10FC1A0}"/>
    <cellStyle name="20% - Accent4 2 2 2 6" xfId="10138" xr:uid="{00000000-0005-0000-0000-00007A170000}"/>
    <cellStyle name="20% - Accent4 2 2 2 6 2" xfId="33987" xr:uid="{033836CC-741F-4245-A849-D54D8E238DD0}"/>
    <cellStyle name="20% - Accent4 2 2 2 7" xfId="18093" xr:uid="{00000000-0005-0000-0000-00007B170000}"/>
    <cellStyle name="20% - Accent4 2 2 2 7 2" xfId="41925" xr:uid="{74D9BF60-16EC-490F-ADC9-9D56DA556B23}"/>
    <cellStyle name="20% - Accent4 2 2 2 8" xfId="26045" xr:uid="{A39D4093-CACD-4C0D-B784-68BE037521C1}"/>
    <cellStyle name="20% - Accent4 2 2 2_Exh G" xfId="2348" xr:uid="{00000000-0005-0000-0000-00007C170000}"/>
    <cellStyle name="20% - Accent4 2 2 3" xfId="897" xr:uid="{00000000-0005-0000-0000-00007D170000}"/>
    <cellStyle name="20% - Accent4 2 2 3 2" xfId="1823" xr:uid="{00000000-0005-0000-0000-00007E170000}"/>
    <cellStyle name="20% - Accent4 2 2 3 2 2" xfId="5340" xr:uid="{00000000-0005-0000-0000-00007F170000}"/>
    <cellStyle name="20% - Accent4 2 2 3 2 2 2" xfId="8931" xr:uid="{00000000-0005-0000-0000-000080170000}"/>
    <cellStyle name="20% - Accent4 2 2 3 2 2 2 2" xfId="16901" xr:uid="{00000000-0005-0000-0000-000081170000}"/>
    <cellStyle name="20% - Accent4 2 2 3 2 2 2 2 2" xfId="40743" xr:uid="{81705839-7991-45E5-9789-9F492B65C3F3}"/>
    <cellStyle name="20% - Accent4 2 2 3 2 2 2 3" xfId="24847" xr:uid="{00000000-0005-0000-0000-000082170000}"/>
    <cellStyle name="20% - Accent4 2 2 3 2 2 2 3 2" xfId="48679" xr:uid="{C0229657-C043-4740-8B25-EB1AABC77124}"/>
    <cellStyle name="20% - Accent4 2 2 3 2 2 2 4" xfId="32802" xr:uid="{A6280398-8A45-4647-80E9-2B6CD600E2DA}"/>
    <cellStyle name="20% - Accent4 2 2 3 2 2 3" xfId="13363" xr:uid="{00000000-0005-0000-0000-000083170000}"/>
    <cellStyle name="20% - Accent4 2 2 3 2 2 3 2" xfId="37212" xr:uid="{9B42E893-CE5B-4CF2-8B1F-C20A49E2B9AC}"/>
    <cellStyle name="20% - Accent4 2 2 3 2 2 4" xfId="21318" xr:uid="{00000000-0005-0000-0000-000084170000}"/>
    <cellStyle name="20% - Accent4 2 2 3 2 2 4 2" xfId="45150" xr:uid="{0205325A-FC04-426F-9218-2017080AAEB5}"/>
    <cellStyle name="20% - Accent4 2 2 3 2 2 5" xfId="29271" xr:uid="{24075E4F-268F-4148-9557-6F95D8B18322}"/>
    <cellStyle name="20% - Accent4 2 2 3 2 3" xfId="7172" xr:uid="{00000000-0005-0000-0000-000085170000}"/>
    <cellStyle name="20% - Accent4 2 2 3 2 3 2" xfId="15143" xr:uid="{00000000-0005-0000-0000-000086170000}"/>
    <cellStyle name="20% - Accent4 2 2 3 2 3 2 2" xfId="38985" xr:uid="{128A7981-2073-4A31-A1D5-1F50FADA54C4}"/>
    <cellStyle name="20% - Accent4 2 2 3 2 3 3" xfId="23090" xr:uid="{00000000-0005-0000-0000-000087170000}"/>
    <cellStyle name="20% - Accent4 2 2 3 2 3 3 2" xfId="46922" xr:uid="{97AEC2DC-3AEC-4C62-8E6D-E9C8B646CAEA}"/>
    <cellStyle name="20% - Accent4 2 2 3 2 3 4" xfId="31044" xr:uid="{444776EF-061C-4257-9345-C1159A6EA85F}"/>
    <cellStyle name="20% - Accent4 2 2 3 2 4" xfId="11607" xr:uid="{00000000-0005-0000-0000-000088170000}"/>
    <cellStyle name="20% - Accent4 2 2 3 2 4 2" xfId="35456" xr:uid="{F19D0D50-7C04-4D21-9B21-CFAEAFBA82FC}"/>
    <cellStyle name="20% - Accent4 2 2 3 2 5" xfId="19562" xr:uid="{00000000-0005-0000-0000-000089170000}"/>
    <cellStyle name="20% - Accent4 2 2 3 2 5 2" xfId="43394" xr:uid="{D4BB04FC-8E62-4E1C-8BD4-39B94C76B4B5}"/>
    <cellStyle name="20% - Accent4 2 2 3 2 6" xfId="27514" xr:uid="{2B8933B1-D8E6-4806-96B6-C02FC94EFE59}"/>
    <cellStyle name="20% - Accent4 2 2 3 2_Exh G" xfId="2351" xr:uid="{00000000-0005-0000-0000-00008A170000}"/>
    <cellStyle name="20% - Accent4 2 2 3 3" xfId="4461" xr:uid="{00000000-0005-0000-0000-00008B170000}"/>
    <cellStyle name="20% - Accent4 2 2 3 3 2" xfId="8053" xr:uid="{00000000-0005-0000-0000-00008C170000}"/>
    <cellStyle name="20% - Accent4 2 2 3 3 2 2" xfId="16023" xr:uid="{00000000-0005-0000-0000-00008D170000}"/>
    <cellStyle name="20% - Accent4 2 2 3 3 2 2 2" xfId="39865" xr:uid="{2C538735-C988-4BE1-9F38-369AA5F6DC92}"/>
    <cellStyle name="20% - Accent4 2 2 3 3 2 3" xfId="23969" xr:uid="{00000000-0005-0000-0000-00008E170000}"/>
    <cellStyle name="20% - Accent4 2 2 3 3 2 3 2" xfId="47801" xr:uid="{4970337A-00EB-45BD-96DA-48960BF6AEFF}"/>
    <cellStyle name="20% - Accent4 2 2 3 3 2 4" xfId="31924" xr:uid="{3BF6054C-E4B6-4FE8-9748-AC2C84CAF3A7}"/>
    <cellStyle name="20% - Accent4 2 2 3 3 3" xfId="12485" xr:uid="{00000000-0005-0000-0000-00008F170000}"/>
    <cellStyle name="20% - Accent4 2 2 3 3 3 2" xfId="36334" xr:uid="{F5D99096-EE9A-424C-9B37-6A4357754104}"/>
    <cellStyle name="20% - Accent4 2 2 3 3 4" xfId="20440" xr:uid="{00000000-0005-0000-0000-000090170000}"/>
    <cellStyle name="20% - Accent4 2 2 3 3 4 2" xfId="44272" xr:uid="{1DF64DDB-00ED-41B7-A745-915A3F15EFDD}"/>
    <cellStyle name="20% - Accent4 2 2 3 3 5" xfId="28393" xr:uid="{F7E120AA-417A-4713-88D9-96E93DFD5FDD}"/>
    <cellStyle name="20% - Accent4 2 2 3 4" xfId="6291" xr:uid="{00000000-0005-0000-0000-000091170000}"/>
    <cellStyle name="20% - Accent4 2 2 3 4 2" xfId="14265" xr:uid="{00000000-0005-0000-0000-000092170000}"/>
    <cellStyle name="20% - Accent4 2 2 3 4 2 2" xfId="38107" xr:uid="{C5236C5D-9CDD-40C5-84C5-7E386BA6BEAC}"/>
    <cellStyle name="20% - Accent4 2 2 3 4 3" xfId="22212" xr:uid="{00000000-0005-0000-0000-000093170000}"/>
    <cellStyle name="20% - Accent4 2 2 3 4 3 2" xfId="46044" xr:uid="{C1F779A1-8362-440F-8817-7C8F24D01F93}"/>
    <cellStyle name="20% - Accent4 2 2 3 4 4" xfId="30166" xr:uid="{A28E082B-0101-4EB6-B37A-8AEE931B1A51}"/>
    <cellStyle name="20% - Accent4 2 2 3 5" xfId="9833" xr:uid="{00000000-0005-0000-0000-000094170000}"/>
    <cellStyle name="20% - Accent4 2 2 3 5 2" xfId="17791" xr:uid="{00000000-0005-0000-0000-000095170000}"/>
    <cellStyle name="20% - Accent4 2 2 3 5 2 2" xfId="41631" xr:uid="{B911CF3A-C6AA-4583-B1C6-066962674650}"/>
    <cellStyle name="20% - Accent4 2 2 3 5 3" xfId="25735" xr:uid="{00000000-0005-0000-0000-000096170000}"/>
    <cellStyle name="20% - Accent4 2 2 3 5 3 2" xfId="49567" xr:uid="{55C3EB57-EDF8-40A2-B112-5155639EF200}"/>
    <cellStyle name="20% - Accent4 2 2 3 5 4" xfId="33690" xr:uid="{37C8E50B-01F3-48D5-BDDD-DB0CC6C6134C}"/>
    <cellStyle name="20% - Accent4 2 2 3 6" xfId="10729" xr:uid="{00000000-0005-0000-0000-000097170000}"/>
    <cellStyle name="20% - Accent4 2 2 3 6 2" xfId="34578" xr:uid="{7B7F1C12-176C-4D57-B18A-901285BFFE1A}"/>
    <cellStyle name="20% - Accent4 2 2 3 7" xfId="18684" xr:uid="{00000000-0005-0000-0000-000098170000}"/>
    <cellStyle name="20% - Accent4 2 2 3 7 2" xfId="42516" xr:uid="{F599B3B9-A7FE-4E58-A5D6-DC95F6B7DFEA}"/>
    <cellStyle name="20% - Accent4 2 2 3 8" xfId="26636" xr:uid="{E2302838-B027-4AF9-A5E0-29893AF85E40}"/>
    <cellStyle name="20% - Accent4 2 2 3_Exh G" xfId="2350" xr:uid="{00000000-0005-0000-0000-000099170000}"/>
    <cellStyle name="20% - Accent4 2 2 4" xfId="1221" xr:uid="{00000000-0005-0000-0000-00009A170000}"/>
    <cellStyle name="20% - Accent4 2 2 4 2" xfId="4748" xr:uid="{00000000-0005-0000-0000-00009B170000}"/>
    <cellStyle name="20% - Accent4 2 2 4 2 2" xfId="8339" xr:uid="{00000000-0005-0000-0000-00009C170000}"/>
    <cellStyle name="20% - Accent4 2 2 4 2 2 2" xfId="16309" xr:uid="{00000000-0005-0000-0000-00009D170000}"/>
    <cellStyle name="20% - Accent4 2 2 4 2 2 2 2" xfId="40151" xr:uid="{3DE873F7-8CC0-4CE2-896E-B117E1F053B4}"/>
    <cellStyle name="20% - Accent4 2 2 4 2 2 3" xfId="24255" xr:uid="{00000000-0005-0000-0000-00009E170000}"/>
    <cellStyle name="20% - Accent4 2 2 4 2 2 3 2" xfId="48087" xr:uid="{65756777-4E21-4E52-B940-3F3FBE7C639B}"/>
    <cellStyle name="20% - Accent4 2 2 4 2 2 4" xfId="32210" xr:uid="{93808944-AB31-4046-ACF2-0A9B8D3B7E64}"/>
    <cellStyle name="20% - Accent4 2 2 4 2 3" xfId="12771" xr:uid="{00000000-0005-0000-0000-00009F170000}"/>
    <cellStyle name="20% - Accent4 2 2 4 2 3 2" xfId="36620" xr:uid="{CF60472F-5300-4202-838B-7B989B3C3F69}"/>
    <cellStyle name="20% - Accent4 2 2 4 2 4" xfId="20726" xr:uid="{00000000-0005-0000-0000-0000A0170000}"/>
    <cellStyle name="20% - Accent4 2 2 4 2 4 2" xfId="44558" xr:uid="{46C1FE31-3750-4AC6-912E-6F56C1B77D16}"/>
    <cellStyle name="20% - Accent4 2 2 4 2 5" xfId="28679" xr:uid="{35AA868D-3B95-4EA9-9E63-9FB379617442}"/>
    <cellStyle name="20% - Accent4 2 2 4 3" xfId="6580" xr:uid="{00000000-0005-0000-0000-0000A1170000}"/>
    <cellStyle name="20% - Accent4 2 2 4 3 2" xfId="14551" xr:uid="{00000000-0005-0000-0000-0000A2170000}"/>
    <cellStyle name="20% - Accent4 2 2 4 3 2 2" xfId="38393" xr:uid="{28AB7F7E-CA70-433B-A83E-7B4213F086D4}"/>
    <cellStyle name="20% - Accent4 2 2 4 3 3" xfId="22498" xr:uid="{00000000-0005-0000-0000-0000A3170000}"/>
    <cellStyle name="20% - Accent4 2 2 4 3 3 2" xfId="46330" xr:uid="{0325A4D3-E61C-47E0-A23E-193564E66523}"/>
    <cellStyle name="20% - Accent4 2 2 4 3 4" xfId="30452" xr:uid="{9AA1C9F5-92B5-48FC-859F-BB46973475E0}"/>
    <cellStyle name="20% - Accent4 2 2 4 4" xfId="11015" xr:uid="{00000000-0005-0000-0000-0000A4170000}"/>
    <cellStyle name="20% - Accent4 2 2 4 4 2" xfId="34864" xr:uid="{99B7BD67-3EFB-4082-A972-A997897152FC}"/>
    <cellStyle name="20% - Accent4 2 2 4 5" xfId="18970" xr:uid="{00000000-0005-0000-0000-0000A5170000}"/>
    <cellStyle name="20% - Accent4 2 2 4 5 2" xfId="42802" xr:uid="{D147BF5F-DCC0-4DFC-8070-D1DEA0DA98E7}"/>
    <cellStyle name="20% - Accent4 2 2 4 6" xfId="26922" xr:uid="{58226BD9-D771-4BBD-9E48-C3907388B87B}"/>
    <cellStyle name="20% - Accent4 2 2 4_Exh G" xfId="2352" xr:uid="{00000000-0005-0000-0000-0000A6170000}"/>
    <cellStyle name="20% - Accent4 2 2 5" xfId="3869" xr:uid="{00000000-0005-0000-0000-0000A7170000}"/>
    <cellStyle name="20% - Accent4 2 2 5 2" xfId="7461" xr:uid="{00000000-0005-0000-0000-0000A8170000}"/>
    <cellStyle name="20% - Accent4 2 2 5 2 2" xfId="15431" xr:uid="{00000000-0005-0000-0000-0000A9170000}"/>
    <cellStyle name="20% - Accent4 2 2 5 2 2 2" xfId="39273" xr:uid="{BAEAEED1-7536-4521-B704-990C751C2D9A}"/>
    <cellStyle name="20% - Accent4 2 2 5 2 3" xfId="23377" xr:uid="{00000000-0005-0000-0000-0000AA170000}"/>
    <cellStyle name="20% - Accent4 2 2 5 2 3 2" xfId="47209" xr:uid="{00E44BE5-C352-47AB-846E-3F2C576937D0}"/>
    <cellStyle name="20% - Accent4 2 2 5 2 4" xfId="31332" xr:uid="{FE27C434-69A2-4502-92D6-953253303118}"/>
    <cellStyle name="20% - Accent4 2 2 5 3" xfId="11893" xr:uid="{00000000-0005-0000-0000-0000AB170000}"/>
    <cellStyle name="20% - Accent4 2 2 5 3 2" xfId="35742" xr:uid="{A66011AD-DE21-4968-8E93-0589C303A561}"/>
    <cellStyle name="20% - Accent4 2 2 5 4" xfId="19848" xr:uid="{00000000-0005-0000-0000-0000AC170000}"/>
    <cellStyle name="20% - Accent4 2 2 5 4 2" xfId="43680" xr:uid="{BEBC7BEA-05D4-41E8-AC9E-A9592A47D703}"/>
    <cellStyle name="20% - Accent4 2 2 5 5" xfId="27801" xr:uid="{5D25E19F-8002-41CF-B848-B044E90AEBD4}"/>
    <cellStyle name="20% - Accent4 2 2 6" xfId="5689" xr:uid="{00000000-0005-0000-0000-0000AD170000}"/>
    <cellStyle name="20% - Accent4 2 2 6 2" xfId="13672" xr:uid="{00000000-0005-0000-0000-0000AE170000}"/>
    <cellStyle name="20% - Accent4 2 2 6 2 2" xfId="37515" xr:uid="{985182FF-6225-46A9-9380-F57EAE71E820}"/>
    <cellStyle name="20% - Accent4 2 2 6 3" xfId="21620" xr:uid="{00000000-0005-0000-0000-0000AF170000}"/>
    <cellStyle name="20% - Accent4 2 2 6 3 2" xfId="45452" xr:uid="{8B788C11-EC62-4363-971A-C416DF47069A}"/>
    <cellStyle name="20% - Accent4 2 2 6 4" xfId="29574" xr:uid="{7A37C9A6-D913-48D7-9FDE-3C189100E874}"/>
    <cellStyle name="20% - Accent4 2 2 7" xfId="9241" xr:uid="{00000000-0005-0000-0000-0000B0170000}"/>
    <cellStyle name="20% - Accent4 2 2 7 2" xfId="17199" xr:uid="{00000000-0005-0000-0000-0000B1170000}"/>
    <cellStyle name="20% - Accent4 2 2 7 2 2" xfId="41039" xr:uid="{5B2901B8-747E-4332-A7E1-5F132199E10C}"/>
    <cellStyle name="20% - Accent4 2 2 7 3" xfId="25143" xr:uid="{00000000-0005-0000-0000-0000B2170000}"/>
    <cellStyle name="20% - Accent4 2 2 7 3 2" xfId="48975" xr:uid="{B6A4E830-1225-4E92-8087-4A3B1E1FFFE3}"/>
    <cellStyle name="20% - Accent4 2 2 7 4" xfId="33098" xr:uid="{42E2955B-E3D1-4071-90D0-31CED751F251}"/>
    <cellStyle name="20% - Accent4 2 2 8" xfId="10137" xr:uid="{00000000-0005-0000-0000-0000B3170000}"/>
    <cellStyle name="20% - Accent4 2 2 8 2" xfId="33986" xr:uid="{778039E7-D279-4544-BD3F-752434B1CBF6}"/>
    <cellStyle name="20% - Accent4 2 2 9" xfId="18092" xr:uid="{00000000-0005-0000-0000-0000B4170000}"/>
    <cellStyle name="20% - Accent4 2 2 9 2" xfId="41924" xr:uid="{C311BF55-2F6A-4560-99D2-CD4FE946587B}"/>
    <cellStyle name="20% - Accent4 2 2_Exh G" xfId="2347" xr:uid="{00000000-0005-0000-0000-0000B5170000}"/>
    <cellStyle name="20% - Accent4 2 3" xfId="197" xr:uid="{00000000-0005-0000-0000-0000B6170000}"/>
    <cellStyle name="20% - Accent4 2 3 2" xfId="1223" xr:uid="{00000000-0005-0000-0000-0000B7170000}"/>
    <cellStyle name="20% - Accent4 2 3 2 2" xfId="4750" xr:uid="{00000000-0005-0000-0000-0000B8170000}"/>
    <cellStyle name="20% - Accent4 2 3 2 2 2" xfId="8341" xr:uid="{00000000-0005-0000-0000-0000B9170000}"/>
    <cellStyle name="20% - Accent4 2 3 2 2 2 2" xfId="16311" xr:uid="{00000000-0005-0000-0000-0000BA170000}"/>
    <cellStyle name="20% - Accent4 2 3 2 2 2 2 2" xfId="40153" xr:uid="{4624DF0C-183B-4BB9-8788-CF43F166B852}"/>
    <cellStyle name="20% - Accent4 2 3 2 2 2 3" xfId="24257" xr:uid="{00000000-0005-0000-0000-0000BB170000}"/>
    <cellStyle name="20% - Accent4 2 3 2 2 2 3 2" xfId="48089" xr:uid="{9D42FC55-8AE1-45A2-A7AB-3FA9E51061B8}"/>
    <cellStyle name="20% - Accent4 2 3 2 2 2 4" xfId="32212" xr:uid="{5738710B-D389-445E-A4A8-6D7D997BB607}"/>
    <cellStyle name="20% - Accent4 2 3 2 2 3" xfId="12773" xr:uid="{00000000-0005-0000-0000-0000BC170000}"/>
    <cellStyle name="20% - Accent4 2 3 2 2 3 2" xfId="36622" xr:uid="{806853C9-153C-48E8-B2F9-E87D1CC2D747}"/>
    <cellStyle name="20% - Accent4 2 3 2 2 4" xfId="20728" xr:uid="{00000000-0005-0000-0000-0000BD170000}"/>
    <cellStyle name="20% - Accent4 2 3 2 2 4 2" xfId="44560" xr:uid="{6B69F587-7CA3-4A07-9FD1-E50AEDE965BD}"/>
    <cellStyle name="20% - Accent4 2 3 2 2 5" xfId="28681" xr:uid="{A7B69231-345F-4A5F-AA6D-F0801B3095D5}"/>
    <cellStyle name="20% - Accent4 2 3 2 3" xfId="6582" xr:uid="{00000000-0005-0000-0000-0000BE170000}"/>
    <cellStyle name="20% - Accent4 2 3 2 3 2" xfId="14553" xr:uid="{00000000-0005-0000-0000-0000BF170000}"/>
    <cellStyle name="20% - Accent4 2 3 2 3 2 2" xfId="38395" xr:uid="{BFC885FD-2DFA-4CD4-B451-A66513D6FF20}"/>
    <cellStyle name="20% - Accent4 2 3 2 3 3" xfId="22500" xr:uid="{00000000-0005-0000-0000-0000C0170000}"/>
    <cellStyle name="20% - Accent4 2 3 2 3 3 2" xfId="46332" xr:uid="{9059BE67-0206-413C-A2AE-643E611D9191}"/>
    <cellStyle name="20% - Accent4 2 3 2 3 4" xfId="30454" xr:uid="{ADB2B39D-0122-4C60-A80F-6F9076F8E42D}"/>
    <cellStyle name="20% - Accent4 2 3 2 4" xfId="11017" xr:uid="{00000000-0005-0000-0000-0000C1170000}"/>
    <cellStyle name="20% - Accent4 2 3 2 4 2" xfId="34866" xr:uid="{66438CAD-9CFA-4B4C-B8EA-D380333A6837}"/>
    <cellStyle name="20% - Accent4 2 3 2 5" xfId="18972" xr:uid="{00000000-0005-0000-0000-0000C2170000}"/>
    <cellStyle name="20% - Accent4 2 3 2 5 2" xfId="42804" xr:uid="{D1E0C1A2-5A06-44E8-A9E0-2C46B2030942}"/>
    <cellStyle name="20% - Accent4 2 3 2 6" xfId="26924" xr:uid="{C72733A2-4A24-4FC0-A52F-1C2E42E6482D}"/>
    <cellStyle name="20% - Accent4 2 3 2_Exh G" xfId="2354" xr:uid="{00000000-0005-0000-0000-0000C3170000}"/>
    <cellStyle name="20% - Accent4 2 3 3" xfId="3871" xr:uid="{00000000-0005-0000-0000-0000C4170000}"/>
    <cellStyle name="20% - Accent4 2 3 3 2" xfId="7463" xr:uid="{00000000-0005-0000-0000-0000C5170000}"/>
    <cellStyle name="20% - Accent4 2 3 3 2 2" xfId="15433" xr:uid="{00000000-0005-0000-0000-0000C6170000}"/>
    <cellStyle name="20% - Accent4 2 3 3 2 2 2" xfId="39275" xr:uid="{DCC188D0-25D4-46F4-B635-C1E016559534}"/>
    <cellStyle name="20% - Accent4 2 3 3 2 3" xfId="23379" xr:uid="{00000000-0005-0000-0000-0000C7170000}"/>
    <cellStyle name="20% - Accent4 2 3 3 2 3 2" xfId="47211" xr:uid="{1D32CEAF-C808-49F8-8C75-E7CBEF38E81D}"/>
    <cellStyle name="20% - Accent4 2 3 3 2 4" xfId="31334" xr:uid="{E410A4B4-70D6-4BC0-81DB-DC1DE92964EA}"/>
    <cellStyle name="20% - Accent4 2 3 3 3" xfId="11895" xr:uid="{00000000-0005-0000-0000-0000C8170000}"/>
    <cellStyle name="20% - Accent4 2 3 3 3 2" xfId="35744" xr:uid="{CA6DB454-31C9-4F11-999E-6BD7F5FF2AF7}"/>
    <cellStyle name="20% - Accent4 2 3 3 4" xfId="19850" xr:uid="{00000000-0005-0000-0000-0000C9170000}"/>
    <cellStyle name="20% - Accent4 2 3 3 4 2" xfId="43682" xr:uid="{BA128C8F-38BA-475B-917A-3F1A165928C9}"/>
    <cellStyle name="20% - Accent4 2 3 3 5" xfId="27803" xr:uid="{3B0F2D31-BFA3-43BD-93F3-465B145E0722}"/>
    <cellStyle name="20% - Accent4 2 3 4" xfId="5691" xr:uid="{00000000-0005-0000-0000-0000CA170000}"/>
    <cellStyle name="20% - Accent4 2 3 4 2" xfId="13674" xr:uid="{00000000-0005-0000-0000-0000CB170000}"/>
    <cellStyle name="20% - Accent4 2 3 4 2 2" xfId="37517" xr:uid="{745F584E-86BB-447D-ADCC-EC853960F016}"/>
    <cellStyle name="20% - Accent4 2 3 4 3" xfId="21622" xr:uid="{00000000-0005-0000-0000-0000CC170000}"/>
    <cellStyle name="20% - Accent4 2 3 4 3 2" xfId="45454" xr:uid="{ACE7484F-5343-4C86-AC05-18A04243ECEF}"/>
    <cellStyle name="20% - Accent4 2 3 4 4" xfId="29576" xr:uid="{A93E9081-C109-4449-9783-EBE00E359C93}"/>
    <cellStyle name="20% - Accent4 2 3 5" xfId="9243" xr:uid="{00000000-0005-0000-0000-0000CD170000}"/>
    <cellStyle name="20% - Accent4 2 3 5 2" xfId="17201" xr:uid="{00000000-0005-0000-0000-0000CE170000}"/>
    <cellStyle name="20% - Accent4 2 3 5 2 2" xfId="41041" xr:uid="{5373338D-3A4E-4161-8D06-BDFD4F08ABAA}"/>
    <cellStyle name="20% - Accent4 2 3 5 3" xfId="25145" xr:uid="{00000000-0005-0000-0000-0000CF170000}"/>
    <cellStyle name="20% - Accent4 2 3 5 3 2" xfId="48977" xr:uid="{134A20B0-D045-480A-AD73-3CDF44058E00}"/>
    <cellStyle name="20% - Accent4 2 3 5 4" xfId="33100" xr:uid="{3267C9DA-6102-4242-BE7C-3B12957F6687}"/>
    <cellStyle name="20% - Accent4 2 3 6" xfId="10139" xr:uid="{00000000-0005-0000-0000-0000D0170000}"/>
    <cellStyle name="20% - Accent4 2 3 6 2" xfId="33988" xr:uid="{2E6E4B39-F14E-471D-B9E2-996490E3D0FD}"/>
    <cellStyle name="20% - Accent4 2 3 7" xfId="18094" xr:uid="{00000000-0005-0000-0000-0000D1170000}"/>
    <cellStyle name="20% - Accent4 2 3 7 2" xfId="41926" xr:uid="{5B3378D2-A0CD-41AC-8DD1-7A57BF2EEAFB}"/>
    <cellStyle name="20% - Accent4 2 3 8" xfId="26046" xr:uid="{53CD08F3-6546-4903-A2B4-9BEC7FA715B0}"/>
    <cellStyle name="20% - Accent4 2 3_Exh G" xfId="2353" xr:uid="{00000000-0005-0000-0000-0000D2170000}"/>
    <cellStyle name="20% - Accent4 2 4" xfId="896" xr:uid="{00000000-0005-0000-0000-0000D3170000}"/>
    <cellStyle name="20% - Accent4 2 4 2" xfId="1822" xr:uid="{00000000-0005-0000-0000-0000D4170000}"/>
    <cellStyle name="20% - Accent4 2 4 2 2" xfId="5339" xr:uid="{00000000-0005-0000-0000-0000D5170000}"/>
    <cellStyle name="20% - Accent4 2 4 2 2 2" xfId="8930" xr:uid="{00000000-0005-0000-0000-0000D6170000}"/>
    <cellStyle name="20% - Accent4 2 4 2 2 2 2" xfId="16900" xr:uid="{00000000-0005-0000-0000-0000D7170000}"/>
    <cellStyle name="20% - Accent4 2 4 2 2 2 2 2" xfId="40742" xr:uid="{B2F6C926-9588-46EC-9F77-703259EF437E}"/>
    <cellStyle name="20% - Accent4 2 4 2 2 2 3" xfId="24846" xr:uid="{00000000-0005-0000-0000-0000D8170000}"/>
    <cellStyle name="20% - Accent4 2 4 2 2 2 3 2" xfId="48678" xr:uid="{541EF48E-4503-4C0B-B73B-A921028FCD51}"/>
    <cellStyle name="20% - Accent4 2 4 2 2 2 4" xfId="32801" xr:uid="{0569DE58-1A97-4FCB-B02D-0776272B1275}"/>
    <cellStyle name="20% - Accent4 2 4 2 2 3" xfId="13362" xr:uid="{00000000-0005-0000-0000-0000D9170000}"/>
    <cellStyle name="20% - Accent4 2 4 2 2 3 2" xfId="37211" xr:uid="{DC86F292-0647-48F0-A1E5-38DF81DAE11B}"/>
    <cellStyle name="20% - Accent4 2 4 2 2 4" xfId="21317" xr:uid="{00000000-0005-0000-0000-0000DA170000}"/>
    <cellStyle name="20% - Accent4 2 4 2 2 4 2" xfId="45149" xr:uid="{8F2249C3-EC29-47D9-B716-F3EC93F42F47}"/>
    <cellStyle name="20% - Accent4 2 4 2 2 5" xfId="29270" xr:uid="{3660CD6F-662E-49A0-B93F-9AB5E322A0D5}"/>
    <cellStyle name="20% - Accent4 2 4 2 3" xfId="7171" xr:uid="{00000000-0005-0000-0000-0000DB170000}"/>
    <cellStyle name="20% - Accent4 2 4 2 3 2" xfId="15142" xr:uid="{00000000-0005-0000-0000-0000DC170000}"/>
    <cellStyle name="20% - Accent4 2 4 2 3 2 2" xfId="38984" xr:uid="{81D1DFC6-AB5B-40C4-8637-DE20AAC8C966}"/>
    <cellStyle name="20% - Accent4 2 4 2 3 3" xfId="23089" xr:uid="{00000000-0005-0000-0000-0000DD170000}"/>
    <cellStyle name="20% - Accent4 2 4 2 3 3 2" xfId="46921" xr:uid="{929352B9-60B8-46C8-AF93-E18B0E06A685}"/>
    <cellStyle name="20% - Accent4 2 4 2 3 4" xfId="31043" xr:uid="{0E79C24F-5B2F-4B5F-951B-8BCA238B4F79}"/>
    <cellStyle name="20% - Accent4 2 4 2 4" xfId="11606" xr:uid="{00000000-0005-0000-0000-0000DE170000}"/>
    <cellStyle name="20% - Accent4 2 4 2 4 2" xfId="35455" xr:uid="{283B8180-B3A1-4DB5-A874-7F5C329B23F9}"/>
    <cellStyle name="20% - Accent4 2 4 2 5" xfId="19561" xr:uid="{00000000-0005-0000-0000-0000DF170000}"/>
    <cellStyle name="20% - Accent4 2 4 2 5 2" xfId="43393" xr:uid="{8DBF051F-1283-426F-9A34-17F8202E34C2}"/>
    <cellStyle name="20% - Accent4 2 4 2 6" xfId="27513" xr:uid="{0E43922A-361E-4F65-AF8E-91730E51D28E}"/>
    <cellStyle name="20% - Accent4 2 4 2_Exh G" xfId="2356" xr:uid="{00000000-0005-0000-0000-0000E0170000}"/>
    <cellStyle name="20% - Accent4 2 4 3" xfId="4460" xr:uid="{00000000-0005-0000-0000-0000E1170000}"/>
    <cellStyle name="20% - Accent4 2 4 3 2" xfId="8052" xr:uid="{00000000-0005-0000-0000-0000E2170000}"/>
    <cellStyle name="20% - Accent4 2 4 3 2 2" xfId="16022" xr:uid="{00000000-0005-0000-0000-0000E3170000}"/>
    <cellStyle name="20% - Accent4 2 4 3 2 2 2" xfId="39864" xr:uid="{8CDB6056-7D06-46B3-B637-7A54DF2C4DC8}"/>
    <cellStyle name="20% - Accent4 2 4 3 2 3" xfId="23968" xr:uid="{00000000-0005-0000-0000-0000E4170000}"/>
    <cellStyle name="20% - Accent4 2 4 3 2 3 2" xfId="47800" xr:uid="{1719F63E-4B8B-4F03-8C76-DC933E4CCF5C}"/>
    <cellStyle name="20% - Accent4 2 4 3 2 4" xfId="31923" xr:uid="{D78E6479-7460-44AD-8E52-BF582F96E9BB}"/>
    <cellStyle name="20% - Accent4 2 4 3 3" xfId="12484" xr:uid="{00000000-0005-0000-0000-0000E5170000}"/>
    <cellStyle name="20% - Accent4 2 4 3 3 2" xfId="36333" xr:uid="{D81F208F-B082-4A05-855A-AEA35600359B}"/>
    <cellStyle name="20% - Accent4 2 4 3 4" xfId="20439" xr:uid="{00000000-0005-0000-0000-0000E6170000}"/>
    <cellStyle name="20% - Accent4 2 4 3 4 2" xfId="44271" xr:uid="{421F3FE3-95A5-44F2-BD4E-E7E9D00916BC}"/>
    <cellStyle name="20% - Accent4 2 4 3 5" xfId="28392" xr:uid="{4AE424C2-B3E7-470F-A0B1-73953B2E8E70}"/>
    <cellStyle name="20% - Accent4 2 4 4" xfId="6290" xr:uid="{00000000-0005-0000-0000-0000E7170000}"/>
    <cellStyle name="20% - Accent4 2 4 4 2" xfId="14264" xr:uid="{00000000-0005-0000-0000-0000E8170000}"/>
    <cellStyle name="20% - Accent4 2 4 4 2 2" xfId="38106" xr:uid="{2539587D-9040-4A43-827B-D887B0B032B1}"/>
    <cellStyle name="20% - Accent4 2 4 4 3" xfId="22211" xr:uid="{00000000-0005-0000-0000-0000E9170000}"/>
    <cellStyle name="20% - Accent4 2 4 4 3 2" xfId="46043" xr:uid="{BB15F966-2F66-4CE2-90C2-4E0A3F5E429C}"/>
    <cellStyle name="20% - Accent4 2 4 4 4" xfId="30165" xr:uid="{00E373F6-EC3B-41EF-8C93-0E2B9E0F8BA9}"/>
    <cellStyle name="20% - Accent4 2 4 5" xfId="9832" xr:uid="{00000000-0005-0000-0000-0000EA170000}"/>
    <cellStyle name="20% - Accent4 2 4 5 2" xfId="17790" xr:uid="{00000000-0005-0000-0000-0000EB170000}"/>
    <cellStyle name="20% - Accent4 2 4 5 2 2" xfId="41630" xr:uid="{4AFDCB7B-57DE-4704-AADF-ED2E625AD3DA}"/>
    <cellStyle name="20% - Accent4 2 4 5 3" xfId="25734" xr:uid="{00000000-0005-0000-0000-0000EC170000}"/>
    <cellStyle name="20% - Accent4 2 4 5 3 2" xfId="49566" xr:uid="{3B71FEBD-8E1D-4ECF-B045-8B5C05BA62BF}"/>
    <cellStyle name="20% - Accent4 2 4 5 4" xfId="33689" xr:uid="{0D54D9C8-FDE4-4758-B3BC-BAD29A9F0F7B}"/>
    <cellStyle name="20% - Accent4 2 4 6" xfId="10728" xr:uid="{00000000-0005-0000-0000-0000ED170000}"/>
    <cellStyle name="20% - Accent4 2 4 6 2" xfId="34577" xr:uid="{A8E3F315-BC69-465B-8525-7C25883272D8}"/>
    <cellStyle name="20% - Accent4 2 4 7" xfId="18683" xr:uid="{00000000-0005-0000-0000-0000EE170000}"/>
    <cellStyle name="20% - Accent4 2 4 7 2" xfId="42515" xr:uid="{08531CE4-0193-4D9F-860D-CF136151E925}"/>
    <cellStyle name="20% - Accent4 2 4 8" xfId="26635" xr:uid="{136F1A79-ABAF-4AE8-A942-5BDA6757DC35}"/>
    <cellStyle name="20% - Accent4 2 4_Exh G" xfId="2355" xr:uid="{00000000-0005-0000-0000-0000EF170000}"/>
    <cellStyle name="20% - Accent4 2 5" xfId="1220" xr:uid="{00000000-0005-0000-0000-0000F0170000}"/>
    <cellStyle name="20% - Accent4 2 5 2" xfId="4747" xr:uid="{00000000-0005-0000-0000-0000F1170000}"/>
    <cellStyle name="20% - Accent4 2 5 2 2" xfId="8338" xr:uid="{00000000-0005-0000-0000-0000F2170000}"/>
    <cellStyle name="20% - Accent4 2 5 2 2 2" xfId="16308" xr:uid="{00000000-0005-0000-0000-0000F3170000}"/>
    <cellStyle name="20% - Accent4 2 5 2 2 2 2" xfId="40150" xr:uid="{FA4982BE-911B-485F-8F7C-554FCE54E2A6}"/>
    <cellStyle name="20% - Accent4 2 5 2 2 3" xfId="24254" xr:uid="{00000000-0005-0000-0000-0000F4170000}"/>
    <cellStyle name="20% - Accent4 2 5 2 2 3 2" xfId="48086" xr:uid="{4A8ECD83-C059-4408-9422-E34E7C46F850}"/>
    <cellStyle name="20% - Accent4 2 5 2 2 4" xfId="32209" xr:uid="{507FF0D8-9C60-4646-904F-19624DF0134B}"/>
    <cellStyle name="20% - Accent4 2 5 2 3" xfId="12770" xr:uid="{00000000-0005-0000-0000-0000F5170000}"/>
    <cellStyle name="20% - Accent4 2 5 2 3 2" xfId="36619" xr:uid="{BFC7A005-01C7-4ABA-A558-83832F44221F}"/>
    <cellStyle name="20% - Accent4 2 5 2 4" xfId="20725" xr:uid="{00000000-0005-0000-0000-0000F6170000}"/>
    <cellStyle name="20% - Accent4 2 5 2 4 2" xfId="44557" xr:uid="{73CCF1E2-8991-48B8-B94F-D6EE213069A1}"/>
    <cellStyle name="20% - Accent4 2 5 2 5" xfId="28678" xr:uid="{86B997B2-08E0-4C23-9F48-5F0ED45829D1}"/>
    <cellStyle name="20% - Accent4 2 5 3" xfId="6579" xr:uid="{00000000-0005-0000-0000-0000F7170000}"/>
    <cellStyle name="20% - Accent4 2 5 3 2" xfId="14550" xr:uid="{00000000-0005-0000-0000-0000F8170000}"/>
    <cellStyle name="20% - Accent4 2 5 3 2 2" xfId="38392" xr:uid="{74BB3FB2-68C5-4AE3-AF13-FAE083055D66}"/>
    <cellStyle name="20% - Accent4 2 5 3 3" xfId="22497" xr:uid="{00000000-0005-0000-0000-0000F9170000}"/>
    <cellStyle name="20% - Accent4 2 5 3 3 2" xfId="46329" xr:uid="{EBBABF23-27BE-4D91-B3AC-31171E596AA3}"/>
    <cellStyle name="20% - Accent4 2 5 3 4" xfId="30451" xr:uid="{BB07EB93-57C9-4249-8419-39F0C38D3EEF}"/>
    <cellStyle name="20% - Accent4 2 5 4" xfId="11014" xr:uid="{00000000-0005-0000-0000-0000FA170000}"/>
    <cellStyle name="20% - Accent4 2 5 4 2" xfId="34863" xr:uid="{C3ACD3BE-38C6-44F1-B4D7-B6F0314F59CB}"/>
    <cellStyle name="20% - Accent4 2 5 5" xfId="18969" xr:uid="{00000000-0005-0000-0000-0000FB170000}"/>
    <cellStyle name="20% - Accent4 2 5 5 2" xfId="42801" xr:uid="{107703FF-28B7-4095-9398-57BAFFE12CE2}"/>
    <cellStyle name="20% - Accent4 2 5 6" xfId="26921" xr:uid="{A0260C63-958E-42D1-95C9-68C6688EDAC0}"/>
    <cellStyle name="20% - Accent4 2 5_Exh G" xfId="2357" xr:uid="{00000000-0005-0000-0000-0000FC170000}"/>
    <cellStyle name="20% - Accent4 2 6" xfId="3868" xr:uid="{00000000-0005-0000-0000-0000FD170000}"/>
    <cellStyle name="20% - Accent4 2 6 2" xfId="7460" xr:uid="{00000000-0005-0000-0000-0000FE170000}"/>
    <cellStyle name="20% - Accent4 2 6 2 2" xfId="15430" xr:uid="{00000000-0005-0000-0000-0000FF170000}"/>
    <cellStyle name="20% - Accent4 2 6 2 2 2" xfId="39272" xr:uid="{17E5C8B3-D730-4108-B96E-08A4753671EB}"/>
    <cellStyle name="20% - Accent4 2 6 2 3" xfId="23376" xr:uid="{00000000-0005-0000-0000-000000180000}"/>
    <cellStyle name="20% - Accent4 2 6 2 3 2" xfId="47208" xr:uid="{1E6E6CD4-16D1-4ECB-AD88-4BC294B2AF8C}"/>
    <cellStyle name="20% - Accent4 2 6 2 4" xfId="31331" xr:uid="{192EBFF9-B497-4102-A0D4-C3597C4A3B3C}"/>
    <cellStyle name="20% - Accent4 2 6 3" xfId="11892" xr:uid="{00000000-0005-0000-0000-000001180000}"/>
    <cellStyle name="20% - Accent4 2 6 3 2" xfId="35741" xr:uid="{E0CAC92F-C040-40DC-9F9A-55F0BE3A2C4A}"/>
    <cellStyle name="20% - Accent4 2 6 4" xfId="19847" xr:uid="{00000000-0005-0000-0000-000002180000}"/>
    <cellStyle name="20% - Accent4 2 6 4 2" xfId="43679" xr:uid="{CA363DC4-3278-4AA7-826D-659B1BAE3E3C}"/>
    <cellStyle name="20% - Accent4 2 6 5" xfId="27800" xr:uid="{178B1926-A214-4090-9FB3-FF9435326FA4}"/>
    <cellStyle name="20% - Accent4 2 7" xfId="5688" xr:uid="{00000000-0005-0000-0000-000003180000}"/>
    <cellStyle name="20% - Accent4 2 7 2" xfId="13671" xr:uid="{00000000-0005-0000-0000-000004180000}"/>
    <cellStyle name="20% - Accent4 2 7 2 2" xfId="37514" xr:uid="{A80AA4A9-6B85-4AAA-A81F-21A8AA0C026C}"/>
    <cellStyle name="20% - Accent4 2 7 3" xfId="21619" xr:uid="{00000000-0005-0000-0000-000005180000}"/>
    <cellStyle name="20% - Accent4 2 7 3 2" xfId="45451" xr:uid="{882CD716-E087-4615-A6F9-7D88B8EFA52D}"/>
    <cellStyle name="20% - Accent4 2 7 4" xfId="29573" xr:uid="{9B475ACE-D641-4341-8682-2F5E76851CE8}"/>
    <cellStyle name="20% - Accent4 2 8" xfId="9240" xr:uid="{00000000-0005-0000-0000-000006180000}"/>
    <cellStyle name="20% - Accent4 2 8 2" xfId="17198" xr:uid="{00000000-0005-0000-0000-000007180000}"/>
    <cellStyle name="20% - Accent4 2 8 2 2" xfId="41038" xr:uid="{229C4A23-AB44-4528-ABE3-4AB9FBC745B6}"/>
    <cellStyle name="20% - Accent4 2 8 3" xfId="25142" xr:uid="{00000000-0005-0000-0000-000008180000}"/>
    <cellStyle name="20% - Accent4 2 8 3 2" xfId="48974" xr:uid="{39A6C18A-A856-42A8-9789-F953883AEB76}"/>
    <cellStyle name="20% - Accent4 2 8 4" xfId="33097" xr:uid="{B12F2BDC-51B8-4933-BAE0-514B7B509F23}"/>
    <cellStyle name="20% - Accent4 2 9" xfId="10136" xr:uid="{00000000-0005-0000-0000-000009180000}"/>
    <cellStyle name="20% - Accent4 2 9 2" xfId="33985" xr:uid="{5FC07871-4595-4185-9B82-50DAB79158A9}"/>
    <cellStyle name="20% - Accent4 2_Exh G" xfId="2346" xr:uid="{00000000-0005-0000-0000-00000A180000}"/>
    <cellStyle name="20% - Accent4 3" xfId="198" xr:uid="{00000000-0005-0000-0000-00000B180000}"/>
    <cellStyle name="20% - Accent4 3 10" xfId="18095" xr:uid="{00000000-0005-0000-0000-00000C180000}"/>
    <cellStyle name="20% - Accent4 3 10 2" xfId="41927" xr:uid="{0509B170-ADF7-423C-9975-D3C80B7433CE}"/>
    <cellStyle name="20% - Accent4 3 11" xfId="26047" xr:uid="{B0F290DE-C083-4408-A36B-E34776972175}"/>
    <cellStyle name="20% - Accent4 3 12" xfId="49760" xr:uid="{1E383888-81A5-4DA1-9954-657F544F9775}"/>
    <cellStyle name="20% - Accent4 3 13" xfId="49814" xr:uid="{F79DD019-C9D3-43F5-A6CD-1027756ABF35}"/>
    <cellStyle name="20% - Accent4 3 2" xfId="199" xr:uid="{00000000-0005-0000-0000-00000D180000}"/>
    <cellStyle name="20% - Accent4 3 2 10" xfId="26048" xr:uid="{26D9F2E0-6076-47B5-A62F-1B30D525A70B}"/>
    <cellStyle name="20% - Accent4 3 2 2" xfId="200" xr:uid="{00000000-0005-0000-0000-00000E180000}"/>
    <cellStyle name="20% - Accent4 3 2 2 2" xfId="1226" xr:uid="{00000000-0005-0000-0000-00000F180000}"/>
    <cellStyle name="20% - Accent4 3 2 2 2 2" xfId="4753" xr:uid="{00000000-0005-0000-0000-000010180000}"/>
    <cellStyle name="20% - Accent4 3 2 2 2 2 2" xfId="8344" xr:uid="{00000000-0005-0000-0000-000011180000}"/>
    <cellStyle name="20% - Accent4 3 2 2 2 2 2 2" xfId="16314" xr:uid="{00000000-0005-0000-0000-000012180000}"/>
    <cellStyle name="20% - Accent4 3 2 2 2 2 2 2 2" xfId="40156" xr:uid="{7B67E401-D7C1-48F5-9495-0E03E672068F}"/>
    <cellStyle name="20% - Accent4 3 2 2 2 2 2 3" xfId="24260" xr:uid="{00000000-0005-0000-0000-000013180000}"/>
    <cellStyle name="20% - Accent4 3 2 2 2 2 2 3 2" xfId="48092" xr:uid="{8D850C18-04F4-4AF2-8FF6-C7AB91300BC8}"/>
    <cellStyle name="20% - Accent4 3 2 2 2 2 2 4" xfId="32215" xr:uid="{22EDD5E1-D285-44EF-B28E-F0094746B0F8}"/>
    <cellStyle name="20% - Accent4 3 2 2 2 2 3" xfId="12776" xr:uid="{00000000-0005-0000-0000-000014180000}"/>
    <cellStyle name="20% - Accent4 3 2 2 2 2 3 2" xfId="36625" xr:uid="{988872B8-D2A9-4DFF-BA5C-69DBD99CF0A5}"/>
    <cellStyle name="20% - Accent4 3 2 2 2 2 4" xfId="20731" xr:uid="{00000000-0005-0000-0000-000015180000}"/>
    <cellStyle name="20% - Accent4 3 2 2 2 2 4 2" xfId="44563" xr:uid="{4232A31E-42A0-48AA-A160-441B6B66C6EC}"/>
    <cellStyle name="20% - Accent4 3 2 2 2 2 5" xfId="28684" xr:uid="{DC81DA72-AD10-4821-94D7-055D01C378EE}"/>
    <cellStyle name="20% - Accent4 3 2 2 2 3" xfId="6585" xr:uid="{00000000-0005-0000-0000-000016180000}"/>
    <cellStyle name="20% - Accent4 3 2 2 2 3 2" xfId="14556" xr:uid="{00000000-0005-0000-0000-000017180000}"/>
    <cellStyle name="20% - Accent4 3 2 2 2 3 2 2" xfId="38398" xr:uid="{2C7D19D6-7C89-450C-9988-61F6127370EE}"/>
    <cellStyle name="20% - Accent4 3 2 2 2 3 3" xfId="22503" xr:uid="{00000000-0005-0000-0000-000018180000}"/>
    <cellStyle name="20% - Accent4 3 2 2 2 3 3 2" xfId="46335" xr:uid="{8AB46DE1-6096-411C-A3DF-E9CFB175AA4C}"/>
    <cellStyle name="20% - Accent4 3 2 2 2 3 4" xfId="30457" xr:uid="{6BFDECF9-AACF-49FE-8A83-667D9E6AB5DC}"/>
    <cellStyle name="20% - Accent4 3 2 2 2 4" xfId="11020" xr:uid="{00000000-0005-0000-0000-000019180000}"/>
    <cellStyle name="20% - Accent4 3 2 2 2 4 2" xfId="34869" xr:uid="{56289D73-C434-4384-A5B1-E3CE4AFA8316}"/>
    <cellStyle name="20% - Accent4 3 2 2 2 5" xfId="18975" xr:uid="{00000000-0005-0000-0000-00001A180000}"/>
    <cellStyle name="20% - Accent4 3 2 2 2 5 2" xfId="42807" xr:uid="{AF04367A-D082-4317-9046-1DC7FD76F5EF}"/>
    <cellStyle name="20% - Accent4 3 2 2 2 6" xfId="26927" xr:uid="{FD8FE2A7-1406-452A-A5E7-27A9F1099B5B}"/>
    <cellStyle name="20% - Accent4 3 2 2 2_Exh G" xfId="2361" xr:uid="{00000000-0005-0000-0000-00001B180000}"/>
    <cellStyle name="20% - Accent4 3 2 2 3" xfId="3874" xr:uid="{00000000-0005-0000-0000-00001C180000}"/>
    <cellStyle name="20% - Accent4 3 2 2 3 2" xfId="7466" xr:uid="{00000000-0005-0000-0000-00001D180000}"/>
    <cellStyle name="20% - Accent4 3 2 2 3 2 2" xfId="15436" xr:uid="{00000000-0005-0000-0000-00001E180000}"/>
    <cellStyle name="20% - Accent4 3 2 2 3 2 2 2" xfId="39278" xr:uid="{A2D75F10-4B50-4F7E-A68B-C11E096456ED}"/>
    <cellStyle name="20% - Accent4 3 2 2 3 2 3" xfId="23382" xr:uid="{00000000-0005-0000-0000-00001F180000}"/>
    <cellStyle name="20% - Accent4 3 2 2 3 2 3 2" xfId="47214" xr:uid="{19445C6B-950C-4416-8F43-BB9393487FA1}"/>
    <cellStyle name="20% - Accent4 3 2 2 3 2 4" xfId="31337" xr:uid="{0CDA4981-C3F0-4133-B8E4-F25612B34F11}"/>
    <cellStyle name="20% - Accent4 3 2 2 3 3" xfId="11898" xr:uid="{00000000-0005-0000-0000-000020180000}"/>
    <cellStyle name="20% - Accent4 3 2 2 3 3 2" xfId="35747" xr:uid="{FB4D7702-9903-4506-B98E-C37088070096}"/>
    <cellStyle name="20% - Accent4 3 2 2 3 4" xfId="19853" xr:uid="{00000000-0005-0000-0000-000021180000}"/>
    <cellStyle name="20% - Accent4 3 2 2 3 4 2" xfId="43685" xr:uid="{F907F6C6-FEB7-4FF0-8406-85B99FEAB31E}"/>
    <cellStyle name="20% - Accent4 3 2 2 3 5" xfId="27806" xr:uid="{FE1D6E2D-2333-4E05-A3E4-C85E38769A39}"/>
    <cellStyle name="20% - Accent4 3 2 2 4" xfId="5694" xr:uid="{00000000-0005-0000-0000-000022180000}"/>
    <cellStyle name="20% - Accent4 3 2 2 4 2" xfId="13677" xr:uid="{00000000-0005-0000-0000-000023180000}"/>
    <cellStyle name="20% - Accent4 3 2 2 4 2 2" xfId="37520" xr:uid="{E59E9C9A-A728-45F6-9931-0F9F93FE71B5}"/>
    <cellStyle name="20% - Accent4 3 2 2 4 3" xfId="21625" xr:uid="{00000000-0005-0000-0000-000024180000}"/>
    <cellStyle name="20% - Accent4 3 2 2 4 3 2" xfId="45457" xr:uid="{4C912C84-2B47-4253-8838-D02189A8ED0D}"/>
    <cellStyle name="20% - Accent4 3 2 2 4 4" xfId="29579" xr:uid="{C1D4716D-C4B2-4BD3-B694-397C9CE8CC3F}"/>
    <cellStyle name="20% - Accent4 3 2 2 5" xfId="9246" xr:uid="{00000000-0005-0000-0000-000025180000}"/>
    <cellStyle name="20% - Accent4 3 2 2 5 2" xfId="17204" xr:uid="{00000000-0005-0000-0000-000026180000}"/>
    <cellStyle name="20% - Accent4 3 2 2 5 2 2" xfId="41044" xr:uid="{479043FE-7488-4D7B-A6EC-19B77B0B85DA}"/>
    <cellStyle name="20% - Accent4 3 2 2 5 3" xfId="25148" xr:uid="{00000000-0005-0000-0000-000027180000}"/>
    <cellStyle name="20% - Accent4 3 2 2 5 3 2" xfId="48980" xr:uid="{2608688E-70DB-4907-8B37-64D86B477C54}"/>
    <cellStyle name="20% - Accent4 3 2 2 5 4" xfId="33103" xr:uid="{A4BCDC4A-1E01-49C7-ACD0-E6A48620EFB9}"/>
    <cellStyle name="20% - Accent4 3 2 2 6" xfId="10142" xr:uid="{00000000-0005-0000-0000-000028180000}"/>
    <cellStyle name="20% - Accent4 3 2 2 6 2" xfId="33991" xr:uid="{422C1FF8-0053-4BDC-A8E5-C80838938F27}"/>
    <cellStyle name="20% - Accent4 3 2 2 7" xfId="18097" xr:uid="{00000000-0005-0000-0000-000029180000}"/>
    <cellStyle name="20% - Accent4 3 2 2 7 2" xfId="41929" xr:uid="{4E768A42-E352-4077-8ECF-CE9F4AD90279}"/>
    <cellStyle name="20% - Accent4 3 2 2 8" xfId="26049" xr:uid="{BB663F3C-19EF-438C-ADD8-8C511447BD52}"/>
    <cellStyle name="20% - Accent4 3 2 2_Exh G" xfId="2360" xr:uid="{00000000-0005-0000-0000-00002A180000}"/>
    <cellStyle name="20% - Accent4 3 2 3" xfId="899" xr:uid="{00000000-0005-0000-0000-00002B180000}"/>
    <cellStyle name="20% - Accent4 3 2 3 2" xfId="1825" xr:uid="{00000000-0005-0000-0000-00002C180000}"/>
    <cellStyle name="20% - Accent4 3 2 3 2 2" xfId="5342" xr:uid="{00000000-0005-0000-0000-00002D180000}"/>
    <cellStyle name="20% - Accent4 3 2 3 2 2 2" xfId="8933" xr:uid="{00000000-0005-0000-0000-00002E180000}"/>
    <cellStyle name="20% - Accent4 3 2 3 2 2 2 2" xfId="16903" xr:uid="{00000000-0005-0000-0000-00002F180000}"/>
    <cellStyle name="20% - Accent4 3 2 3 2 2 2 2 2" xfId="40745" xr:uid="{EFBFD81C-21F4-43AB-B2EC-15392152FD58}"/>
    <cellStyle name="20% - Accent4 3 2 3 2 2 2 3" xfId="24849" xr:uid="{00000000-0005-0000-0000-000030180000}"/>
    <cellStyle name="20% - Accent4 3 2 3 2 2 2 3 2" xfId="48681" xr:uid="{4193BFC3-26F1-4913-95A7-FA5E04CC5648}"/>
    <cellStyle name="20% - Accent4 3 2 3 2 2 2 4" xfId="32804" xr:uid="{36217E06-B64C-4AF2-91BA-A7F858971A89}"/>
    <cellStyle name="20% - Accent4 3 2 3 2 2 3" xfId="13365" xr:uid="{00000000-0005-0000-0000-000031180000}"/>
    <cellStyle name="20% - Accent4 3 2 3 2 2 3 2" xfId="37214" xr:uid="{0BE49310-34DE-431A-8938-A897410B9569}"/>
    <cellStyle name="20% - Accent4 3 2 3 2 2 4" xfId="21320" xr:uid="{00000000-0005-0000-0000-000032180000}"/>
    <cellStyle name="20% - Accent4 3 2 3 2 2 4 2" xfId="45152" xr:uid="{2C2BC845-6663-4CB9-AEFB-B571A092703A}"/>
    <cellStyle name="20% - Accent4 3 2 3 2 2 5" xfId="29273" xr:uid="{8F9CC3E0-5F95-4338-A1AE-4DCF1C5167A2}"/>
    <cellStyle name="20% - Accent4 3 2 3 2 3" xfId="7174" xr:uid="{00000000-0005-0000-0000-000033180000}"/>
    <cellStyle name="20% - Accent4 3 2 3 2 3 2" xfId="15145" xr:uid="{00000000-0005-0000-0000-000034180000}"/>
    <cellStyle name="20% - Accent4 3 2 3 2 3 2 2" xfId="38987" xr:uid="{20402812-467A-40CD-A52A-7F26C088180C}"/>
    <cellStyle name="20% - Accent4 3 2 3 2 3 3" xfId="23092" xr:uid="{00000000-0005-0000-0000-000035180000}"/>
    <cellStyle name="20% - Accent4 3 2 3 2 3 3 2" xfId="46924" xr:uid="{F0FE19DC-BA5F-4766-ABF2-693CD8205EA1}"/>
    <cellStyle name="20% - Accent4 3 2 3 2 3 4" xfId="31046" xr:uid="{14686A12-23A2-4F75-BE25-D800802A9936}"/>
    <cellStyle name="20% - Accent4 3 2 3 2 4" xfId="11609" xr:uid="{00000000-0005-0000-0000-000036180000}"/>
    <cellStyle name="20% - Accent4 3 2 3 2 4 2" xfId="35458" xr:uid="{23C6F866-CDAB-47AB-AA05-A583EF0DAFE2}"/>
    <cellStyle name="20% - Accent4 3 2 3 2 5" xfId="19564" xr:uid="{00000000-0005-0000-0000-000037180000}"/>
    <cellStyle name="20% - Accent4 3 2 3 2 5 2" xfId="43396" xr:uid="{BED2AB90-DEEC-49B7-A3CA-5FF0857A805F}"/>
    <cellStyle name="20% - Accent4 3 2 3 2 6" xfId="27516" xr:uid="{18BC153A-B43F-48A7-AA9D-6CD1C4657E62}"/>
    <cellStyle name="20% - Accent4 3 2 3 2_Exh G" xfId="2363" xr:uid="{00000000-0005-0000-0000-000038180000}"/>
    <cellStyle name="20% - Accent4 3 2 3 3" xfId="4463" xr:uid="{00000000-0005-0000-0000-000039180000}"/>
    <cellStyle name="20% - Accent4 3 2 3 3 2" xfId="8055" xr:uid="{00000000-0005-0000-0000-00003A180000}"/>
    <cellStyle name="20% - Accent4 3 2 3 3 2 2" xfId="16025" xr:uid="{00000000-0005-0000-0000-00003B180000}"/>
    <cellStyle name="20% - Accent4 3 2 3 3 2 2 2" xfId="39867" xr:uid="{B3316EDB-88ED-4982-9A3F-B80A6EA6EA52}"/>
    <cellStyle name="20% - Accent4 3 2 3 3 2 3" xfId="23971" xr:uid="{00000000-0005-0000-0000-00003C180000}"/>
    <cellStyle name="20% - Accent4 3 2 3 3 2 3 2" xfId="47803" xr:uid="{FF19FA01-1817-4E4E-99FA-8D160B43E7AB}"/>
    <cellStyle name="20% - Accent4 3 2 3 3 2 4" xfId="31926" xr:uid="{7ED8491F-3B00-47D5-84A2-95D4B64ADF20}"/>
    <cellStyle name="20% - Accent4 3 2 3 3 3" xfId="12487" xr:uid="{00000000-0005-0000-0000-00003D180000}"/>
    <cellStyle name="20% - Accent4 3 2 3 3 3 2" xfId="36336" xr:uid="{FC874051-02FA-4B29-AAA9-DB79CF8092A5}"/>
    <cellStyle name="20% - Accent4 3 2 3 3 4" xfId="20442" xr:uid="{00000000-0005-0000-0000-00003E180000}"/>
    <cellStyle name="20% - Accent4 3 2 3 3 4 2" xfId="44274" xr:uid="{34161DF1-81B8-47B3-842F-0969E9928F82}"/>
    <cellStyle name="20% - Accent4 3 2 3 3 5" xfId="28395" xr:uid="{AD10088C-22D0-4EE9-9DD0-7E140C46A03E}"/>
    <cellStyle name="20% - Accent4 3 2 3 4" xfId="6293" xr:uid="{00000000-0005-0000-0000-00003F180000}"/>
    <cellStyle name="20% - Accent4 3 2 3 4 2" xfId="14267" xr:uid="{00000000-0005-0000-0000-000040180000}"/>
    <cellStyle name="20% - Accent4 3 2 3 4 2 2" xfId="38109" xr:uid="{6D38B09A-3137-49F3-BE17-161546F44B59}"/>
    <cellStyle name="20% - Accent4 3 2 3 4 3" xfId="22214" xr:uid="{00000000-0005-0000-0000-000041180000}"/>
    <cellStyle name="20% - Accent4 3 2 3 4 3 2" xfId="46046" xr:uid="{1083641B-95DC-49D2-BF1B-4873C213124A}"/>
    <cellStyle name="20% - Accent4 3 2 3 4 4" xfId="30168" xr:uid="{882803BC-608A-47F8-A07F-0AC2E7BAEEA3}"/>
    <cellStyle name="20% - Accent4 3 2 3 5" xfId="9835" xr:uid="{00000000-0005-0000-0000-000042180000}"/>
    <cellStyle name="20% - Accent4 3 2 3 5 2" xfId="17793" xr:uid="{00000000-0005-0000-0000-000043180000}"/>
    <cellStyle name="20% - Accent4 3 2 3 5 2 2" xfId="41633" xr:uid="{E4BA669E-5CB5-4485-A57B-A41580BC65F9}"/>
    <cellStyle name="20% - Accent4 3 2 3 5 3" xfId="25737" xr:uid="{00000000-0005-0000-0000-000044180000}"/>
    <cellStyle name="20% - Accent4 3 2 3 5 3 2" xfId="49569" xr:uid="{A9E4EEB6-CF3F-4ADC-8D48-37D95D5C6CAA}"/>
    <cellStyle name="20% - Accent4 3 2 3 5 4" xfId="33692" xr:uid="{1ED4667A-1FB7-47F9-9744-56F0D33CE9D8}"/>
    <cellStyle name="20% - Accent4 3 2 3 6" xfId="10731" xr:uid="{00000000-0005-0000-0000-000045180000}"/>
    <cellStyle name="20% - Accent4 3 2 3 6 2" xfId="34580" xr:uid="{5B00020D-A07E-44AC-8A64-36315951C897}"/>
    <cellStyle name="20% - Accent4 3 2 3 7" xfId="18686" xr:uid="{00000000-0005-0000-0000-000046180000}"/>
    <cellStyle name="20% - Accent4 3 2 3 7 2" xfId="42518" xr:uid="{948DF309-99D0-479B-B4D2-7BD83D29BDD6}"/>
    <cellStyle name="20% - Accent4 3 2 3 8" xfId="26638" xr:uid="{0BF14FFC-53B0-4474-84C2-C45638B267EE}"/>
    <cellStyle name="20% - Accent4 3 2 3_Exh G" xfId="2362" xr:uid="{00000000-0005-0000-0000-000047180000}"/>
    <cellStyle name="20% - Accent4 3 2 4" xfId="1225" xr:uid="{00000000-0005-0000-0000-000048180000}"/>
    <cellStyle name="20% - Accent4 3 2 4 2" xfId="4752" xr:uid="{00000000-0005-0000-0000-000049180000}"/>
    <cellStyle name="20% - Accent4 3 2 4 2 2" xfId="8343" xr:uid="{00000000-0005-0000-0000-00004A180000}"/>
    <cellStyle name="20% - Accent4 3 2 4 2 2 2" xfId="16313" xr:uid="{00000000-0005-0000-0000-00004B180000}"/>
    <cellStyle name="20% - Accent4 3 2 4 2 2 2 2" xfId="40155" xr:uid="{58AA22B2-E8F2-4F53-BDFE-8AE0EA6C67B7}"/>
    <cellStyle name="20% - Accent4 3 2 4 2 2 3" xfId="24259" xr:uid="{00000000-0005-0000-0000-00004C180000}"/>
    <cellStyle name="20% - Accent4 3 2 4 2 2 3 2" xfId="48091" xr:uid="{D2C278DA-CD49-4837-90AB-F938CA6E4CAE}"/>
    <cellStyle name="20% - Accent4 3 2 4 2 2 4" xfId="32214" xr:uid="{E468A719-3952-45B7-99E7-2535C5104F24}"/>
    <cellStyle name="20% - Accent4 3 2 4 2 3" xfId="12775" xr:uid="{00000000-0005-0000-0000-00004D180000}"/>
    <cellStyle name="20% - Accent4 3 2 4 2 3 2" xfId="36624" xr:uid="{F37AEE8E-089F-40FF-9FD3-4270EFF6ABB2}"/>
    <cellStyle name="20% - Accent4 3 2 4 2 4" xfId="20730" xr:uid="{00000000-0005-0000-0000-00004E180000}"/>
    <cellStyle name="20% - Accent4 3 2 4 2 4 2" xfId="44562" xr:uid="{413B5096-7398-47FA-8B09-26F1E6F594A8}"/>
    <cellStyle name="20% - Accent4 3 2 4 2 5" xfId="28683" xr:uid="{DE5D7150-3F2D-453E-8041-CA6F18B5852C}"/>
    <cellStyle name="20% - Accent4 3 2 4 3" xfId="6584" xr:uid="{00000000-0005-0000-0000-00004F180000}"/>
    <cellStyle name="20% - Accent4 3 2 4 3 2" xfId="14555" xr:uid="{00000000-0005-0000-0000-000050180000}"/>
    <cellStyle name="20% - Accent4 3 2 4 3 2 2" xfId="38397" xr:uid="{E27CE1C3-1FB0-4138-B059-ADAEB69BFAC7}"/>
    <cellStyle name="20% - Accent4 3 2 4 3 3" xfId="22502" xr:uid="{00000000-0005-0000-0000-000051180000}"/>
    <cellStyle name="20% - Accent4 3 2 4 3 3 2" xfId="46334" xr:uid="{12649156-1840-4448-A299-B8B3DE95D07F}"/>
    <cellStyle name="20% - Accent4 3 2 4 3 4" xfId="30456" xr:uid="{C33ACC22-17A4-4246-A36E-652029430726}"/>
    <cellStyle name="20% - Accent4 3 2 4 4" xfId="11019" xr:uid="{00000000-0005-0000-0000-000052180000}"/>
    <cellStyle name="20% - Accent4 3 2 4 4 2" xfId="34868" xr:uid="{74354A07-9225-4231-82E2-173A9996CE91}"/>
    <cellStyle name="20% - Accent4 3 2 4 5" xfId="18974" xr:uid="{00000000-0005-0000-0000-000053180000}"/>
    <cellStyle name="20% - Accent4 3 2 4 5 2" xfId="42806" xr:uid="{D1039971-94A0-4C6B-8388-1AA5E1D90747}"/>
    <cellStyle name="20% - Accent4 3 2 4 6" xfId="26926" xr:uid="{90A457B1-E646-47B8-B199-02393B4BEA21}"/>
    <cellStyle name="20% - Accent4 3 2 4_Exh G" xfId="2364" xr:uid="{00000000-0005-0000-0000-000054180000}"/>
    <cellStyle name="20% - Accent4 3 2 5" xfId="3873" xr:uid="{00000000-0005-0000-0000-000055180000}"/>
    <cellStyle name="20% - Accent4 3 2 5 2" xfId="7465" xr:uid="{00000000-0005-0000-0000-000056180000}"/>
    <cellStyle name="20% - Accent4 3 2 5 2 2" xfId="15435" xr:uid="{00000000-0005-0000-0000-000057180000}"/>
    <cellStyle name="20% - Accent4 3 2 5 2 2 2" xfId="39277" xr:uid="{588ADB82-80E4-4CA3-814A-7D45B13E91A9}"/>
    <cellStyle name="20% - Accent4 3 2 5 2 3" xfId="23381" xr:uid="{00000000-0005-0000-0000-000058180000}"/>
    <cellStyle name="20% - Accent4 3 2 5 2 3 2" xfId="47213" xr:uid="{26979B8C-43F7-428C-B21C-087A4E02A45D}"/>
    <cellStyle name="20% - Accent4 3 2 5 2 4" xfId="31336" xr:uid="{19C798D4-6B14-48C4-BDD0-FF6E589F0049}"/>
    <cellStyle name="20% - Accent4 3 2 5 3" xfId="11897" xr:uid="{00000000-0005-0000-0000-000059180000}"/>
    <cellStyle name="20% - Accent4 3 2 5 3 2" xfId="35746" xr:uid="{0D5C8798-7BD4-4D4F-B809-059C78394C82}"/>
    <cellStyle name="20% - Accent4 3 2 5 4" xfId="19852" xr:uid="{00000000-0005-0000-0000-00005A180000}"/>
    <cellStyle name="20% - Accent4 3 2 5 4 2" xfId="43684" xr:uid="{DAAF87D2-FE06-4E38-AA07-1DC88D138890}"/>
    <cellStyle name="20% - Accent4 3 2 5 5" xfId="27805" xr:uid="{32141005-B651-4134-A163-8AE9AC47836D}"/>
    <cellStyle name="20% - Accent4 3 2 6" xfId="5693" xr:uid="{00000000-0005-0000-0000-00005B180000}"/>
    <cellStyle name="20% - Accent4 3 2 6 2" xfId="13676" xr:uid="{00000000-0005-0000-0000-00005C180000}"/>
    <cellStyle name="20% - Accent4 3 2 6 2 2" xfId="37519" xr:uid="{BDEDF55C-B9D9-4EFA-BAFC-C04EFF72E339}"/>
    <cellStyle name="20% - Accent4 3 2 6 3" xfId="21624" xr:uid="{00000000-0005-0000-0000-00005D180000}"/>
    <cellStyle name="20% - Accent4 3 2 6 3 2" xfId="45456" xr:uid="{0B9C55BE-6032-4D82-A7A7-B82AD02A42C4}"/>
    <cellStyle name="20% - Accent4 3 2 6 4" xfId="29578" xr:uid="{90A5E544-5597-41B8-A301-8E28ACBF6744}"/>
    <cellStyle name="20% - Accent4 3 2 7" xfId="9245" xr:uid="{00000000-0005-0000-0000-00005E180000}"/>
    <cellStyle name="20% - Accent4 3 2 7 2" xfId="17203" xr:uid="{00000000-0005-0000-0000-00005F180000}"/>
    <cellStyle name="20% - Accent4 3 2 7 2 2" xfId="41043" xr:uid="{D3622A92-13F2-4831-9736-59760BD8BD71}"/>
    <cellStyle name="20% - Accent4 3 2 7 3" xfId="25147" xr:uid="{00000000-0005-0000-0000-000060180000}"/>
    <cellStyle name="20% - Accent4 3 2 7 3 2" xfId="48979" xr:uid="{E7DE4974-F557-42F0-8D9A-47583CB5C995}"/>
    <cellStyle name="20% - Accent4 3 2 7 4" xfId="33102" xr:uid="{622D8568-3145-4F14-A726-0D583A96ADDC}"/>
    <cellStyle name="20% - Accent4 3 2 8" xfId="10141" xr:uid="{00000000-0005-0000-0000-000061180000}"/>
    <cellStyle name="20% - Accent4 3 2 8 2" xfId="33990" xr:uid="{6D98A7BD-0DE4-45B6-BFCB-BC402C507E49}"/>
    <cellStyle name="20% - Accent4 3 2 9" xfId="18096" xr:uid="{00000000-0005-0000-0000-000062180000}"/>
    <cellStyle name="20% - Accent4 3 2 9 2" xfId="41928" xr:uid="{EE4D988C-DB09-4058-83A4-EF2542A1768C}"/>
    <cellStyle name="20% - Accent4 3 2_Exh G" xfId="2359" xr:uid="{00000000-0005-0000-0000-000063180000}"/>
    <cellStyle name="20% - Accent4 3 3" xfId="201" xr:uid="{00000000-0005-0000-0000-000064180000}"/>
    <cellStyle name="20% - Accent4 3 3 2" xfId="1227" xr:uid="{00000000-0005-0000-0000-000065180000}"/>
    <cellStyle name="20% - Accent4 3 3 2 2" xfId="4754" xr:uid="{00000000-0005-0000-0000-000066180000}"/>
    <cellStyle name="20% - Accent4 3 3 2 2 2" xfId="8345" xr:uid="{00000000-0005-0000-0000-000067180000}"/>
    <cellStyle name="20% - Accent4 3 3 2 2 2 2" xfId="16315" xr:uid="{00000000-0005-0000-0000-000068180000}"/>
    <cellStyle name="20% - Accent4 3 3 2 2 2 2 2" xfId="40157" xr:uid="{DA0BEF9E-DF08-4197-91A0-7A4C8E6CCF80}"/>
    <cellStyle name="20% - Accent4 3 3 2 2 2 3" xfId="24261" xr:uid="{00000000-0005-0000-0000-000069180000}"/>
    <cellStyle name="20% - Accent4 3 3 2 2 2 3 2" xfId="48093" xr:uid="{59FD1B81-87A8-4BCC-B64B-33ABF982D466}"/>
    <cellStyle name="20% - Accent4 3 3 2 2 2 4" xfId="32216" xr:uid="{8BCD1698-1D1C-4C61-9209-E115798DDB18}"/>
    <cellStyle name="20% - Accent4 3 3 2 2 3" xfId="12777" xr:uid="{00000000-0005-0000-0000-00006A180000}"/>
    <cellStyle name="20% - Accent4 3 3 2 2 3 2" xfId="36626" xr:uid="{EEF38257-446C-4882-8673-8A18926F99C1}"/>
    <cellStyle name="20% - Accent4 3 3 2 2 4" xfId="20732" xr:uid="{00000000-0005-0000-0000-00006B180000}"/>
    <cellStyle name="20% - Accent4 3 3 2 2 4 2" xfId="44564" xr:uid="{1F55B2FB-6EED-4ED8-A6EF-716D37F00646}"/>
    <cellStyle name="20% - Accent4 3 3 2 2 5" xfId="28685" xr:uid="{C758CAF6-0181-475F-8B53-CB4405ADC5B5}"/>
    <cellStyle name="20% - Accent4 3 3 2 3" xfId="6586" xr:uid="{00000000-0005-0000-0000-00006C180000}"/>
    <cellStyle name="20% - Accent4 3 3 2 3 2" xfId="14557" xr:uid="{00000000-0005-0000-0000-00006D180000}"/>
    <cellStyle name="20% - Accent4 3 3 2 3 2 2" xfId="38399" xr:uid="{7538599D-2598-470E-BDAE-F8C8B7C01350}"/>
    <cellStyle name="20% - Accent4 3 3 2 3 3" xfId="22504" xr:uid="{00000000-0005-0000-0000-00006E180000}"/>
    <cellStyle name="20% - Accent4 3 3 2 3 3 2" xfId="46336" xr:uid="{97FC5B00-570C-468C-B10F-92D36C0288D2}"/>
    <cellStyle name="20% - Accent4 3 3 2 3 4" xfId="30458" xr:uid="{4A291C75-4F39-437D-81CB-AFB4AEB11B21}"/>
    <cellStyle name="20% - Accent4 3 3 2 4" xfId="11021" xr:uid="{00000000-0005-0000-0000-00006F180000}"/>
    <cellStyle name="20% - Accent4 3 3 2 4 2" xfId="34870" xr:uid="{4AB02AD5-2E53-49A7-9782-A1A43782E5DC}"/>
    <cellStyle name="20% - Accent4 3 3 2 5" xfId="18976" xr:uid="{00000000-0005-0000-0000-000070180000}"/>
    <cellStyle name="20% - Accent4 3 3 2 5 2" xfId="42808" xr:uid="{DA90E7F7-0E26-4D56-B775-3A4E9C296F8F}"/>
    <cellStyle name="20% - Accent4 3 3 2 6" xfId="26928" xr:uid="{B7899A48-BE0E-431F-81C5-82F8BA0CB8F6}"/>
    <cellStyle name="20% - Accent4 3 3 2_Exh G" xfId="2366" xr:uid="{00000000-0005-0000-0000-000071180000}"/>
    <cellStyle name="20% - Accent4 3 3 3" xfId="3875" xr:uid="{00000000-0005-0000-0000-000072180000}"/>
    <cellStyle name="20% - Accent4 3 3 3 2" xfId="7467" xr:uid="{00000000-0005-0000-0000-000073180000}"/>
    <cellStyle name="20% - Accent4 3 3 3 2 2" xfId="15437" xr:uid="{00000000-0005-0000-0000-000074180000}"/>
    <cellStyle name="20% - Accent4 3 3 3 2 2 2" xfId="39279" xr:uid="{2F6CE684-BDBA-43D7-9011-44D417D4F3B5}"/>
    <cellStyle name="20% - Accent4 3 3 3 2 3" xfId="23383" xr:uid="{00000000-0005-0000-0000-000075180000}"/>
    <cellStyle name="20% - Accent4 3 3 3 2 3 2" xfId="47215" xr:uid="{F397E2B5-625F-4013-A0AF-89D91CE68CE5}"/>
    <cellStyle name="20% - Accent4 3 3 3 2 4" xfId="31338" xr:uid="{736D5F5E-05AC-4379-9217-E49CD4F89E1D}"/>
    <cellStyle name="20% - Accent4 3 3 3 3" xfId="11899" xr:uid="{00000000-0005-0000-0000-000076180000}"/>
    <cellStyle name="20% - Accent4 3 3 3 3 2" xfId="35748" xr:uid="{0C2B5804-A629-4D4B-AD31-E9C86E5FA8F5}"/>
    <cellStyle name="20% - Accent4 3 3 3 4" xfId="19854" xr:uid="{00000000-0005-0000-0000-000077180000}"/>
    <cellStyle name="20% - Accent4 3 3 3 4 2" xfId="43686" xr:uid="{89AC1766-647F-4432-9214-FEFF9EB0A9BB}"/>
    <cellStyle name="20% - Accent4 3 3 3 5" xfId="27807" xr:uid="{BA497687-E720-4DCE-8509-755CE516EBD6}"/>
    <cellStyle name="20% - Accent4 3 3 4" xfId="5695" xr:uid="{00000000-0005-0000-0000-000078180000}"/>
    <cellStyle name="20% - Accent4 3 3 4 2" xfId="13678" xr:uid="{00000000-0005-0000-0000-000079180000}"/>
    <cellStyle name="20% - Accent4 3 3 4 2 2" xfId="37521" xr:uid="{591219AF-B68F-478C-89FC-86EFBDDDEBFA}"/>
    <cellStyle name="20% - Accent4 3 3 4 3" xfId="21626" xr:uid="{00000000-0005-0000-0000-00007A180000}"/>
    <cellStyle name="20% - Accent4 3 3 4 3 2" xfId="45458" xr:uid="{76D1CCC9-BA0A-420C-BD34-4A5E73D0CFFE}"/>
    <cellStyle name="20% - Accent4 3 3 4 4" xfId="29580" xr:uid="{9D9F04AB-D65B-4C31-983A-6E2EE2FE506B}"/>
    <cellStyle name="20% - Accent4 3 3 5" xfId="9247" xr:uid="{00000000-0005-0000-0000-00007B180000}"/>
    <cellStyle name="20% - Accent4 3 3 5 2" xfId="17205" xr:uid="{00000000-0005-0000-0000-00007C180000}"/>
    <cellStyle name="20% - Accent4 3 3 5 2 2" xfId="41045" xr:uid="{2FF137A8-DA8C-4CCF-ADC2-CE2E7F3D2426}"/>
    <cellStyle name="20% - Accent4 3 3 5 3" xfId="25149" xr:uid="{00000000-0005-0000-0000-00007D180000}"/>
    <cellStyle name="20% - Accent4 3 3 5 3 2" xfId="48981" xr:uid="{A8C85F45-754E-4126-AB39-C74B139C7E61}"/>
    <cellStyle name="20% - Accent4 3 3 5 4" xfId="33104" xr:uid="{FC52C37B-DE46-4771-B06D-0972B1BF2402}"/>
    <cellStyle name="20% - Accent4 3 3 6" xfId="10143" xr:uid="{00000000-0005-0000-0000-00007E180000}"/>
    <cellStyle name="20% - Accent4 3 3 6 2" xfId="33992" xr:uid="{1CC5096A-C43B-421F-AB3A-880C98436CBA}"/>
    <cellStyle name="20% - Accent4 3 3 7" xfId="18098" xr:uid="{00000000-0005-0000-0000-00007F180000}"/>
    <cellStyle name="20% - Accent4 3 3 7 2" xfId="41930" xr:uid="{A84DF19E-C726-4F28-BC72-807EEF0E2A45}"/>
    <cellStyle name="20% - Accent4 3 3 8" xfId="26050" xr:uid="{A8474EA1-C13C-4BF2-B692-6E9BD8A7C2F2}"/>
    <cellStyle name="20% - Accent4 3 3_Exh G" xfId="2365" xr:uid="{00000000-0005-0000-0000-000080180000}"/>
    <cellStyle name="20% - Accent4 3 4" xfId="898" xr:uid="{00000000-0005-0000-0000-000081180000}"/>
    <cellStyle name="20% - Accent4 3 4 2" xfId="1824" xr:uid="{00000000-0005-0000-0000-000082180000}"/>
    <cellStyle name="20% - Accent4 3 4 2 2" xfId="5341" xr:uid="{00000000-0005-0000-0000-000083180000}"/>
    <cellStyle name="20% - Accent4 3 4 2 2 2" xfId="8932" xr:uid="{00000000-0005-0000-0000-000084180000}"/>
    <cellStyle name="20% - Accent4 3 4 2 2 2 2" xfId="16902" xr:uid="{00000000-0005-0000-0000-000085180000}"/>
    <cellStyle name="20% - Accent4 3 4 2 2 2 2 2" xfId="40744" xr:uid="{2B38F8BA-E3E1-4558-B322-7A255067C764}"/>
    <cellStyle name="20% - Accent4 3 4 2 2 2 3" xfId="24848" xr:uid="{00000000-0005-0000-0000-000086180000}"/>
    <cellStyle name="20% - Accent4 3 4 2 2 2 3 2" xfId="48680" xr:uid="{84F4B8E8-B2A1-4896-BB79-ACB98BEFA594}"/>
    <cellStyle name="20% - Accent4 3 4 2 2 2 4" xfId="32803" xr:uid="{7CC1F626-D42A-4847-B046-B013968CB0FB}"/>
    <cellStyle name="20% - Accent4 3 4 2 2 3" xfId="13364" xr:uid="{00000000-0005-0000-0000-000087180000}"/>
    <cellStyle name="20% - Accent4 3 4 2 2 3 2" xfId="37213" xr:uid="{97359D57-82CD-40B0-836B-1BBF5F9C7685}"/>
    <cellStyle name="20% - Accent4 3 4 2 2 4" xfId="21319" xr:uid="{00000000-0005-0000-0000-000088180000}"/>
    <cellStyle name="20% - Accent4 3 4 2 2 4 2" xfId="45151" xr:uid="{4847B3F0-B954-45BF-BB20-09F7A85D9E43}"/>
    <cellStyle name="20% - Accent4 3 4 2 2 5" xfId="29272" xr:uid="{F06FEAC0-9224-47BB-A6BE-1F448EF3AB40}"/>
    <cellStyle name="20% - Accent4 3 4 2 3" xfId="7173" xr:uid="{00000000-0005-0000-0000-000089180000}"/>
    <cellStyle name="20% - Accent4 3 4 2 3 2" xfId="15144" xr:uid="{00000000-0005-0000-0000-00008A180000}"/>
    <cellStyle name="20% - Accent4 3 4 2 3 2 2" xfId="38986" xr:uid="{1BB10337-1C18-426F-88CD-11151329C1B4}"/>
    <cellStyle name="20% - Accent4 3 4 2 3 3" xfId="23091" xr:uid="{00000000-0005-0000-0000-00008B180000}"/>
    <cellStyle name="20% - Accent4 3 4 2 3 3 2" xfId="46923" xr:uid="{D106FC7C-0F28-4271-9D9A-2D594B6FBBA5}"/>
    <cellStyle name="20% - Accent4 3 4 2 3 4" xfId="31045" xr:uid="{95D2551D-5FCF-4963-BBA0-BECF81AC094E}"/>
    <cellStyle name="20% - Accent4 3 4 2 4" xfId="11608" xr:uid="{00000000-0005-0000-0000-00008C180000}"/>
    <cellStyle name="20% - Accent4 3 4 2 4 2" xfId="35457" xr:uid="{21EF7F22-A50E-4800-9C71-0405BD2B8C79}"/>
    <cellStyle name="20% - Accent4 3 4 2 5" xfId="19563" xr:uid="{00000000-0005-0000-0000-00008D180000}"/>
    <cellStyle name="20% - Accent4 3 4 2 5 2" xfId="43395" xr:uid="{7E20AA12-C001-4C30-A2D1-1001FC5F8D39}"/>
    <cellStyle name="20% - Accent4 3 4 2 6" xfId="27515" xr:uid="{14312039-58AA-4028-8B78-A78742030589}"/>
    <cellStyle name="20% - Accent4 3 4 2_Exh G" xfId="2368" xr:uid="{00000000-0005-0000-0000-00008E180000}"/>
    <cellStyle name="20% - Accent4 3 4 3" xfId="4462" xr:uid="{00000000-0005-0000-0000-00008F180000}"/>
    <cellStyle name="20% - Accent4 3 4 3 2" xfId="8054" xr:uid="{00000000-0005-0000-0000-000090180000}"/>
    <cellStyle name="20% - Accent4 3 4 3 2 2" xfId="16024" xr:uid="{00000000-0005-0000-0000-000091180000}"/>
    <cellStyle name="20% - Accent4 3 4 3 2 2 2" xfId="39866" xr:uid="{FD7A002C-8041-436F-B465-8F821DB43F1C}"/>
    <cellStyle name="20% - Accent4 3 4 3 2 3" xfId="23970" xr:uid="{00000000-0005-0000-0000-000092180000}"/>
    <cellStyle name="20% - Accent4 3 4 3 2 3 2" xfId="47802" xr:uid="{470B4035-B245-4B6F-899E-56DBE70CD734}"/>
    <cellStyle name="20% - Accent4 3 4 3 2 4" xfId="31925" xr:uid="{C3E99150-118C-445A-8B35-995F07F7E669}"/>
    <cellStyle name="20% - Accent4 3 4 3 3" xfId="12486" xr:uid="{00000000-0005-0000-0000-000093180000}"/>
    <cellStyle name="20% - Accent4 3 4 3 3 2" xfId="36335" xr:uid="{990D9589-786C-4E55-A122-03A27430ACB6}"/>
    <cellStyle name="20% - Accent4 3 4 3 4" xfId="20441" xr:uid="{00000000-0005-0000-0000-000094180000}"/>
    <cellStyle name="20% - Accent4 3 4 3 4 2" xfId="44273" xr:uid="{C607D60E-0808-4F05-866E-FE78427AE6FE}"/>
    <cellStyle name="20% - Accent4 3 4 3 5" xfId="28394" xr:uid="{57007A74-427B-4CC8-B913-140A0F083483}"/>
    <cellStyle name="20% - Accent4 3 4 4" xfId="6292" xr:uid="{00000000-0005-0000-0000-000095180000}"/>
    <cellStyle name="20% - Accent4 3 4 4 2" xfId="14266" xr:uid="{00000000-0005-0000-0000-000096180000}"/>
    <cellStyle name="20% - Accent4 3 4 4 2 2" xfId="38108" xr:uid="{AFFCFE7C-137D-40D1-8A1D-8B75A737420D}"/>
    <cellStyle name="20% - Accent4 3 4 4 3" xfId="22213" xr:uid="{00000000-0005-0000-0000-000097180000}"/>
    <cellStyle name="20% - Accent4 3 4 4 3 2" xfId="46045" xr:uid="{78662869-7E18-4DF9-B5B7-B3608AE7526A}"/>
    <cellStyle name="20% - Accent4 3 4 4 4" xfId="30167" xr:uid="{9C034F8F-6191-4E5A-B239-D2500855E7BC}"/>
    <cellStyle name="20% - Accent4 3 4 5" xfId="9834" xr:uid="{00000000-0005-0000-0000-000098180000}"/>
    <cellStyle name="20% - Accent4 3 4 5 2" xfId="17792" xr:uid="{00000000-0005-0000-0000-000099180000}"/>
    <cellStyle name="20% - Accent4 3 4 5 2 2" xfId="41632" xr:uid="{12A1B8E3-B127-4C9B-9019-00EE6D16EF5C}"/>
    <cellStyle name="20% - Accent4 3 4 5 3" xfId="25736" xr:uid="{00000000-0005-0000-0000-00009A180000}"/>
    <cellStyle name="20% - Accent4 3 4 5 3 2" xfId="49568" xr:uid="{1F0EDF82-6437-41A4-BFDC-AEB1CBC0725A}"/>
    <cellStyle name="20% - Accent4 3 4 5 4" xfId="33691" xr:uid="{2ABD34F3-9CD8-488C-BEAD-EC91BBC89972}"/>
    <cellStyle name="20% - Accent4 3 4 6" xfId="10730" xr:uid="{00000000-0005-0000-0000-00009B180000}"/>
    <cellStyle name="20% - Accent4 3 4 6 2" xfId="34579" xr:uid="{47073609-76E7-483D-94A5-1C638166A8E5}"/>
    <cellStyle name="20% - Accent4 3 4 7" xfId="18685" xr:uid="{00000000-0005-0000-0000-00009C180000}"/>
    <cellStyle name="20% - Accent4 3 4 7 2" xfId="42517" xr:uid="{3E35AE34-4F13-4B18-B0ED-C9D4457E6E94}"/>
    <cellStyle name="20% - Accent4 3 4 8" xfId="26637" xr:uid="{A1A3F3F7-B4DF-4DB7-B239-ED4C1BFB5065}"/>
    <cellStyle name="20% - Accent4 3 4_Exh G" xfId="2367" xr:uid="{00000000-0005-0000-0000-00009D180000}"/>
    <cellStyle name="20% - Accent4 3 5" xfId="1224" xr:uid="{00000000-0005-0000-0000-00009E180000}"/>
    <cellStyle name="20% - Accent4 3 5 2" xfId="4751" xr:uid="{00000000-0005-0000-0000-00009F180000}"/>
    <cellStyle name="20% - Accent4 3 5 2 2" xfId="8342" xr:uid="{00000000-0005-0000-0000-0000A0180000}"/>
    <cellStyle name="20% - Accent4 3 5 2 2 2" xfId="16312" xr:uid="{00000000-0005-0000-0000-0000A1180000}"/>
    <cellStyle name="20% - Accent4 3 5 2 2 2 2" xfId="40154" xr:uid="{B2D3F9DE-97C8-4D77-B180-59FB5BBE9A1F}"/>
    <cellStyle name="20% - Accent4 3 5 2 2 3" xfId="24258" xr:uid="{00000000-0005-0000-0000-0000A2180000}"/>
    <cellStyle name="20% - Accent4 3 5 2 2 3 2" xfId="48090" xr:uid="{53E31DA5-7352-4DB1-9388-9352713E52E7}"/>
    <cellStyle name="20% - Accent4 3 5 2 2 4" xfId="32213" xr:uid="{96084648-2945-4A45-897E-15C251970D9B}"/>
    <cellStyle name="20% - Accent4 3 5 2 3" xfId="12774" xr:uid="{00000000-0005-0000-0000-0000A3180000}"/>
    <cellStyle name="20% - Accent4 3 5 2 3 2" xfId="36623" xr:uid="{E5504299-626C-4760-B2AA-6BD5820C5B00}"/>
    <cellStyle name="20% - Accent4 3 5 2 4" xfId="20729" xr:uid="{00000000-0005-0000-0000-0000A4180000}"/>
    <cellStyle name="20% - Accent4 3 5 2 4 2" xfId="44561" xr:uid="{72D84A8E-80E3-43BA-9B25-D9D562EF76F9}"/>
    <cellStyle name="20% - Accent4 3 5 2 5" xfId="28682" xr:uid="{BC1E3040-5066-4ED0-97C6-56146A41A883}"/>
    <cellStyle name="20% - Accent4 3 5 3" xfId="6583" xr:uid="{00000000-0005-0000-0000-0000A5180000}"/>
    <cellStyle name="20% - Accent4 3 5 3 2" xfId="14554" xr:uid="{00000000-0005-0000-0000-0000A6180000}"/>
    <cellStyle name="20% - Accent4 3 5 3 2 2" xfId="38396" xr:uid="{2C34B29A-9168-4BB9-80B4-828C6848306C}"/>
    <cellStyle name="20% - Accent4 3 5 3 3" xfId="22501" xr:uid="{00000000-0005-0000-0000-0000A7180000}"/>
    <cellStyle name="20% - Accent4 3 5 3 3 2" xfId="46333" xr:uid="{59D227B7-91A0-4FEE-ADEC-7423161ECF31}"/>
    <cellStyle name="20% - Accent4 3 5 3 4" xfId="30455" xr:uid="{CFCB81EC-4CB9-405B-A939-A4B09346964B}"/>
    <cellStyle name="20% - Accent4 3 5 4" xfId="11018" xr:uid="{00000000-0005-0000-0000-0000A8180000}"/>
    <cellStyle name="20% - Accent4 3 5 4 2" xfId="34867" xr:uid="{E7BE1A7F-C736-4E8B-B891-A8DBB49A1557}"/>
    <cellStyle name="20% - Accent4 3 5 5" xfId="18973" xr:uid="{00000000-0005-0000-0000-0000A9180000}"/>
    <cellStyle name="20% - Accent4 3 5 5 2" xfId="42805" xr:uid="{6F27BC5D-1758-4F7F-B0A9-28073507947C}"/>
    <cellStyle name="20% - Accent4 3 5 6" xfId="26925" xr:uid="{CFCBFFEA-4A40-4E59-B1A3-A382058BB593}"/>
    <cellStyle name="20% - Accent4 3 5_Exh G" xfId="2369" xr:uid="{00000000-0005-0000-0000-0000AA180000}"/>
    <cellStyle name="20% - Accent4 3 6" xfId="3872" xr:uid="{00000000-0005-0000-0000-0000AB180000}"/>
    <cellStyle name="20% - Accent4 3 6 2" xfId="7464" xr:uid="{00000000-0005-0000-0000-0000AC180000}"/>
    <cellStyle name="20% - Accent4 3 6 2 2" xfId="15434" xr:uid="{00000000-0005-0000-0000-0000AD180000}"/>
    <cellStyle name="20% - Accent4 3 6 2 2 2" xfId="39276" xr:uid="{80A09F6D-C93D-4C52-B037-756C8C8DF9A1}"/>
    <cellStyle name="20% - Accent4 3 6 2 3" xfId="23380" xr:uid="{00000000-0005-0000-0000-0000AE180000}"/>
    <cellStyle name="20% - Accent4 3 6 2 3 2" xfId="47212" xr:uid="{CF5B78E4-41C4-402F-B4CB-0D86842D8A53}"/>
    <cellStyle name="20% - Accent4 3 6 2 4" xfId="31335" xr:uid="{A5CDB62B-CB78-41E1-82D2-0F18B5A7863F}"/>
    <cellStyle name="20% - Accent4 3 6 3" xfId="11896" xr:uid="{00000000-0005-0000-0000-0000AF180000}"/>
    <cellStyle name="20% - Accent4 3 6 3 2" xfId="35745" xr:uid="{4C3A4C9C-56CF-4298-864A-1E4AF6A6B964}"/>
    <cellStyle name="20% - Accent4 3 6 4" xfId="19851" xr:uid="{00000000-0005-0000-0000-0000B0180000}"/>
    <cellStyle name="20% - Accent4 3 6 4 2" xfId="43683" xr:uid="{12E4BD6C-3741-45A1-9799-F879FD8DF22D}"/>
    <cellStyle name="20% - Accent4 3 6 5" xfId="27804" xr:uid="{7753C07A-34D6-48A6-8D03-4B3BBB376BD2}"/>
    <cellStyle name="20% - Accent4 3 7" xfId="5692" xr:uid="{00000000-0005-0000-0000-0000B1180000}"/>
    <cellStyle name="20% - Accent4 3 7 2" xfId="13675" xr:uid="{00000000-0005-0000-0000-0000B2180000}"/>
    <cellStyle name="20% - Accent4 3 7 2 2" xfId="37518" xr:uid="{649C1FD2-3AC3-4520-83FC-527A04951D9C}"/>
    <cellStyle name="20% - Accent4 3 7 3" xfId="21623" xr:uid="{00000000-0005-0000-0000-0000B3180000}"/>
    <cellStyle name="20% - Accent4 3 7 3 2" xfId="45455" xr:uid="{E589193B-6359-4428-99C6-CAB3D220CAFD}"/>
    <cellStyle name="20% - Accent4 3 7 4" xfId="29577" xr:uid="{53324198-DD17-46AA-B150-7D605D3A7D88}"/>
    <cellStyle name="20% - Accent4 3 8" xfId="9244" xr:uid="{00000000-0005-0000-0000-0000B4180000}"/>
    <cellStyle name="20% - Accent4 3 8 2" xfId="17202" xr:uid="{00000000-0005-0000-0000-0000B5180000}"/>
    <cellStyle name="20% - Accent4 3 8 2 2" xfId="41042" xr:uid="{0EF6ECBA-C333-4420-8509-F91DE1DE6B35}"/>
    <cellStyle name="20% - Accent4 3 8 3" xfId="25146" xr:uid="{00000000-0005-0000-0000-0000B6180000}"/>
    <cellStyle name="20% - Accent4 3 8 3 2" xfId="48978" xr:uid="{93876F96-D965-48B2-BB65-8D564B696ACD}"/>
    <cellStyle name="20% - Accent4 3 8 4" xfId="33101" xr:uid="{3BEA6EF0-9438-4F70-8884-7FD51DCA223A}"/>
    <cellStyle name="20% - Accent4 3 9" xfId="10140" xr:uid="{00000000-0005-0000-0000-0000B7180000}"/>
    <cellStyle name="20% - Accent4 3 9 2" xfId="33989" xr:uid="{684EA3D2-5CB6-47E3-AAB3-69DFB2B66A63}"/>
    <cellStyle name="20% - Accent4 3_Exh G" xfId="2358" xr:uid="{00000000-0005-0000-0000-0000B8180000}"/>
    <cellStyle name="20% - Accent4 4" xfId="202" xr:uid="{00000000-0005-0000-0000-0000B9180000}"/>
    <cellStyle name="20% - Accent4 4 10" xfId="18099" xr:uid="{00000000-0005-0000-0000-0000BA180000}"/>
    <cellStyle name="20% - Accent4 4 10 2" xfId="41931" xr:uid="{B28E6980-1C52-4890-911E-7560E89E3FD0}"/>
    <cellStyle name="20% - Accent4 4 11" xfId="26051" xr:uid="{40A3A78E-8F8F-401F-8FE8-70E5DF4E454D}"/>
    <cellStyle name="20% - Accent4 4 2" xfId="203" xr:uid="{00000000-0005-0000-0000-0000BB180000}"/>
    <cellStyle name="20% - Accent4 4 2 10" xfId="26052" xr:uid="{9772F1EE-EB58-45B1-BD29-8751FE56B7DD}"/>
    <cellStyle name="20% - Accent4 4 2 2" xfId="204" xr:uid="{00000000-0005-0000-0000-0000BC180000}"/>
    <cellStyle name="20% - Accent4 4 2 2 2" xfId="1230" xr:uid="{00000000-0005-0000-0000-0000BD180000}"/>
    <cellStyle name="20% - Accent4 4 2 2 2 2" xfId="4757" xr:uid="{00000000-0005-0000-0000-0000BE180000}"/>
    <cellStyle name="20% - Accent4 4 2 2 2 2 2" xfId="8348" xr:uid="{00000000-0005-0000-0000-0000BF180000}"/>
    <cellStyle name="20% - Accent4 4 2 2 2 2 2 2" xfId="16318" xr:uid="{00000000-0005-0000-0000-0000C0180000}"/>
    <cellStyle name="20% - Accent4 4 2 2 2 2 2 2 2" xfId="40160" xr:uid="{0049F0CD-924B-4D0C-8434-914CF283FBA9}"/>
    <cellStyle name="20% - Accent4 4 2 2 2 2 2 3" xfId="24264" xr:uid="{00000000-0005-0000-0000-0000C1180000}"/>
    <cellStyle name="20% - Accent4 4 2 2 2 2 2 3 2" xfId="48096" xr:uid="{FBDD3DA7-15BE-4143-9D38-94D6A9FA40F2}"/>
    <cellStyle name="20% - Accent4 4 2 2 2 2 2 4" xfId="32219" xr:uid="{754CA452-0C55-4C2D-AEC0-0A7C84A5B7BC}"/>
    <cellStyle name="20% - Accent4 4 2 2 2 2 3" xfId="12780" xr:uid="{00000000-0005-0000-0000-0000C2180000}"/>
    <cellStyle name="20% - Accent4 4 2 2 2 2 3 2" xfId="36629" xr:uid="{037EFE4B-2E67-4A3D-A703-39400DC2788C}"/>
    <cellStyle name="20% - Accent4 4 2 2 2 2 4" xfId="20735" xr:uid="{00000000-0005-0000-0000-0000C3180000}"/>
    <cellStyle name="20% - Accent4 4 2 2 2 2 4 2" xfId="44567" xr:uid="{CFA8A87B-8E75-4EA9-B165-3288738C008F}"/>
    <cellStyle name="20% - Accent4 4 2 2 2 2 5" xfId="28688" xr:uid="{B008E19C-0688-4EF7-B6A8-33895EDF63D1}"/>
    <cellStyle name="20% - Accent4 4 2 2 2 3" xfId="6589" xr:uid="{00000000-0005-0000-0000-0000C4180000}"/>
    <cellStyle name="20% - Accent4 4 2 2 2 3 2" xfId="14560" xr:uid="{00000000-0005-0000-0000-0000C5180000}"/>
    <cellStyle name="20% - Accent4 4 2 2 2 3 2 2" xfId="38402" xr:uid="{3F7EE4AB-7F68-4AFB-86E5-551E483CA06C}"/>
    <cellStyle name="20% - Accent4 4 2 2 2 3 3" xfId="22507" xr:uid="{00000000-0005-0000-0000-0000C6180000}"/>
    <cellStyle name="20% - Accent4 4 2 2 2 3 3 2" xfId="46339" xr:uid="{AE64747D-A4DC-4648-8C71-8A7B03326AC1}"/>
    <cellStyle name="20% - Accent4 4 2 2 2 3 4" xfId="30461" xr:uid="{947C2BA0-6147-4EF6-808A-E63404E35CA5}"/>
    <cellStyle name="20% - Accent4 4 2 2 2 4" xfId="11024" xr:uid="{00000000-0005-0000-0000-0000C7180000}"/>
    <cellStyle name="20% - Accent4 4 2 2 2 4 2" xfId="34873" xr:uid="{6F0FB9FC-19CB-40EB-A88A-A7B2F962C7EB}"/>
    <cellStyle name="20% - Accent4 4 2 2 2 5" xfId="18979" xr:uid="{00000000-0005-0000-0000-0000C8180000}"/>
    <cellStyle name="20% - Accent4 4 2 2 2 5 2" xfId="42811" xr:uid="{4FDB7F7C-5E28-4D23-876C-B7D60F6E1996}"/>
    <cellStyle name="20% - Accent4 4 2 2 2 6" xfId="26931" xr:uid="{ACFEF6C0-5A10-4D86-B75C-664F3D9DC052}"/>
    <cellStyle name="20% - Accent4 4 2 2 2_Exh G" xfId="2373" xr:uid="{00000000-0005-0000-0000-0000C9180000}"/>
    <cellStyle name="20% - Accent4 4 2 2 3" xfId="3878" xr:uid="{00000000-0005-0000-0000-0000CA180000}"/>
    <cellStyle name="20% - Accent4 4 2 2 3 2" xfId="7470" xr:uid="{00000000-0005-0000-0000-0000CB180000}"/>
    <cellStyle name="20% - Accent4 4 2 2 3 2 2" xfId="15440" xr:uid="{00000000-0005-0000-0000-0000CC180000}"/>
    <cellStyle name="20% - Accent4 4 2 2 3 2 2 2" xfId="39282" xr:uid="{142EC341-E898-419A-8A3F-B1B69C7BD9C3}"/>
    <cellStyle name="20% - Accent4 4 2 2 3 2 3" xfId="23386" xr:uid="{00000000-0005-0000-0000-0000CD180000}"/>
    <cellStyle name="20% - Accent4 4 2 2 3 2 3 2" xfId="47218" xr:uid="{EB538F9A-DEB1-426F-B871-BA2577D04BAB}"/>
    <cellStyle name="20% - Accent4 4 2 2 3 2 4" xfId="31341" xr:uid="{3A0F1D70-2F1A-4FB4-9607-8F96E27D3B76}"/>
    <cellStyle name="20% - Accent4 4 2 2 3 3" xfId="11902" xr:uid="{00000000-0005-0000-0000-0000CE180000}"/>
    <cellStyle name="20% - Accent4 4 2 2 3 3 2" xfId="35751" xr:uid="{3ADEF30F-D67C-413C-A0BC-4AF1D908791B}"/>
    <cellStyle name="20% - Accent4 4 2 2 3 4" xfId="19857" xr:uid="{00000000-0005-0000-0000-0000CF180000}"/>
    <cellStyle name="20% - Accent4 4 2 2 3 4 2" xfId="43689" xr:uid="{1AB7E19B-0379-4F16-B895-76DD36820ED4}"/>
    <cellStyle name="20% - Accent4 4 2 2 3 5" xfId="27810" xr:uid="{55A7B49E-3886-47CB-8B0D-ED3B074592DE}"/>
    <cellStyle name="20% - Accent4 4 2 2 4" xfId="5698" xr:uid="{00000000-0005-0000-0000-0000D0180000}"/>
    <cellStyle name="20% - Accent4 4 2 2 4 2" xfId="13681" xr:uid="{00000000-0005-0000-0000-0000D1180000}"/>
    <cellStyle name="20% - Accent4 4 2 2 4 2 2" xfId="37524" xr:uid="{462DFDEE-46DB-4F42-9544-254500D1E561}"/>
    <cellStyle name="20% - Accent4 4 2 2 4 3" xfId="21629" xr:uid="{00000000-0005-0000-0000-0000D2180000}"/>
    <cellStyle name="20% - Accent4 4 2 2 4 3 2" xfId="45461" xr:uid="{FD9D52E5-E633-43D7-BA9C-C79D56AD2584}"/>
    <cellStyle name="20% - Accent4 4 2 2 4 4" xfId="29583" xr:uid="{417F894B-F396-49F2-86EF-79DD82EF2BA3}"/>
    <cellStyle name="20% - Accent4 4 2 2 5" xfId="9250" xr:uid="{00000000-0005-0000-0000-0000D3180000}"/>
    <cellStyle name="20% - Accent4 4 2 2 5 2" xfId="17208" xr:uid="{00000000-0005-0000-0000-0000D4180000}"/>
    <cellStyle name="20% - Accent4 4 2 2 5 2 2" xfId="41048" xr:uid="{59B9035A-D0E6-44FB-9EE2-FEFABFD20EF3}"/>
    <cellStyle name="20% - Accent4 4 2 2 5 3" xfId="25152" xr:uid="{00000000-0005-0000-0000-0000D5180000}"/>
    <cellStyle name="20% - Accent4 4 2 2 5 3 2" xfId="48984" xr:uid="{8DDC0BDC-DF42-406F-A4D8-C1249F2DD087}"/>
    <cellStyle name="20% - Accent4 4 2 2 5 4" xfId="33107" xr:uid="{579B1DE1-BBF4-4C5D-A3C1-B77BF5C5777C}"/>
    <cellStyle name="20% - Accent4 4 2 2 6" xfId="10146" xr:uid="{00000000-0005-0000-0000-0000D6180000}"/>
    <cellStyle name="20% - Accent4 4 2 2 6 2" xfId="33995" xr:uid="{48B3B52D-5E90-4A28-8674-4619AEDEBB93}"/>
    <cellStyle name="20% - Accent4 4 2 2 7" xfId="18101" xr:uid="{00000000-0005-0000-0000-0000D7180000}"/>
    <cellStyle name="20% - Accent4 4 2 2 7 2" xfId="41933" xr:uid="{70354A5F-043C-45D9-BD41-024030B26D29}"/>
    <cellStyle name="20% - Accent4 4 2 2 8" xfId="26053" xr:uid="{9F2D9447-7EFD-4630-AD1B-B55690293A24}"/>
    <cellStyle name="20% - Accent4 4 2 2_Exh G" xfId="2372" xr:uid="{00000000-0005-0000-0000-0000D8180000}"/>
    <cellStyle name="20% - Accent4 4 2 3" xfId="901" xr:uid="{00000000-0005-0000-0000-0000D9180000}"/>
    <cellStyle name="20% - Accent4 4 2 3 2" xfId="1827" xr:uid="{00000000-0005-0000-0000-0000DA180000}"/>
    <cellStyle name="20% - Accent4 4 2 3 2 2" xfId="5344" xr:uid="{00000000-0005-0000-0000-0000DB180000}"/>
    <cellStyle name="20% - Accent4 4 2 3 2 2 2" xfId="8935" xr:uid="{00000000-0005-0000-0000-0000DC180000}"/>
    <cellStyle name="20% - Accent4 4 2 3 2 2 2 2" xfId="16905" xr:uid="{00000000-0005-0000-0000-0000DD180000}"/>
    <cellStyle name="20% - Accent4 4 2 3 2 2 2 2 2" xfId="40747" xr:uid="{12709120-A611-4C16-AD55-DB5EF6413BE0}"/>
    <cellStyle name="20% - Accent4 4 2 3 2 2 2 3" xfId="24851" xr:uid="{00000000-0005-0000-0000-0000DE180000}"/>
    <cellStyle name="20% - Accent4 4 2 3 2 2 2 3 2" xfId="48683" xr:uid="{C80AFD1B-8A45-4BDB-97F1-46C6B9D6B69F}"/>
    <cellStyle name="20% - Accent4 4 2 3 2 2 2 4" xfId="32806" xr:uid="{B2FDBC7B-A4B4-42C8-9A8F-9836FADAAE52}"/>
    <cellStyle name="20% - Accent4 4 2 3 2 2 3" xfId="13367" xr:uid="{00000000-0005-0000-0000-0000DF180000}"/>
    <cellStyle name="20% - Accent4 4 2 3 2 2 3 2" xfId="37216" xr:uid="{C2E5212A-C074-487F-AA1E-1C515B864FBA}"/>
    <cellStyle name="20% - Accent4 4 2 3 2 2 4" xfId="21322" xr:uid="{00000000-0005-0000-0000-0000E0180000}"/>
    <cellStyle name="20% - Accent4 4 2 3 2 2 4 2" xfId="45154" xr:uid="{6CE4DEE6-32CE-46C1-81AB-822BB1C4DF41}"/>
    <cellStyle name="20% - Accent4 4 2 3 2 2 5" xfId="29275" xr:uid="{26D6E037-24CE-4BA7-A93E-1EFBC34074BA}"/>
    <cellStyle name="20% - Accent4 4 2 3 2 3" xfId="7176" xr:uid="{00000000-0005-0000-0000-0000E1180000}"/>
    <cellStyle name="20% - Accent4 4 2 3 2 3 2" xfId="15147" xr:uid="{00000000-0005-0000-0000-0000E2180000}"/>
    <cellStyle name="20% - Accent4 4 2 3 2 3 2 2" xfId="38989" xr:uid="{61347781-111F-40C9-820B-1D4E3ECF54F9}"/>
    <cellStyle name="20% - Accent4 4 2 3 2 3 3" xfId="23094" xr:uid="{00000000-0005-0000-0000-0000E3180000}"/>
    <cellStyle name="20% - Accent4 4 2 3 2 3 3 2" xfId="46926" xr:uid="{2FB32FC0-DAAC-43D5-A596-78E193C0B877}"/>
    <cellStyle name="20% - Accent4 4 2 3 2 3 4" xfId="31048" xr:uid="{8FB4567D-FDFB-4C67-9707-135F4CEEC41F}"/>
    <cellStyle name="20% - Accent4 4 2 3 2 4" xfId="11611" xr:uid="{00000000-0005-0000-0000-0000E4180000}"/>
    <cellStyle name="20% - Accent4 4 2 3 2 4 2" xfId="35460" xr:uid="{00FBEE66-0020-4CD0-A29B-37961A389D3A}"/>
    <cellStyle name="20% - Accent4 4 2 3 2 5" xfId="19566" xr:uid="{00000000-0005-0000-0000-0000E5180000}"/>
    <cellStyle name="20% - Accent4 4 2 3 2 5 2" xfId="43398" xr:uid="{1503843F-A5A4-4293-8601-6FF34951324E}"/>
    <cellStyle name="20% - Accent4 4 2 3 2 6" xfId="27518" xr:uid="{315A6D1F-4035-4C69-BDAE-8E3C2E2C9DAD}"/>
    <cellStyle name="20% - Accent4 4 2 3 2_Exh G" xfId="2375" xr:uid="{00000000-0005-0000-0000-0000E6180000}"/>
    <cellStyle name="20% - Accent4 4 2 3 3" xfId="4465" xr:uid="{00000000-0005-0000-0000-0000E7180000}"/>
    <cellStyle name="20% - Accent4 4 2 3 3 2" xfId="8057" xr:uid="{00000000-0005-0000-0000-0000E8180000}"/>
    <cellStyle name="20% - Accent4 4 2 3 3 2 2" xfId="16027" xr:uid="{00000000-0005-0000-0000-0000E9180000}"/>
    <cellStyle name="20% - Accent4 4 2 3 3 2 2 2" xfId="39869" xr:uid="{3A5E5FE9-DD18-46DB-86DE-DC7CF98F6136}"/>
    <cellStyle name="20% - Accent4 4 2 3 3 2 3" xfId="23973" xr:uid="{00000000-0005-0000-0000-0000EA180000}"/>
    <cellStyle name="20% - Accent4 4 2 3 3 2 3 2" xfId="47805" xr:uid="{4353020C-F3B4-454E-9CE6-CA437C40E38B}"/>
    <cellStyle name="20% - Accent4 4 2 3 3 2 4" xfId="31928" xr:uid="{9EF8A89D-4A7E-4F9E-877A-DC3706106437}"/>
    <cellStyle name="20% - Accent4 4 2 3 3 3" xfId="12489" xr:uid="{00000000-0005-0000-0000-0000EB180000}"/>
    <cellStyle name="20% - Accent4 4 2 3 3 3 2" xfId="36338" xr:uid="{22239A8F-9A0F-4AA9-AD2D-D4174F122ECF}"/>
    <cellStyle name="20% - Accent4 4 2 3 3 4" xfId="20444" xr:uid="{00000000-0005-0000-0000-0000EC180000}"/>
    <cellStyle name="20% - Accent4 4 2 3 3 4 2" xfId="44276" xr:uid="{193DC27A-2680-4ADF-842D-F110E3597C58}"/>
    <cellStyle name="20% - Accent4 4 2 3 3 5" xfId="28397" xr:uid="{7B9553D2-8001-47A2-8CA2-A911BE74E46B}"/>
    <cellStyle name="20% - Accent4 4 2 3 4" xfId="6295" xr:uid="{00000000-0005-0000-0000-0000ED180000}"/>
    <cellStyle name="20% - Accent4 4 2 3 4 2" xfId="14269" xr:uid="{00000000-0005-0000-0000-0000EE180000}"/>
    <cellStyle name="20% - Accent4 4 2 3 4 2 2" xfId="38111" xr:uid="{65EDFBEA-B587-4899-8089-4430C3D1335C}"/>
    <cellStyle name="20% - Accent4 4 2 3 4 3" xfId="22216" xr:uid="{00000000-0005-0000-0000-0000EF180000}"/>
    <cellStyle name="20% - Accent4 4 2 3 4 3 2" xfId="46048" xr:uid="{04CC20A5-AF70-4E3A-9364-8EE523C9BAF2}"/>
    <cellStyle name="20% - Accent4 4 2 3 4 4" xfId="30170" xr:uid="{83E20831-1C3C-477A-A23E-FDA464284263}"/>
    <cellStyle name="20% - Accent4 4 2 3 5" xfId="9837" xr:uid="{00000000-0005-0000-0000-0000F0180000}"/>
    <cellStyle name="20% - Accent4 4 2 3 5 2" xfId="17795" xr:uid="{00000000-0005-0000-0000-0000F1180000}"/>
    <cellStyle name="20% - Accent4 4 2 3 5 2 2" xfId="41635" xr:uid="{567FBFD8-19B8-4ED5-A568-CBBDDDF98074}"/>
    <cellStyle name="20% - Accent4 4 2 3 5 3" xfId="25739" xr:uid="{00000000-0005-0000-0000-0000F2180000}"/>
    <cellStyle name="20% - Accent4 4 2 3 5 3 2" xfId="49571" xr:uid="{927A507B-8C93-486C-94E9-812F990E74D3}"/>
    <cellStyle name="20% - Accent4 4 2 3 5 4" xfId="33694" xr:uid="{C2DC4B3E-5D88-432B-A0B8-E6D6B6C163A0}"/>
    <cellStyle name="20% - Accent4 4 2 3 6" xfId="10733" xr:uid="{00000000-0005-0000-0000-0000F3180000}"/>
    <cellStyle name="20% - Accent4 4 2 3 6 2" xfId="34582" xr:uid="{953A779C-CFBB-46E6-BA35-9EDED8C4DB20}"/>
    <cellStyle name="20% - Accent4 4 2 3 7" xfId="18688" xr:uid="{00000000-0005-0000-0000-0000F4180000}"/>
    <cellStyle name="20% - Accent4 4 2 3 7 2" xfId="42520" xr:uid="{4E2B5F9E-57F2-44E5-A5B7-96174DC59C34}"/>
    <cellStyle name="20% - Accent4 4 2 3 8" xfId="26640" xr:uid="{6A268E3D-C67B-45FA-8F66-E2E72F08FD5E}"/>
    <cellStyle name="20% - Accent4 4 2 3_Exh G" xfId="2374" xr:uid="{00000000-0005-0000-0000-0000F5180000}"/>
    <cellStyle name="20% - Accent4 4 2 4" xfId="1229" xr:uid="{00000000-0005-0000-0000-0000F6180000}"/>
    <cellStyle name="20% - Accent4 4 2 4 2" xfId="4756" xr:uid="{00000000-0005-0000-0000-0000F7180000}"/>
    <cellStyle name="20% - Accent4 4 2 4 2 2" xfId="8347" xr:uid="{00000000-0005-0000-0000-0000F8180000}"/>
    <cellStyle name="20% - Accent4 4 2 4 2 2 2" xfId="16317" xr:uid="{00000000-0005-0000-0000-0000F9180000}"/>
    <cellStyle name="20% - Accent4 4 2 4 2 2 2 2" xfId="40159" xr:uid="{CD9125C5-9D51-4156-B712-74E08D8F720A}"/>
    <cellStyle name="20% - Accent4 4 2 4 2 2 3" xfId="24263" xr:uid="{00000000-0005-0000-0000-0000FA180000}"/>
    <cellStyle name="20% - Accent4 4 2 4 2 2 3 2" xfId="48095" xr:uid="{FDA62518-1821-45BA-B9CE-B5D48DD61CD6}"/>
    <cellStyle name="20% - Accent4 4 2 4 2 2 4" xfId="32218" xr:uid="{95CBE286-346D-4F4E-95CE-B60CC2EE8DA1}"/>
    <cellStyle name="20% - Accent4 4 2 4 2 3" xfId="12779" xr:uid="{00000000-0005-0000-0000-0000FB180000}"/>
    <cellStyle name="20% - Accent4 4 2 4 2 3 2" xfId="36628" xr:uid="{4B5E0C03-B0DE-4EBF-945F-5169AFBF7029}"/>
    <cellStyle name="20% - Accent4 4 2 4 2 4" xfId="20734" xr:uid="{00000000-0005-0000-0000-0000FC180000}"/>
    <cellStyle name="20% - Accent4 4 2 4 2 4 2" xfId="44566" xr:uid="{194DDEDF-5A47-45C0-8911-D53EDDD64EB6}"/>
    <cellStyle name="20% - Accent4 4 2 4 2 5" xfId="28687" xr:uid="{AE5C3A18-4C21-446B-814D-644017AA9A9B}"/>
    <cellStyle name="20% - Accent4 4 2 4 3" xfId="6588" xr:uid="{00000000-0005-0000-0000-0000FD180000}"/>
    <cellStyle name="20% - Accent4 4 2 4 3 2" xfId="14559" xr:uid="{00000000-0005-0000-0000-0000FE180000}"/>
    <cellStyle name="20% - Accent4 4 2 4 3 2 2" xfId="38401" xr:uid="{5630BAAB-2F26-469E-83D8-4B9A7DD9DE92}"/>
    <cellStyle name="20% - Accent4 4 2 4 3 3" xfId="22506" xr:uid="{00000000-0005-0000-0000-0000FF180000}"/>
    <cellStyle name="20% - Accent4 4 2 4 3 3 2" xfId="46338" xr:uid="{D2EA16CD-2C13-4562-9BEE-4D2FDFD45D72}"/>
    <cellStyle name="20% - Accent4 4 2 4 3 4" xfId="30460" xr:uid="{ECC2595A-72D7-4FCD-8D46-6900A4221761}"/>
    <cellStyle name="20% - Accent4 4 2 4 4" xfId="11023" xr:uid="{00000000-0005-0000-0000-000000190000}"/>
    <cellStyle name="20% - Accent4 4 2 4 4 2" xfId="34872" xr:uid="{C330C7A2-F7F6-4B0E-95CA-F140F34B0402}"/>
    <cellStyle name="20% - Accent4 4 2 4 5" xfId="18978" xr:uid="{00000000-0005-0000-0000-000001190000}"/>
    <cellStyle name="20% - Accent4 4 2 4 5 2" xfId="42810" xr:uid="{0F754734-EE90-4452-B1FF-58970015120D}"/>
    <cellStyle name="20% - Accent4 4 2 4 6" xfId="26930" xr:uid="{98338851-45C3-4CBC-B791-BA92EC0073C8}"/>
    <cellStyle name="20% - Accent4 4 2 4_Exh G" xfId="2376" xr:uid="{00000000-0005-0000-0000-000002190000}"/>
    <cellStyle name="20% - Accent4 4 2 5" xfId="3877" xr:uid="{00000000-0005-0000-0000-000003190000}"/>
    <cellStyle name="20% - Accent4 4 2 5 2" xfId="7469" xr:uid="{00000000-0005-0000-0000-000004190000}"/>
    <cellStyle name="20% - Accent4 4 2 5 2 2" xfId="15439" xr:uid="{00000000-0005-0000-0000-000005190000}"/>
    <cellStyle name="20% - Accent4 4 2 5 2 2 2" xfId="39281" xr:uid="{FFD1085C-D068-4C88-8F19-77A7608D7E9D}"/>
    <cellStyle name="20% - Accent4 4 2 5 2 3" xfId="23385" xr:uid="{00000000-0005-0000-0000-000006190000}"/>
    <cellStyle name="20% - Accent4 4 2 5 2 3 2" xfId="47217" xr:uid="{5189203C-4CED-4263-BC6B-E7103402A2E1}"/>
    <cellStyle name="20% - Accent4 4 2 5 2 4" xfId="31340" xr:uid="{7CF649BE-42A0-4B8B-9DAA-0498E7476D3C}"/>
    <cellStyle name="20% - Accent4 4 2 5 3" xfId="11901" xr:uid="{00000000-0005-0000-0000-000007190000}"/>
    <cellStyle name="20% - Accent4 4 2 5 3 2" xfId="35750" xr:uid="{7B64EB70-3AC4-4FF4-ABCE-EB6462564B91}"/>
    <cellStyle name="20% - Accent4 4 2 5 4" xfId="19856" xr:uid="{00000000-0005-0000-0000-000008190000}"/>
    <cellStyle name="20% - Accent4 4 2 5 4 2" xfId="43688" xr:uid="{6B15D4DC-8E3F-48FB-89AE-69A9610B1235}"/>
    <cellStyle name="20% - Accent4 4 2 5 5" xfId="27809" xr:uid="{1DFA88F0-7513-445C-BB92-65DE12EED12E}"/>
    <cellStyle name="20% - Accent4 4 2 6" xfId="5697" xr:uid="{00000000-0005-0000-0000-000009190000}"/>
    <cellStyle name="20% - Accent4 4 2 6 2" xfId="13680" xr:uid="{00000000-0005-0000-0000-00000A190000}"/>
    <cellStyle name="20% - Accent4 4 2 6 2 2" xfId="37523" xr:uid="{F516EB9B-D7EB-4EDA-9237-2662EE7E962A}"/>
    <cellStyle name="20% - Accent4 4 2 6 3" xfId="21628" xr:uid="{00000000-0005-0000-0000-00000B190000}"/>
    <cellStyle name="20% - Accent4 4 2 6 3 2" xfId="45460" xr:uid="{D6F297DF-37EE-4F14-B103-CF4F51F9F123}"/>
    <cellStyle name="20% - Accent4 4 2 6 4" xfId="29582" xr:uid="{338413E1-D2AC-4C53-B881-0FB759C6983F}"/>
    <cellStyle name="20% - Accent4 4 2 7" xfId="9249" xr:uid="{00000000-0005-0000-0000-00000C190000}"/>
    <cellStyle name="20% - Accent4 4 2 7 2" xfId="17207" xr:uid="{00000000-0005-0000-0000-00000D190000}"/>
    <cellStyle name="20% - Accent4 4 2 7 2 2" xfId="41047" xr:uid="{4510DCCA-B30E-4C9A-B164-752EDF5B9998}"/>
    <cellStyle name="20% - Accent4 4 2 7 3" xfId="25151" xr:uid="{00000000-0005-0000-0000-00000E190000}"/>
    <cellStyle name="20% - Accent4 4 2 7 3 2" xfId="48983" xr:uid="{D464DF9E-749E-48A5-8030-D918D44B6D04}"/>
    <cellStyle name="20% - Accent4 4 2 7 4" xfId="33106" xr:uid="{BE11CBB2-DAC1-4B00-A31E-DD1041063568}"/>
    <cellStyle name="20% - Accent4 4 2 8" xfId="10145" xr:uid="{00000000-0005-0000-0000-00000F190000}"/>
    <cellStyle name="20% - Accent4 4 2 8 2" xfId="33994" xr:uid="{3E20C58B-CCB5-49D2-A1CC-DC64727C34B6}"/>
    <cellStyle name="20% - Accent4 4 2 9" xfId="18100" xr:uid="{00000000-0005-0000-0000-000010190000}"/>
    <cellStyle name="20% - Accent4 4 2 9 2" xfId="41932" xr:uid="{68754A87-E81B-483D-BF97-A684F5856968}"/>
    <cellStyle name="20% - Accent4 4 2_Exh G" xfId="2371" xr:uid="{00000000-0005-0000-0000-000011190000}"/>
    <cellStyle name="20% - Accent4 4 3" xfId="205" xr:uid="{00000000-0005-0000-0000-000012190000}"/>
    <cellStyle name="20% - Accent4 4 3 2" xfId="1231" xr:uid="{00000000-0005-0000-0000-000013190000}"/>
    <cellStyle name="20% - Accent4 4 3 2 2" xfId="4758" xr:uid="{00000000-0005-0000-0000-000014190000}"/>
    <cellStyle name="20% - Accent4 4 3 2 2 2" xfId="8349" xr:uid="{00000000-0005-0000-0000-000015190000}"/>
    <cellStyle name="20% - Accent4 4 3 2 2 2 2" xfId="16319" xr:uid="{00000000-0005-0000-0000-000016190000}"/>
    <cellStyle name="20% - Accent4 4 3 2 2 2 2 2" xfId="40161" xr:uid="{01BD8F37-8B2F-40C2-925A-B15A5EABE3ED}"/>
    <cellStyle name="20% - Accent4 4 3 2 2 2 3" xfId="24265" xr:uid="{00000000-0005-0000-0000-000017190000}"/>
    <cellStyle name="20% - Accent4 4 3 2 2 2 3 2" xfId="48097" xr:uid="{60E7E31E-B48D-4952-B73C-51FEA5E1FC49}"/>
    <cellStyle name="20% - Accent4 4 3 2 2 2 4" xfId="32220" xr:uid="{3016FB48-9ADF-4F44-ABAF-87D0C23F4216}"/>
    <cellStyle name="20% - Accent4 4 3 2 2 3" xfId="12781" xr:uid="{00000000-0005-0000-0000-000018190000}"/>
    <cellStyle name="20% - Accent4 4 3 2 2 3 2" xfId="36630" xr:uid="{236D7D21-F745-4EBA-A714-51835825900A}"/>
    <cellStyle name="20% - Accent4 4 3 2 2 4" xfId="20736" xr:uid="{00000000-0005-0000-0000-000019190000}"/>
    <cellStyle name="20% - Accent4 4 3 2 2 4 2" xfId="44568" xr:uid="{ED6E12F4-D85E-4894-8098-B53EB72AEE0F}"/>
    <cellStyle name="20% - Accent4 4 3 2 2 5" xfId="28689" xr:uid="{AA02C380-28A9-429C-AE99-A50C5B5923F1}"/>
    <cellStyle name="20% - Accent4 4 3 2 3" xfId="6590" xr:uid="{00000000-0005-0000-0000-00001A190000}"/>
    <cellStyle name="20% - Accent4 4 3 2 3 2" xfId="14561" xr:uid="{00000000-0005-0000-0000-00001B190000}"/>
    <cellStyle name="20% - Accent4 4 3 2 3 2 2" xfId="38403" xr:uid="{2EE7BD8D-3087-4B2D-904D-DED696363715}"/>
    <cellStyle name="20% - Accent4 4 3 2 3 3" xfId="22508" xr:uid="{00000000-0005-0000-0000-00001C190000}"/>
    <cellStyle name="20% - Accent4 4 3 2 3 3 2" xfId="46340" xr:uid="{CF6D1809-73D3-4253-A9C8-D95FE9A94C9E}"/>
    <cellStyle name="20% - Accent4 4 3 2 3 4" xfId="30462" xr:uid="{ABC19FF3-E022-4C1A-986F-526868C76C7F}"/>
    <cellStyle name="20% - Accent4 4 3 2 4" xfId="11025" xr:uid="{00000000-0005-0000-0000-00001D190000}"/>
    <cellStyle name="20% - Accent4 4 3 2 4 2" xfId="34874" xr:uid="{6FA35F48-D264-4517-8648-9F4D7F6D1BBC}"/>
    <cellStyle name="20% - Accent4 4 3 2 5" xfId="18980" xr:uid="{00000000-0005-0000-0000-00001E190000}"/>
    <cellStyle name="20% - Accent4 4 3 2 5 2" xfId="42812" xr:uid="{2D2DBE20-A87D-42AC-A7DC-76C4192107A3}"/>
    <cellStyle name="20% - Accent4 4 3 2 6" xfId="26932" xr:uid="{0641AA11-B76B-405F-8D6A-C65DE7172364}"/>
    <cellStyle name="20% - Accent4 4 3 2_Exh G" xfId="2378" xr:uid="{00000000-0005-0000-0000-00001F190000}"/>
    <cellStyle name="20% - Accent4 4 3 3" xfId="3879" xr:uid="{00000000-0005-0000-0000-000020190000}"/>
    <cellStyle name="20% - Accent4 4 3 3 2" xfId="7471" xr:uid="{00000000-0005-0000-0000-000021190000}"/>
    <cellStyle name="20% - Accent4 4 3 3 2 2" xfId="15441" xr:uid="{00000000-0005-0000-0000-000022190000}"/>
    <cellStyle name="20% - Accent4 4 3 3 2 2 2" xfId="39283" xr:uid="{5D53F76F-265D-4449-87DD-DA860D8319F2}"/>
    <cellStyle name="20% - Accent4 4 3 3 2 3" xfId="23387" xr:uid="{00000000-0005-0000-0000-000023190000}"/>
    <cellStyle name="20% - Accent4 4 3 3 2 3 2" xfId="47219" xr:uid="{F5758FC6-478D-4038-BF1F-8D45178F5B16}"/>
    <cellStyle name="20% - Accent4 4 3 3 2 4" xfId="31342" xr:uid="{4ECBF2A5-040F-40B7-B61F-55287F0F7BF7}"/>
    <cellStyle name="20% - Accent4 4 3 3 3" xfId="11903" xr:uid="{00000000-0005-0000-0000-000024190000}"/>
    <cellStyle name="20% - Accent4 4 3 3 3 2" xfId="35752" xr:uid="{52ED39ED-0E43-4FD9-9A65-5E9EC96CDB91}"/>
    <cellStyle name="20% - Accent4 4 3 3 4" xfId="19858" xr:uid="{00000000-0005-0000-0000-000025190000}"/>
    <cellStyle name="20% - Accent4 4 3 3 4 2" xfId="43690" xr:uid="{C6E6C2BF-3E2D-4263-95DE-4545F88655B3}"/>
    <cellStyle name="20% - Accent4 4 3 3 5" xfId="27811" xr:uid="{268E3BAC-B0E4-4D88-81BA-312B16DB1959}"/>
    <cellStyle name="20% - Accent4 4 3 4" xfId="5699" xr:uid="{00000000-0005-0000-0000-000026190000}"/>
    <cellStyle name="20% - Accent4 4 3 4 2" xfId="13682" xr:uid="{00000000-0005-0000-0000-000027190000}"/>
    <cellStyle name="20% - Accent4 4 3 4 2 2" xfId="37525" xr:uid="{59C6F3EB-F7DC-4932-8830-4745EF3B7739}"/>
    <cellStyle name="20% - Accent4 4 3 4 3" xfId="21630" xr:uid="{00000000-0005-0000-0000-000028190000}"/>
    <cellStyle name="20% - Accent4 4 3 4 3 2" xfId="45462" xr:uid="{E4784548-F898-4C68-8938-AB4452C34D01}"/>
    <cellStyle name="20% - Accent4 4 3 4 4" xfId="29584" xr:uid="{EEB049A0-D744-4CDF-9478-4CC8101FCE2E}"/>
    <cellStyle name="20% - Accent4 4 3 5" xfId="9251" xr:uid="{00000000-0005-0000-0000-000029190000}"/>
    <cellStyle name="20% - Accent4 4 3 5 2" xfId="17209" xr:uid="{00000000-0005-0000-0000-00002A190000}"/>
    <cellStyle name="20% - Accent4 4 3 5 2 2" xfId="41049" xr:uid="{24E033B8-CCDC-4D4E-86B2-A0A41737C58A}"/>
    <cellStyle name="20% - Accent4 4 3 5 3" xfId="25153" xr:uid="{00000000-0005-0000-0000-00002B190000}"/>
    <cellStyle name="20% - Accent4 4 3 5 3 2" xfId="48985" xr:uid="{94F8E2C6-511E-4287-B5E6-E15B6D7C2F28}"/>
    <cellStyle name="20% - Accent4 4 3 5 4" xfId="33108" xr:uid="{4095F3CC-5455-4CB2-8B32-0A77DA066E66}"/>
    <cellStyle name="20% - Accent4 4 3 6" xfId="10147" xr:uid="{00000000-0005-0000-0000-00002C190000}"/>
    <cellStyle name="20% - Accent4 4 3 6 2" xfId="33996" xr:uid="{6BE75CC1-8262-4501-BE2F-7828C4054D29}"/>
    <cellStyle name="20% - Accent4 4 3 7" xfId="18102" xr:uid="{00000000-0005-0000-0000-00002D190000}"/>
    <cellStyle name="20% - Accent4 4 3 7 2" xfId="41934" xr:uid="{C242E214-C730-4360-8933-8DE65098229A}"/>
    <cellStyle name="20% - Accent4 4 3 8" xfId="26054" xr:uid="{D5696901-9FD4-4055-A907-12E75CFF5EF0}"/>
    <cellStyle name="20% - Accent4 4 3_Exh G" xfId="2377" xr:uid="{00000000-0005-0000-0000-00002E190000}"/>
    <cellStyle name="20% - Accent4 4 4" xfId="900" xr:uid="{00000000-0005-0000-0000-00002F190000}"/>
    <cellStyle name="20% - Accent4 4 4 2" xfId="1826" xr:uid="{00000000-0005-0000-0000-000030190000}"/>
    <cellStyle name="20% - Accent4 4 4 2 2" xfId="5343" xr:uid="{00000000-0005-0000-0000-000031190000}"/>
    <cellStyle name="20% - Accent4 4 4 2 2 2" xfId="8934" xr:uid="{00000000-0005-0000-0000-000032190000}"/>
    <cellStyle name="20% - Accent4 4 4 2 2 2 2" xfId="16904" xr:uid="{00000000-0005-0000-0000-000033190000}"/>
    <cellStyle name="20% - Accent4 4 4 2 2 2 2 2" xfId="40746" xr:uid="{0AEB68CF-972E-45FE-BBCC-3C17DFCDF0E8}"/>
    <cellStyle name="20% - Accent4 4 4 2 2 2 3" xfId="24850" xr:uid="{00000000-0005-0000-0000-000034190000}"/>
    <cellStyle name="20% - Accent4 4 4 2 2 2 3 2" xfId="48682" xr:uid="{DE86577B-4645-4F74-B51C-A1FC196D43A4}"/>
    <cellStyle name="20% - Accent4 4 4 2 2 2 4" xfId="32805" xr:uid="{89B1C100-8E88-42EE-8438-AA52DEE4BDCA}"/>
    <cellStyle name="20% - Accent4 4 4 2 2 3" xfId="13366" xr:uid="{00000000-0005-0000-0000-000035190000}"/>
    <cellStyle name="20% - Accent4 4 4 2 2 3 2" xfId="37215" xr:uid="{30ABF46E-075F-4082-96F2-6493E7AE5627}"/>
    <cellStyle name="20% - Accent4 4 4 2 2 4" xfId="21321" xr:uid="{00000000-0005-0000-0000-000036190000}"/>
    <cellStyle name="20% - Accent4 4 4 2 2 4 2" xfId="45153" xr:uid="{AA6F3DD6-7501-44AB-B70F-BA7426E0F41F}"/>
    <cellStyle name="20% - Accent4 4 4 2 2 5" xfId="29274" xr:uid="{888ABF46-60A7-4238-9490-033CD540E7F3}"/>
    <cellStyle name="20% - Accent4 4 4 2 3" xfId="7175" xr:uid="{00000000-0005-0000-0000-000037190000}"/>
    <cellStyle name="20% - Accent4 4 4 2 3 2" xfId="15146" xr:uid="{00000000-0005-0000-0000-000038190000}"/>
    <cellStyle name="20% - Accent4 4 4 2 3 2 2" xfId="38988" xr:uid="{BD454850-E788-485E-B63E-785CF1A59CFB}"/>
    <cellStyle name="20% - Accent4 4 4 2 3 3" xfId="23093" xr:uid="{00000000-0005-0000-0000-000039190000}"/>
    <cellStyle name="20% - Accent4 4 4 2 3 3 2" xfId="46925" xr:uid="{3B401170-0A7D-4A02-B617-BB31F00CF3F3}"/>
    <cellStyle name="20% - Accent4 4 4 2 3 4" xfId="31047" xr:uid="{E1361F67-1D45-4721-B2FF-A6CFFBA5F55F}"/>
    <cellStyle name="20% - Accent4 4 4 2 4" xfId="11610" xr:uid="{00000000-0005-0000-0000-00003A190000}"/>
    <cellStyle name="20% - Accent4 4 4 2 4 2" xfId="35459" xr:uid="{25E4BF0F-C41E-4B69-B740-BF321C2A573C}"/>
    <cellStyle name="20% - Accent4 4 4 2 5" xfId="19565" xr:uid="{00000000-0005-0000-0000-00003B190000}"/>
    <cellStyle name="20% - Accent4 4 4 2 5 2" xfId="43397" xr:uid="{BC2325C7-01B1-4F85-AD40-6A250FACE63A}"/>
    <cellStyle name="20% - Accent4 4 4 2 6" xfId="27517" xr:uid="{455B84AE-F22F-464D-9AA5-31D8704FDF9F}"/>
    <cellStyle name="20% - Accent4 4 4 2_Exh G" xfId="2380" xr:uid="{00000000-0005-0000-0000-00003C190000}"/>
    <cellStyle name="20% - Accent4 4 4 3" xfId="4464" xr:uid="{00000000-0005-0000-0000-00003D190000}"/>
    <cellStyle name="20% - Accent4 4 4 3 2" xfId="8056" xr:uid="{00000000-0005-0000-0000-00003E190000}"/>
    <cellStyle name="20% - Accent4 4 4 3 2 2" xfId="16026" xr:uid="{00000000-0005-0000-0000-00003F190000}"/>
    <cellStyle name="20% - Accent4 4 4 3 2 2 2" xfId="39868" xr:uid="{EC4369D0-6870-4E2A-94FF-0709DF2579F5}"/>
    <cellStyle name="20% - Accent4 4 4 3 2 3" xfId="23972" xr:uid="{00000000-0005-0000-0000-000040190000}"/>
    <cellStyle name="20% - Accent4 4 4 3 2 3 2" xfId="47804" xr:uid="{B8508F4C-0C2C-4CFD-A1EE-6E455E42A657}"/>
    <cellStyle name="20% - Accent4 4 4 3 2 4" xfId="31927" xr:uid="{AEF815A0-B5D9-4F9E-9770-8711C4584997}"/>
    <cellStyle name="20% - Accent4 4 4 3 3" xfId="12488" xr:uid="{00000000-0005-0000-0000-000041190000}"/>
    <cellStyle name="20% - Accent4 4 4 3 3 2" xfId="36337" xr:uid="{B0CC1CAE-49DA-4175-9564-87876F37C72B}"/>
    <cellStyle name="20% - Accent4 4 4 3 4" xfId="20443" xr:uid="{00000000-0005-0000-0000-000042190000}"/>
    <cellStyle name="20% - Accent4 4 4 3 4 2" xfId="44275" xr:uid="{0825ADBC-8320-4770-92E5-0C9E61A94334}"/>
    <cellStyle name="20% - Accent4 4 4 3 5" xfId="28396" xr:uid="{61F251E3-F892-4840-BB9F-E4E5B9C36BA1}"/>
    <cellStyle name="20% - Accent4 4 4 4" xfId="6294" xr:uid="{00000000-0005-0000-0000-000043190000}"/>
    <cellStyle name="20% - Accent4 4 4 4 2" xfId="14268" xr:uid="{00000000-0005-0000-0000-000044190000}"/>
    <cellStyle name="20% - Accent4 4 4 4 2 2" xfId="38110" xr:uid="{2CE32AB0-15E4-497B-A806-A9E2031F5231}"/>
    <cellStyle name="20% - Accent4 4 4 4 3" xfId="22215" xr:uid="{00000000-0005-0000-0000-000045190000}"/>
    <cellStyle name="20% - Accent4 4 4 4 3 2" xfId="46047" xr:uid="{127A668A-DC2B-4FB6-AE09-BDB319EACF0A}"/>
    <cellStyle name="20% - Accent4 4 4 4 4" xfId="30169" xr:uid="{4EBDFD50-98E0-4B66-8C24-813C512BE075}"/>
    <cellStyle name="20% - Accent4 4 4 5" xfId="9836" xr:uid="{00000000-0005-0000-0000-000046190000}"/>
    <cellStyle name="20% - Accent4 4 4 5 2" xfId="17794" xr:uid="{00000000-0005-0000-0000-000047190000}"/>
    <cellStyle name="20% - Accent4 4 4 5 2 2" xfId="41634" xr:uid="{6DD68AF1-070F-4DC6-9ABB-C2AA07C232B8}"/>
    <cellStyle name="20% - Accent4 4 4 5 3" xfId="25738" xr:uid="{00000000-0005-0000-0000-000048190000}"/>
    <cellStyle name="20% - Accent4 4 4 5 3 2" xfId="49570" xr:uid="{F3A24E1F-9609-4AC5-A998-317DFD154F04}"/>
    <cellStyle name="20% - Accent4 4 4 5 4" xfId="33693" xr:uid="{EAC4B7FD-3AA4-44A8-8A3A-E4539B40A27C}"/>
    <cellStyle name="20% - Accent4 4 4 6" xfId="10732" xr:uid="{00000000-0005-0000-0000-000049190000}"/>
    <cellStyle name="20% - Accent4 4 4 6 2" xfId="34581" xr:uid="{36D0CE69-B078-4E1A-974F-FA2E42C82462}"/>
    <cellStyle name="20% - Accent4 4 4 7" xfId="18687" xr:uid="{00000000-0005-0000-0000-00004A190000}"/>
    <cellStyle name="20% - Accent4 4 4 7 2" xfId="42519" xr:uid="{46370E89-D45D-449F-8A0E-A0A06066FC9D}"/>
    <cellStyle name="20% - Accent4 4 4 8" xfId="26639" xr:uid="{81A67E0D-6298-4B7A-8BE8-C4BD22D02F85}"/>
    <cellStyle name="20% - Accent4 4 4_Exh G" xfId="2379" xr:uid="{00000000-0005-0000-0000-00004B190000}"/>
    <cellStyle name="20% - Accent4 4 5" xfId="1228" xr:uid="{00000000-0005-0000-0000-00004C190000}"/>
    <cellStyle name="20% - Accent4 4 5 2" xfId="4755" xr:uid="{00000000-0005-0000-0000-00004D190000}"/>
    <cellStyle name="20% - Accent4 4 5 2 2" xfId="8346" xr:uid="{00000000-0005-0000-0000-00004E190000}"/>
    <cellStyle name="20% - Accent4 4 5 2 2 2" xfId="16316" xr:uid="{00000000-0005-0000-0000-00004F190000}"/>
    <cellStyle name="20% - Accent4 4 5 2 2 2 2" xfId="40158" xr:uid="{36FF9385-9544-41D8-8EDF-5CD5AF5F4283}"/>
    <cellStyle name="20% - Accent4 4 5 2 2 3" xfId="24262" xr:uid="{00000000-0005-0000-0000-000050190000}"/>
    <cellStyle name="20% - Accent4 4 5 2 2 3 2" xfId="48094" xr:uid="{9AADD416-C234-4A97-923E-272A70534FEF}"/>
    <cellStyle name="20% - Accent4 4 5 2 2 4" xfId="32217" xr:uid="{787CB09C-F670-4995-9225-86C8A8CBD798}"/>
    <cellStyle name="20% - Accent4 4 5 2 3" xfId="12778" xr:uid="{00000000-0005-0000-0000-000051190000}"/>
    <cellStyle name="20% - Accent4 4 5 2 3 2" xfId="36627" xr:uid="{14E5ABB2-F6C1-4DD8-8C81-B444BACEAD5C}"/>
    <cellStyle name="20% - Accent4 4 5 2 4" xfId="20733" xr:uid="{00000000-0005-0000-0000-000052190000}"/>
    <cellStyle name="20% - Accent4 4 5 2 4 2" xfId="44565" xr:uid="{CCA55846-A089-4D46-AF3D-4D6A01EBFC87}"/>
    <cellStyle name="20% - Accent4 4 5 2 5" xfId="28686" xr:uid="{77644437-0BBC-4E7D-96C9-4CC4020F2C08}"/>
    <cellStyle name="20% - Accent4 4 5 3" xfId="6587" xr:uid="{00000000-0005-0000-0000-000053190000}"/>
    <cellStyle name="20% - Accent4 4 5 3 2" xfId="14558" xr:uid="{00000000-0005-0000-0000-000054190000}"/>
    <cellStyle name="20% - Accent4 4 5 3 2 2" xfId="38400" xr:uid="{5117D102-7206-47AA-8786-1664DD3FC3A3}"/>
    <cellStyle name="20% - Accent4 4 5 3 3" xfId="22505" xr:uid="{00000000-0005-0000-0000-000055190000}"/>
    <cellStyle name="20% - Accent4 4 5 3 3 2" xfId="46337" xr:uid="{8E5D88CD-1F80-4616-AE64-627BD0A70143}"/>
    <cellStyle name="20% - Accent4 4 5 3 4" xfId="30459" xr:uid="{AE648020-3799-4CB3-8C26-2A5726E6BE1A}"/>
    <cellStyle name="20% - Accent4 4 5 4" xfId="11022" xr:uid="{00000000-0005-0000-0000-000056190000}"/>
    <cellStyle name="20% - Accent4 4 5 4 2" xfId="34871" xr:uid="{40CFEBA9-2013-4A60-88AA-8527B618672A}"/>
    <cellStyle name="20% - Accent4 4 5 5" xfId="18977" xr:uid="{00000000-0005-0000-0000-000057190000}"/>
    <cellStyle name="20% - Accent4 4 5 5 2" xfId="42809" xr:uid="{72DF8853-A4BC-4606-9179-76659E3BB162}"/>
    <cellStyle name="20% - Accent4 4 5 6" xfId="26929" xr:uid="{2E5BA344-250C-4348-BA6F-3687745476E4}"/>
    <cellStyle name="20% - Accent4 4 5_Exh G" xfId="2381" xr:uid="{00000000-0005-0000-0000-000058190000}"/>
    <cellStyle name="20% - Accent4 4 6" xfId="3876" xr:uid="{00000000-0005-0000-0000-000059190000}"/>
    <cellStyle name="20% - Accent4 4 6 2" xfId="7468" xr:uid="{00000000-0005-0000-0000-00005A190000}"/>
    <cellStyle name="20% - Accent4 4 6 2 2" xfId="15438" xr:uid="{00000000-0005-0000-0000-00005B190000}"/>
    <cellStyle name="20% - Accent4 4 6 2 2 2" xfId="39280" xr:uid="{C6397E08-D187-4378-9124-B8E335D74837}"/>
    <cellStyle name="20% - Accent4 4 6 2 3" xfId="23384" xr:uid="{00000000-0005-0000-0000-00005C190000}"/>
    <cellStyle name="20% - Accent4 4 6 2 3 2" xfId="47216" xr:uid="{E513A9FE-F37E-4B57-889C-69DBDE70A3F6}"/>
    <cellStyle name="20% - Accent4 4 6 2 4" xfId="31339" xr:uid="{61C6034A-D000-4DD8-9F74-9B732DADDD7D}"/>
    <cellStyle name="20% - Accent4 4 6 3" xfId="11900" xr:uid="{00000000-0005-0000-0000-00005D190000}"/>
    <cellStyle name="20% - Accent4 4 6 3 2" xfId="35749" xr:uid="{E7175BC7-D5D9-40C7-A163-58E853AFEA52}"/>
    <cellStyle name="20% - Accent4 4 6 4" xfId="19855" xr:uid="{00000000-0005-0000-0000-00005E190000}"/>
    <cellStyle name="20% - Accent4 4 6 4 2" xfId="43687" xr:uid="{057FA8D2-EA12-4DC3-BDE1-912B0C0252CB}"/>
    <cellStyle name="20% - Accent4 4 6 5" xfId="27808" xr:uid="{B9D33DE5-A0FD-450C-9744-D6917157BBBC}"/>
    <cellStyle name="20% - Accent4 4 7" xfId="5696" xr:uid="{00000000-0005-0000-0000-00005F190000}"/>
    <cellStyle name="20% - Accent4 4 7 2" xfId="13679" xr:uid="{00000000-0005-0000-0000-000060190000}"/>
    <cellStyle name="20% - Accent4 4 7 2 2" xfId="37522" xr:uid="{D75C7052-2DB1-4CD2-A8BD-16008952889C}"/>
    <cellStyle name="20% - Accent4 4 7 3" xfId="21627" xr:uid="{00000000-0005-0000-0000-000061190000}"/>
    <cellStyle name="20% - Accent4 4 7 3 2" xfId="45459" xr:uid="{397DB1EE-49A4-4CEA-A1FC-0EB532B5AFBA}"/>
    <cellStyle name="20% - Accent4 4 7 4" xfId="29581" xr:uid="{E5B77823-6802-424E-A57E-2EB0D115CDA8}"/>
    <cellStyle name="20% - Accent4 4 8" xfId="9248" xr:uid="{00000000-0005-0000-0000-000062190000}"/>
    <cellStyle name="20% - Accent4 4 8 2" xfId="17206" xr:uid="{00000000-0005-0000-0000-000063190000}"/>
    <cellStyle name="20% - Accent4 4 8 2 2" xfId="41046" xr:uid="{4A83ADF7-A946-4776-A8E1-38EB1CFF8726}"/>
    <cellStyle name="20% - Accent4 4 8 3" xfId="25150" xr:uid="{00000000-0005-0000-0000-000064190000}"/>
    <cellStyle name="20% - Accent4 4 8 3 2" xfId="48982" xr:uid="{05E91896-434F-40B9-BDAD-3403A15C4442}"/>
    <cellStyle name="20% - Accent4 4 8 4" xfId="33105" xr:uid="{B7522EB4-2F15-4230-A6B5-0DEC8F61791E}"/>
    <cellStyle name="20% - Accent4 4 9" xfId="10144" xr:uid="{00000000-0005-0000-0000-000065190000}"/>
    <cellStyle name="20% - Accent4 4 9 2" xfId="33993" xr:uid="{0AA13E02-764D-473F-A9BC-1E44DDBF6184}"/>
    <cellStyle name="20% - Accent4 4_Exh G" xfId="2370" xr:uid="{00000000-0005-0000-0000-000066190000}"/>
    <cellStyle name="20% - Accent4 5" xfId="206" xr:uid="{00000000-0005-0000-0000-000067190000}"/>
    <cellStyle name="20% - Accent4 5 10" xfId="18103" xr:uid="{00000000-0005-0000-0000-000068190000}"/>
    <cellStyle name="20% - Accent4 5 10 2" xfId="41935" xr:uid="{C6458F17-DCE1-458C-8055-04C40A529CF3}"/>
    <cellStyle name="20% - Accent4 5 11" xfId="26055" xr:uid="{86AF0820-CDBF-4531-A255-AE590D2948F7}"/>
    <cellStyle name="20% - Accent4 5 2" xfId="207" xr:uid="{00000000-0005-0000-0000-000069190000}"/>
    <cellStyle name="20% - Accent4 5 2 2" xfId="208" xr:uid="{00000000-0005-0000-0000-00006A190000}"/>
    <cellStyle name="20% - Accent4 5 2 2 2" xfId="1234" xr:uid="{00000000-0005-0000-0000-00006B190000}"/>
    <cellStyle name="20% - Accent4 5 2 2 2 2" xfId="4761" xr:uid="{00000000-0005-0000-0000-00006C190000}"/>
    <cellStyle name="20% - Accent4 5 2 2 2 2 2" xfId="8352" xr:uid="{00000000-0005-0000-0000-00006D190000}"/>
    <cellStyle name="20% - Accent4 5 2 2 2 2 2 2" xfId="16322" xr:uid="{00000000-0005-0000-0000-00006E190000}"/>
    <cellStyle name="20% - Accent4 5 2 2 2 2 2 2 2" xfId="40164" xr:uid="{4A289A99-38D6-4CCB-917D-8291C21DB51D}"/>
    <cellStyle name="20% - Accent4 5 2 2 2 2 2 3" xfId="24268" xr:uid="{00000000-0005-0000-0000-00006F190000}"/>
    <cellStyle name="20% - Accent4 5 2 2 2 2 2 3 2" xfId="48100" xr:uid="{030949FD-E3C3-488E-9F44-211D36973AE6}"/>
    <cellStyle name="20% - Accent4 5 2 2 2 2 2 4" xfId="32223" xr:uid="{96702D6B-5643-4240-A377-79729B74BC93}"/>
    <cellStyle name="20% - Accent4 5 2 2 2 2 3" xfId="12784" xr:uid="{00000000-0005-0000-0000-000070190000}"/>
    <cellStyle name="20% - Accent4 5 2 2 2 2 3 2" xfId="36633" xr:uid="{6245DFAA-89E8-4659-BFBE-0EAE59F0E966}"/>
    <cellStyle name="20% - Accent4 5 2 2 2 2 4" xfId="20739" xr:uid="{00000000-0005-0000-0000-000071190000}"/>
    <cellStyle name="20% - Accent4 5 2 2 2 2 4 2" xfId="44571" xr:uid="{4FE16273-ACBD-4510-8113-AF4CB35FFE20}"/>
    <cellStyle name="20% - Accent4 5 2 2 2 2 5" xfId="28692" xr:uid="{87DF92C0-C165-48B5-9D3E-A0E9132BEA8C}"/>
    <cellStyle name="20% - Accent4 5 2 2 2 3" xfId="6593" xr:uid="{00000000-0005-0000-0000-000072190000}"/>
    <cellStyle name="20% - Accent4 5 2 2 2 3 2" xfId="14564" xr:uid="{00000000-0005-0000-0000-000073190000}"/>
    <cellStyle name="20% - Accent4 5 2 2 2 3 2 2" xfId="38406" xr:uid="{5340366F-E8E9-418A-AE39-F06140557C9F}"/>
    <cellStyle name="20% - Accent4 5 2 2 2 3 3" xfId="22511" xr:uid="{00000000-0005-0000-0000-000074190000}"/>
    <cellStyle name="20% - Accent4 5 2 2 2 3 3 2" xfId="46343" xr:uid="{A39A5993-C10D-4C14-9AD8-42970FA91F94}"/>
    <cellStyle name="20% - Accent4 5 2 2 2 3 4" xfId="30465" xr:uid="{E4900DC6-4320-4DF5-919D-3E2A6DC88D65}"/>
    <cellStyle name="20% - Accent4 5 2 2 2 4" xfId="11028" xr:uid="{00000000-0005-0000-0000-000075190000}"/>
    <cellStyle name="20% - Accent4 5 2 2 2 4 2" xfId="34877" xr:uid="{CCB49DE8-B2E9-4B7A-953C-650AD5BA321E}"/>
    <cellStyle name="20% - Accent4 5 2 2 2 5" xfId="18983" xr:uid="{00000000-0005-0000-0000-000076190000}"/>
    <cellStyle name="20% - Accent4 5 2 2 2 5 2" xfId="42815" xr:uid="{3E87BDC6-A1BF-4411-BCF3-F03F40298628}"/>
    <cellStyle name="20% - Accent4 5 2 2 2 6" xfId="26935" xr:uid="{BB406092-87C7-44CA-BA6F-9328CE3BC00C}"/>
    <cellStyle name="20% - Accent4 5 2 2 2_Exh G" xfId="2385" xr:uid="{00000000-0005-0000-0000-000077190000}"/>
    <cellStyle name="20% - Accent4 5 2 2 3" xfId="3882" xr:uid="{00000000-0005-0000-0000-000078190000}"/>
    <cellStyle name="20% - Accent4 5 2 2 3 2" xfId="7474" xr:uid="{00000000-0005-0000-0000-000079190000}"/>
    <cellStyle name="20% - Accent4 5 2 2 3 2 2" xfId="15444" xr:uid="{00000000-0005-0000-0000-00007A190000}"/>
    <cellStyle name="20% - Accent4 5 2 2 3 2 2 2" xfId="39286" xr:uid="{0E6E395D-CC4C-4D45-B58F-63F367D70BF8}"/>
    <cellStyle name="20% - Accent4 5 2 2 3 2 3" xfId="23390" xr:uid="{00000000-0005-0000-0000-00007B190000}"/>
    <cellStyle name="20% - Accent4 5 2 2 3 2 3 2" xfId="47222" xr:uid="{E8698F3C-56F3-47C7-AE12-AF6813CFD5C9}"/>
    <cellStyle name="20% - Accent4 5 2 2 3 2 4" xfId="31345" xr:uid="{FC50F1D8-169A-4EFA-9C2B-86F34CF92899}"/>
    <cellStyle name="20% - Accent4 5 2 2 3 3" xfId="11906" xr:uid="{00000000-0005-0000-0000-00007C190000}"/>
    <cellStyle name="20% - Accent4 5 2 2 3 3 2" xfId="35755" xr:uid="{6A87DC4E-E341-4F3C-A219-186CD2C488DF}"/>
    <cellStyle name="20% - Accent4 5 2 2 3 4" xfId="19861" xr:uid="{00000000-0005-0000-0000-00007D190000}"/>
    <cellStyle name="20% - Accent4 5 2 2 3 4 2" xfId="43693" xr:uid="{C327AECD-A2BA-4A6E-81CC-9DE6322D48E6}"/>
    <cellStyle name="20% - Accent4 5 2 2 3 5" xfId="27814" xr:uid="{AB781B2E-E5DB-497A-8127-48D06D1C355F}"/>
    <cellStyle name="20% - Accent4 5 2 2 4" xfId="5702" xr:uid="{00000000-0005-0000-0000-00007E190000}"/>
    <cellStyle name="20% - Accent4 5 2 2 4 2" xfId="13685" xr:uid="{00000000-0005-0000-0000-00007F190000}"/>
    <cellStyle name="20% - Accent4 5 2 2 4 2 2" xfId="37528" xr:uid="{1F4F09EB-10DA-413E-91C2-78FD66859170}"/>
    <cellStyle name="20% - Accent4 5 2 2 4 3" xfId="21633" xr:uid="{00000000-0005-0000-0000-000080190000}"/>
    <cellStyle name="20% - Accent4 5 2 2 4 3 2" xfId="45465" xr:uid="{E2B20AA5-8C89-43C5-AE74-BA4A5A71ACF2}"/>
    <cellStyle name="20% - Accent4 5 2 2 4 4" xfId="29587" xr:uid="{592B94AA-1BD7-41CA-8EAF-81D1BFA02F09}"/>
    <cellStyle name="20% - Accent4 5 2 2 5" xfId="9254" xr:uid="{00000000-0005-0000-0000-000081190000}"/>
    <cellStyle name="20% - Accent4 5 2 2 5 2" xfId="17212" xr:uid="{00000000-0005-0000-0000-000082190000}"/>
    <cellStyle name="20% - Accent4 5 2 2 5 2 2" xfId="41052" xr:uid="{3806B2D8-D86E-4FCE-968B-748B6BE80354}"/>
    <cellStyle name="20% - Accent4 5 2 2 5 3" xfId="25156" xr:uid="{00000000-0005-0000-0000-000083190000}"/>
    <cellStyle name="20% - Accent4 5 2 2 5 3 2" xfId="48988" xr:uid="{5BFCD0A8-EDA2-41CC-A514-6A72732D7507}"/>
    <cellStyle name="20% - Accent4 5 2 2 5 4" xfId="33111" xr:uid="{8275588E-6231-4B77-95F9-DEE770CC6B12}"/>
    <cellStyle name="20% - Accent4 5 2 2 6" xfId="10150" xr:uid="{00000000-0005-0000-0000-000084190000}"/>
    <cellStyle name="20% - Accent4 5 2 2 6 2" xfId="33999" xr:uid="{05A970B5-C8F3-46F3-9AC9-D5EE5B31CA99}"/>
    <cellStyle name="20% - Accent4 5 2 2 7" xfId="18105" xr:uid="{00000000-0005-0000-0000-000085190000}"/>
    <cellStyle name="20% - Accent4 5 2 2 7 2" xfId="41937" xr:uid="{AB16C980-55EF-47D6-A411-452BFE314809}"/>
    <cellStyle name="20% - Accent4 5 2 2 8" xfId="26057" xr:uid="{6C457A52-D9DC-4B8B-BA7C-E25B2825985B}"/>
    <cellStyle name="20% - Accent4 5 2 2_Exh G" xfId="2384" xr:uid="{00000000-0005-0000-0000-000086190000}"/>
    <cellStyle name="20% - Accent4 5 2 3" xfId="1233" xr:uid="{00000000-0005-0000-0000-000087190000}"/>
    <cellStyle name="20% - Accent4 5 2 3 2" xfId="4760" xr:uid="{00000000-0005-0000-0000-000088190000}"/>
    <cellStyle name="20% - Accent4 5 2 3 2 2" xfId="8351" xr:uid="{00000000-0005-0000-0000-000089190000}"/>
    <cellStyle name="20% - Accent4 5 2 3 2 2 2" xfId="16321" xr:uid="{00000000-0005-0000-0000-00008A190000}"/>
    <cellStyle name="20% - Accent4 5 2 3 2 2 2 2" xfId="40163" xr:uid="{38C91E8D-3093-465F-BA7A-D2829585D59A}"/>
    <cellStyle name="20% - Accent4 5 2 3 2 2 3" xfId="24267" xr:uid="{00000000-0005-0000-0000-00008B190000}"/>
    <cellStyle name="20% - Accent4 5 2 3 2 2 3 2" xfId="48099" xr:uid="{B14A676E-F8C6-4EAC-BEE3-E0DD995F6695}"/>
    <cellStyle name="20% - Accent4 5 2 3 2 2 4" xfId="32222" xr:uid="{F5B0857F-C5BF-4A03-B28A-8D5E827D45EE}"/>
    <cellStyle name="20% - Accent4 5 2 3 2 3" xfId="12783" xr:uid="{00000000-0005-0000-0000-00008C190000}"/>
    <cellStyle name="20% - Accent4 5 2 3 2 3 2" xfId="36632" xr:uid="{0B8B394E-BC87-49DE-9BAF-0C9AB79CBB41}"/>
    <cellStyle name="20% - Accent4 5 2 3 2 4" xfId="20738" xr:uid="{00000000-0005-0000-0000-00008D190000}"/>
    <cellStyle name="20% - Accent4 5 2 3 2 4 2" xfId="44570" xr:uid="{99F0A78A-2FFD-49B9-A1DE-0C8715A10D19}"/>
    <cellStyle name="20% - Accent4 5 2 3 2 5" xfId="28691" xr:uid="{6C6DBD9C-08C6-4236-BD44-07A7BFF7E813}"/>
    <cellStyle name="20% - Accent4 5 2 3 3" xfId="6592" xr:uid="{00000000-0005-0000-0000-00008E190000}"/>
    <cellStyle name="20% - Accent4 5 2 3 3 2" xfId="14563" xr:uid="{00000000-0005-0000-0000-00008F190000}"/>
    <cellStyle name="20% - Accent4 5 2 3 3 2 2" xfId="38405" xr:uid="{3C889434-A998-4F90-9E44-C69C591E8EB6}"/>
    <cellStyle name="20% - Accent4 5 2 3 3 3" xfId="22510" xr:uid="{00000000-0005-0000-0000-000090190000}"/>
    <cellStyle name="20% - Accent4 5 2 3 3 3 2" xfId="46342" xr:uid="{21AD7096-C67A-4B4F-87AA-6512588DA4FC}"/>
    <cellStyle name="20% - Accent4 5 2 3 3 4" xfId="30464" xr:uid="{85FF529B-FED0-45BD-A4A0-FC405976FBEC}"/>
    <cellStyle name="20% - Accent4 5 2 3 4" xfId="11027" xr:uid="{00000000-0005-0000-0000-000091190000}"/>
    <cellStyle name="20% - Accent4 5 2 3 4 2" xfId="34876" xr:uid="{F1521721-21F1-4E07-A7A6-647FC4702D00}"/>
    <cellStyle name="20% - Accent4 5 2 3 5" xfId="18982" xr:uid="{00000000-0005-0000-0000-000092190000}"/>
    <cellStyle name="20% - Accent4 5 2 3 5 2" xfId="42814" xr:uid="{0708A16B-8DA1-49AE-B7F0-AA9DFA3CF61A}"/>
    <cellStyle name="20% - Accent4 5 2 3 6" xfId="26934" xr:uid="{D87ACD93-708B-4662-87FC-4D9E9D05C694}"/>
    <cellStyle name="20% - Accent4 5 2 3_Exh G" xfId="2386" xr:uid="{00000000-0005-0000-0000-000093190000}"/>
    <cellStyle name="20% - Accent4 5 2 4" xfId="3881" xr:uid="{00000000-0005-0000-0000-000094190000}"/>
    <cellStyle name="20% - Accent4 5 2 4 2" xfId="7473" xr:uid="{00000000-0005-0000-0000-000095190000}"/>
    <cellStyle name="20% - Accent4 5 2 4 2 2" xfId="15443" xr:uid="{00000000-0005-0000-0000-000096190000}"/>
    <cellStyle name="20% - Accent4 5 2 4 2 2 2" xfId="39285" xr:uid="{0CD43DD7-C8D4-40A9-AEE6-58BB675720C9}"/>
    <cellStyle name="20% - Accent4 5 2 4 2 3" xfId="23389" xr:uid="{00000000-0005-0000-0000-000097190000}"/>
    <cellStyle name="20% - Accent4 5 2 4 2 3 2" xfId="47221" xr:uid="{35EAF80B-970E-4A64-ADF8-C256066B9FC3}"/>
    <cellStyle name="20% - Accent4 5 2 4 2 4" xfId="31344" xr:uid="{73C94ED4-3AC5-4787-BC4E-D30BA7704F03}"/>
    <cellStyle name="20% - Accent4 5 2 4 3" xfId="11905" xr:uid="{00000000-0005-0000-0000-000098190000}"/>
    <cellStyle name="20% - Accent4 5 2 4 3 2" xfId="35754" xr:uid="{7A9770AA-417B-44B1-A0DA-0872678C3747}"/>
    <cellStyle name="20% - Accent4 5 2 4 4" xfId="19860" xr:uid="{00000000-0005-0000-0000-000099190000}"/>
    <cellStyle name="20% - Accent4 5 2 4 4 2" xfId="43692" xr:uid="{75C5D7A8-7D48-4C3C-AA9F-94F3609F8268}"/>
    <cellStyle name="20% - Accent4 5 2 4 5" xfId="27813" xr:uid="{AB264428-CFA7-45B7-B1E2-8D6AFCFB8B23}"/>
    <cellStyle name="20% - Accent4 5 2 5" xfId="5701" xr:uid="{00000000-0005-0000-0000-00009A190000}"/>
    <cellStyle name="20% - Accent4 5 2 5 2" xfId="13684" xr:uid="{00000000-0005-0000-0000-00009B190000}"/>
    <cellStyle name="20% - Accent4 5 2 5 2 2" xfId="37527" xr:uid="{E07920E3-E6E2-47DF-AA39-B57596B51D50}"/>
    <cellStyle name="20% - Accent4 5 2 5 3" xfId="21632" xr:uid="{00000000-0005-0000-0000-00009C190000}"/>
    <cellStyle name="20% - Accent4 5 2 5 3 2" xfId="45464" xr:uid="{B962AE11-E791-4130-AFF1-7DB35B9994A5}"/>
    <cellStyle name="20% - Accent4 5 2 5 4" xfId="29586" xr:uid="{26E2F54E-1C83-46B8-9B0E-98EDAFFC9BEC}"/>
    <cellStyle name="20% - Accent4 5 2 6" xfId="9253" xr:uid="{00000000-0005-0000-0000-00009D190000}"/>
    <cellStyle name="20% - Accent4 5 2 6 2" xfId="17211" xr:uid="{00000000-0005-0000-0000-00009E190000}"/>
    <cellStyle name="20% - Accent4 5 2 6 2 2" xfId="41051" xr:uid="{13C96DDB-1227-45B4-B856-633B648041F9}"/>
    <cellStyle name="20% - Accent4 5 2 6 3" xfId="25155" xr:uid="{00000000-0005-0000-0000-00009F190000}"/>
    <cellStyle name="20% - Accent4 5 2 6 3 2" xfId="48987" xr:uid="{6BDE6BD8-1825-4351-9DBC-9F1376AD9EF5}"/>
    <cellStyle name="20% - Accent4 5 2 6 4" xfId="33110" xr:uid="{D39300AA-1FBB-4E46-B392-66621DD6BF75}"/>
    <cellStyle name="20% - Accent4 5 2 7" xfId="10149" xr:uid="{00000000-0005-0000-0000-0000A0190000}"/>
    <cellStyle name="20% - Accent4 5 2 7 2" xfId="33998" xr:uid="{4016339C-0CE9-492A-B254-62ADC770BA0C}"/>
    <cellStyle name="20% - Accent4 5 2 8" xfId="18104" xr:uid="{00000000-0005-0000-0000-0000A1190000}"/>
    <cellStyle name="20% - Accent4 5 2 8 2" xfId="41936" xr:uid="{4CAE8C12-9441-429A-B3E2-E1B9AD7DE8EF}"/>
    <cellStyle name="20% - Accent4 5 2 9" xfId="26056" xr:uid="{61290B0D-5DF4-4D91-BC9C-B39AA296BA65}"/>
    <cellStyle name="20% - Accent4 5 2_Exh G" xfId="2383" xr:uid="{00000000-0005-0000-0000-0000A2190000}"/>
    <cellStyle name="20% - Accent4 5 3" xfId="209" xr:uid="{00000000-0005-0000-0000-0000A3190000}"/>
    <cellStyle name="20% - Accent4 5 3 2" xfId="1235" xr:uid="{00000000-0005-0000-0000-0000A4190000}"/>
    <cellStyle name="20% - Accent4 5 3 2 2" xfId="4762" xr:uid="{00000000-0005-0000-0000-0000A5190000}"/>
    <cellStyle name="20% - Accent4 5 3 2 2 2" xfId="8353" xr:uid="{00000000-0005-0000-0000-0000A6190000}"/>
    <cellStyle name="20% - Accent4 5 3 2 2 2 2" xfId="16323" xr:uid="{00000000-0005-0000-0000-0000A7190000}"/>
    <cellStyle name="20% - Accent4 5 3 2 2 2 2 2" xfId="40165" xr:uid="{9FE3A880-0C59-425C-B4B1-BAE0F06F19A0}"/>
    <cellStyle name="20% - Accent4 5 3 2 2 2 3" xfId="24269" xr:uid="{00000000-0005-0000-0000-0000A8190000}"/>
    <cellStyle name="20% - Accent4 5 3 2 2 2 3 2" xfId="48101" xr:uid="{AAAEE5F6-D7B2-4C8B-8830-D17B983ADE5A}"/>
    <cellStyle name="20% - Accent4 5 3 2 2 2 4" xfId="32224" xr:uid="{414998CD-FE92-4E5D-BEFA-C16AE9B2924E}"/>
    <cellStyle name="20% - Accent4 5 3 2 2 3" xfId="12785" xr:uid="{00000000-0005-0000-0000-0000A9190000}"/>
    <cellStyle name="20% - Accent4 5 3 2 2 3 2" xfId="36634" xr:uid="{B76F7AB8-7CE8-4ED9-A52F-0B31A4788E58}"/>
    <cellStyle name="20% - Accent4 5 3 2 2 4" xfId="20740" xr:uid="{00000000-0005-0000-0000-0000AA190000}"/>
    <cellStyle name="20% - Accent4 5 3 2 2 4 2" xfId="44572" xr:uid="{23A0213C-DF98-4E71-997B-12BA1D65200E}"/>
    <cellStyle name="20% - Accent4 5 3 2 2 5" xfId="28693" xr:uid="{4BBE1646-CD31-4B70-9920-A9FE7415272E}"/>
    <cellStyle name="20% - Accent4 5 3 2 3" xfId="6594" xr:uid="{00000000-0005-0000-0000-0000AB190000}"/>
    <cellStyle name="20% - Accent4 5 3 2 3 2" xfId="14565" xr:uid="{00000000-0005-0000-0000-0000AC190000}"/>
    <cellStyle name="20% - Accent4 5 3 2 3 2 2" xfId="38407" xr:uid="{5A0618B1-F35C-4914-93D5-93BF0EC66DB1}"/>
    <cellStyle name="20% - Accent4 5 3 2 3 3" xfId="22512" xr:uid="{00000000-0005-0000-0000-0000AD190000}"/>
    <cellStyle name="20% - Accent4 5 3 2 3 3 2" xfId="46344" xr:uid="{8D327149-D6C9-4748-B90D-631CE9A0CD8F}"/>
    <cellStyle name="20% - Accent4 5 3 2 3 4" xfId="30466" xr:uid="{CFD642EC-C93F-48A0-A7EA-66A7DBF52516}"/>
    <cellStyle name="20% - Accent4 5 3 2 4" xfId="11029" xr:uid="{00000000-0005-0000-0000-0000AE190000}"/>
    <cellStyle name="20% - Accent4 5 3 2 4 2" xfId="34878" xr:uid="{A51557E4-CAA9-4673-A5E2-4EE24ABA5C1A}"/>
    <cellStyle name="20% - Accent4 5 3 2 5" xfId="18984" xr:uid="{00000000-0005-0000-0000-0000AF190000}"/>
    <cellStyle name="20% - Accent4 5 3 2 5 2" xfId="42816" xr:uid="{51552FF3-B452-455F-9407-F105CA2D4A3F}"/>
    <cellStyle name="20% - Accent4 5 3 2 6" xfId="26936" xr:uid="{FCF63DA8-E34F-4FEF-A860-C4AEC91F4D43}"/>
    <cellStyle name="20% - Accent4 5 3 2_Exh G" xfId="2388" xr:uid="{00000000-0005-0000-0000-0000B0190000}"/>
    <cellStyle name="20% - Accent4 5 3 3" xfId="3883" xr:uid="{00000000-0005-0000-0000-0000B1190000}"/>
    <cellStyle name="20% - Accent4 5 3 3 2" xfId="7475" xr:uid="{00000000-0005-0000-0000-0000B2190000}"/>
    <cellStyle name="20% - Accent4 5 3 3 2 2" xfId="15445" xr:uid="{00000000-0005-0000-0000-0000B3190000}"/>
    <cellStyle name="20% - Accent4 5 3 3 2 2 2" xfId="39287" xr:uid="{1FF8407D-8756-4018-9B98-21566C35BBC6}"/>
    <cellStyle name="20% - Accent4 5 3 3 2 3" xfId="23391" xr:uid="{00000000-0005-0000-0000-0000B4190000}"/>
    <cellStyle name="20% - Accent4 5 3 3 2 3 2" xfId="47223" xr:uid="{D43E3991-A372-417D-80B0-EAF020529A13}"/>
    <cellStyle name="20% - Accent4 5 3 3 2 4" xfId="31346" xr:uid="{6C85B9B2-070A-4AA2-88B9-397934C97C9E}"/>
    <cellStyle name="20% - Accent4 5 3 3 3" xfId="11907" xr:uid="{00000000-0005-0000-0000-0000B5190000}"/>
    <cellStyle name="20% - Accent4 5 3 3 3 2" xfId="35756" xr:uid="{FA6C84CF-5939-4D02-AB4C-C0EEB898098E}"/>
    <cellStyle name="20% - Accent4 5 3 3 4" xfId="19862" xr:uid="{00000000-0005-0000-0000-0000B6190000}"/>
    <cellStyle name="20% - Accent4 5 3 3 4 2" xfId="43694" xr:uid="{07404500-C494-45F8-A6F4-2B7697005B19}"/>
    <cellStyle name="20% - Accent4 5 3 3 5" xfId="27815" xr:uid="{A0744C9C-1E4B-4DF7-9181-9B6B5226AC6C}"/>
    <cellStyle name="20% - Accent4 5 3 4" xfId="5703" xr:uid="{00000000-0005-0000-0000-0000B7190000}"/>
    <cellStyle name="20% - Accent4 5 3 4 2" xfId="13686" xr:uid="{00000000-0005-0000-0000-0000B8190000}"/>
    <cellStyle name="20% - Accent4 5 3 4 2 2" xfId="37529" xr:uid="{7858AE39-8C71-4819-81EA-5F52D75ED5C7}"/>
    <cellStyle name="20% - Accent4 5 3 4 3" xfId="21634" xr:uid="{00000000-0005-0000-0000-0000B9190000}"/>
    <cellStyle name="20% - Accent4 5 3 4 3 2" xfId="45466" xr:uid="{0BC1685F-8EC8-487F-B362-F3C096AA2A5E}"/>
    <cellStyle name="20% - Accent4 5 3 4 4" xfId="29588" xr:uid="{CD894598-1DDB-4F70-A04E-53C31400B673}"/>
    <cellStyle name="20% - Accent4 5 3 5" xfId="9255" xr:uid="{00000000-0005-0000-0000-0000BA190000}"/>
    <cellStyle name="20% - Accent4 5 3 5 2" xfId="17213" xr:uid="{00000000-0005-0000-0000-0000BB190000}"/>
    <cellStyle name="20% - Accent4 5 3 5 2 2" xfId="41053" xr:uid="{AEC7FBD2-2F99-40F3-A40F-877D5F0CF61C}"/>
    <cellStyle name="20% - Accent4 5 3 5 3" xfId="25157" xr:uid="{00000000-0005-0000-0000-0000BC190000}"/>
    <cellStyle name="20% - Accent4 5 3 5 3 2" xfId="48989" xr:uid="{E73160E1-EAD4-47C9-B7B7-FEAC94D7B343}"/>
    <cellStyle name="20% - Accent4 5 3 5 4" xfId="33112" xr:uid="{0E3B42E8-0710-41A3-9804-12987C93D302}"/>
    <cellStyle name="20% - Accent4 5 3 6" xfId="10151" xr:uid="{00000000-0005-0000-0000-0000BD190000}"/>
    <cellStyle name="20% - Accent4 5 3 6 2" xfId="34000" xr:uid="{FDBE27BE-E95D-4D29-8F1D-DD7F8AF22713}"/>
    <cellStyle name="20% - Accent4 5 3 7" xfId="18106" xr:uid="{00000000-0005-0000-0000-0000BE190000}"/>
    <cellStyle name="20% - Accent4 5 3 7 2" xfId="41938" xr:uid="{2D744479-D4B8-409F-9826-EE6DD3C09C8B}"/>
    <cellStyle name="20% - Accent4 5 3 8" xfId="26058" xr:uid="{697E07A9-FBA8-4377-8FFE-0593B6386844}"/>
    <cellStyle name="20% - Accent4 5 3_Exh G" xfId="2387" xr:uid="{00000000-0005-0000-0000-0000BF190000}"/>
    <cellStyle name="20% - Accent4 5 4" xfId="902" xr:uid="{00000000-0005-0000-0000-0000C0190000}"/>
    <cellStyle name="20% - Accent4 5 5" xfId="1232" xr:uid="{00000000-0005-0000-0000-0000C1190000}"/>
    <cellStyle name="20% - Accent4 5 5 2" xfId="4759" xr:uid="{00000000-0005-0000-0000-0000C2190000}"/>
    <cellStyle name="20% - Accent4 5 5 2 2" xfId="8350" xr:uid="{00000000-0005-0000-0000-0000C3190000}"/>
    <cellStyle name="20% - Accent4 5 5 2 2 2" xfId="16320" xr:uid="{00000000-0005-0000-0000-0000C4190000}"/>
    <cellStyle name="20% - Accent4 5 5 2 2 2 2" xfId="40162" xr:uid="{1D5397CA-C497-4E02-9C3A-A42A6B3A2DA5}"/>
    <cellStyle name="20% - Accent4 5 5 2 2 3" xfId="24266" xr:uid="{00000000-0005-0000-0000-0000C5190000}"/>
    <cellStyle name="20% - Accent4 5 5 2 2 3 2" xfId="48098" xr:uid="{F6F5178D-D58A-4CDC-BB61-24BCFEAE76C4}"/>
    <cellStyle name="20% - Accent4 5 5 2 2 4" xfId="32221" xr:uid="{4F51BA1F-C8CE-437E-AD39-6C3E7723D726}"/>
    <cellStyle name="20% - Accent4 5 5 2 3" xfId="12782" xr:uid="{00000000-0005-0000-0000-0000C6190000}"/>
    <cellStyle name="20% - Accent4 5 5 2 3 2" xfId="36631" xr:uid="{344E5F6C-B5DB-4A64-BD2D-A79574709E9C}"/>
    <cellStyle name="20% - Accent4 5 5 2 4" xfId="20737" xr:uid="{00000000-0005-0000-0000-0000C7190000}"/>
    <cellStyle name="20% - Accent4 5 5 2 4 2" xfId="44569" xr:uid="{45281A76-B7CB-47EE-9B72-35A1DA4745D1}"/>
    <cellStyle name="20% - Accent4 5 5 2 5" xfId="28690" xr:uid="{90B6277A-8120-462E-9E77-4EF9E3DB7BC8}"/>
    <cellStyle name="20% - Accent4 5 5 3" xfId="6591" xr:uid="{00000000-0005-0000-0000-0000C8190000}"/>
    <cellStyle name="20% - Accent4 5 5 3 2" xfId="14562" xr:uid="{00000000-0005-0000-0000-0000C9190000}"/>
    <cellStyle name="20% - Accent4 5 5 3 2 2" xfId="38404" xr:uid="{25030A0B-17BB-421B-AE07-1EC587623D0F}"/>
    <cellStyle name="20% - Accent4 5 5 3 3" xfId="22509" xr:uid="{00000000-0005-0000-0000-0000CA190000}"/>
    <cellStyle name="20% - Accent4 5 5 3 3 2" xfId="46341" xr:uid="{F720B5E8-6345-4099-8049-98D29B0F5693}"/>
    <cellStyle name="20% - Accent4 5 5 3 4" xfId="30463" xr:uid="{42035A3A-04D4-4F3B-AFB0-F19A4E3AFAC6}"/>
    <cellStyle name="20% - Accent4 5 5 4" xfId="11026" xr:uid="{00000000-0005-0000-0000-0000CB190000}"/>
    <cellStyle name="20% - Accent4 5 5 4 2" xfId="34875" xr:uid="{DDA057A8-3DCD-42B2-9CDD-4418F2A9F51C}"/>
    <cellStyle name="20% - Accent4 5 5 5" xfId="18981" xr:uid="{00000000-0005-0000-0000-0000CC190000}"/>
    <cellStyle name="20% - Accent4 5 5 5 2" xfId="42813" xr:uid="{C40D21FD-2C16-4388-A67C-9DB3552E611E}"/>
    <cellStyle name="20% - Accent4 5 5 6" xfId="26933" xr:uid="{E71C5015-7DEB-4E4D-9B14-FB4B953B2964}"/>
    <cellStyle name="20% - Accent4 5 5_Exh G" xfId="2389" xr:uid="{00000000-0005-0000-0000-0000CD190000}"/>
    <cellStyle name="20% - Accent4 5 6" xfId="3880" xr:uid="{00000000-0005-0000-0000-0000CE190000}"/>
    <cellStyle name="20% - Accent4 5 6 2" xfId="7472" xr:uid="{00000000-0005-0000-0000-0000CF190000}"/>
    <cellStyle name="20% - Accent4 5 6 2 2" xfId="15442" xr:uid="{00000000-0005-0000-0000-0000D0190000}"/>
    <cellStyle name="20% - Accent4 5 6 2 2 2" xfId="39284" xr:uid="{801E55AF-50FB-460C-8A5D-C85C4B841285}"/>
    <cellStyle name="20% - Accent4 5 6 2 3" xfId="23388" xr:uid="{00000000-0005-0000-0000-0000D1190000}"/>
    <cellStyle name="20% - Accent4 5 6 2 3 2" xfId="47220" xr:uid="{AD094A27-C516-4D30-AF6C-26B6CA7F5AC8}"/>
    <cellStyle name="20% - Accent4 5 6 2 4" xfId="31343" xr:uid="{D8FA30AD-AC4A-4F91-A2B2-9897CDAC4252}"/>
    <cellStyle name="20% - Accent4 5 6 3" xfId="11904" xr:uid="{00000000-0005-0000-0000-0000D2190000}"/>
    <cellStyle name="20% - Accent4 5 6 3 2" xfId="35753" xr:uid="{2CC57EA1-3B32-4CD3-8CE1-02E0B3CEF5DF}"/>
    <cellStyle name="20% - Accent4 5 6 4" xfId="19859" xr:uid="{00000000-0005-0000-0000-0000D3190000}"/>
    <cellStyle name="20% - Accent4 5 6 4 2" xfId="43691" xr:uid="{EB30DBB7-084D-4C56-B958-6D2B0B9B3732}"/>
    <cellStyle name="20% - Accent4 5 6 5" xfId="27812" xr:uid="{B386347B-992F-441E-A21C-6DF03F65B99C}"/>
    <cellStyle name="20% - Accent4 5 7" xfId="5700" xr:uid="{00000000-0005-0000-0000-0000D4190000}"/>
    <cellStyle name="20% - Accent4 5 7 2" xfId="13683" xr:uid="{00000000-0005-0000-0000-0000D5190000}"/>
    <cellStyle name="20% - Accent4 5 7 2 2" xfId="37526" xr:uid="{E586132F-D355-4E39-AFC3-94E169495BD2}"/>
    <cellStyle name="20% - Accent4 5 7 3" xfId="21631" xr:uid="{00000000-0005-0000-0000-0000D6190000}"/>
    <cellStyle name="20% - Accent4 5 7 3 2" xfId="45463" xr:uid="{6295D51E-7F33-4BA1-8C4D-06EE53EB55E1}"/>
    <cellStyle name="20% - Accent4 5 7 4" xfId="29585" xr:uid="{47359226-F6D4-4613-85C0-18D4F0FE074A}"/>
    <cellStyle name="20% - Accent4 5 8" xfId="9252" xr:uid="{00000000-0005-0000-0000-0000D7190000}"/>
    <cellStyle name="20% - Accent4 5 8 2" xfId="17210" xr:uid="{00000000-0005-0000-0000-0000D8190000}"/>
    <cellStyle name="20% - Accent4 5 8 2 2" xfId="41050" xr:uid="{F3CD08C0-B3BD-4D95-89C5-88E238EA6388}"/>
    <cellStyle name="20% - Accent4 5 8 3" xfId="25154" xr:uid="{00000000-0005-0000-0000-0000D9190000}"/>
    <cellStyle name="20% - Accent4 5 8 3 2" xfId="48986" xr:uid="{110C7B46-D7CE-4576-AF59-928D37898D0A}"/>
    <cellStyle name="20% - Accent4 5 8 4" xfId="33109" xr:uid="{902418C7-812D-4201-97D7-23F0207E4F3B}"/>
    <cellStyle name="20% - Accent4 5 9" xfId="10148" xr:uid="{00000000-0005-0000-0000-0000DA190000}"/>
    <cellStyle name="20% - Accent4 5 9 2" xfId="33997" xr:uid="{384EF4B5-5404-43EF-908B-3C299F557C7F}"/>
    <cellStyle name="20% - Accent4 5_Exh G" xfId="2382" xr:uid="{00000000-0005-0000-0000-0000DB190000}"/>
    <cellStyle name="20% - Accent4 6" xfId="210" xr:uid="{00000000-0005-0000-0000-0000DC190000}"/>
    <cellStyle name="20% - Accent4 6 10" xfId="18107" xr:uid="{00000000-0005-0000-0000-0000DD190000}"/>
    <cellStyle name="20% - Accent4 6 10 2" xfId="41939" xr:uid="{66E9A9CE-A746-4448-AAEE-979134804269}"/>
    <cellStyle name="20% - Accent4 6 11" xfId="26059" xr:uid="{2FD60BEF-7285-4DEA-8973-7BF40D96836E}"/>
    <cellStyle name="20% - Accent4 6 2" xfId="211" xr:uid="{00000000-0005-0000-0000-0000DE190000}"/>
    <cellStyle name="20% - Accent4 6 2 2" xfId="212" xr:uid="{00000000-0005-0000-0000-0000DF190000}"/>
    <cellStyle name="20% - Accent4 6 2 2 2" xfId="1238" xr:uid="{00000000-0005-0000-0000-0000E0190000}"/>
    <cellStyle name="20% - Accent4 6 2 2 2 2" xfId="4765" xr:uid="{00000000-0005-0000-0000-0000E1190000}"/>
    <cellStyle name="20% - Accent4 6 2 2 2 2 2" xfId="8356" xr:uid="{00000000-0005-0000-0000-0000E2190000}"/>
    <cellStyle name="20% - Accent4 6 2 2 2 2 2 2" xfId="16326" xr:uid="{00000000-0005-0000-0000-0000E3190000}"/>
    <cellStyle name="20% - Accent4 6 2 2 2 2 2 2 2" xfId="40168" xr:uid="{4E535568-1C5A-40BB-B6A3-C46D0D4E0A68}"/>
    <cellStyle name="20% - Accent4 6 2 2 2 2 2 3" xfId="24272" xr:uid="{00000000-0005-0000-0000-0000E4190000}"/>
    <cellStyle name="20% - Accent4 6 2 2 2 2 2 3 2" xfId="48104" xr:uid="{2B4C0757-6BDA-47C7-B209-4FBAAD7007C6}"/>
    <cellStyle name="20% - Accent4 6 2 2 2 2 2 4" xfId="32227" xr:uid="{06FB73EB-D875-4E0A-9E7B-34ADC7AE4BA1}"/>
    <cellStyle name="20% - Accent4 6 2 2 2 2 3" xfId="12788" xr:uid="{00000000-0005-0000-0000-0000E5190000}"/>
    <cellStyle name="20% - Accent4 6 2 2 2 2 3 2" xfId="36637" xr:uid="{14FB9D43-FE28-41EB-8E39-A0E0742B4023}"/>
    <cellStyle name="20% - Accent4 6 2 2 2 2 4" xfId="20743" xr:uid="{00000000-0005-0000-0000-0000E6190000}"/>
    <cellStyle name="20% - Accent4 6 2 2 2 2 4 2" xfId="44575" xr:uid="{A4C2F5B5-A14F-4CFD-907D-4D95C83FCD8E}"/>
    <cellStyle name="20% - Accent4 6 2 2 2 2 5" xfId="28696" xr:uid="{E37956B3-1FEC-4D4A-B3B3-C9EBF0AF4FFB}"/>
    <cellStyle name="20% - Accent4 6 2 2 2 3" xfId="6597" xr:uid="{00000000-0005-0000-0000-0000E7190000}"/>
    <cellStyle name="20% - Accent4 6 2 2 2 3 2" xfId="14568" xr:uid="{00000000-0005-0000-0000-0000E8190000}"/>
    <cellStyle name="20% - Accent4 6 2 2 2 3 2 2" xfId="38410" xr:uid="{205FC1B6-8D0E-4383-8BD2-F1AB2C7EBB43}"/>
    <cellStyle name="20% - Accent4 6 2 2 2 3 3" xfId="22515" xr:uid="{00000000-0005-0000-0000-0000E9190000}"/>
    <cellStyle name="20% - Accent4 6 2 2 2 3 3 2" xfId="46347" xr:uid="{62307F4B-E830-4259-B0B0-07CCA7714480}"/>
    <cellStyle name="20% - Accent4 6 2 2 2 3 4" xfId="30469" xr:uid="{83DB1464-1AB3-404F-B178-45B1C93B1C18}"/>
    <cellStyle name="20% - Accent4 6 2 2 2 4" xfId="11032" xr:uid="{00000000-0005-0000-0000-0000EA190000}"/>
    <cellStyle name="20% - Accent4 6 2 2 2 4 2" xfId="34881" xr:uid="{759284B6-E644-4F0B-BF72-41D685AA9FDB}"/>
    <cellStyle name="20% - Accent4 6 2 2 2 5" xfId="18987" xr:uid="{00000000-0005-0000-0000-0000EB190000}"/>
    <cellStyle name="20% - Accent4 6 2 2 2 5 2" xfId="42819" xr:uid="{977A473F-379C-499C-95E3-53F4B225CFD9}"/>
    <cellStyle name="20% - Accent4 6 2 2 2 6" xfId="26939" xr:uid="{4CD0702B-AC07-440B-8A18-E8F4D990487E}"/>
    <cellStyle name="20% - Accent4 6 2 2 2_Exh G" xfId="2393" xr:uid="{00000000-0005-0000-0000-0000EC190000}"/>
    <cellStyle name="20% - Accent4 6 2 2 3" xfId="3886" xr:uid="{00000000-0005-0000-0000-0000ED190000}"/>
    <cellStyle name="20% - Accent4 6 2 2 3 2" xfId="7478" xr:uid="{00000000-0005-0000-0000-0000EE190000}"/>
    <cellStyle name="20% - Accent4 6 2 2 3 2 2" xfId="15448" xr:uid="{00000000-0005-0000-0000-0000EF190000}"/>
    <cellStyle name="20% - Accent4 6 2 2 3 2 2 2" xfId="39290" xr:uid="{C83DE09D-D98F-41E4-B0D5-34DAF55E515E}"/>
    <cellStyle name="20% - Accent4 6 2 2 3 2 3" xfId="23394" xr:uid="{00000000-0005-0000-0000-0000F0190000}"/>
    <cellStyle name="20% - Accent4 6 2 2 3 2 3 2" xfId="47226" xr:uid="{216CB698-DD93-4AF4-B27F-379EBF8F51D6}"/>
    <cellStyle name="20% - Accent4 6 2 2 3 2 4" xfId="31349" xr:uid="{713925ED-5905-4397-81AF-21E7886E2316}"/>
    <cellStyle name="20% - Accent4 6 2 2 3 3" xfId="11910" xr:uid="{00000000-0005-0000-0000-0000F1190000}"/>
    <cellStyle name="20% - Accent4 6 2 2 3 3 2" xfId="35759" xr:uid="{83E52899-B4CF-40A3-B319-4FCB8C25B1F6}"/>
    <cellStyle name="20% - Accent4 6 2 2 3 4" xfId="19865" xr:uid="{00000000-0005-0000-0000-0000F2190000}"/>
    <cellStyle name="20% - Accent4 6 2 2 3 4 2" xfId="43697" xr:uid="{239B424C-3802-4D5D-A18F-8CF22850F7CF}"/>
    <cellStyle name="20% - Accent4 6 2 2 3 5" xfId="27818" xr:uid="{26EC64E9-97FC-4FF3-8BAB-C476C694EEDF}"/>
    <cellStyle name="20% - Accent4 6 2 2 4" xfId="5706" xr:uid="{00000000-0005-0000-0000-0000F3190000}"/>
    <cellStyle name="20% - Accent4 6 2 2 4 2" xfId="13689" xr:uid="{00000000-0005-0000-0000-0000F4190000}"/>
    <cellStyle name="20% - Accent4 6 2 2 4 2 2" xfId="37532" xr:uid="{383D5795-EA1C-448E-9839-2AB1E08CAF6F}"/>
    <cellStyle name="20% - Accent4 6 2 2 4 3" xfId="21637" xr:uid="{00000000-0005-0000-0000-0000F5190000}"/>
    <cellStyle name="20% - Accent4 6 2 2 4 3 2" xfId="45469" xr:uid="{7E56BA82-2406-435D-A4FD-AEA833AA1C3B}"/>
    <cellStyle name="20% - Accent4 6 2 2 4 4" xfId="29591" xr:uid="{E8A4CF39-601A-41D4-B376-2965D08A1924}"/>
    <cellStyle name="20% - Accent4 6 2 2 5" xfId="9258" xr:uid="{00000000-0005-0000-0000-0000F6190000}"/>
    <cellStyle name="20% - Accent4 6 2 2 5 2" xfId="17216" xr:uid="{00000000-0005-0000-0000-0000F7190000}"/>
    <cellStyle name="20% - Accent4 6 2 2 5 2 2" xfId="41056" xr:uid="{477033E6-080A-469D-BDEB-823C7ABF1FDD}"/>
    <cellStyle name="20% - Accent4 6 2 2 5 3" xfId="25160" xr:uid="{00000000-0005-0000-0000-0000F8190000}"/>
    <cellStyle name="20% - Accent4 6 2 2 5 3 2" xfId="48992" xr:uid="{ACBAC2D8-C589-4E60-8E21-476EF1AA07D7}"/>
    <cellStyle name="20% - Accent4 6 2 2 5 4" xfId="33115" xr:uid="{BE584B73-F322-4EBF-AB73-59177FA3ADBE}"/>
    <cellStyle name="20% - Accent4 6 2 2 6" xfId="10154" xr:uid="{00000000-0005-0000-0000-0000F9190000}"/>
    <cellStyle name="20% - Accent4 6 2 2 6 2" xfId="34003" xr:uid="{2FBB9DB5-B261-4723-9A8B-B8A77614C162}"/>
    <cellStyle name="20% - Accent4 6 2 2 7" xfId="18109" xr:uid="{00000000-0005-0000-0000-0000FA190000}"/>
    <cellStyle name="20% - Accent4 6 2 2 7 2" xfId="41941" xr:uid="{A981B18D-9F15-405D-A44E-C3F7911C8857}"/>
    <cellStyle name="20% - Accent4 6 2 2 8" xfId="26061" xr:uid="{211E5913-D96E-4625-A691-973574095625}"/>
    <cellStyle name="20% - Accent4 6 2 2_Exh G" xfId="2392" xr:uid="{00000000-0005-0000-0000-0000FB190000}"/>
    <cellStyle name="20% - Accent4 6 2 3" xfId="1237" xr:uid="{00000000-0005-0000-0000-0000FC190000}"/>
    <cellStyle name="20% - Accent4 6 2 3 2" xfId="4764" xr:uid="{00000000-0005-0000-0000-0000FD190000}"/>
    <cellStyle name="20% - Accent4 6 2 3 2 2" xfId="8355" xr:uid="{00000000-0005-0000-0000-0000FE190000}"/>
    <cellStyle name="20% - Accent4 6 2 3 2 2 2" xfId="16325" xr:uid="{00000000-0005-0000-0000-0000FF190000}"/>
    <cellStyle name="20% - Accent4 6 2 3 2 2 2 2" xfId="40167" xr:uid="{D42D9D08-850A-45A5-BCAD-22165B625987}"/>
    <cellStyle name="20% - Accent4 6 2 3 2 2 3" xfId="24271" xr:uid="{00000000-0005-0000-0000-0000001A0000}"/>
    <cellStyle name="20% - Accent4 6 2 3 2 2 3 2" xfId="48103" xr:uid="{A11B2FB5-22A6-4791-A6B0-254A55D6ED02}"/>
    <cellStyle name="20% - Accent4 6 2 3 2 2 4" xfId="32226" xr:uid="{C21CCB4F-C002-47CF-94F9-8924583E63B2}"/>
    <cellStyle name="20% - Accent4 6 2 3 2 3" xfId="12787" xr:uid="{00000000-0005-0000-0000-0000011A0000}"/>
    <cellStyle name="20% - Accent4 6 2 3 2 3 2" xfId="36636" xr:uid="{087E21E3-3C25-43B3-9CFF-1C698F5630A4}"/>
    <cellStyle name="20% - Accent4 6 2 3 2 4" xfId="20742" xr:uid="{00000000-0005-0000-0000-0000021A0000}"/>
    <cellStyle name="20% - Accent4 6 2 3 2 4 2" xfId="44574" xr:uid="{6BAC3B53-2DED-4403-A7AC-C5C9C507D7F3}"/>
    <cellStyle name="20% - Accent4 6 2 3 2 5" xfId="28695" xr:uid="{C96CA034-B183-4831-93AB-63540EAD30ED}"/>
    <cellStyle name="20% - Accent4 6 2 3 3" xfId="6596" xr:uid="{00000000-0005-0000-0000-0000031A0000}"/>
    <cellStyle name="20% - Accent4 6 2 3 3 2" xfId="14567" xr:uid="{00000000-0005-0000-0000-0000041A0000}"/>
    <cellStyle name="20% - Accent4 6 2 3 3 2 2" xfId="38409" xr:uid="{4075FF95-0CC0-460B-9776-8126CF3F0C7D}"/>
    <cellStyle name="20% - Accent4 6 2 3 3 3" xfId="22514" xr:uid="{00000000-0005-0000-0000-0000051A0000}"/>
    <cellStyle name="20% - Accent4 6 2 3 3 3 2" xfId="46346" xr:uid="{48DCBD70-9FA2-4F9B-9FB1-FA2B4794A8A9}"/>
    <cellStyle name="20% - Accent4 6 2 3 3 4" xfId="30468" xr:uid="{C1F8CAE4-90A5-4946-BA27-E9442BE960CE}"/>
    <cellStyle name="20% - Accent4 6 2 3 4" xfId="11031" xr:uid="{00000000-0005-0000-0000-0000061A0000}"/>
    <cellStyle name="20% - Accent4 6 2 3 4 2" xfId="34880" xr:uid="{4D7F09E8-3B56-4EF5-8246-3633DB300459}"/>
    <cellStyle name="20% - Accent4 6 2 3 5" xfId="18986" xr:uid="{00000000-0005-0000-0000-0000071A0000}"/>
    <cellStyle name="20% - Accent4 6 2 3 5 2" xfId="42818" xr:uid="{085E3631-CB96-4FE0-8D27-75A9965AC187}"/>
    <cellStyle name="20% - Accent4 6 2 3 6" xfId="26938" xr:uid="{0220C2DA-670E-4DB8-841F-EDECE904738E}"/>
    <cellStyle name="20% - Accent4 6 2 3_Exh G" xfId="2394" xr:uid="{00000000-0005-0000-0000-0000081A0000}"/>
    <cellStyle name="20% - Accent4 6 2 4" xfId="3885" xr:uid="{00000000-0005-0000-0000-0000091A0000}"/>
    <cellStyle name="20% - Accent4 6 2 4 2" xfId="7477" xr:uid="{00000000-0005-0000-0000-00000A1A0000}"/>
    <cellStyle name="20% - Accent4 6 2 4 2 2" xfId="15447" xr:uid="{00000000-0005-0000-0000-00000B1A0000}"/>
    <cellStyle name="20% - Accent4 6 2 4 2 2 2" xfId="39289" xr:uid="{D6940727-AC70-4013-95D9-7875003A684E}"/>
    <cellStyle name="20% - Accent4 6 2 4 2 3" xfId="23393" xr:uid="{00000000-0005-0000-0000-00000C1A0000}"/>
    <cellStyle name="20% - Accent4 6 2 4 2 3 2" xfId="47225" xr:uid="{4B553759-483A-4A17-BF02-69C2A3D39846}"/>
    <cellStyle name="20% - Accent4 6 2 4 2 4" xfId="31348" xr:uid="{0CE07800-D16A-41F4-B25A-CDD9888FEAE0}"/>
    <cellStyle name="20% - Accent4 6 2 4 3" xfId="11909" xr:uid="{00000000-0005-0000-0000-00000D1A0000}"/>
    <cellStyle name="20% - Accent4 6 2 4 3 2" xfId="35758" xr:uid="{31F83388-4B14-4B47-B9F6-1C135339985D}"/>
    <cellStyle name="20% - Accent4 6 2 4 4" xfId="19864" xr:uid="{00000000-0005-0000-0000-00000E1A0000}"/>
    <cellStyle name="20% - Accent4 6 2 4 4 2" xfId="43696" xr:uid="{BF9436B7-4994-4E58-A32C-B43BA6A56D49}"/>
    <cellStyle name="20% - Accent4 6 2 4 5" xfId="27817" xr:uid="{20C14128-5394-4C7A-B9CF-C9A2E48C100D}"/>
    <cellStyle name="20% - Accent4 6 2 5" xfId="5705" xr:uid="{00000000-0005-0000-0000-00000F1A0000}"/>
    <cellStyle name="20% - Accent4 6 2 5 2" xfId="13688" xr:uid="{00000000-0005-0000-0000-0000101A0000}"/>
    <cellStyle name="20% - Accent4 6 2 5 2 2" xfId="37531" xr:uid="{8B068841-A636-4326-A044-FA9BF8268AB5}"/>
    <cellStyle name="20% - Accent4 6 2 5 3" xfId="21636" xr:uid="{00000000-0005-0000-0000-0000111A0000}"/>
    <cellStyle name="20% - Accent4 6 2 5 3 2" xfId="45468" xr:uid="{90535992-DFEF-469B-BA2C-4A052E048B91}"/>
    <cellStyle name="20% - Accent4 6 2 5 4" xfId="29590" xr:uid="{68130589-54DB-41F2-AB37-0E175A49909B}"/>
    <cellStyle name="20% - Accent4 6 2 6" xfId="9257" xr:uid="{00000000-0005-0000-0000-0000121A0000}"/>
    <cellStyle name="20% - Accent4 6 2 6 2" xfId="17215" xr:uid="{00000000-0005-0000-0000-0000131A0000}"/>
    <cellStyle name="20% - Accent4 6 2 6 2 2" xfId="41055" xr:uid="{D4340FC3-2A14-45D6-ABCF-5915FD428BB5}"/>
    <cellStyle name="20% - Accent4 6 2 6 3" xfId="25159" xr:uid="{00000000-0005-0000-0000-0000141A0000}"/>
    <cellStyle name="20% - Accent4 6 2 6 3 2" xfId="48991" xr:uid="{72AF33A3-434C-49A7-8CA6-552A6D77427D}"/>
    <cellStyle name="20% - Accent4 6 2 6 4" xfId="33114" xr:uid="{2899277A-CCEA-41C1-895B-697525CB7161}"/>
    <cellStyle name="20% - Accent4 6 2 7" xfId="10153" xr:uid="{00000000-0005-0000-0000-0000151A0000}"/>
    <cellStyle name="20% - Accent4 6 2 7 2" xfId="34002" xr:uid="{20E6E4B0-9079-40AB-9ACA-BDB24362680A}"/>
    <cellStyle name="20% - Accent4 6 2 8" xfId="18108" xr:uid="{00000000-0005-0000-0000-0000161A0000}"/>
    <cellStyle name="20% - Accent4 6 2 8 2" xfId="41940" xr:uid="{544D8936-5A8A-4B4E-90CF-36550B7E3C5C}"/>
    <cellStyle name="20% - Accent4 6 2 9" xfId="26060" xr:uid="{E447843A-54CB-4114-A895-8318CF9EC5CC}"/>
    <cellStyle name="20% - Accent4 6 2_Exh G" xfId="2391" xr:uid="{00000000-0005-0000-0000-0000171A0000}"/>
    <cellStyle name="20% - Accent4 6 3" xfId="213" xr:uid="{00000000-0005-0000-0000-0000181A0000}"/>
    <cellStyle name="20% - Accent4 6 3 2" xfId="1239" xr:uid="{00000000-0005-0000-0000-0000191A0000}"/>
    <cellStyle name="20% - Accent4 6 3 2 2" xfId="4766" xr:uid="{00000000-0005-0000-0000-00001A1A0000}"/>
    <cellStyle name="20% - Accent4 6 3 2 2 2" xfId="8357" xr:uid="{00000000-0005-0000-0000-00001B1A0000}"/>
    <cellStyle name="20% - Accent4 6 3 2 2 2 2" xfId="16327" xr:uid="{00000000-0005-0000-0000-00001C1A0000}"/>
    <cellStyle name="20% - Accent4 6 3 2 2 2 2 2" xfId="40169" xr:uid="{4357CED8-12E1-4069-8651-EBC9E9A94B52}"/>
    <cellStyle name="20% - Accent4 6 3 2 2 2 3" xfId="24273" xr:uid="{00000000-0005-0000-0000-00001D1A0000}"/>
    <cellStyle name="20% - Accent4 6 3 2 2 2 3 2" xfId="48105" xr:uid="{BC536CA1-17C8-49FA-8981-EC0E74930CB3}"/>
    <cellStyle name="20% - Accent4 6 3 2 2 2 4" xfId="32228" xr:uid="{4972AAD5-5755-4FA8-8685-2FF8D371F3BE}"/>
    <cellStyle name="20% - Accent4 6 3 2 2 3" xfId="12789" xr:uid="{00000000-0005-0000-0000-00001E1A0000}"/>
    <cellStyle name="20% - Accent4 6 3 2 2 3 2" xfId="36638" xr:uid="{98765BCE-1D93-4B43-A533-2407514A6260}"/>
    <cellStyle name="20% - Accent4 6 3 2 2 4" xfId="20744" xr:uid="{00000000-0005-0000-0000-00001F1A0000}"/>
    <cellStyle name="20% - Accent4 6 3 2 2 4 2" xfId="44576" xr:uid="{7FBE7B00-FFA9-44DD-B234-6FDBEC165B0D}"/>
    <cellStyle name="20% - Accent4 6 3 2 2 5" xfId="28697" xr:uid="{2102957A-FFD2-49DB-BCBB-3C604E9A7B0B}"/>
    <cellStyle name="20% - Accent4 6 3 2 3" xfId="6598" xr:uid="{00000000-0005-0000-0000-0000201A0000}"/>
    <cellStyle name="20% - Accent4 6 3 2 3 2" xfId="14569" xr:uid="{00000000-0005-0000-0000-0000211A0000}"/>
    <cellStyle name="20% - Accent4 6 3 2 3 2 2" xfId="38411" xr:uid="{2A60D633-BCB0-468F-9931-03BDE3090829}"/>
    <cellStyle name="20% - Accent4 6 3 2 3 3" xfId="22516" xr:uid="{00000000-0005-0000-0000-0000221A0000}"/>
    <cellStyle name="20% - Accent4 6 3 2 3 3 2" xfId="46348" xr:uid="{74D688E3-CF2E-4BE9-8C67-B727EAD51415}"/>
    <cellStyle name="20% - Accent4 6 3 2 3 4" xfId="30470" xr:uid="{9E690785-BEE3-4E68-A9C4-67F048304F12}"/>
    <cellStyle name="20% - Accent4 6 3 2 4" xfId="11033" xr:uid="{00000000-0005-0000-0000-0000231A0000}"/>
    <cellStyle name="20% - Accent4 6 3 2 4 2" xfId="34882" xr:uid="{1E3DD993-6800-4973-9711-0C33BDED1991}"/>
    <cellStyle name="20% - Accent4 6 3 2 5" xfId="18988" xr:uid="{00000000-0005-0000-0000-0000241A0000}"/>
    <cellStyle name="20% - Accent4 6 3 2 5 2" xfId="42820" xr:uid="{859838ED-579B-42E2-84C1-366AFCC4BE73}"/>
    <cellStyle name="20% - Accent4 6 3 2 6" xfId="26940" xr:uid="{DE011A2E-7C59-43A2-890F-854EB81377D7}"/>
    <cellStyle name="20% - Accent4 6 3 2_Exh G" xfId="2396" xr:uid="{00000000-0005-0000-0000-0000251A0000}"/>
    <cellStyle name="20% - Accent4 6 3 3" xfId="3887" xr:uid="{00000000-0005-0000-0000-0000261A0000}"/>
    <cellStyle name="20% - Accent4 6 3 3 2" xfId="7479" xr:uid="{00000000-0005-0000-0000-0000271A0000}"/>
    <cellStyle name="20% - Accent4 6 3 3 2 2" xfId="15449" xr:uid="{00000000-0005-0000-0000-0000281A0000}"/>
    <cellStyle name="20% - Accent4 6 3 3 2 2 2" xfId="39291" xr:uid="{99A56E6E-F8FE-46BE-9C37-67E73D42A28D}"/>
    <cellStyle name="20% - Accent4 6 3 3 2 3" xfId="23395" xr:uid="{00000000-0005-0000-0000-0000291A0000}"/>
    <cellStyle name="20% - Accent4 6 3 3 2 3 2" xfId="47227" xr:uid="{5A4665E4-9B45-44BA-9D11-C6096CA82606}"/>
    <cellStyle name="20% - Accent4 6 3 3 2 4" xfId="31350" xr:uid="{D81DC923-9C1E-4B13-870B-465E6A852BFB}"/>
    <cellStyle name="20% - Accent4 6 3 3 3" xfId="11911" xr:uid="{00000000-0005-0000-0000-00002A1A0000}"/>
    <cellStyle name="20% - Accent4 6 3 3 3 2" xfId="35760" xr:uid="{0706B390-3E13-4B40-8605-3383B4E7906C}"/>
    <cellStyle name="20% - Accent4 6 3 3 4" xfId="19866" xr:uid="{00000000-0005-0000-0000-00002B1A0000}"/>
    <cellStyle name="20% - Accent4 6 3 3 4 2" xfId="43698" xr:uid="{F92D4DD7-EC5E-42E4-BCBA-D27E5DD83978}"/>
    <cellStyle name="20% - Accent4 6 3 3 5" xfId="27819" xr:uid="{157AFC25-8244-435C-84E8-E24EF316E02C}"/>
    <cellStyle name="20% - Accent4 6 3 4" xfId="5707" xr:uid="{00000000-0005-0000-0000-00002C1A0000}"/>
    <cellStyle name="20% - Accent4 6 3 4 2" xfId="13690" xr:uid="{00000000-0005-0000-0000-00002D1A0000}"/>
    <cellStyle name="20% - Accent4 6 3 4 2 2" xfId="37533" xr:uid="{DD4B5C29-70FC-46B2-8925-4780476862B9}"/>
    <cellStyle name="20% - Accent4 6 3 4 3" xfId="21638" xr:uid="{00000000-0005-0000-0000-00002E1A0000}"/>
    <cellStyle name="20% - Accent4 6 3 4 3 2" xfId="45470" xr:uid="{80AF3818-B807-4D36-8D29-9CCE27DA28CF}"/>
    <cellStyle name="20% - Accent4 6 3 4 4" xfId="29592" xr:uid="{FC9BCB91-9895-454D-A724-4E6DF6AEC007}"/>
    <cellStyle name="20% - Accent4 6 3 5" xfId="9259" xr:uid="{00000000-0005-0000-0000-00002F1A0000}"/>
    <cellStyle name="20% - Accent4 6 3 5 2" xfId="17217" xr:uid="{00000000-0005-0000-0000-0000301A0000}"/>
    <cellStyle name="20% - Accent4 6 3 5 2 2" xfId="41057" xr:uid="{7A0D8156-4757-4244-953C-AEF0B92A7382}"/>
    <cellStyle name="20% - Accent4 6 3 5 3" xfId="25161" xr:uid="{00000000-0005-0000-0000-0000311A0000}"/>
    <cellStyle name="20% - Accent4 6 3 5 3 2" xfId="48993" xr:uid="{4E772278-E08F-48F1-A4B4-C8B32A82F91C}"/>
    <cellStyle name="20% - Accent4 6 3 5 4" xfId="33116" xr:uid="{4319875F-2D3C-4020-9EBE-4C4B254FCC5E}"/>
    <cellStyle name="20% - Accent4 6 3 6" xfId="10155" xr:uid="{00000000-0005-0000-0000-0000321A0000}"/>
    <cellStyle name="20% - Accent4 6 3 6 2" xfId="34004" xr:uid="{77C4C12D-ED17-44E8-8A78-C6B7A594CB0E}"/>
    <cellStyle name="20% - Accent4 6 3 7" xfId="18110" xr:uid="{00000000-0005-0000-0000-0000331A0000}"/>
    <cellStyle name="20% - Accent4 6 3 7 2" xfId="41942" xr:uid="{CB43BBE2-D2C3-4172-AA49-579B20628755}"/>
    <cellStyle name="20% - Accent4 6 3 8" xfId="26062" xr:uid="{0892BE36-76E2-45FA-A613-9954523E55A7}"/>
    <cellStyle name="20% - Accent4 6 3_Exh G" xfId="2395" xr:uid="{00000000-0005-0000-0000-0000341A0000}"/>
    <cellStyle name="20% - Accent4 6 4" xfId="903" xr:uid="{00000000-0005-0000-0000-0000351A0000}"/>
    <cellStyle name="20% - Accent4 6 4 2" xfId="1828" xr:uid="{00000000-0005-0000-0000-0000361A0000}"/>
    <cellStyle name="20% - Accent4 6 4 2 2" xfId="5345" xr:uid="{00000000-0005-0000-0000-0000371A0000}"/>
    <cellStyle name="20% - Accent4 6 4 2 2 2" xfId="8936" xr:uid="{00000000-0005-0000-0000-0000381A0000}"/>
    <cellStyle name="20% - Accent4 6 4 2 2 2 2" xfId="16906" xr:uid="{00000000-0005-0000-0000-0000391A0000}"/>
    <cellStyle name="20% - Accent4 6 4 2 2 2 2 2" xfId="40748" xr:uid="{3E2856C3-D0F3-4CAE-B44F-299E4F640716}"/>
    <cellStyle name="20% - Accent4 6 4 2 2 2 3" xfId="24852" xr:uid="{00000000-0005-0000-0000-00003A1A0000}"/>
    <cellStyle name="20% - Accent4 6 4 2 2 2 3 2" xfId="48684" xr:uid="{8E1FFBB6-D1F3-47AC-A9AC-F9669EE75577}"/>
    <cellStyle name="20% - Accent4 6 4 2 2 2 4" xfId="32807" xr:uid="{DD30733E-02BD-4828-A100-B9E192EF77DC}"/>
    <cellStyle name="20% - Accent4 6 4 2 2 3" xfId="13368" xr:uid="{00000000-0005-0000-0000-00003B1A0000}"/>
    <cellStyle name="20% - Accent4 6 4 2 2 3 2" xfId="37217" xr:uid="{ECDD905E-8F17-4CC6-A929-FB97B9927822}"/>
    <cellStyle name="20% - Accent4 6 4 2 2 4" xfId="21323" xr:uid="{00000000-0005-0000-0000-00003C1A0000}"/>
    <cellStyle name="20% - Accent4 6 4 2 2 4 2" xfId="45155" xr:uid="{ECF742C7-952A-45B6-B47F-6CEF9FFA8527}"/>
    <cellStyle name="20% - Accent4 6 4 2 2 5" xfId="29276" xr:uid="{F60C3465-F36D-4E3E-80F0-44819224CB8F}"/>
    <cellStyle name="20% - Accent4 6 4 2 3" xfId="7177" xr:uid="{00000000-0005-0000-0000-00003D1A0000}"/>
    <cellStyle name="20% - Accent4 6 4 2 3 2" xfId="15148" xr:uid="{00000000-0005-0000-0000-00003E1A0000}"/>
    <cellStyle name="20% - Accent4 6 4 2 3 2 2" xfId="38990" xr:uid="{92AF8E9F-173F-4233-AB3D-C574204C042B}"/>
    <cellStyle name="20% - Accent4 6 4 2 3 3" xfId="23095" xr:uid="{00000000-0005-0000-0000-00003F1A0000}"/>
    <cellStyle name="20% - Accent4 6 4 2 3 3 2" xfId="46927" xr:uid="{95440AD9-EDA9-4E6C-821D-C3754A077F0C}"/>
    <cellStyle name="20% - Accent4 6 4 2 3 4" xfId="31049" xr:uid="{3AF28B3F-CC2F-4B71-ADF8-783DE12E66F8}"/>
    <cellStyle name="20% - Accent4 6 4 2 4" xfId="11612" xr:uid="{00000000-0005-0000-0000-0000401A0000}"/>
    <cellStyle name="20% - Accent4 6 4 2 4 2" xfId="35461" xr:uid="{514D56A8-1AFF-4C2D-B570-06B7F0C5C66A}"/>
    <cellStyle name="20% - Accent4 6 4 2 5" xfId="19567" xr:uid="{00000000-0005-0000-0000-0000411A0000}"/>
    <cellStyle name="20% - Accent4 6 4 2 5 2" xfId="43399" xr:uid="{6625DA6D-AE7C-40BF-A2A0-4227E2C239B5}"/>
    <cellStyle name="20% - Accent4 6 4 2 6" xfId="27519" xr:uid="{6039621D-2EB4-4EA1-A89B-8C4499B9291C}"/>
    <cellStyle name="20% - Accent4 6 4 2_Exh G" xfId="2398" xr:uid="{00000000-0005-0000-0000-0000421A0000}"/>
    <cellStyle name="20% - Accent4 6 4 3" xfId="4466" xr:uid="{00000000-0005-0000-0000-0000431A0000}"/>
    <cellStyle name="20% - Accent4 6 4 3 2" xfId="8058" xr:uid="{00000000-0005-0000-0000-0000441A0000}"/>
    <cellStyle name="20% - Accent4 6 4 3 2 2" xfId="16028" xr:uid="{00000000-0005-0000-0000-0000451A0000}"/>
    <cellStyle name="20% - Accent4 6 4 3 2 2 2" xfId="39870" xr:uid="{C1FF289C-54F6-419D-998E-E3C86E80946E}"/>
    <cellStyle name="20% - Accent4 6 4 3 2 3" xfId="23974" xr:uid="{00000000-0005-0000-0000-0000461A0000}"/>
    <cellStyle name="20% - Accent4 6 4 3 2 3 2" xfId="47806" xr:uid="{8B4FAC62-418D-4E74-86CA-655A73620053}"/>
    <cellStyle name="20% - Accent4 6 4 3 2 4" xfId="31929" xr:uid="{276A9FEF-2F99-4BA6-859E-22C4862E56B6}"/>
    <cellStyle name="20% - Accent4 6 4 3 3" xfId="12490" xr:uid="{00000000-0005-0000-0000-0000471A0000}"/>
    <cellStyle name="20% - Accent4 6 4 3 3 2" xfId="36339" xr:uid="{525BB6DE-AF37-430C-8EDC-219BCDA2FF9C}"/>
    <cellStyle name="20% - Accent4 6 4 3 4" xfId="20445" xr:uid="{00000000-0005-0000-0000-0000481A0000}"/>
    <cellStyle name="20% - Accent4 6 4 3 4 2" xfId="44277" xr:uid="{84779ECD-4E63-42F4-9AF7-7A0C41B7CC88}"/>
    <cellStyle name="20% - Accent4 6 4 3 5" xfId="28398" xr:uid="{E6A8D895-E7A8-4599-80B6-D22F281A7F36}"/>
    <cellStyle name="20% - Accent4 6 4 4" xfId="6296" xr:uid="{00000000-0005-0000-0000-0000491A0000}"/>
    <cellStyle name="20% - Accent4 6 4 4 2" xfId="14270" xr:uid="{00000000-0005-0000-0000-00004A1A0000}"/>
    <cellStyle name="20% - Accent4 6 4 4 2 2" xfId="38112" xr:uid="{805B70E1-BBA0-48D4-9411-09DBCE8BDD92}"/>
    <cellStyle name="20% - Accent4 6 4 4 3" xfId="22217" xr:uid="{00000000-0005-0000-0000-00004B1A0000}"/>
    <cellStyle name="20% - Accent4 6 4 4 3 2" xfId="46049" xr:uid="{94833CC0-2ED1-4302-9B89-A899E7694FD9}"/>
    <cellStyle name="20% - Accent4 6 4 4 4" xfId="30171" xr:uid="{459FA423-45B2-4829-BF57-4B2FE7204F90}"/>
    <cellStyle name="20% - Accent4 6 4 5" xfId="9838" xr:uid="{00000000-0005-0000-0000-00004C1A0000}"/>
    <cellStyle name="20% - Accent4 6 4 5 2" xfId="17796" xr:uid="{00000000-0005-0000-0000-00004D1A0000}"/>
    <cellStyle name="20% - Accent4 6 4 5 2 2" xfId="41636" xr:uid="{5E917C59-7754-4643-87C8-7FC0E29FE770}"/>
    <cellStyle name="20% - Accent4 6 4 5 3" xfId="25740" xr:uid="{00000000-0005-0000-0000-00004E1A0000}"/>
    <cellStyle name="20% - Accent4 6 4 5 3 2" xfId="49572" xr:uid="{83DB7A5C-1FDD-438A-9050-97D24CD6A43F}"/>
    <cellStyle name="20% - Accent4 6 4 5 4" xfId="33695" xr:uid="{5602C15A-9D67-4E08-8D9D-5AC41CAF9C42}"/>
    <cellStyle name="20% - Accent4 6 4 6" xfId="10734" xr:uid="{00000000-0005-0000-0000-00004F1A0000}"/>
    <cellStyle name="20% - Accent4 6 4 6 2" xfId="34583" xr:uid="{44D9D407-51DB-4822-8512-8B8DCB4DF86A}"/>
    <cellStyle name="20% - Accent4 6 4 7" xfId="18689" xr:uid="{00000000-0005-0000-0000-0000501A0000}"/>
    <cellStyle name="20% - Accent4 6 4 7 2" xfId="42521" xr:uid="{3F1D984D-6FE6-4647-A121-184139522B70}"/>
    <cellStyle name="20% - Accent4 6 4 8" xfId="26641" xr:uid="{6D164DF3-8BB5-4FC8-948C-EAEF82E5E308}"/>
    <cellStyle name="20% - Accent4 6 4_Exh G" xfId="2397" xr:uid="{00000000-0005-0000-0000-0000511A0000}"/>
    <cellStyle name="20% - Accent4 6 5" xfId="1236" xr:uid="{00000000-0005-0000-0000-0000521A0000}"/>
    <cellStyle name="20% - Accent4 6 5 2" xfId="4763" xr:uid="{00000000-0005-0000-0000-0000531A0000}"/>
    <cellStyle name="20% - Accent4 6 5 2 2" xfId="8354" xr:uid="{00000000-0005-0000-0000-0000541A0000}"/>
    <cellStyle name="20% - Accent4 6 5 2 2 2" xfId="16324" xr:uid="{00000000-0005-0000-0000-0000551A0000}"/>
    <cellStyle name="20% - Accent4 6 5 2 2 2 2" xfId="40166" xr:uid="{C1EA6B8D-3E5D-4350-A3E4-A12EF8C30454}"/>
    <cellStyle name="20% - Accent4 6 5 2 2 3" xfId="24270" xr:uid="{00000000-0005-0000-0000-0000561A0000}"/>
    <cellStyle name="20% - Accent4 6 5 2 2 3 2" xfId="48102" xr:uid="{5258546E-24F2-443C-B0C5-3A83F7C27657}"/>
    <cellStyle name="20% - Accent4 6 5 2 2 4" xfId="32225" xr:uid="{DA845360-B3FB-4B44-9FD8-547C7252F3FB}"/>
    <cellStyle name="20% - Accent4 6 5 2 3" xfId="12786" xr:uid="{00000000-0005-0000-0000-0000571A0000}"/>
    <cellStyle name="20% - Accent4 6 5 2 3 2" xfId="36635" xr:uid="{3EC7CCBF-3187-4E41-B039-FF53FE65E878}"/>
    <cellStyle name="20% - Accent4 6 5 2 4" xfId="20741" xr:uid="{00000000-0005-0000-0000-0000581A0000}"/>
    <cellStyle name="20% - Accent4 6 5 2 4 2" xfId="44573" xr:uid="{A23E3B40-AB73-4FE0-B706-FCC425389655}"/>
    <cellStyle name="20% - Accent4 6 5 2 5" xfId="28694" xr:uid="{B4E6088F-CE81-41DB-88B7-2A3D49540DE1}"/>
    <cellStyle name="20% - Accent4 6 5 3" xfId="6595" xr:uid="{00000000-0005-0000-0000-0000591A0000}"/>
    <cellStyle name="20% - Accent4 6 5 3 2" xfId="14566" xr:uid="{00000000-0005-0000-0000-00005A1A0000}"/>
    <cellStyle name="20% - Accent4 6 5 3 2 2" xfId="38408" xr:uid="{5B99BAAA-55A4-4964-A7A0-CCF83DDAE610}"/>
    <cellStyle name="20% - Accent4 6 5 3 3" xfId="22513" xr:uid="{00000000-0005-0000-0000-00005B1A0000}"/>
    <cellStyle name="20% - Accent4 6 5 3 3 2" xfId="46345" xr:uid="{1C601579-2A76-4267-80F3-9A1D965D566C}"/>
    <cellStyle name="20% - Accent4 6 5 3 4" xfId="30467" xr:uid="{0D93D906-56FD-42EB-B77E-074D9DA4972B}"/>
    <cellStyle name="20% - Accent4 6 5 4" xfId="11030" xr:uid="{00000000-0005-0000-0000-00005C1A0000}"/>
    <cellStyle name="20% - Accent4 6 5 4 2" xfId="34879" xr:uid="{1D68D343-D87F-4DC6-B437-20731ED040B0}"/>
    <cellStyle name="20% - Accent4 6 5 5" xfId="18985" xr:uid="{00000000-0005-0000-0000-00005D1A0000}"/>
    <cellStyle name="20% - Accent4 6 5 5 2" xfId="42817" xr:uid="{10F3B6CA-74C3-42E8-82B5-9547F8020FA0}"/>
    <cellStyle name="20% - Accent4 6 5 6" xfId="26937" xr:uid="{58D61269-131F-40B9-912A-A197A3AD6C14}"/>
    <cellStyle name="20% - Accent4 6 5_Exh G" xfId="2399" xr:uid="{00000000-0005-0000-0000-00005E1A0000}"/>
    <cellStyle name="20% - Accent4 6 6" xfId="3884" xr:uid="{00000000-0005-0000-0000-00005F1A0000}"/>
    <cellStyle name="20% - Accent4 6 6 2" xfId="7476" xr:uid="{00000000-0005-0000-0000-0000601A0000}"/>
    <cellStyle name="20% - Accent4 6 6 2 2" xfId="15446" xr:uid="{00000000-0005-0000-0000-0000611A0000}"/>
    <cellStyle name="20% - Accent4 6 6 2 2 2" xfId="39288" xr:uid="{1BBC34B6-A755-457B-93FE-A4F50E5559B3}"/>
    <cellStyle name="20% - Accent4 6 6 2 3" xfId="23392" xr:uid="{00000000-0005-0000-0000-0000621A0000}"/>
    <cellStyle name="20% - Accent4 6 6 2 3 2" xfId="47224" xr:uid="{067F77EB-EDA3-4A78-B4BA-1D80D83E030F}"/>
    <cellStyle name="20% - Accent4 6 6 2 4" xfId="31347" xr:uid="{A112BBA7-2C0F-40CF-80CC-2F52EFC54D6F}"/>
    <cellStyle name="20% - Accent4 6 6 3" xfId="11908" xr:uid="{00000000-0005-0000-0000-0000631A0000}"/>
    <cellStyle name="20% - Accent4 6 6 3 2" xfId="35757" xr:uid="{3E91C717-9D48-455D-A076-483D8FC02AE5}"/>
    <cellStyle name="20% - Accent4 6 6 4" xfId="19863" xr:uid="{00000000-0005-0000-0000-0000641A0000}"/>
    <cellStyle name="20% - Accent4 6 6 4 2" xfId="43695" xr:uid="{E94E45BB-D8C7-4781-B6F4-C1BA719AA322}"/>
    <cellStyle name="20% - Accent4 6 6 5" xfId="27816" xr:uid="{2F62E4F2-CBD5-4B47-B3D9-F288A9A38732}"/>
    <cellStyle name="20% - Accent4 6 7" xfId="5704" xr:uid="{00000000-0005-0000-0000-0000651A0000}"/>
    <cellStyle name="20% - Accent4 6 7 2" xfId="13687" xr:uid="{00000000-0005-0000-0000-0000661A0000}"/>
    <cellStyle name="20% - Accent4 6 7 2 2" xfId="37530" xr:uid="{0FF68D6D-C51D-4C16-9C9A-FFCAC9BFBF7E}"/>
    <cellStyle name="20% - Accent4 6 7 3" xfId="21635" xr:uid="{00000000-0005-0000-0000-0000671A0000}"/>
    <cellStyle name="20% - Accent4 6 7 3 2" xfId="45467" xr:uid="{9E56E71C-9421-4E5F-B58F-8AE28AFDE9A6}"/>
    <cellStyle name="20% - Accent4 6 7 4" xfId="29589" xr:uid="{B04F51DB-7EA5-4D2B-B5BD-EB8B8A5A6EDA}"/>
    <cellStyle name="20% - Accent4 6 8" xfId="9256" xr:uid="{00000000-0005-0000-0000-0000681A0000}"/>
    <cellStyle name="20% - Accent4 6 8 2" xfId="17214" xr:uid="{00000000-0005-0000-0000-0000691A0000}"/>
    <cellStyle name="20% - Accent4 6 8 2 2" xfId="41054" xr:uid="{D54EFDF6-4C79-4086-A856-2467AE3F6A7C}"/>
    <cellStyle name="20% - Accent4 6 8 3" xfId="25158" xr:uid="{00000000-0005-0000-0000-00006A1A0000}"/>
    <cellStyle name="20% - Accent4 6 8 3 2" xfId="48990" xr:uid="{BBFFA65C-B45D-4F23-B6F0-5B3D7D80AC01}"/>
    <cellStyle name="20% - Accent4 6 8 4" xfId="33113" xr:uid="{1A1B0B05-4EF3-4BAA-A06F-A0E2FB748358}"/>
    <cellStyle name="20% - Accent4 6 9" xfId="10152" xr:uid="{00000000-0005-0000-0000-00006B1A0000}"/>
    <cellStyle name="20% - Accent4 6 9 2" xfId="34001" xr:uid="{160A82D3-C6AF-4DDB-83B5-8C83B25633DA}"/>
    <cellStyle name="20% - Accent4 6_Exh G" xfId="2390" xr:uid="{00000000-0005-0000-0000-00006C1A0000}"/>
    <cellStyle name="20% - Accent4 7" xfId="214" xr:uid="{00000000-0005-0000-0000-00006D1A0000}"/>
    <cellStyle name="20% - Accent4 7 10" xfId="18111" xr:uid="{00000000-0005-0000-0000-00006E1A0000}"/>
    <cellStyle name="20% - Accent4 7 10 2" xfId="41943" xr:uid="{065D5985-5109-442B-8066-046E8356B9BF}"/>
    <cellStyle name="20% - Accent4 7 11" xfId="26063" xr:uid="{F5F8D76D-E5C5-47BF-AB15-4FEA2C0E8BC2}"/>
    <cellStyle name="20% - Accent4 7 2" xfId="215" xr:uid="{00000000-0005-0000-0000-00006F1A0000}"/>
    <cellStyle name="20% - Accent4 7 2 2" xfId="216" xr:uid="{00000000-0005-0000-0000-0000701A0000}"/>
    <cellStyle name="20% - Accent4 7 2 2 2" xfId="1242" xr:uid="{00000000-0005-0000-0000-0000711A0000}"/>
    <cellStyle name="20% - Accent4 7 2 2 2 2" xfId="4769" xr:uid="{00000000-0005-0000-0000-0000721A0000}"/>
    <cellStyle name="20% - Accent4 7 2 2 2 2 2" xfId="8360" xr:uid="{00000000-0005-0000-0000-0000731A0000}"/>
    <cellStyle name="20% - Accent4 7 2 2 2 2 2 2" xfId="16330" xr:uid="{00000000-0005-0000-0000-0000741A0000}"/>
    <cellStyle name="20% - Accent4 7 2 2 2 2 2 2 2" xfId="40172" xr:uid="{BF4896DA-0D58-43EA-A245-1CBFAE87D903}"/>
    <cellStyle name="20% - Accent4 7 2 2 2 2 2 3" xfId="24276" xr:uid="{00000000-0005-0000-0000-0000751A0000}"/>
    <cellStyle name="20% - Accent4 7 2 2 2 2 2 3 2" xfId="48108" xr:uid="{693CE446-562D-4A78-954F-F0B3CA7DC43C}"/>
    <cellStyle name="20% - Accent4 7 2 2 2 2 2 4" xfId="32231" xr:uid="{BE0486B9-CD7F-4D31-B674-032E60D5CB16}"/>
    <cellStyle name="20% - Accent4 7 2 2 2 2 3" xfId="12792" xr:uid="{00000000-0005-0000-0000-0000761A0000}"/>
    <cellStyle name="20% - Accent4 7 2 2 2 2 3 2" xfId="36641" xr:uid="{6F42792E-8163-404F-AD96-742AB6ECB38E}"/>
    <cellStyle name="20% - Accent4 7 2 2 2 2 4" xfId="20747" xr:uid="{00000000-0005-0000-0000-0000771A0000}"/>
    <cellStyle name="20% - Accent4 7 2 2 2 2 4 2" xfId="44579" xr:uid="{CBA9FF11-8C50-4BCB-BB3C-C75EF066451D}"/>
    <cellStyle name="20% - Accent4 7 2 2 2 2 5" xfId="28700" xr:uid="{73811649-7A37-4BC6-B619-70BDFF2251F1}"/>
    <cellStyle name="20% - Accent4 7 2 2 2 3" xfId="6601" xr:uid="{00000000-0005-0000-0000-0000781A0000}"/>
    <cellStyle name="20% - Accent4 7 2 2 2 3 2" xfId="14572" xr:uid="{00000000-0005-0000-0000-0000791A0000}"/>
    <cellStyle name="20% - Accent4 7 2 2 2 3 2 2" xfId="38414" xr:uid="{D37511DE-C8D3-4335-A9A9-02C8D8264134}"/>
    <cellStyle name="20% - Accent4 7 2 2 2 3 3" xfId="22519" xr:uid="{00000000-0005-0000-0000-00007A1A0000}"/>
    <cellStyle name="20% - Accent4 7 2 2 2 3 3 2" xfId="46351" xr:uid="{050A755A-88D6-4095-AE6F-CD78BF0D5DD6}"/>
    <cellStyle name="20% - Accent4 7 2 2 2 3 4" xfId="30473" xr:uid="{6600BC6C-8EA7-4DD1-BE93-49F13DA75AB0}"/>
    <cellStyle name="20% - Accent4 7 2 2 2 4" xfId="11036" xr:uid="{00000000-0005-0000-0000-00007B1A0000}"/>
    <cellStyle name="20% - Accent4 7 2 2 2 4 2" xfId="34885" xr:uid="{09D4BCFB-9850-441D-BE62-778DBB974A79}"/>
    <cellStyle name="20% - Accent4 7 2 2 2 5" xfId="18991" xr:uid="{00000000-0005-0000-0000-00007C1A0000}"/>
    <cellStyle name="20% - Accent4 7 2 2 2 5 2" xfId="42823" xr:uid="{1E9E8FF6-6F45-44E5-A34D-1183776B63FF}"/>
    <cellStyle name="20% - Accent4 7 2 2 2 6" xfId="26943" xr:uid="{DAC159BE-7B1A-46D9-B34C-1A0E1AF41ED6}"/>
    <cellStyle name="20% - Accent4 7 2 2 2_Exh G" xfId="2403" xr:uid="{00000000-0005-0000-0000-00007D1A0000}"/>
    <cellStyle name="20% - Accent4 7 2 2 3" xfId="3890" xr:uid="{00000000-0005-0000-0000-00007E1A0000}"/>
    <cellStyle name="20% - Accent4 7 2 2 3 2" xfId="7482" xr:uid="{00000000-0005-0000-0000-00007F1A0000}"/>
    <cellStyle name="20% - Accent4 7 2 2 3 2 2" xfId="15452" xr:uid="{00000000-0005-0000-0000-0000801A0000}"/>
    <cellStyle name="20% - Accent4 7 2 2 3 2 2 2" xfId="39294" xr:uid="{204E0715-C10C-41E4-92BB-C55A3DAF93DA}"/>
    <cellStyle name="20% - Accent4 7 2 2 3 2 3" xfId="23398" xr:uid="{00000000-0005-0000-0000-0000811A0000}"/>
    <cellStyle name="20% - Accent4 7 2 2 3 2 3 2" xfId="47230" xr:uid="{9955D344-C8B4-4821-BA41-10B66CE120D6}"/>
    <cellStyle name="20% - Accent4 7 2 2 3 2 4" xfId="31353" xr:uid="{9FDF81D1-5879-4AE9-8B5A-E17C357C92FF}"/>
    <cellStyle name="20% - Accent4 7 2 2 3 3" xfId="11914" xr:uid="{00000000-0005-0000-0000-0000821A0000}"/>
    <cellStyle name="20% - Accent4 7 2 2 3 3 2" xfId="35763" xr:uid="{976E8EDC-154D-487A-B432-E1086C63DE76}"/>
    <cellStyle name="20% - Accent4 7 2 2 3 4" xfId="19869" xr:uid="{00000000-0005-0000-0000-0000831A0000}"/>
    <cellStyle name="20% - Accent4 7 2 2 3 4 2" xfId="43701" xr:uid="{246D4557-CC84-4EEF-8D2C-2CCCB64600E1}"/>
    <cellStyle name="20% - Accent4 7 2 2 3 5" xfId="27822" xr:uid="{26B43ADB-17F6-4F60-8D63-F1E72306C140}"/>
    <cellStyle name="20% - Accent4 7 2 2 4" xfId="5710" xr:uid="{00000000-0005-0000-0000-0000841A0000}"/>
    <cellStyle name="20% - Accent4 7 2 2 4 2" xfId="13693" xr:uid="{00000000-0005-0000-0000-0000851A0000}"/>
    <cellStyle name="20% - Accent4 7 2 2 4 2 2" xfId="37536" xr:uid="{D7433D96-4DC6-4A40-A294-B600ADC549E4}"/>
    <cellStyle name="20% - Accent4 7 2 2 4 3" xfId="21641" xr:uid="{00000000-0005-0000-0000-0000861A0000}"/>
    <cellStyle name="20% - Accent4 7 2 2 4 3 2" xfId="45473" xr:uid="{EE6646DD-C1E6-435B-B8CD-F2A24FBB23E0}"/>
    <cellStyle name="20% - Accent4 7 2 2 4 4" xfId="29595" xr:uid="{C15D2589-1C45-4DE9-A82A-8814437D3B94}"/>
    <cellStyle name="20% - Accent4 7 2 2 5" xfId="9262" xr:uid="{00000000-0005-0000-0000-0000871A0000}"/>
    <cellStyle name="20% - Accent4 7 2 2 5 2" xfId="17220" xr:uid="{00000000-0005-0000-0000-0000881A0000}"/>
    <cellStyle name="20% - Accent4 7 2 2 5 2 2" xfId="41060" xr:uid="{CFE94FA2-DE81-45F9-8333-A2C4A0C4462C}"/>
    <cellStyle name="20% - Accent4 7 2 2 5 3" xfId="25164" xr:uid="{00000000-0005-0000-0000-0000891A0000}"/>
    <cellStyle name="20% - Accent4 7 2 2 5 3 2" xfId="48996" xr:uid="{E1D5319B-E33D-4BC7-92DB-364E1CF281A5}"/>
    <cellStyle name="20% - Accent4 7 2 2 5 4" xfId="33119" xr:uid="{A8C28E8E-9DCE-4489-8947-24053EB1078B}"/>
    <cellStyle name="20% - Accent4 7 2 2 6" xfId="10158" xr:uid="{00000000-0005-0000-0000-00008A1A0000}"/>
    <cellStyle name="20% - Accent4 7 2 2 6 2" xfId="34007" xr:uid="{50281B7B-5C84-424A-A7F3-BF2E2A7C369D}"/>
    <cellStyle name="20% - Accent4 7 2 2 7" xfId="18113" xr:uid="{00000000-0005-0000-0000-00008B1A0000}"/>
    <cellStyle name="20% - Accent4 7 2 2 7 2" xfId="41945" xr:uid="{4AF154AF-3155-458D-90CB-4587827CA8FB}"/>
    <cellStyle name="20% - Accent4 7 2 2 8" xfId="26065" xr:uid="{D3CEC8E1-4BCC-4B1D-B01C-D47AE5C541AD}"/>
    <cellStyle name="20% - Accent4 7 2 2_Exh G" xfId="2402" xr:uid="{00000000-0005-0000-0000-00008C1A0000}"/>
    <cellStyle name="20% - Accent4 7 2 3" xfId="1241" xr:uid="{00000000-0005-0000-0000-00008D1A0000}"/>
    <cellStyle name="20% - Accent4 7 2 3 2" xfId="4768" xr:uid="{00000000-0005-0000-0000-00008E1A0000}"/>
    <cellStyle name="20% - Accent4 7 2 3 2 2" xfId="8359" xr:uid="{00000000-0005-0000-0000-00008F1A0000}"/>
    <cellStyle name="20% - Accent4 7 2 3 2 2 2" xfId="16329" xr:uid="{00000000-0005-0000-0000-0000901A0000}"/>
    <cellStyle name="20% - Accent4 7 2 3 2 2 2 2" xfId="40171" xr:uid="{73620774-6190-44FC-B83A-D3BEB430705B}"/>
    <cellStyle name="20% - Accent4 7 2 3 2 2 3" xfId="24275" xr:uid="{00000000-0005-0000-0000-0000911A0000}"/>
    <cellStyle name="20% - Accent4 7 2 3 2 2 3 2" xfId="48107" xr:uid="{AD426F75-C345-4AF9-8E67-8BEF4C2BDBA5}"/>
    <cellStyle name="20% - Accent4 7 2 3 2 2 4" xfId="32230" xr:uid="{A97C9C43-6286-431A-889A-3229C384E305}"/>
    <cellStyle name="20% - Accent4 7 2 3 2 3" xfId="12791" xr:uid="{00000000-0005-0000-0000-0000921A0000}"/>
    <cellStyle name="20% - Accent4 7 2 3 2 3 2" xfId="36640" xr:uid="{135E2660-748E-41E6-964B-56769600245E}"/>
    <cellStyle name="20% - Accent4 7 2 3 2 4" xfId="20746" xr:uid="{00000000-0005-0000-0000-0000931A0000}"/>
    <cellStyle name="20% - Accent4 7 2 3 2 4 2" xfId="44578" xr:uid="{DBCA0AFC-5520-4E29-8ECB-3208DD0C5534}"/>
    <cellStyle name="20% - Accent4 7 2 3 2 5" xfId="28699" xr:uid="{7D0EA7BE-88B8-4C86-9CCF-452DACB79028}"/>
    <cellStyle name="20% - Accent4 7 2 3 3" xfId="6600" xr:uid="{00000000-0005-0000-0000-0000941A0000}"/>
    <cellStyle name="20% - Accent4 7 2 3 3 2" xfId="14571" xr:uid="{00000000-0005-0000-0000-0000951A0000}"/>
    <cellStyle name="20% - Accent4 7 2 3 3 2 2" xfId="38413" xr:uid="{95B8B8BD-AF10-4B7B-85FB-F3C7CEC0F063}"/>
    <cellStyle name="20% - Accent4 7 2 3 3 3" xfId="22518" xr:uid="{00000000-0005-0000-0000-0000961A0000}"/>
    <cellStyle name="20% - Accent4 7 2 3 3 3 2" xfId="46350" xr:uid="{1C5992E1-D89C-4E71-89F4-B67EF0915484}"/>
    <cellStyle name="20% - Accent4 7 2 3 3 4" xfId="30472" xr:uid="{01928A58-3543-45A6-B1B9-E6012787090A}"/>
    <cellStyle name="20% - Accent4 7 2 3 4" xfId="11035" xr:uid="{00000000-0005-0000-0000-0000971A0000}"/>
    <cellStyle name="20% - Accent4 7 2 3 4 2" xfId="34884" xr:uid="{6E05A4BF-5623-4999-A012-68AC74A883D6}"/>
    <cellStyle name="20% - Accent4 7 2 3 5" xfId="18990" xr:uid="{00000000-0005-0000-0000-0000981A0000}"/>
    <cellStyle name="20% - Accent4 7 2 3 5 2" xfId="42822" xr:uid="{AD177143-A3FF-44E1-BE93-D76B41BC85F1}"/>
    <cellStyle name="20% - Accent4 7 2 3 6" xfId="26942" xr:uid="{CCBE11FA-B817-47CF-8DE6-E3AF58EA2F9D}"/>
    <cellStyle name="20% - Accent4 7 2 3_Exh G" xfId="2404" xr:uid="{00000000-0005-0000-0000-0000991A0000}"/>
    <cellStyle name="20% - Accent4 7 2 4" xfId="3889" xr:uid="{00000000-0005-0000-0000-00009A1A0000}"/>
    <cellStyle name="20% - Accent4 7 2 4 2" xfId="7481" xr:uid="{00000000-0005-0000-0000-00009B1A0000}"/>
    <cellStyle name="20% - Accent4 7 2 4 2 2" xfId="15451" xr:uid="{00000000-0005-0000-0000-00009C1A0000}"/>
    <cellStyle name="20% - Accent4 7 2 4 2 2 2" xfId="39293" xr:uid="{99F7321E-C7BF-4231-A75E-530CB62167CD}"/>
    <cellStyle name="20% - Accent4 7 2 4 2 3" xfId="23397" xr:uid="{00000000-0005-0000-0000-00009D1A0000}"/>
    <cellStyle name="20% - Accent4 7 2 4 2 3 2" xfId="47229" xr:uid="{36541586-D17E-4FAD-B22A-DB116F771DCC}"/>
    <cellStyle name="20% - Accent4 7 2 4 2 4" xfId="31352" xr:uid="{1F54EF4D-5898-4CD9-913D-124B76E4F506}"/>
    <cellStyle name="20% - Accent4 7 2 4 3" xfId="11913" xr:uid="{00000000-0005-0000-0000-00009E1A0000}"/>
    <cellStyle name="20% - Accent4 7 2 4 3 2" xfId="35762" xr:uid="{5BE6C3AC-605D-404D-9A10-6C6B06151F04}"/>
    <cellStyle name="20% - Accent4 7 2 4 4" xfId="19868" xr:uid="{00000000-0005-0000-0000-00009F1A0000}"/>
    <cellStyle name="20% - Accent4 7 2 4 4 2" xfId="43700" xr:uid="{2447832F-E7A7-4B42-9C70-BFAD08AE1341}"/>
    <cellStyle name="20% - Accent4 7 2 4 5" xfId="27821" xr:uid="{735A202C-0030-478C-9D5B-B653B02FFFFD}"/>
    <cellStyle name="20% - Accent4 7 2 5" xfId="5709" xr:uid="{00000000-0005-0000-0000-0000A01A0000}"/>
    <cellStyle name="20% - Accent4 7 2 5 2" xfId="13692" xr:uid="{00000000-0005-0000-0000-0000A11A0000}"/>
    <cellStyle name="20% - Accent4 7 2 5 2 2" xfId="37535" xr:uid="{27AD4742-8409-4716-AEC9-2BC20090EE1A}"/>
    <cellStyle name="20% - Accent4 7 2 5 3" xfId="21640" xr:uid="{00000000-0005-0000-0000-0000A21A0000}"/>
    <cellStyle name="20% - Accent4 7 2 5 3 2" xfId="45472" xr:uid="{66786C83-7A72-4C7B-A4E5-7381DCB64E53}"/>
    <cellStyle name="20% - Accent4 7 2 5 4" xfId="29594" xr:uid="{B40DE9BE-868C-4AED-B90D-F19EC5984772}"/>
    <cellStyle name="20% - Accent4 7 2 6" xfId="9261" xr:uid="{00000000-0005-0000-0000-0000A31A0000}"/>
    <cellStyle name="20% - Accent4 7 2 6 2" xfId="17219" xr:uid="{00000000-0005-0000-0000-0000A41A0000}"/>
    <cellStyle name="20% - Accent4 7 2 6 2 2" xfId="41059" xr:uid="{BA1AFC48-170F-4842-BB22-DE14FAB9DCF4}"/>
    <cellStyle name="20% - Accent4 7 2 6 3" xfId="25163" xr:uid="{00000000-0005-0000-0000-0000A51A0000}"/>
    <cellStyle name="20% - Accent4 7 2 6 3 2" xfId="48995" xr:uid="{25716EAF-0CB5-486D-8A19-FF33D7E75E53}"/>
    <cellStyle name="20% - Accent4 7 2 6 4" xfId="33118" xr:uid="{68752D02-56E6-4820-9C10-D063A4CB3AE4}"/>
    <cellStyle name="20% - Accent4 7 2 7" xfId="10157" xr:uid="{00000000-0005-0000-0000-0000A61A0000}"/>
    <cellStyle name="20% - Accent4 7 2 7 2" xfId="34006" xr:uid="{5173BFAE-B444-45A2-A70D-E83ABEBA20F3}"/>
    <cellStyle name="20% - Accent4 7 2 8" xfId="18112" xr:uid="{00000000-0005-0000-0000-0000A71A0000}"/>
    <cellStyle name="20% - Accent4 7 2 8 2" xfId="41944" xr:uid="{F9AB771C-ACC2-4523-A4F4-26C1D63EF628}"/>
    <cellStyle name="20% - Accent4 7 2 9" xfId="26064" xr:uid="{E3BEE09A-6D48-41A7-8BBA-1426558D982B}"/>
    <cellStyle name="20% - Accent4 7 2_Exh G" xfId="2401" xr:uid="{00000000-0005-0000-0000-0000A81A0000}"/>
    <cellStyle name="20% - Accent4 7 3" xfId="217" xr:uid="{00000000-0005-0000-0000-0000A91A0000}"/>
    <cellStyle name="20% - Accent4 7 3 2" xfId="1243" xr:uid="{00000000-0005-0000-0000-0000AA1A0000}"/>
    <cellStyle name="20% - Accent4 7 3 2 2" xfId="4770" xr:uid="{00000000-0005-0000-0000-0000AB1A0000}"/>
    <cellStyle name="20% - Accent4 7 3 2 2 2" xfId="8361" xr:uid="{00000000-0005-0000-0000-0000AC1A0000}"/>
    <cellStyle name="20% - Accent4 7 3 2 2 2 2" xfId="16331" xr:uid="{00000000-0005-0000-0000-0000AD1A0000}"/>
    <cellStyle name="20% - Accent4 7 3 2 2 2 2 2" xfId="40173" xr:uid="{47E2722D-7C21-46BC-81F3-33B2EC92D7B5}"/>
    <cellStyle name="20% - Accent4 7 3 2 2 2 3" xfId="24277" xr:uid="{00000000-0005-0000-0000-0000AE1A0000}"/>
    <cellStyle name="20% - Accent4 7 3 2 2 2 3 2" xfId="48109" xr:uid="{0FFBA355-DCE5-4941-86B9-AFA8BB443D24}"/>
    <cellStyle name="20% - Accent4 7 3 2 2 2 4" xfId="32232" xr:uid="{E8EC9CB5-1345-4440-A500-2F91FEAAE51D}"/>
    <cellStyle name="20% - Accent4 7 3 2 2 3" xfId="12793" xr:uid="{00000000-0005-0000-0000-0000AF1A0000}"/>
    <cellStyle name="20% - Accent4 7 3 2 2 3 2" xfId="36642" xr:uid="{5A9D6922-0648-4743-A517-7C1022D9D640}"/>
    <cellStyle name="20% - Accent4 7 3 2 2 4" xfId="20748" xr:uid="{00000000-0005-0000-0000-0000B01A0000}"/>
    <cellStyle name="20% - Accent4 7 3 2 2 4 2" xfId="44580" xr:uid="{5D1B11D8-F931-48C8-8B91-12B96B6278AE}"/>
    <cellStyle name="20% - Accent4 7 3 2 2 5" xfId="28701" xr:uid="{82F5E931-508F-4D32-992C-308E25A95E9F}"/>
    <cellStyle name="20% - Accent4 7 3 2 3" xfId="6602" xr:uid="{00000000-0005-0000-0000-0000B11A0000}"/>
    <cellStyle name="20% - Accent4 7 3 2 3 2" xfId="14573" xr:uid="{00000000-0005-0000-0000-0000B21A0000}"/>
    <cellStyle name="20% - Accent4 7 3 2 3 2 2" xfId="38415" xr:uid="{85CA6915-E311-4850-873E-0DF4A7D98CE7}"/>
    <cellStyle name="20% - Accent4 7 3 2 3 3" xfId="22520" xr:uid="{00000000-0005-0000-0000-0000B31A0000}"/>
    <cellStyle name="20% - Accent4 7 3 2 3 3 2" xfId="46352" xr:uid="{CB3FFC69-6BBD-47EC-AF1C-BCCD626FBF4D}"/>
    <cellStyle name="20% - Accent4 7 3 2 3 4" xfId="30474" xr:uid="{73C277BC-1EB6-4DA0-9595-D35E0C582B3D}"/>
    <cellStyle name="20% - Accent4 7 3 2 4" xfId="11037" xr:uid="{00000000-0005-0000-0000-0000B41A0000}"/>
    <cellStyle name="20% - Accent4 7 3 2 4 2" xfId="34886" xr:uid="{0471694B-17C9-4547-BF76-E610EF628DFF}"/>
    <cellStyle name="20% - Accent4 7 3 2 5" xfId="18992" xr:uid="{00000000-0005-0000-0000-0000B51A0000}"/>
    <cellStyle name="20% - Accent4 7 3 2 5 2" xfId="42824" xr:uid="{83C08043-2FED-4646-8C59-8E58B22B4F68}"/>
    <cellStyle name="20% - Accent4 7 3 2 6" xfId="26944" xr:uid="{A672A01D-0448-45AE-87F6-E9412209DFEC}"/>
    <cellStyle name="20% - Accent4 7 3 2_Exh G" xfId="2406" xr:uid="{00000000-0005-0000-0000-0000B61A0000}"/>
    <cellStyle name="20% - Accent4 7 3 3" xfId="3891" xr:uid="{00000000-0005-0000-0000-0000B71A0000}"/>
    <cellStyle name="20% - Accent4 7 3 3 2" xfId="7483" xr:uid="{00000000-0005-0000-0000-0000B81A0000}"/>
    <cellStyle name="20% - Accent4 7 3 3 2 2" xfId="15453" xr:uid="{00000000-0005-0000-0000-0000B91A0000}"/>
    <cellStyle name="20% - Accent4 7 3 3 2 2 2" xfId="39295" xr:uid="{F8FDB6EA-F6A7-45BF-BD70-791231F86E97}"/>
    <cellStyle name="20% - Accent4 7 3 3 2 3" xfId="23399" xr:uid="{00000000-0005-0000-0000-0000BA1A0000}"/>
    <cellStyle name="20% - Accent4 7 3 3 2 3 2" xfId="47231" xr:uid="{D6AB4D5F-7A34-4E48-A426-A5A50EDC2161}"/>
    <cellStyle name="20% - Accent4 7 3 3 2 4" xfId="31354" xr:uid="{2BEC4112-E804-44A3-8AA8-9C035E937765}"/>
    <cellStyle name="20% - Accent4 7 3 3 3" xfId="11915" xr:uid="{00000000-0005-0000-0000-0000BB1A0000}"/>
    <cellStyle name="20% - Accent4 7 3 3 3 2" xfId="35764" xr:uid="{A594197B-DF9D-486B-825D-B53579F5AD59}"/>
    <cellStyle name="20% - Accent4 7 3 3 4" xfId="19870" xr:uid="{00000000-0005-0000-0000-0000BC1A0000}"/>
    <cellStyle name="20% - Accent4 7 3 3 4 2" xfId="43702" xr:uid="{A9EE897C-3A58-4607-853A-DB317F1ACBF6}"/>
    <cellStyle name="20% - Accent4 7 3 3 5" xfId="27823" xr:uid="{D6A3CAB0-6A20-4746-984A-5D770CDFAE9B}"/>
    <cellStyle name="20% - Accent4 7 3 4" xfId="5711" xr:uid="{00000000-0005-0000-0000-0000BD1A0000}"/>
    <cellStyle name="20% - Accent4 7 3 4 2" xfId="13694" xr:uid="{00000000-0005-0000-0000-0000BE1A0000}"/>
    <cellStyle name="20% - Accent4 7 3 4 2 2" xfId="37537" xr:uid="{FC465506-CA79-4B66-A4F3-A2A914381306}"/>
    <cellStyle name="20% - Accent4 7 3 4 3" xfId="21642" xr:uid="{00000000-0005-0000-0000-0000BF1A0000}"/>
    <cellStyle name="20% - Accent4 7 3 4 3 2" xfId="45474" xr:uid="{FAA5199A-7770-4E0A-BBBA-2E6D9676379F}"/>
    <cellStyle name="20% - Accent4 7 3 4 4" xfId="29596" xr:uid="{C14323AE-D517-4DD1-8870-B806EA2F3BA9}"/>
    <cellStyle name="20% - Accent4 7 3 5" xfId="9263" xr:uid="{00000000-0005-0000-0000-0000C01A0000}"/>
    <cellStyle name="20% - Accent4 7 3 5 2" xfId="17221" xr:uid="{00000000-0005-0000-0000-0000C11A0000}"/>
    <cellStyle name="20% - Accent4 7 3 5 2 2" xfId="41061" xr:uid="{B2F9BCAC-F059-42EB-BDA0-7DCC35F000C9}"/>
    <cellStyle name="20% - Accent4 7 3 5 3" xfId="25165" xr:uid="{00000000-0005-0000-0000-0000C21A0000}"/>
    <cellStyle name="20% - Accent4 7 3 5 3 2" xfId="48997" xr:uid="{B7742D82-FA2C-4BDB-91DA-16BBD27DBE46}"/>
    <cellStyle name="20% - Accent4 7 3 5 4" xfId="33120" xr:uid="{DFE70221-4D97-4FA4-95E9-9E50AB3E6E4A}"/>
    <cellStyle name="20% - Accent4 7 3 6" xfId="10159" xr:uid="{00000000-0005-0000-0000-0000C31A0000}"/>
    <cellStyle name="20% - Accent4 7 3 6 2" xfId="34008" xr:uid="{4A41EF79-5AAE-4793-8B78-E30FADF297E6}"/>
    <cellStyle name="20% - Accent4 7 3 7" xfId="18114" xr:uid="{00000000-0005-0000-0000-0000C41A0000}"/>
    <cellStyle name="20% - Accent4 7 3 7 2" xfId="41946" xr:uid="{D3FF53CF-F7C3-44B4-88CD-7065E0F02800}"/>
    <cellStyle name="20% - Accent4 7 3 8" xfId="26066" xr:uid="{20670803-A1A4-4DC3-8FAA-6A5F84D1CA36}"/>
    <cellStyle name="20% - Accent4 7 3_Exh G" xfId="2405" xr:uid="{00000000-0005-0000-0000-0000C51A0000}"/>
    <cellStyle name="20% - Accent4 7 4" xfId="904" xr:uid="{00000000-0005-0000-0000-0000C61A0000}"/>
    <cellStyle name="20% - Accent4 7 4 2" xfId="1829" xr:uid="{00000000-0005-0000-0000-0000C71A0000}"/>
    <cellStyle name="20% - Accent4 7 4 2 2" xfId="5346" xr:uid="{00000000-0005-0000-0000-0000C81A0000}"/>
    <cellStyle name="20% - Accent4 7 4 2 2 2" xfId="8937" xr:uid="{00000000-0005-0000-0000-0000C91A0000}"/>
    <cellStyle name="20% - Accent4 7 4 2 2 2 2" xfId="16907" xr:uid="{00000000-0005-0000-0000-0000CA1A0000}"/>
    <cellStyle name="20% - Accent4 7 4 2 2 2 2 2" xfId="40749" xr:uid="{4DD27479-CF72-4EE6-8675-F69DB19352B1}"/>
    <cellStyle name="20% - Accent4 7 4 2 2 2 3" xfId="24853" xr:uid="{00000000-0005-0000-0000-0000CB1A0000}"/>
    <cellStyle name="20% - Accent4 7 4 2 2 2 3 2" xfId="48685" xr:uid="{51276587-CE5B-4218-ACE3-09EC83152811}"/>
    <cellStyle name="20% - Accent4 7 4 2 2 2 4" xfId="32808" xr:uid="{2E65EE1C-19F3-481F-A9E0-D8B2547AF427}"/>
    <cellStyle name="20% - Accent4 7 4 2 2 3" xfId="13369" xr:uid="{00000000-0005-0000-0000-0000CC1A0000}"/>
    <cellStyle name="20% - Accent4 7 4 2 2 3 2" xfId="37218" xr:uid="{65538BDD-33DC-438D-86C4-B62620C26632}"/>
    <cellStyle name="20% - Accent4 7 4 2 2 4" xfId="21324" xr:uid="{00000000-0005-0000-0000-0000CD1A0000}"/>
    <cellStyle name="20% - Accent4 7 4 2 2 4 2" xfId="45156" xr:uid="{747AA458-948A-45E7-8359-D80107574487}"/>
    <cellStyle name="20% - Accent4 7 4 2 2 5" xfId="29277" xr:uid="{FE83B10A-07EC-4797-8BF7-A9C7AF2D78AC}"/>
    <cellStyle name="20% - Accent4 7 4 2 3" xfId="7178" xr:uid="{00000000-0005-0000-0000-0000CE1A0000}"/>
    <cellStyle name="20% - Accent4 7 4 2 3 2" xfId="15149" xr:uid="{00000000-0005-0000-0000-0000CF1A0000}"/>
    <cellStyle name="20% - Accent4 7 4 2 3 2 2" xfId="38991" xr:uid="{18040262-25D4-48F0-A199-67033E50BCA6}"/>
    <cellStyle name="20% - Accent4 7 4 2 3 3" xfId="23096" xr:uid="{00000000-0005-0000-0000-0000D01A0000}"/>
    <cellStyle name="20% - Accent4 7 4 2 3 3 2" xfId="46928" xr:uid="{944F96FA-7486-4867-82D4-B280466DFA76}"/>
    <cellStyle name="20% - Accent4 7 4 2 3 4" xfId="31050" xr:uid="{3FB2DBCA-418B-4EBA-95D3-6C99889E5B9C}"/>
    <cellStyle name="20% - Accent4 7 4 2 4" xfId="11613" xr:uid="{00000000-0005-0000-0000-0000D11A0000}"/>
    <cellStyle name="20% - Accent4 7 4 2 4 2" xfId="35462" xr:uid="{6BE95718-EE9C-4B5C-9AC9-5707E231EC9C}"/>
    <cellStyle name="20% - Accent4 7 4 2 5" xfId="19568" xr:uid="{00000000-0005-0000-0000-0000D21A0000}"/>
    <cellStyle name="20% - Accent4 7 4 2 5 2" xfId="43400" xr:uid="{6C5B1238-5EF5-4324-A388-7F9DE68D33A5}"/>
    <cellStyle name="20% - Accent4 7 4 2 6" xfId="27520" xr:uid="{4D758A88-ACC8-4252-8EA7-A3C7CD68A99B}"/>
    <cellStyle name="20% - Accent4 7 4 2_Exh G" xfId="2408" xr:uid="{00000000-0005-0000-0000-0000D31A0000}"/>
    <cellStyle name="20% - Accent4 7 4 3" xfId="4467" xr:uid="{00000000-0005-0000-0000-0000D41A0000}"/>
    <cellStyle name="20% - Accent4 7 4 3 2" xfId="8059" xr:uid="{00000000-0005-0000-0000-0000D51A0000}"/>
    <cellStyle name="20% - Accent4 7 4 3 2 2" xfId="16029" xr:uid="{00000000-0005-0000-0000-0000D61A0000}"/>
    <cellStyle name="20% - Accent4 7 4 3 2 2 2" xfId="39871" xr:uid="{1D6BD881-821B-43FB-B401-4DDD5A24827F}"/>
    <cellStyle name="20% - Accent4 7 4 3 2 3" xfId="23975" xr:uid="{00000000-0005-0000-0000-0000D71A0000}"/>
    <cellStyle name="20% - Accent4 7 4 3 2 3 2" xfId="47807" xr:uid="{3F90B127-2E76-48B3-B90F-05152A3B3983}"/>
    <cellStyle name="20% - Accent4 7 4 3 2 4" xfId="31930" xr:uid="{D3DD9936-6B5E-4247-8585-D333BA2593F2}"/>
    <cellStyle name="20% - Accent4 7 4 3 3" xfId="12491" xr:uid="{00000000-0005-0000-0000-0000D81A0000}"/>
    <cellStyle name="20% - Accent4 7 4 3 3 2" xfId="36340" xr:uid="{C9F76D6D-9E47-4164-A205-3A583BBDC754}"/>
    <cellStyle name="20% - Accent4 7 4 3 4" xfId="20446" xr:uid="{00000000-0005-0000-0000-0000D91A0000}"/>
    <cellStyle name="20% - Accent4 7 4 3 4 2" xfId="44278" xr:uid="{8A69A285-EE5A-4F64-8A41-0C6E025538E0}"/>
    <cellStyle name="20% - Accent4 7 4 3 5" xfId="28399" xr:uid="{37582F85-D9D0-4AE1-9C12-A6384EAE150F}"/>
    <cellStyle name="20% - Accent4 7 4 4" xfId="6297" xr:uid="{00000000-0005-0000-0000-0000DA1A0000}"/>
    <cellStyle name="20% - Accent4 7 4 4 2" xfId="14271" xr:uid="{00000000-0005-0000-0000-0000DB1A0000}"/>
    <cellStyle name="20% - Accent4 7 4 4 2 2" xfId="38113" xr:uid="{48985B25-FFDF-43CD-AF05-E90E30F52FAB}"/>
    <cellStyle name="20% - Accent4 7 4 4 3" xfId="22218" xr:uid="{00000000-0005-0000-0000-0000DC1A0000}"/>
    <cellStyle name="20% - Accent4 7 4 4 3 2" xfId="46050" xr:uid="{29810AAC-C0C5-42CE-BFC1-8587E461BC18}"/>
    <cellStyle name="20% - Accent4 7 4 4 4" xfId="30172" xr:uid="{64D7487B-960D-425B-AE9E-93D711B16942}"/>
    <cellStyle name="20% - Accent4 7 4 5" xfId="9839" xr:uid="{00000000-0005-0000-0000-0000DD1A0000}"/>
    <cellStyle name="20% - Accent4 7 4 5 2" xfId="17797" xr:uid="{00000000-0005-0000-0000-0000DE1A0000}"/>
    <cellStyle name="20% - Accent4 7 4 5 2 2" xfId="41637" xr:uid="{F1D99AD4-E6F0-413A-A589-713988386820}"/>
    <cellStyle name="20% - Accent4 7 4 5 3" xfId="25741" xr:uid="{00000000-0005-0000-0000-0000DF1A0000}"/>
    <cellStyle name="20% - Accent4 7 4 5 3 2" xfId="49573" xr:uid="{D5B34698-7923-48AB-BBC7-4A8378DC3280}"/>
    <cellStyle name="20% - Accent4 7 4 5 4" xfId="33696" xr:uid="{6E688504-C3AA-41C8-8EA0-9C7EFD7E2FE0}"/>
    <cellStyle name="20% - Accent4 7 4 6" xfId="10735" xr:uid="{00000000-0005-0000-0000-0000E01A0000}"/>
    <cellStyle name="20% - Accent4 7 4 6 2" xfId="34584" xr:uid="{71E4C788-C48F-46EF-AA2D-C43E84BAA70C}"/>
    <cellStyle name="20% - Accent4 7 4 7" xfId="18690" xr:uid="{00000000-0005-0000-0000-0000E11A0000}"/>
    <cellStyle name="20% - Accent4 7 4 7 2" xfId="42522" xr:uid="{7957BA38-CAD7-4756-ADB7-CE1BFA0B38C5}"/>
    <cellStyle name="20% - Accent4 7 4 8" xfId="26642" xr:uid="{33610684-6B20-4657-88D6-CAC263E0B51B}"/>
    <cellStyle name="20% - Accent4 7 4_Exh G" xfId="2407" xr:uid="{00000000-0005-0000-0000-0000E21A0000}"/>
    <cellStyle name="20% - Accent4 7 5" xfId="1240" xr:uid="{00000000-0005-0000-0000-0000E31A0000}"/>
    <cellStyle name="20% - Accent4 7 5 2" xfId="4767" xr:uid="{00000000-0005-0000-0000-0000E41A0000}"/>
    <cellStyle name="20% - Accent4 7 5 2 2" xfId="8358" xr:uid="{00000000-0005-0000-0000-0000E51A0000}"/>
    <cellStyle name="20% - Accent4 7 5 2 2 2" xfId="16328" xr:uid="{00000000-0005-0000-0000-0000E61A0000}"/>
    <cellStyle name="20% - Accent4 7 5 2 2 2 2" xfId="40170" xr:uid="{8CC9D023-0528-41DD-988D-21D2CD7FAFA0}"/>
    <cellStyle name="20% - Accent4 7 5 2 2 3" xfId="24274" xr:uid="{00000000-0005-0000-0000-0000E71A0000}"/>
    <cellStyle name="20% - Accent4 7 5 2 2 3 2" xfId="48106" xr:uid="{587420FA-0208-4A42-BB13-5B3473B3C346}"/>
    <cellStyle name="20% - Accent4 7 5 2 2 4" xfId="32229" xr:uid="{724AE73B-8DAE-447D-A514-60A703D042A1}"/>
    <cellStyle name="20% - Accent4 7 5 2 3" xfId="12790" xr:uid="{00000000-0005-0000-0000-0000E81A0000}"/>
    <cellStyle name="20% - Accent4 7 5 2 3 2" xfId="36639" xr:uid="{8672D9C4-815A-4CD1-90FB-25F14733DFD3}"/>
    <cellStyle name="20% - Accent4 7 5 2 4" xfId="20745" xr:uid="{00000000-0005-0000-0000-0000E91A0000}"/>
    <cellStyle name="20% - Accent4 7 5 2 4 2" xfId="44577" xr:uid="{87AF7727-7BEF-414A-9A4F-0462047FA61F}"/>
    <cellStyle name="20% - Accent4 7 5 2 5" xfId="28698" xr:uid="{7F578046-CF05-440E-BEB7-4BE8E60919EA}"/>
    <cellStyle name="20% - Accent4 7 5 3" xfId="6599" xr:uid="{00000000-0005-0000-0000-0000EA1A0000}"/>
    <cellStyle name="20% - Accent4 7 5 3 2" xfId="14570" xr:uid="{00000000-0005-0000-0000-0000EB1A0000}"/>
    <cellStyle name="20% - Accent4 7 5 3 2 2" xfId="38412" xr:uid="{74D8AA53-DDE0-401B-9E6F-7CFCC3A37834}"/>
    <cellStyle name="20% - Accent4 7 5 3 3" xfId="22517" xr:uid="{00000000-0005-0000-0000-0000EC1A0000}"/>
    <cellStyle name="20% - Accent4 7 5 3 3 2" xfId="46349" xr:uid="{BF439B5E-5D9A-41B5-B46E-355776EF766D}"/>
    <cellStyle name="20% - Accent4 7 5 3 4" xfId="30471" xr:uid="{CAC672D1-B179-4E6B-83CE-E33AEE97D760}"/>
    <cellStyle name="20% - Accent4 7 5 4" xfId="11034" xr:uid="{00000000-0005-0000-0000-0000ED1A0000}"/>
    <cellStyle name="20% - Accent4 7 5 4 2" xfId="34883" xr:uid="{FCB47929-AAC6-4AD9-ACF5-4FE999061B5E}"/>
    <cellStyle name="20% - Accent4 7 5 5" xfId="18989" xr:uid="{00000000-0005-0000-0000-0000EE1A0000}"/>
    <cellStyle name="20% - Accent4 7 5 5 2" xfId="42821" xr:uid="{716882E5-42F0-4E9D-AEC6-5FD07C168904}"/>
    <cellStyle name="20% - Accent4 7 5 6" xfId="26941" xr:uid="{171A4780-581B-47F1-B391-C2B4BAD60245}"/>
    <cellStyle name="20% - Accent4 7 5_Exh G" xfId="2409" xr:uid="{00000000-0005-0000-0000-0000EF1A0000}"/>
    <cellStyle name="20% - Accent4 7 6" xfId="3888" xr:uid="{00000000-0005-0000-0000-0000F01A0000}"/>
    <cellStyle name="20% - Accent4 7 6 2" xfId="7480" xr:uid="{00000000-0005-0000-0000-0000F11A0000}"/>
    <cellStyle name="20% - Accent4 7 6 2 2" xfId="15450" xr:uid="{00000000-0005-0000-0000-0000F21A0000}"/>
    <cellStyle name="20% - Accent4 7 6 2 2 2" xfId="39292" xr:uid="{DC001199-E54D-44C7-86DF-C8C1164D3509}"/>
    <cellStyle name="20% - Accent4 7 6 2 3" xfId="23396" xr:uid="{00000000-0005-0000-0000-0000F31A0000}"/>
    <cellStyle name="20% - Accent4 7 6 2 3 2" xfId="47228" xr:uid="{8C7AA6FD-A4CD-4886-80A7-A0F4F37BFE9E}"/>
    <cellStyle name="20% - Accent4 7 6 2 4" xfId="31351" xr:uid="{6D4A80CC-EC80-4813-88D3-0310C6A705AC}"/>
    <cellStyle name="20% - Accent4 7 6 3" xfId="11912" xr:uid="{00000000-0005-0000-0000-0000F41A0000}"/>
    <cellStyle name="20% - Accent4 7 6 3 2" xfId="35761" xr:uid="{3896EB58-A41A-40D6-8F99-4B7C67EA641E}"/>
    <cellStyle name="20% - Accent4 7 6 4" xfId="19867" xr:uid="{00000000-0005-0000-0000-0000F51A0000}"/>
    <cellStyle name="20% - Accent4 7 6 4 2" xfId="43699" xr:uid="{F9734F1A-C90C-44D7-BD4A-9C95665A8DE3}"/>
    <cellStyle name="20% - Accent4 7 6 5" xfId="27820" xr:uid="{8E75D2DF-3C44-43B9-A0EF-2F2DA9EECBD2}"/>
    <cellStyle name="20% - Accent4 7 7" xfId="5708" xr:uid="{00000000-0005-0000-0000-0000F61A0000}"/>
    <cellStyle name="20% - Accent4 7 7 2" xfId="13691" xr:uid="{00000000-0005-0000-0000-0000F71A0000}"/>
    <cellStyle name="20% - Accent4 7 7 2 2" xfId="37534" xr:uid="{00A12EF8-3D1E-40D7-92F4-D179ECCF18B6}"/>
    <cellStyle name="20% - Accent4 7 7 3" xfId="21639" xr:uid="{00000000-0005-0000-0000-0000F81A0000}"/>
    <cellStyle name="20% - Accent4 7 7 3 2" xfId="45471" xr:uid="{114560D0-33B2-4789-90FE-2518A3E5732F}"/>
    <cellStyle name="20% - Accent4 7 7 4" xfId="29593" xr:uid="{736C3B16-1359-49D0-ADE5-C3D596893C7D}"/>
    <cellStyle name="20% - Accent4 7 8" xfId="9260" xr:uid="{00000000-0005-0000-0000-0000F91A0000}"/>
    <cellStyle name="20% - Accent4 7 8 2" xfId="17218" xr:uid="{00000000-0005-0000-0000-0000FA1A0000}"/>
    <cellStyle name="20% - Accent4 7 8 2 2" xfId="41058" xr:uid="{5DBA1B12-848E-45C5-9165-EA95DC321FA5}"/>
    <cellStyle name="20% - Accent4 7 8 3" xfId="25162" xr:uid="{00000000-0005-0000-0000-0000FB1A0000}"/>
    <cellStyle name="20% - Accent4 7 8 3 2" xfId="48994" xr:uid="{8EDB5523-DE31-4EAD-8F90-B8FBCC082119}"/>
    <cellStyle name="20% - Accent4 7 8 4" xfId="33117" xr:uid="{CA6386E6-F799-414D-BD99-E366690BEEBF}"/>
    <cellStyle name="20% - Accent4 7 9" xfId="10156" xr:uid="{00000000-0005-0000-0000-0000FC1A0000}"/>
    <cellStyle name="20% - Accent4 7 9 2" xfId="34005" xr:uid="{EE7072B5-5994-40B5-9595-24F4EBAD060F}"/>
    <cellStyle name="20% - Accent4 7_Exh G" xfId="2400" xr:uid="{00000000-0005-0000-0000-0000FD1A0000}"/>
    <cellStyle name="20% - Accent4 8" xfId="218" xr:uid="{00000000-0005-0000-0000-0000FE1A0000}"/>
    <cellStyle name="20% - Accent4 8 10" xfId="18115" xr:uid="{00000000-0005-0000-0000-0000FF1A0000}"/>
    <cellStyle name="20% - Accent4 8 10 2" xfId="41947" xr:uid="{BB39354A-2F99-48E0-AC92-BD468AD9A0E9}"/>
    <cellStyle name="20% - Accent4 8 11" xfId="26067" xr:uid="{9D067B38-5BD4-4791-9113-97ADB9AD0984}"/>
    <cellStyle name="20% - Accent4 8 2" xfId="219" xr:uid="{00000000-0005-0000-0000-0000001B0000}"/>
    <cellStyle name="20% - Accent4 8 2 2" xfId="220" xr:uid="{00000000-0005-0000-0000-0000011B0000}"/>
    <cellStyle name="20% - Accent4 8 2 2 2" xfId="1246" xr:uid="{00000000-0005-0000-0000-0000021B0000}"/>
    <cellStyle name="20% - Accent4 8 2 2 2 2" xfId="4773" xr:uid="{00000000-0005-0000-0000-0000031B0000}"/>
    <cellStyle name="20% - Accent4 8 2 2 2 2 2" xfId="8364" xr:uid="{00000000-0005-0000-0000-0000041B0000}"/>
    <cellStyle name="20% - Accent4 8 2 2 2 2 2 2" xfId="16334" xr:uid="{00000000-0005-0000-0000-0000051B0000}"/>
    <cellStyle name="20% - Accent4 8 2 2 2 2 2 2 2" xfId="40176" xr:uid="{78E30755-E03E-43CD-B521-5EE1964F4BBD}"/>
    <cellStyle name="20% - Accent4 8 2 2 2 2 2 3" xfId="24280" xr:uid="{00000000-0005-0000-0000-0000061B0000}"/>
    <cellStyle name="20% - Accent4 8 2 2 2 2 2 3 2" xfId="48112" xr:uid="{B6D70DD4-8601-4A93-A348-D629948987D1}"/>
    <cellStyle name="20% - Accent4 8 2 2 2 2 2 4" xfId="32235" xr:uid="{4D1E7035-B7BA-423E-A34B-736204565B7C}"/>
    <cellStyle name="20% - Accent4 8 2 2 2 2 3" xfId="12796" xr:uid="{00000000-0005-0000-0000-0000071B0000}"/>
    <cellStyle name="20% - Accent4 8 2 2 2 2 3 2" xfId="36645" xr:uid="{5D4E957E-11B2-4D50-8A41-C48CD6C89417}"/>
    <cellStyle name="20% - Accent4 8 2 2 2 2 4" xfId="20751" xr:uid="{00000000-0005-0000-0000-0000081B0000}"/>
    <cellStyle name="20% - Accent4 8 2 2 2 2 4 2" xfId="44583" xr:uid="{05B743A9-DAF5-4C77-AEA1-75A17AC0BC41}"/>
    <cellStyle name="20% - Accent4 8 2 2 2 2 5" xfId="28704" xr:uid="{5121AD4F-7ED4-4EE9-A5AF-E8CB774175CA}"/>
    <cellStyle name="20% - Accent4 8 2 2 2 3" xfId="6605" xr:uid="{00000000-0005-0000-0000-0000091B0000}"/>
    <cellStyle name="20% - Accent4 8 2 2 2 3 2" xfId="14576" xr:uid="{00000000-0005-0000-0000-00000A1B0000}"/>
    <cellStyle name="20% - Accent4 8 2 2 2 3 2 2" xfId="38418" xr:uid="{096F46E4-7B31-409A-909B-3D927F0D4C8C}"/>
    <cellStyle name="20% - Accent4 8 2 2 2 3 3" xfId="22523" xr:uid="{00000000-0005-0000-0000-00000B1B0000}"/>
    <cellStyle name="20% - Accent4 8 2 2 2 3 3 2" xfId="46355" xr:uid="{C00FAC44-32F0-4BB7-B104-65B8C32F4CAF}"/>
    <cellStyle name="20% - Accent4 8 2 2 2 3 4" xfId="30477" xr:uid="{6CCDE9F1-F5F8-48E7-98CE-05E9DF8F8DEB}"/>
    <cellStyle name="20% - Accent4 8 2 2 2 4" xfId="11040" xr:uid="{00000000-0005-0000-0000-00000C1B0000}"/>
    <cellStyle name="20% - Accent4 8 2 2 2 4 2" xfId="34889" xr:uid="{7C432B5D-53BB-4273-9AF3-D0E6ACEF388F}"/>
    <cellStyle name="20% - Accent4 8 2 2 2 5" xfId="18995" xr:uid="{00000000-0005-0000-0000-00000D1B0000}"/>
    <cellStyle name="20% - Accent4 8 2 2 2 5 2" xfId="42827" xr:uid="{7CA8DE2F-59B9-47E0-8220-33F19607468F}"/>
    <cellStyle name="20% - Accent4 8 2 2 2 6" xfId="26947" xr:uid="{48643456-59B4-415F-A238-65B0B389F14E}"/>
    <cellStyle name="20% - Accent4 8 2 2 2_Exh G" xfId="2413" xr:uid="{00000000-0005-0000-0000-00000E1B0000}"/>
    <cellStyle name="20% - Accent4 8 2 2 3" xfId="3894" xr:uid="{00000000-0005-0000-0000-00000F1B0000}"/>
    <cellStyle name="20% - Accent4 8 2 2 3 2" xfId="7486" xr:uid="{00000000-0005-0000-0000-0000101B0000}"/>
    <cellStyle name="20% - Accent4 8 2 2 3 2 2" xfId="15456" xr:uid="{00000000-0005-0000-0000-0000111B0000}"/>
    <cellStyle name="20% - Accent4 8 2 2 3 2 2 2" xfId="39298" xr:uid="{98ADA9DB-3988-40A3-A0C8-4885FE035C24}"/>
    <cellStyle name="20% - Accent4 8 2 2 3 2 3" xfId="23402" xr:uid="{00000000-0005-0000-0000-0000121B0000}"/>
    <cellStyle name="20% - Accent4 8 2 2 3 2 3 2" xfId="47234" xr:uid="{A7F0AB66-5C02-4F3A-B8DD-977B7E95B6BD}"/>
    <cellStyle name="20% - Accent4 8 2 2 3 2 4" xfId="31357" xr:uid="{5E590DB7-DE9D-466A-A997-C466CB5C6594}"/>
    <cellStyle name="20% - Accent4 8 2 2 3 3" xfId="11918" xr:uid="{00000000-0005-0000-0000-0000131B0000}"/>
    <cellStyle name="20% - Accent4 8 2 2 3 3 2" xfId="35767" xr:uid="{43B16251-A58B-40F1-85D0-41DDF150D63D}"/>
    <cellStyle name="20% - Accent4 8 2 2 3 4" xfId="19873" xr:uid="{00000000-0005-0000-0000-0000141B0000}"/>
    <cellStyle name="20% - Accent4 8 2 2 3 4 2" xfId="43705" xr:uid="{4332D988-421B-47D5-9FFD-B53947DE2A24}"/>
    <cellStyle name="20% - Accent4 8 2 2 3 5" xfId="27826" xr:uid="{6A12E75B-117F-401D-A7DF-F5F9A4B56443}"/>
    <cellStyle name="20% - Accent4 8 2 2 4" xfId="5714" xr:uid="{00000000-0005-0000-0000-0000151B0000}"/>
    <cellStyle name="20% - Accent4 8 2 2 4 2" xfId="13697" xr:uid="{00000000-0005-0000-0000-0000161B0000}"/>
    <cellStyle name="20% - Accent4 8 2 2 4 2 2" xfId="37540" xr:uid="{76869E9D-A4C1-446D-BF18-4F04691C1CF9}"/>
    <cellStyle name="20% - Accent4 8 2 2 4 3" xfId="21645" xr:uid="{00000000-0005-0000-0000-0000171B0000}"/>
    <cellStyle name="20% - Accent4 8 2 2 4 3 2" xfId="45477" xr:uid="{C7FF03FA-3C21-4259-AF9C-6A378DC22338}"/>
    <cellStyle name="20% - Accent4 8 2 2 4 4" xfId="29599" xr:uid="{D0B15529-0EE8-4C46-94ED-0C702C2CDE77}"/>
    <cellStyle name="20% - Accent4 8 2 2 5" xfId="9266" xr:uid="{00000000-0005-0000-0000-0000181B0000}"/>
    <cellStyle name="20% - Accent4 8 2 2 5 2" xfId="17224" xr:uid="{00000000-0005-0000-0000-0000191B0000}"/>
    <cellStyle name="20% - Accent4 8 2 2 5 2 2" xfId="41064" xr:uid="{3929F473-4960-4FC8-B3D2-F56E9AE69185}"/>
    <cellStyle name="20% - Accent4 8 2 2 5 3" xfId="25168" xr:uid="{00000000-0005-0000-0000-00001A1B0000}"/>
    <cellStyle name="20% - Accent4 8 2 2 5 3 2" xfId="49000" xr:uid="{03A708EC-BCF5-4B28-8986-21E681D9F452}"/>
    <cellStyle name="20% - Accent4 8 2 2 5 4" xfId="33123" xr:uid="{A94AC99A-D3F9-436F-9EBA-19232E350B70}"/>
    <cellStyle name="20% - Accent4 8 2 2 6" xfId="10162" xr:uid="{00000000-0005-0000-0000-00001B1B0000}"/>
    <cellStyle name="20% - Accent4 8 2 2 6 2" xfId="34011" xr:uid="{53D0CE1B-31AA-494F-97FF-6A23278A9648}"/>
    <cellStyle name="20% - Accent4 8 2 2 7" xfId="18117" xr:uid="{00000000-0005-0000-0000-00001C1B0000}"/>
    <cellStyle name="20% - Accent4 8 2 2 7 2" xfId="41949" xr:uid="{23B747C8-D14A-45FA-ADC7-85D6B80FD90F}"/>
    <cellStyle name="20% - Accent4 8 2 2 8" xfId="26069" xr:uid="{2AA24308-938C-4B82-BA29-3FEEBF3193E1}"/>
    <cellStyle name="20% - Accent4 8 2 2_Exh G" xfId="2412" xr:uid="{00000000-0005-0000-0000-00001D1B0000}"/>
    <cellStyle name="20% - Accent4 8 2 3" xfId="1245" xr:uid="{00000000-0005-0000-0000-00001E1B0000}"/>
    <cellStyle name="20% - Accent4 8 2 3 2" xfId="4772" xr:uid="{00000000-0005-0000-0000-00001F1B0000}"/>
    <cellStyle name="20% - Accent4 8 2 3 2 2" xfId="8363" xr:uid="{00000000-0005-0000-0000-0000201B0000}"/>
    <cellStyle name="20% - Accent4 8 2 3 2 2 2" xfId="16333" xr:uid="{00000000-0005-0000-0000-0000211B0000}"/>
    <cellStyle name="20% - Accent4 8 2 3 2 2 2 2" xfId="40175" xr:uid="{E2C57838-0C44-461E-99AE-52B86FEFE7FB}"/>
    <cellStyle name="20% - Accent4 8 2 3 2 2 3" xfId="24279" xr:uid="{00000000-0005-0000-0000-0000221B0000}"/>
    <cellStyle name="20% - Accent4 8 2 3 2 2 3 2" xfId="48111" xr:uid="{CFA20F41-6D28-4C94-B4D8-D15BFC35230B}"/>
    <cellStyle name="20% - Accent4 8 2 3 2 2 4" xfId="32234" xr:uid="{9F7276C4-DCE4-411A-A36D-9846413EF2D5}"/>
    <cellStyle name="20% - Accent4 8 2 3 2 3" xfId="12795" xr:uid="{00000000-0005-0000-0000-0000231B0000}"/>
    <cellStyle name="20% - Accent4 8 2 3 2 3 2" xfId="36644" xr:uid="{5D244F2E-850D-4DF1-A25D-E1537484242C}"/>
    <cellStyle name="20% - Accent4 8 2 3 2 4" xfId="20750" xr:uid="{00000000-0005-0000-0000-0000241B0000}"/>
    <cellStyle name="20% - Accent4 8 2 3 2 4 2" xfId="44582" xr:uid="{04516790-D497-4165-A7E5-0A50A2764DBB}"/>
    <cellStyle name="20% - Accent4 8 2 3 2 5" xfId="28703" xr:uid="{1145832E-2963-432A-AE6C-EE2BC178314A}"/>
    <cellStyle name="20% - Accent4 8 2 3 3" xfId="6604" xr:uid="{00000000-0005-0000-0000-0000251B0000}"/>
    <cellStyle name="20% - Accent4 8 2 3 3 2" xfId="14575" xr:uid="{00000000-0005-0000-0000-0000261B0000}"/>
    <cellStyle name="20% - Accent4 8 2 3 3 2 2" xfId="38417" xr:uid="{660BDE30-D3BA-4458-803E-7ACD17FB35B7}"/>
    <cellStyle name="20% - Accent4 8 2 3 3 3" xfId="22522" xr:uid="{00000000-0005-0000-0000-0000271B0000}"/>
    <cellStyle name="20% - Accent4 8 2 3 3 3 2" xfId="46354" xr:uid="{9D7FC43E-6669-455C-9935-0ED474D8D9F0}"/>
    <cellStyle name="20% - Accent4 8 2 3 3 4" xfId="30476" xr:uid="{C11CA7BC-34BD-429B-8249-7A9210AE9820}"/>
    <cellStyle name="20% - Accent4 8 2 3 4" xfId="11039" xr:uid="{00000000-0005-0000-0000-0000281B0000}"/>
    <cellStyle name="20% - Accent4 8 2 3 4 2" xfId="34888" xr:uid="{70DCEFF2-6652-423A-91FC-FC82F3ACF21F}"/>
    <cellStyle name="20% - Accent4 8 2 3 5" xfId="18994" xr:uid="{00000000-0005-0000-0000-0000291B0000}"/>
    <cellStyle name="20% - Accent4 8 2 3 5 2" xfId="42826" xr:uid="{A674C493-20BE-47CC-9DD6-13ACEFD4588F}"/>
    <cellStyle name="20% - Accent4 8 2 3 6" xfId="26946" xr:uid="{38A0FD29-F45E-46A8-B87C-031F6A567E5F}"/>
    <cellStyle name="20% - Accent4 8 2 3_Exh G" xfId="2414" xr:uid="{00000000-0005-0000-0000-00002A1B0000}"/>
    <cellStyle name="20% - Accent4 8 2 4" xfId="3893" xr:uid="{00000000-0005-0000-0000-00002B1B0000}"/>
    <cellStyle name="20% - Accent4 8 2 4 2" xfId="7485" xr:uid="{00000000-0005-0000-0000-00002C1B0000}"/>
    <cellStyle name="20% - Accent4 8 2 4 2 2" xfId="15455" xr:uid="{00000000-0005-0000-0000-00002D1B0000}"/>
    <cellStyle name="20% - Accent4 8 2 4 2 2 2" xfId="39297" xr:uid="{DB0F7102-02DC-41DF-A7D7-F1C729EBCCA6}"/>
    <cellStyle name="20% - Accent4 8 2 4 2 3" xfId="23401" xr:uid="{00000000-0005-0000-0000-00002E1B0000}"/>
    <cellStyle name="20% - Accent4 8 2 4 2 3 2" xfId="47233" xr:uid="{4246146A-CCCF-4AF7-8524-7DED9DD5BA6D}"/>
    <cellStyle name="20% - Accent4 8 2 4 2 4" xfId="31356" xr:uid="{F426F636-DB73-42AD-8554-65DE25AC0235}"/>
    <cellStyle name="20% - Accent4 8 2 4 3" xfId="11917" xr:uid="{00000000-0005-0000-0000-00002F1B0000}"/>
    <cellStyle name="20% - Accent4 8 2 4 3 2" xfId="35766" xr:uid="{512F39B5-9F1E-4B5C-B6F8-E2B99853E541}"/>
    <cellStyle name="20% - Accent4 8 2 4 4" xfId="19872" xr:uid="{00000000-0005-0000-0000-0000301B0000}"/>
    <cellStyle name="20% - Accent4 8 2 4 4 2" xfId="43704" xr:uid="{5A8AE9C3-F54C-49CE-9E83-FB4CE82C3B98}"/>
    <cellStyle name="20% - Accent4 8 2 4 5" xfId="27825" xr:uid="{671A2619-5C0A-4AD7-A781-B0C052C337D8}"/>
    <cellStyle name="20% - Accent4 8 2 5" xfId="5713" xr:uid="{00000000-0005-0000-0000-0000311B0000}"/>
    <cellStyle name="20% - Accent4 8 2 5 2" xfId="13696" xr:uid="{00000000-0005-0000-0000-0000321B0000}"/>
    <cellStyle name="20% - Accent4 8 2 5 2 2" xfId="37539" xr:uid="{1D8C1181-23D0-402C-ABE4-06AFF4386D17}"/>
    <cellStyle name="20% - Accent4 8 2 5 3" xfId="21644" xr:uid="{00000000-0005-0000-0000-0000331B0000}"/>
    <cellStyle name="20% - Accent4 8 2 5 3 2" xfId="45476" xr:uid="{B8A2FCC9-206D-4914-A0F1-76756706056A}"/>
    <cellStyle name="20% - Accent4 8 2 5 4" xfId="29598" xr:uid="{2C7347FB-5397-44E0-B6E0-0E2B668D2E1E}"/>
    <cellStyle name="20% - Accent4 8 2 6" xfId="9265" xr:uid="{00000000-0005-0000-0000-0000341B0000}"/>
    <cellStyle name="20% - Accent4 8 2 6 2" xfId="17223" xr:uid="{00000000-0005-0000-0000-0000351B0000}"/>
    <cellStyle name="20% - Accent4 8 2 6 2 2" xfId="41063" xr:uid="{C23FB914-2CE4-4E83-B2B9-57ECED4E67DD}"/>
    <cellStyle name="20% - Accent4 8 2 6 3" xfId="25167" xr:uid="{00000000-0005-0000-0000-0000361B0000}"/>
    <cellStyle name="20% - Accent4 8 2 6 3 2" xfId="48999" xr:uid="{954DD775-D1A7-49D4-8996-D0EBB445CE6D}"/>
    <cellStyle name="20% - Accent4 8 2 6 4" xfId="33122" xr:uid="{95EC0BD8-2666-4953-8159-FC7DC84C4932}"/>
    <cellStyle name="20% - Accent4 8 2 7" xfId="10161" xr:uid="{00000000-0005-0000-0000-0000371B0000}"/>
    <cellStyle name="20% - Accent4 8 2 7 2" xfId="34010" xr:uid="{777D102B-6E30-4480-B159-A400F3B22A21}"/>
    <cellStyle name="20% - Accent4 8 2 8" xfId="18116" xr:uid="{00000000-0005-0000-0000-0000381B0000}"/>
    <cellStyle name="20% - Accent4 8 2 8 2" xfId="41948" xr:uid="{CFEBB8EA-5259-4071-90D9-9877C9E85E92}"/>
    <cellStyle name="20% - Accent4 8 2 9" xfId="26068" xr:uid="{40AE9769-E8DC-493C-9141-1B4DCE3390C1}"/>
    <cellStyle name="20% - Accent4 8 2_Exh G" xfId="2411" xr:uid="{00000000-0005-0000-0000-0000391B0000}"/>
    <cellStyle name="20% - Accent4 8 3" xfId="221" xr:uid="{00000000-0005-0000-0000-00003A1B0000}"/>
    <cellStyle name="20% - Accent4 8 3 2" xfId="1247" xr:uid="{00000000-0005-0000-0000-00003B1B0000}"/>
    <cellStyle name="20% - Accent4 8 3 2 2" xfId="4774" xr:uid="{00000000-0005-0000-0000-00003C1B0000}"/>
    <cellStyle name="20% - Accent4 8 3 2 2 2" xfId="8365" xr:uid="{00000000-0005-0000-0000-00003D1B0000}"/>
    <cellStyle name="20% - Accent4 8 3 2 2 2 2" xfId="16335" xr:uid="{00000000-0005-0000-0000-00003E1B0000}"/>
    <cellStyle name="20% - Accent4 8 3 2 2 2 2 2" xfId="40177" xr:uid="{9F4D76EB-02B6-4949-87FB-B00257211A26}"/>
    <cellStyle name="20% - Accent4 8 3 2 2 2 3" xfId="24281" xr:uid="{00000000-0005-0000-0000-00003F1B0000}"/>
    <cellStyle name="20% - Accent4 8 3 2 2 2 3 2" xfId="48113" xr:uid="{B817249A-7172-45F5-BEB8-3AD65B5DEA89}"/>
    <cellStyle name="20% - Accent4 8 3 2 2 2 4" xfId="32236" xr:uid="{DF5F68B9-904F-429C-8F99-1AF828EF6517}"/>
    <cellStyle name="20% - Accent4 8 3 2 2 3" xfId="12797" xr:uid="{00000000-0005-0000-0000-0000401B0000}"/>
    <cellStyle name="20% - Accent4 8 3 2 2 3 2" xfId="36646" xr:uid="{FF9808A0-5D23-4020-99F1-3115937B8994}"/>
    <cellStyle name="20% - Accent4 8 3 2 2 4" xfId="20752" xr:uid="{00000000-0005-0000-0000-0000411B0000}"/>
    <cellStyle name="20% - Accent4 8 3 2 2 4 2" xfId="44584" xr:uid="{1669437B-67D9-4DB5-BEC2-EE00E9A5759B}"/>
    <cellStyle name="20% - Accent4 8 3 2 2 5" xfId="28705" xr:uid="{0A9F6091-52CD-459C-A519-947C77906ACD}"/>
    <cellStyle name="20% - Accent4 8 3 2 3" xfId="6606" xr:uid="{00000000-0005-0000-0000-0000421B0000}"/>
    <cellStyle name="20% - Accent4 8 3 2 3 2" xfId="14577" xr:uid="{00000000-0005-0000-0000-0000431B0000}"/>
    <cellStyle name="20% - Accent4 8 3 2 3 2 2" xfId="38419" xr:uid="{9AC999D2-703C-454C-B82D-58DAABFAE5B0}"/>
    <cellStyle name="20% - Accent4 8 3 2 3 3" xfId="22524" xr:uid="{00000000-0005-0000-0000-0000441B0000}"/>
    <cellStyle name="20% - Accent4 8 3 2 3 3 2" xfId="46356" xr:uid="{BCF17C27-D25E-4A38-87E9-D8C0C7D7CCA2}"/>
    <cellStyle name="20% - Accent4 8 3 2 3 4" xfId="30478" xr:uid="{872E17F6-56FD-4AA4-8A1A-F56A8A66DF52}"/>
    <cellStyle name="20% - Accent4 8 3 2 4" xfId="11041" xr:uid="{00000000-0005-0000-0000-0000451B0000}"/>
    <cellStyle name="20% - Accent4 8 3 2 4 2" xfId="34890" xr:uid="{AF674572-5C32-45F3-B4CE-F48A091EED1F}"/>
    <cellStyle name="20% - Accent4 8 3 2 5" xfId="18996" xr:uid="{00000000-0005-0000-0000-0000461B0000}"/>
    <cellStyle name="20% - Accent4 8 3 2 5 2" xfId="42828" xr:uid="{F587B167-0510-480B-A31D-E9EDD67059F7}"/>
    <cellStyle name="20% - Accent4 8 3 2 6" xfId="26948" xr:uid="{77391935-9C90-42D1-8BB1-3F06360A8DF4}"/>
    <cellStyle name="20% - Accent4 8 3 2_Exh G" xfId="2416" xr:uid="{00000000-0005-0000-0000-0000471B0000}"/>
    <cellStyle name="20% - Accent4 8 3 3" xfId="3895" xr:uid="{00000000-0005-0000-0000-0000481B0000}"/>
    <cellStyle name="20% - Accent4 8 3 3 2" xfId="7487" xr:uid="{00000000-0005-0000-0000-0000491B0000}"/>
    <cellStyle name="20% - Accent4 8 3 3 2 2" xfId="15457" xr:uid="{00000000-0005-0000-0000-00004A1B0000}"/>
    <cellStyle name="20% - Accent4 8 3 3 2 2 2" xfId="39299" xr:uid="{6064D393-C458-4A65-84BF-063A87BDD891}"/>
    <cellStyle name="20% - Accent4 8 3 3 2 3" xfId="23403" xr:uid="{00000000-0005-0000-0000-00004B1B0000}"/>
    <cellStyle name="20% - Accent4 8 3 3 2 3 2" xfId="47235" xr:uid="{703A9CCA-47D1-45C7-BC6E-6AFCBE6240F3}"/>
    <cellStyle name="20% - Accent4 8 3 3 2 4" xfId="31358" xr:uid="{4FE70BA2-8C5F-4F65-B071-BFC1639FBE0B}"/>
    <cellStyle name="20% - Accent4 8 3 3 3" xfId="11919" xr:uid="{00000000-0005-0000-0000-00004C1B0000}"/>
    <cellStyle name="20% - Accent4 8 3 3 3 2" xfId="35768" xr:uid="{EEFEAE32-A3DA-4EAB-B82F-73535607EB3C}"/>
    <cellStyle name="20% - Accent4 8 3 3 4" xfId="19874" xr:uid="{00000000-0005-0000-0000-00004D1B0000}"/>
    <cellStyle name="20% - Accent4 8 3 3 4 2" xfId="43706" xr:uid="{57E46137-A558-4936-AFA6-900D0F6CDED7}"/>
    <cellStyle name="20% - Accent4 8 3 3 5" xfId="27827" xr:uid="{0D2BE6D4-64BE-4DE5-A951-AEC3D49D0ADB}"/>
    <cellStyle name="20% - Accent4 8 3 4" xfId="5715" xr:uid="{00000000-0005-0000-0000-00004E1B0000}"/>
    <cellStyle name="20% - Accent4 8 3 4 2" xfId="13698" xr:uid="{00000000-0005-0000-0000-00004F1B0000}"/>
    <cellStyle name="20% - Accent4 8 3 4 2 2" xfId="37541" xr:uid="{523E3DA7-C372-4FA3-8280-B08B77413A3F}"/>
    <cellStyle name="20% - Accent4 8 3 4 3" xfId="21646" xr:uid="{00000000-0005-0000-0000-0000501B0000}"/>
    <cellStyle name="20% - Accent4 8 3 4 3 2" xfId="45478" xr:uid="{62092C9F-9522-4052-8623-A03EAB4AC516}"/>
    <cellStyle name="20% - Accent4 8 3 4 4" xfId="29600" xr:uid="{0424BBEF-3302-4E50-B482-0F7938ED5F38}"/>
    <cellStyle name="20% - Accent4 8 3 5" xfId="9267" xr:uid="{00000000-0005-0000-0000-0000511B0000}"/>
    <cellStyle name="20% - Accent4 8 3 5 2" xfId="17225" xr:uid="{00000000-0005-0000-0000-0000521B0000}"/>
    <cellStyle name="20% - Accent4 8 3 5 2 2" xfId="41065" xr:uid="{EC6CE914-EAB6-4A8D-94EB-522BA94E2660}"/>
    <cellStyle name="20% - Accent4 8 3 5 3" xfId="25169" xr:uid="{00000000-0005-0000-0000-0000531B0000}"/>
    <cellStyle name="20% - Accent4 8 3 5 3 2" xfId="49001" xr:uid="{68A5951D-8275-4E4E-BEBE-F7674056400E}"/>
    <cellStyle name="20% - Accent4 8 3 5 4" xfId="33124" xr:uid="{27DFB471-E0E4-4E63-9F1F-AC7163B93624}"/>
    <cellStyle name="20% - Accent4 8 3 6" xfId="10163" xr:uid="{00000000-0005-0000-0000-0000541B0000}"/>
    <cellStyle name="20% - Accent4 8 3 6 2" xfId="34012" xr:uid="{30BEE497-3730-4C0C-B52C-0ECE3A6BECF6}"/>
    <cellStyle name="20% - Accent4 8 3 7" xfId="18118" xr:uid="{00000000-0005-0000-0000-0000551B0000}"/>
    <cellStyle name="20% - Accent4 8 3 7 2" xfId="41950" xr:uid="{EF1E3226-5A37-4976-BF08-05B715ED3220}"/>
    <cellStyle name="20% - Accent4 8 3 8" xfId="26070" xr:uid="{6E2C3C65-0B78-4558-A4D9-0662D2CD917D}"/>
    <cellStyle name="20% - Accent4 8 3_Exh G" xfId="2415" xr:uid="{00000000-0005-0000-0000-0000561B0000}"/>
    <cellStyle name="20% - Accent4 8 4" xfId="905" xr:uid="{00000000-0005-0000-0000-0000571B0000}"/>
    <cellStyle name="20% - Accent4 8 4 2" xfId="1830" xr:uid="{00000000-0005-0000-0000-0000581B0000}"/>
    <cellStyle name="20% - Accent4 8 4 2 2" xfId="5347" xr:uid="{00000000-0005-0000-0000-0000591B0000}"/>
    <cellStyle name="20% - Accent4 8 4 2 2 2" xfId="8938" xr:uid="{00000000-0005-0000-0000-00005A1B0000}"/>
    <cellStyle name="20% - Accent4 8 4 2 2 2 2" xfId="16908" xr:uid="{00000000-0005-0000-0000-00005B1B0000}"/>
    <cellStyle name="20% - Accent4 8 4 2 2 2 2 2" xfId="40750" xr:uid="{57B3660A-579F-49CD-A922-DD2364E7CE4D}"/>
    <cellStyle name="20% - Accent4 8 4 2 2 2 3" xfId="24854" xr:uid="{00000000-0005-0000-0000-00005C1B0000}"/>
    <cellStyle name="20% - Accent4 8 4 2 2 2 3 2" xfId="48686" xr:uid="{48D22642-00A4-4AAE-9EDF-5AA761E867D9}"/>
    <cellStyle name="20% - Accent4 8 4 2 2 2 4" xfId="32809" xr:uid="{6340CC4B-1D38-4EB5-896C-A1BA05415A4A}"/>
    <cellStyle name="20% - Accent4 8 4 2 2 3" xfId="13370" xr:uid="{00000000-0005-0000-0000-00005D1B0000}"/>
    <cellStyle name="20% - Accent4 8 4 2 2 3 2" xfId="37219" xr:uid="{EF5F57C9-694F-4484-A698-5F870948EC2D}"/>
    <cellStyle name="20% - Accent4 8 4 2 2 4" xfId="21325" xr:uid="{00000000-0005-0000-0000-00005E1B0000}"/>
    <cellStyle name="20% - Accent4 8 4 2 2 4 2" xfId="45157" xr:uid="{E66D5402-9405-45CC-AC12-84390B267056}"/>
    <cellStyle name="20% - Accent4 8 4 2 2 5" xfId="29278" xr:uid="{2F10097C-5082-4B5B-ABC1-2309C4C5F353}"/>
    <cellStyle name="20% - Accent4 8 4 2 3" xfId="7179" xr:uid="{00000000-0005-0000-0000-00005F1B0000}"/>
    <cellStyle name="20% - Accent4 8 4 2 3 2" xfId="15150" xr:uid="{00000000-0005-0000-0000-0000601B0000}"/>
    <cellStyle name="20% - Accent4 8 4 2 3 2 2" xfId="38992" xr:uid="{C874026D-8392-4501-8962-AF7E0FF7556D}"/>
    <cellStyle name="20% - Accent4 8 4 2 3 3" xfId="23097" xr:uid="{00000000-0005-0000-0000-0000611B0000}"/>
    <cellStyle name="20% - Accent4 8 4 2 3 3 2" xfId="46929" xr:uid="{873B6B27-615E-496B-8EA3-673A874491C6}"/>
    <cellStyle name="20% - Accent4 8 4 2 3 4" xfId="31051" xr:uid="{C7143F62-7397-4913-8E17-FF4A5F9F1592}"/>
    <cellStyle name="20% - Accent4 8 4 2 4" xfId="11614" xr:uid="{00000000-0005-0000-0000-0000621B0000}"/>
    <cellStyle name="20% - Accent4 8 4 2 4 2" xfId="35463" xr:uid="{8FC218B3-EACC-43CF-8111-3126B79853B2}"/>
    <cellStyle name="20% - Accent4 8 4 2 5" xfId="19569" xr:uid="{00000000-0005-0000-0000-0000631B0000}"/>
    <cellStyle name="20% - Accent4 8 4 2 5 2" xfId="43401" xr:uid="{C54EE1D5-2531-4253-9640-4B6B13CAB378}"/>
    <cellStyle name="20% - Accent4 8 4 2 6" xfId="27521" xr:uid="{803DF120-7828-4E7E-B3FE-0C27173FF7D5}"/>
    <cellStyle name="20% - Accent4 8 4 2_Exh G" xfId="2418" xr:uid="{00000000-0005-0000-0000-0000641B0000}"/>
    <cellStyle name="20% - Accent4 8 4 3" xfId="4468" xr:uid="{00000000-0005-0000-0000-0000651B0000}"/>
    <cellStyle name="20% - Accent4 8 4 3 2" xfId="8060" xr:uid="{00000000-0005-0000-0000-0000661B0000}"/>
    <cellStyle name="20% - Accent4 8 4 3 2 2" xfId="16030" xr:uid="{00000000-0005-0000-0000-0000671B0000}"/>
    <cellStyle name="20% - Accent4 8 4 3 2 2 2" xfId="39872" xr:uid="{CDFFC458-9FD0-4ED1-8863-959C147CE816}"/>
    <cellStyle name="20% - Accent4 8 4 3 2 3" xfId="23976" xr:uid="{00000000-0005-0000-0000-0000681B0000}"/>
    <cellStyle name="20% - Accent4 8 4 3 2 3 2" xfId="47808" xr:uid="{29E7514C-B17E-43EA-8BEB-2BCA85CF3E09}"/>
    <cellStyle name="20% - Accent4 8 4 3 2 4" xfId="31931" xr:uid="{CAB1E456-6C11-4032-8AF2-0624C394FE06}"/>
    <cellStyle name="20% - Accent4 8 4 3 3" xfId="12492" xr:uid="{00000000-0005-0000-0000-0000691B0000}"/>
    <cellStyle name="20% - Accent4 8 4 3 3 2" xfId="36341" xr:uid="{7E9B6AF0-EB92-4DC4-AFB7-0E4DED8C025A}"/>
    <cellStyle name="20% - Accent4 8 4 3 4" xfId="20447" xr:uid="{00000000-0005-0000-0000-00006A1B0000}"/>
    <cellStyle name="20% - Accent4 8 4 3 4 2" xfId="44279" xr:uid="{C79FEDE5-025C-4DA6-AFD3-440606936451}"/>
    <cellStyle name="20% - Accent4 8 4 3 5" xfId="28400" xr:uid="{20BC8449-6D07-4888-B0F3-A42985C5F31B}"/>
    <cellStyle name="20% - Accent4 8 4 4" xfId="6298" xr:uid="{00000000-0005-0000-0000-00006B1B0000}"/>
    <cellStyle name="20% - Accent4 8 4 4 2" xfId="14272" xr:uid="{00000000-0005-0000-0000-00006C1B0000}"/>
    <cellStyle name="20% - Accent4 8 4 4 2 2" xfId="38114" xr:uid="{D07F7462-9DED-4586-BA38-098780DA0B65}"/>
    <cellStyle name="20% - Accent4 8 4 4 3" xfId="22219" xr:uid="{00000000-0005-0000-0000-00006D1B0000}"/>
    <cellStyle name="20% - Accent4 8 4 4 3 2" xfId="46051" xr:uid="{8A23ADA3-EADD-47AF-BE99-14210760C7AC}"/>
    <cellStyle name="20% - Accent4 8 4 4 4" xfId="30173" xr:uid="{80DCAB39-D9EF-494C-A1A9-788235939A43}"/>
    <cellStyle name="20% - Accent4 8 4 5" xfId="9840" xr:uid="{00000000-0005-0000-0000-00006E1B0000}"/>
    <cellStyle name="20% - Accent4 8 4 5 2" xfId="17798" xr:uid="{00000000-0005-0000-0000-00006F1B0000}"/>
    <cellStyle name="20% - Accent4 8 4 5 2 2" xfId="41638" xr:uid="{75FA73B2-21CF-4ACF-8F12-21BBB423DF13}"/>
    <cellStyle name="20% - Accent4 8 4 5 3" xfId="25742" xr:uid="{00000000-0005-0000-0000-0000701B0000}"/>
    <cellStyle name="20% - Accent4 8 4 5 3 2" xfId="49574" xr:uid="{BF1B2A66-919E-4170-A448-00E91AE5B82B}"/>
    <cellStyle name="20% - Accent4 8 4 5 4" xfId="33697" xr:uid="{46CF378B-9DE0-43FF-8720-107AB3918F05}"/>
    <cellStyle name="20% - Accent4 8 4 6" xfId="10736" xr:uid="{00000000-0005-0000-0000-0000711B0000}"/>
    <cellStyle name="20% - Accent4 8 4 6 2" xfId="34585" xr:uid="{8EDF9C1D-D0C3-460C-9120-DB2A70764858}"/>
    <cellStyle name="20% - Accent4 8 4 7" xfId="18691" xr:uid="{00000000-0005-0000-0000-0000721B0000}"/>
    <cellStyle name="20% - Accent4 8 4 7 2" xfId="42523" xr:uid="{8EF14750-27EB-44A7-8924-573C671E60C3}"/>
    <cellStyle name="20% - Accent4 8 4 8" xfId="26643" xr:uid="{23E3CC0A-A7A3-4D4C-B0F9-599C61F187C9}"/>
    <cellStyle name="20% - Accent4 8 4_Exh G" xfId="2417" xr:uid="{00000000-0005-0000-0000-0000731B0000}"/>
    <cellStyle name="20% - Accent4 8 5" xfId="1244" xr:uid="{00000000-0005-0000-0000-0000741B0000}"/>
    <cellStyle name="20% - Accent4 8 5 2" xfId="4771" xr:uid="{00000000-0005-0000-0000-0000751B0000}"/>
    <cellStyle name="20% - Accent4 8 5 2 2" xfId="8362" xr:uid="{00000000-0005-0000-0000-0000761B0000}"/>
    <cellStyle name="20% - Accent4 8 5 2 2 2" xfId="16332" xr:uid="{00000000-0005-0000-0000-0000771B0000}"/>
    <cellStyle name="20% - Accent4 8 5 2 2 2 2" xfId="40174" xr:uid="{9113CDD5-4E19-4930-B2D2-3E8932431F8C}"/>
    <cellStyle name="20% - Accent4 8 5 2 2 3" xfId="24278" xr:uid="{00000000-0005-0000-0000-0000781B0000}"/>
    <cellStyle name="20% - Accent4 8 5 2 2 3 2" xfId="48110" xr:uid="{3BE6C462-9213-4993-A308-130EC5743254}"/>
    <cellStyle name="20% - Accent4 8 5 2 2 4" xfId="32233" xr:uid="{8C572A68-8F86-40F5-AFA7-5880E0127314}"/>
    <cellStyle name="20% - Accent4 8 5 2 3" xfId="12794" xr:uid="{00000000-0005-0000-0000-0000791B0000}"/>
    <cellStyle name="20% - Accent4 8 5 2 3 2" xfId="36643" xr:uid="{1DCADC33-8486-4BD3-899D-BB8287C07E4A}"/>
    <cellStyle name="20% - Accent4 8 5 2 4" xfId="20749" xr:uid="{00000000-0005-0000-0000-00007A1B0000}"/>
    <cellStyle name="20% - Accent4 8 5 2 4 2" xfId="44581" xr:uid="{9C630401-8413-48D9-A2F7-D1536868EC22}"/>
    <cellStyle name="20% - Accent4 8 5 2 5" xfId="28702" xr:uid="{1A2442E1-638A-4308-ADCB-4D727057BA32}"/>
    <cellStyle name="20% - Accent4 8 5 3" xfId="6603" xr:uid="{00000000-0005-0000-0000-00007B1B0000}"/>
    <cellStyle name="20% - Accent4 8 5 3 2" xfId="14574" xr:uid="{00000000-0005-0000-0000-00007C1B0000}"/>
    <cellStyle name="20% - Accent4 8 5 3 2 2" xfId="38416" xr:uid="{DE031F47-A177-4527-914E-9413287D2346}"/>
    <cellStyle name="20% - Accent4 8 5 3 3" xfId="22521" xr:uid="{00000000-0005-0000-0000-00007D1B0000}"/>
    <cellStyle name="20% - Accent4 8 5 3 3 2" xfId="46353" xr:uid="{32192288-8A2F-4E80-8230-ADDF40830465}"/>
    <cellStyle name="20% - Accent4 8 5 3 4" xfId="30475" xr:uid="{8A1B10C0-3851-44BD-9B5A-CAFDB3ABF41F}"/>
    <cellStyle name="20% - Accent4 8 5 4" xfId="11038" xr:uid="{00000000-0005-0000-0000-00007E1B0000}"/>
    <cellStyle name="20% - Accent4 8 5 4 2" xfId="34887" xr:uid="{2367CA52-7841-4759-BF24-4A5DCE9355C3}"/>
    <cellStyle name="20% - Accent4 8 5 5" xfId="18993" xr:uid="{00000000-0005-0000-0000-00007F1B0000}"/>
    <cellStyle name="20% - Accent4 8 5 5 2" xfId="42825" xr:uid="{4C15B901-6D87-48FB-BF8D-933134806749}"/>
    <cellStyle name="20% - Accent4 8 5 6" xfId="26945" xr:uid="{1EAA7552-E350-4E41-A8C0-F57B23EC7073}"/>
    <cellStyle name="20% - Accent4 8 5_Exh G" xfId="2419" xr:uid="{00000000-0005-0000-0000-0000801B0000}"/>
    <cellStyle name="20% - Accent4 8 6" xfId="3892" xr:uid="{00000000-0005-0000-0000-0000811B0000}"/>
    <cellStyle name="20% - Accent4 8 6 2" xfId="7484" xr:uid="{00000000-0005-0000-0000-0000821B0000}"/>
    <cellStyle name="20% - Accent4 8 6 2 2" xfId="15454" xr:uid="{00000000-0005-0000-0000-0000831B0000}"/>
    <cellStyle name="20% - Accent4 8 6 2 2 2" xfId="39296" xr:uid="{7C03E4A2-B590-420D-8433-D9563DAA19F6}"/>
    <cellStyle name="20% - Accent4 8 6 2 3" xfId="23400" xr:uid="{00000000-0005-0000-0000-0000841B0000}"/>
    <cellStyle name="20% - Accent4 8 6 2 3 2" xfId="47232" xr:uid="{AF710421-46FF-483E-9050-2888E273AC0C}"/>
    <cellStyle name="20% - Accent4 8 6 2 4" xfId="31355" xr:uid="{5FB10508-4E8F-4DEA-97DD-EBAA56561A8A}"/>
    <cellStyle name="20% - Accent4 8 6 3" xfId="11916" xr:uid="{00000000-0005-0000-0000-0000851B0000}"/>
    <cellStyle name="20% - Accent4 8 6 3 2" xfId="35765" xr:uid="{F77DE8EA-47B0-4023-8D5E-82D3B23AB5D2}"/>
    <cellStyle name="20% - Accent4 8 6 4" xfId="19871" xr:uid="{00000000-0005-0000-0000-0000861B0000}"/>
    <cellStyle name="20% - Accent4 8 6 4 2" xfId="43703" xr:uid="{EA29E85E-7C71-4115-80CC-A48EF00CFD37}"/>
    <cellStyle name="20% - Accent4 8 6 5" xfId="27824" xr:uid="{93382D07-B94C-4C4F-BCCB-164697CA8C94}"/>
    <cellStyle name="20% - Accent4 8 7" xfId="5712" xr:uid="{00000000-0005-0000-0000-0000871B0000}"/>
    <cellStyle name="20% - Accent4 8 7 2" xfId="13695" xr:uid="{00000000-0005-0000-0000-0000881B0000}"/>
    <cellStyle name="20% - Accent4 8 7 2 2" xfId="37538" xr:uid="{562D4FEF-EA75-4520-B8C7-53DE1F8062A5}"/>
    <cellStyle name="20% - Accent4 8 7 3" xfId="21643" xr:uid="{00000000-0005-0000-0000-0000891B0000}"/>
    <cellStyle name="20% - Accent4 8 7 3 2" xfId="45475" xr:uid="{9A57D445-93C4-494B-982E-1FA29EC9B17D}"/>
    <cellStyle name="20% - Accent4 8 7 4" xfId="29597" xr:uid="{CD8F2697-831E-4842-90CD-ABB19FAE5129}"/>
    <cellStyle name="20% - Accent4 8 8" xfId="9264" xr:uid="{00000000-0005-0000-0000-00008A1B0000}"/>
    <cellStyle name="20% - Accent4 8 8 2" xfId="17222" xr:uid="{00000000-0005-0000-0000-00008B1B0000}"/>
    <cellStyle name="20% - Accent4 8 8 2 2" xfId="41062" xr:uid="{27BF970D-95A2-48AE-8C18-87CD77D30661}"/>
    <cellStyle name="20% - Accent4 8 8 3" xfId="25166" xr:uid="{00000000-0005-0000-0000-00008C1B0000}"/>
    <cellStyle name="20% - Accent4 8 8 3 2" xfId="48998" xr:uid="{93D48654-8F33-42DC-8BBC-7E0974903D49}"/>
    <cellStyle name="20% - Accent4 8 8 4" xfId="33121" xr:uid="{8F66AD67-CCFB-4111-9350-245FCB10059D}"/>
    <cellStyle name="20% - Accent4 8 9" xfId="10160" xr:uid="{00000000-0005-0000-0000-00008D1B0000}"/>
    <cellStyle name="20% - Accent4 8 9 2" xfId="34009" xr:uid="{B2BD4E8F-1DAB-424E-B004-03B37CDA3FB5}"/>
    <cellStyle name="20% - Accent4 8_Exh G" xfId="2410" xr:uid="{00000000-0005-0000-0000-00008E1B0000}"/>
    <cellStyle name="20% - Accent4 9" xfId="222" xr:uid="{00000000-0005-0000-0000-00008F1B0000}"/>
    <cellStyle name="20% - Accent4 9 10" xfId="18119" xr:uid="{00000000-0005-0000-0000-0000901B0000}"/>
    <cellStyle name="20% - Accent4 9 10 2" xfId="41951" xr:uid="{11FA11AE-BD9C-4E1E-9314-3F40202A462D}"/>
    <cellStyle name="20% - Accent4 9 11" xfId="26071" xr:uid="{2DFCE371-8C54-4AD2-B352-7862623C33CD}"/>
    <cellStyle name="20% - Accent4 9 2" xfId="223" xr:uid="{00000000-0005-0000-0000-0000911B0000}"/>
    <cellStyle name="20% - Accent4 9 2 2" xfId="224" xr:uid="{00000000-0005-0000-0000-0000921B0000}"/>
    <cellStyle name="20% - Accent4 9 2 2 2" xfId="1250" xr:uid="{00000000-0005-0000-0000-0000931B0000}"/>
    <cellStyle name="20% - Accent4 9 2 2 2 2" xfId="4777" xr:uid="{00000000-0005-0000-0000-0000941B0000}"/>
    <cellStyle name="20% - Accent4 9 2 2 2 2 2" xfId="8368" xr:uid="{00000000-0005-0000-0000-0000951B0000}"/>
    <cellStyle name="20% - Accent4 9 2 2 2 2 2 2" xfId="16338" xr:uid="{00000000-0005-0000-0000-0000961B0000}"/>
    <cellStyle name="20% - Accent4 9 2 2 2 2 2 2 2" xfId="40180" xr:uid="{7CDB54C2-D85A-4D69-8464-61A3C30E0B69}"/>
    <cellStyle name="20% - Accent4 9 2 2 2 2 2 3" xfId="24284" xr:uid="{00000000-0005-0000-0000-0000971B0000}"/>
    <cellStyle name="20% - Accent4 9 2 2 2 2 2 3 2" xfId="48116" xr:uid="{FBEF530F-D50C-4BC8-BED1-AD54164BD046}"/>
    <cellStyle name="20% - Accent4 9 2 2 2 2 2 4" xfId="32239" xr:uid="{24D05ADC-3BA9-4282-B399-B0CAE749DB33}"/>
    <cellStyle name="20% - Accent4 9 2 2 2 2 3" xfId="12800" xr:uid="{00000000-0005-0000-0000-0000981B0000}"/>
    <cellStyle name="20% - Accent4 9 2 2 2 2 3 2" xfId="36649" xr:uid="{8B9FAFC0-5081-4150-BE2F-9286C2439FA8}"/>
    <cellStyle name="20% - Accent4 9 2 2 2 2 4" xfId="20755" xr:uid="{00000000-0005-0000-0000-0000991B0000}"/>
    <cellStyle name="20% - Accent4 9 2 2 2 2 4 2" xfId="44587" xr:uid="{3256E3A2-31EE-4B1A-A6A7-658F58072E1B}"/>
    <cellStyle name="20% - Accent4 9 2 2 2 2 5" xfId="28708" xr:uid="{98945753-4D06-4D3F-9B81-271044EB5877}"/>
    <cellStyle name="20% - Accent4 9 2 2 2 3" xfId="6609" xr:uid="{00000000-0005-0000-0000-00009A1B0000}"/>
    <cellStyle name="20% - Accent4 9 2 2 2 3 2" xfId="14580" xr:uid="{00000000-0005-0000-0000-00009B1B0000}"/>
    <cellStyle name="20% - Accent4 9 2 2 2 3 2 2" xfId="38422" xr:uid="{EBD58EE9-9423-4A84-8DA5-D8162BAD86A6}"/>
    <cellStyle name="20% - Accent4 9 2 2 2 3 3" xfId="22527" xr:uid="{00000000-0005-0000-0000-00009C1B0000}"/>
    <cellStyle name="20% - Accent4 9 2 2 2 3 3 2" xfId="46359" xr:uid="{518E7129-CC0F-4659-A1B2-F1086B65CF99}"/>
    <cellStyle name="20% - Accent4 9 2 2 2 3 4" xfId="30481" xr:uid="{993881D1-270F-4060-A167-D4C83DD4311E}"/>
    <cellStyle name="20% - Accent4 9 2 2 2 4" xfId="11044" xr:uid="{00000000-0005-0000-0000-00009D1B0000}"/>
    <cellStyle name="20% - Accent4 9 2 2 2 4 2" xfId="34893" xr:uid="{A021F6D8-C357-4BB4-A4A9-C8A5E35DBE30}"/>
    <cellStyle name="20% - Accent4 9 2 2 2 5" xfId="18999" xr:uid="{00000000-0005-0000-0000-00009E1B0000}"/>
    <cellStyle name="20% - Accent4 9 2 2 2 5 2" xfId="42831" xr:uid="{F549CFC4-4B6E-44AA-9716-7D7855C8B7A8}"/>
    <cellStyle name="20% - Accent4 9 2 2 2 6" xfId="26951" xr:uid="{187F5087-7DE1-46D8-8A5A-0F073C20C2EE}"/>
    <cellStyle name="20% - Accent4 9 2 2 2_Exh G" xfId="2423" xr:uid="{00000000-0005-0000-0000-00009F1B0000}"/>
    <cellStyle name="20% - Accent4 9 2 2 3" xfId="3898" xr:uid="{00000000-0005-0000-0000-0000A01B0000}"/>
    <cellStyle name="20% - Accent4 9 2 2 3 2" xfId="7490" xr:uid="{00000000-0005-0000-0000-0000A11B0000}"/>
    <cellStyle name="20% - Accent4 9 2 2 3 2 2" xfId="15460" xr:uid="{00000000-0005-0000-0000-0000A21B0000}"/>
    <cellStyle name="20% - Accent4 9 2 2 3 2 2 2" xfId="39302" xr:uid="{4AE33FC1-D977-49AE-A7A3-5B1C5688B4B6}"/>
    <cellStyle name="20% - Accent4 9 2 2 3 2 3" xfId="23406" xr:uid="{00000000-0005-0000-0000-0000A31B0000}"/>
    <cellStyle name="20% - Accent4 9 2 2 3 2 3 2" xfId="47238" xr:uid="{0977D8F6-06A9-449A-AEA9-99AED63575A9}"/>
    <cellStyle name="20% - Accent4 9 2 2 3 2 4" xfId="31361" xr:uid="{940D04BA-8696-40A7-BFC7-2B2D18A5D465}"/>
    <cellStyle name="20% - Accent4 9 2 2 3 3" xfId="11922" xr:uid="{00000000-0005-0000-0000-0000A41B0000}"/>
    <cellStyle name="20% - Accent4 9 2 2 3 3 2" xfId="35771" xr:uid="{48B9E701-6F35-436D-B2C6-AC1A8DEA25C9}"/>
    <cellStyle name="20% - Accent4 9 2 2 3 4" xfId="19877" xr:uid="{00000000-0005-0000-0000-0000A51B0000}"/>
    <cellStyle name="20% - Accent4 9 2 2 3 4 2" xfId="43709" xr:uid="{A49B1212-B3CF-4EDA-8200-E7AC4DC6DDAE}"/>
    <cellStyle name="20% - Accent4 9 2 2 3 5" xfId="27830" xr:uid="{2C4D42B5-F7C2-45EF-A19B-7604389FBFE1}"/>
    <cellStyle name="20% - Accent4 9 2 2 4" xfId="5718" xr:uid="{00000000-0005-0000-0000-0000A61B0000}"/>
    <cellStyle name="20% - Accent4 9 2 2 4 2" xfId="13701" xr:uid="{00000000-0005-0000-0000-0000A71B0000}"/>
    <cellStyle name="20% - Accent4 9 2 2 4 2 2" xfId="37544" xr:uid="{8719B895-F367-42AC-B327-E07E75230F93}"/>
    <cellStyle name="20% - Accent4 9 2 2 4 3" xfId="21649" xr:uid="{00000000-0005-0000-0000-0000A81B0000}"/>
    <cellStyle name="20% - Accent4 9 2 2 4 3 2" xfId="45481" xr:uid="{87D34152-B973-4B89-BD67-4CA131B924CC}"/>
    <cellStyle name="20% - Accent4 9 2 2 4 4" xfId="29603" xr:uid="{2A0E5B3F-91DB-4029-B8A1-72C9FFA90E97}"/>
    <cellStyle name="20% - Accent4 9 2 2 5" xfId="9270" xr:uid="{00000000-0005-0000-0000-0000A91B0000}"/>
    <cellStyle name="20% - Accent4 9 2 2 5 2" xfId="17228" xr:uid="{00000000-0005-0000-0000-0000AA1B0000}"/>
    <cellStyle name="20% - Accent4 9 2 2 5 2 2" xfId="41068" xr:uid="{FB8EC6A1-9443-4496-A2D1-77ECAF623914}"/>
    <cellStyle name="20% - Accent4 9 2 2 5 3" xfId="25172" xr:uid="{00000000-0005-0000-0000-0000AB1B0000}"/>
    <cellStyle name="20% - Accent4 9 2 2 5 3 2" xfId="49004" xr:uid="{3F93E550-03F5-4F00-8F34-9DC88B05B09E}"/>
    <cellStyle name="20% - Accent4 9 2 2 5 4" xfId="33127" xr:uid="{5FE67217-37C6-4325-BD2B-50D5A990FD17}"/>
    <cellStyle name="20% - Accent4 9 2 2 6" xfId="10166" xr:uid="{00000000-0005-0000-0000-0000AC1B0000}"/>
    <cellStyle name="20% - Accent4 9 2 2 6 2" xfId="34015" xr:uid="{526B7533-C02C-4818-965B-72193017D9EC}"/>
    <cellStyle name="20% - Accent4 9 2 2 7" xfId="18121" xr:uid="{00000000-0005-0000-0000-0000AD1B0000}"/>
    <cellStyle name="20% - Accent4 9 2 2 7 2" xfId="41953" xr:uid="{71981150-470C-4F41-8735-69408EEFBCBB}"/>
    <cellStyle name="20% - Accent4 9 2 2 8" xfId="26073" xr:uid="{F5EC2CF9-2591-49BA-A4DF-9EDDBA73AF03}"/>
    <cellStyle name="20% - Accent4 9 2 2_Exh G" xfId="2422" xr:uid="{00000000-0005-0000-0000-0000AE1B0000}"/>
    <cellStyle name="20% - Accent4 9 2 3" xfId="1249" xr:uid="{00000000-0005-0000-0000-0000AF1B0000}"/>
    <cellStyle name="20% - Accent4 9 2 3 2" xfId="4776" xr:uid="{00000000-0005-0000-0000-0000B01B0000}"/>
    <cellStyle name="20% - Accent4 9 2 3 2 2" xfId="8367" xr:uid="{00000000-0005-0000-0000-0000B11B0000}"/>
    <cellStyle name="20% - Accent4 9 2 3 2 2 2" xfId="16337" xr:uid="{00000000-0005-0000-0000-0000B21B0000}"/>
    <cellStyle name="20% - Accent4 9 2 3 2 2 2 2" xfId="40179" xr:uid="{B0919E1F-CE0C-44DA-AE72-F1347D028614}"/>
    <cellStyle name="20% - Accent4 9 2 3 2 2 3" xfId="24283" xr:uid="{00000000-0005-0000-0000-0000B31B0000}"/>
    <cellStyle name="20% - Accent4 9 2 3 2 2 3 2" xfId="48115" xr:uid="{960A9876-0DDF-45C0-8010-2E734C047658}"/>
    <cellStyle name="20% - Accent4 9 2 3 2 2 4" xfId="32238" xr:uid="{C6B80271-1E57-424E-9639-C5B9A3CCBA89}"/>
    <cellStyle name="20% - Accent4 9 2 3 2 3" xfId="12799" xr:uid="{00000000-0005-0000-0000-0000B41B0000}"/>
    <cellStyle name="20% - Accent4 9 2 3 2 3 2" xfId="36648" xr:uid="{F847F9F4-08FB-4C38-AA05-3B29BBD9FCAE}"/>
    <cellStyle name="20% - Accent4 9 2 3 2 4" xfId="20754" xr:uid="{00000000-0005-0000-0000-0000B51B0000}"/>
    <cellStyle name="20% - Accent4 9 2 3 2 4 2" xfId="44586" xr:uid="{1C51912A-EB66-433A-B4A4-82C88B26F4B6}"/>
    <cellStyle name="20% - Accent4 9 2 3 2 5" xfId="28707" xr:uid="{5AA23FDF-C7C8-483B-B954-FB06FB11F55C}"/>
    <cellStyle name="20% - Accent4 9 2 3 3" xfId="6608" xr:uid="{00000000-0005-0000-0000-0000B61B0000}"/>
    <cellStyle name="20% - Accent4 9 2 3 3 2" xfId="14579" xr:uid="{00000000-0005-0000-0000-0000B71B0000}"/>
    <cellStyle name="20% - Accent4 9 2 3 3 2 2" xfId="38421" xr:uid="{60F28E7D-019E-408A-9977-F57F8EDA72A8}"/>
    <cellStyle name="20% - Accent4 9 2 3 3 3" xfId="22526" xr:uid="{00000000-0005-0000-0000-0000B81B0000}"/>
    <cellStyle name="20% - Accent4 9 2 3 3 3 2" xfId="46358" xr:uid="{8F04CABD-F0FC-4AA1-BD54-16A847B75239}"/>
    <cellStyle name="20% - Accent4 9 2 3 3 4" xfId="30480" xr:uid="{7F99C9C8-598C-4447-90B3-368EEABF2E12}"/>
    <cellStyle name="20% - Accent4 9 2 3 4" xfId="11043" xr:uid="{00000000-0005-0000-0000-0000B91B0000}"/>
    <cellStyle name="20% - Accent4 9 2 3 4 2" xfId="34892" xr:uid="{5980A628-55D5-48B8-85EE-424AA06705F8}"/>
    <cellStyle name="20% - Accent4 9 2 3 5" xfId="18998" xr:uid="{00000000-0005-0000-0000-0000BA1B0000}"/>
    <cellStyle name="20% - Accent4 9 2 3 5 2" xfId="42830" xr:uid="{227A0BD1-DA22-4B51-BCE8-3218CA286272}"/>
    <cellStyle name="20% - Accent4 9 2 3 6" xfId="26950" xr:uid="{FB181604-D808-49A3-B2A8-BC4ED46AB749}"/>
    <cellStyle name="20% - Accent4 9 2 3_Exh G" xfId="2424" xr:uid="{00000000-0005-0000-0000-0000BB1B0000}"/>
    <cellStyle name="20% - Accent4 9 2 4" xfId="3897" xr:uid="{00000000-0005-0000-0000-0000BC1B0000}"/>
    <cellStyle name="20% - Accent4 9 2 4 2" xfId="7489" xr:uid="{00000000-0005-0000-0000-0000BD1B0000}"/>
    <cellStyle name="20% - Accent4 9 2 4 2 2" xfId="15459" xr:uid="{00000000-0005-0000-0000-0000BE1B0000}"/>
    <cellStyle name="20% - Accent4 9 2 4 2 2 2" xfId="39301" xr:uid="{9EA268E2-043A-4E07-AED3-1BBB34A1C2E4}"/>
    <cellStyle name="20% - Accent4 9 2 4 2 3" xfId="23405" xr:uid="{00000000-0005-0000-0000-0000BF1B0000}"/>
    <cellStyle name="20% - Accent4 9 2 4 2 3 2" xfId="47237" xr:uid="{0775EAE1-0545-4EBD-B127-0B579D6D8370}"/>
    <cellStyle name="20% - Accent4 9 2 4 2 4" xfId="31360" xr:uid="{249705A8-9C58-434F-97F6-06BCEFAAD2E2}"/>
    <cellStyle name="20% - Accent4 9 2 4 3" xfId="11921" xr:uid="{00000000-0005-0000-0000-0000C01B0000}"/>
    <cellStyle name="20% - Accent4 9 2 4 3 2" xfId="35770" xr:uid="{BFBB6FB3-F63D-41A1-B7B1-E3F9F4A34619}"/>
    <cellStyle name="20% - Accent4 9 2 4 4" xfId="19876" xr:uid="{00000000-0005-0000-0000-0000C11B0000}"/>
    <cellStyle name="20% - Accent4 9 2 4 4 2" xfId="43708" xr:uid="{F9690037-D2D0-48CE-9544-3EE8E84320D1}"/>
    <cellStyle name="20% - Accent4 9 2 4 5" xfId="27829" xr:uid="{973D10A2-FAA2-4CE9-BABB-CE8E84830F56}"/>
    <cellStyle name="20% - Accent4 9 2 5" xfId="5717" xr:uid="{00000000-0005-0000-0000-0000C21B0000}"/>
    <cellStyle name="20% - Accent4 9 2 5 2" xfId="13700" xr:uid="{00000000-0005-0000-0000-0000C31B0000}"/>
    <cellStyle name="20% - Accent4 9 2 5 2 2" xfId="37543" xr:uid="{63894365-07B1-44F5-9620-EC69187652AB}"/>
    <cellStyle name="20% - Accent4 9 2 5 3" xfId="21648" xr:uid="{00000000-0005-0000-0000-0000C41B0000}"/>
    <cellStyle name="20% - Accent4 9 2 5 3 2" xfId="45480" xr:uid="{98CDF4C0-722D-4E21-80F1-CD056B689108}"/>
    <cellStyle name="20% - Accent4 9 2 5 4" xfId="29602" xr:uid="{5E2D45C7-7B6E-40B8-BE8D-D25F62833368}"/>
    <cellStyle name="20% - Accent4 9 2 6" xfId="9269" xr:uid="{00000000-0005-0000-0000-0000C51B0000}"/>
    <cellStyle name="20% - Accent4 9 2 6 2" xfId="17227" xr:uid="{00000000-0005-0000-0000-0000C61B0000}"/>
    <cellStyle name="20% - Accent4 9 2 6 2 2" xfId="41067" xr:uid="{6C202C26-25B0-4BCD-88E1-4BE17EFC36D4}"/>
    <cellStyle name="20% - Accent4 9 2 6 3" xfId="25171" xr:uid="{00000000-0005-0000-0000-0000C71B0000}"/>
    <cellStyle name="20% - Accent4 9 2 6 3 2" xfId="49003" xr:uid="{F1312D35-1CE0-44F1-A8F7-2F1143F4805F}"/>
    <cellStyle name="20% - Accent4 9 2 6 4" xfId="33126" xr:uid="{F73174EB-A67E-47B9-9255-13DB821CF037}"/>
    <cellStyle name="20% - Accent4 9 2 7" xfId="10165" xr:uid="{00000000-0005-0000-0000-0000C81B0000}"/>
    <cellStyle name="20% - Accent4 9 2 7 2" xfId="34014" xr:uid="{DCB6C088-354A-4206-86CE-47CADFDE2A7E}"/>
    <cellStyle name="20% - Accent4 9 2 8" xfId="18120" xr:uid="{00000000-0005-0000-0000-0000C91B0000}"/>
    <cellStyle name="20% - Accent4 9 2 8 2" xfId="41952" xr:uid="{C7CBCF10-1590-4373-B203-C9C44F96E548}"/>
    <cellStyle name="20% - Accent4 9 2 9" xfId="26072" xr:uid="{07175DEB-5809-48BF-8EE0-E8598729ED95}"/>
    <cellStyle name="20% - Accent4 9 2_Exh G" xfId="2421" xr:uid="{00000000-0005-0000-0000-0000CA1B0000}"/>
    <cellStyle name="20% - Accent4 9 3" xfId="225" xr:uid="{00000000-0005-0000-0000-0000CB1B0000}"/>
    <cellStyle name="20% - Accent4 9 3 2" xfId="1251" xr:uid="{00000000-0005-0000-0000-0000CC1B0000}"/>
    <cellStyle name="20% - Accent4 9 3 2 2" xfId="4778" xr:uid="{00000000-0005-0000-0000-0000CD1B0000}"/>
    <cellStyle name="20% - Accent4 9 3 2 2 2" xfId="8369" xr:uid="{00000000-0005-0000-0000-0000CE1B0000}"/>
    <cellStyle name="20% - Accent4 9 3 2 2 2 2" xfId="16339" xr:uid="{00000000-0005-0000-0000-0000CF1B0000}"/>
    <cellStyle name="20% - Accent4 9 3 2 2 2 2 2" xfId="40181" xr:uid="{47C73347-F2AA-4767-948B-DF8ECA0E9D98}"/>
    <cellStyle name="20% - Accent4 9 3 2 2 2 3" xfId="24285" xr:uid="{00000000-0005-0000-0000-0000D01B0000}"/>
    <cellStyle name="20% - Accent4 9 3 2 2 2 3 2" xfId="48117" xr:uid="{26CEE285-AEBC-49B9-AB65-D0CF2D12081B}"/>
    <cellStyle name="20% - Accent4 9 3 2 2 2 4" xfId="32240" xr:uid="{E90EC33A-E0AA-48BF-9BEA-FD768823A363}"/>
    <cellStyle name="20% - Accent4 9 3 2 2 3" xfId="12801" xr:uid="{00000000-0005-0000-0000-0000D11B0000}"/>
    <cellStyle name="20% - Accent4 9 3 2 2 3 2" xfId="36650" xr:uid="{F1C25E43-27FB-4D85-A482-63D82F2A9737}"/>
    <cellStyle name="20% - Accent4 9 3 2 2 4" xfId="20756" xr:uid="{00000000-0005-0000-0000-0000D21B0000}"/>
    <cellStyle name="20% - Accent4 9 3 2 2 4 2" xfId="44588" xr:uid="{F27B6DE7-3ED3-4A58-AA0E-B5205B5B5441}"/>
    <cellStyle name="20% - Accent4 9 3 2 2 5" xfId="28709" xr:uid="{494A45B0-93B6-4074-A7EC-17B5A66A5D95}"/>
    <cellStyle name="20% - Accent4 9 3 2 3" xfId="6610" xr:uid="{00000000-0005-0000-0000-0000D31B0000}"/>
    <cellStyle name="20% - Accent4 9 3 2 3 2" xfId="14581" xr:uid="{00000000-0005-0000-0000-0000D41B0000}"/>
    <cellStyle name="20% - Accent4 9 3 2 3 2 2" xfId="38423" xr:uid="{48F74DBB-A9D0-41C7-BF72-5CA81C42818B}"/>
    <cellStyle name="20% - Accent4 9 3 2 3 3" xfId="22528" xr:uid="{00000000-0005-0000-0000-0000D51B0000}"/>
    <cellStyle name="20% - Accent4 9 3 2 3 3 2" xfId="46360" xr:uid="{5A8D6DE3-6796-4F20-9DCE-A6E1B03BAB7E}"/>
    <cellStyle name="20% - Accent4 9 3 2 3 4" xfId="30482" xr:uid="{689F79A9-4D6C-4751-997E-C980BC20DB51}"/>
    <cellStyle name="20% - Accent4 9 3 2 4" xfId="11045" xr:uid="{00000000-0005-0000-0000-0000D61B0000}"/>
    <cellStyle name="20% - Accent4 9 3 2 4 2" xfId="34894" xr:uid="{7F26849B-CE8C-45C6-A4F4-FBDB232E99C9}"/>
    <cellStyle name="20% - Accent4 9 3 2 5" xfId="19000" xr:uid="{00000000-0005-0000-0000-0000D71B0000}"/>
    <cellStyle name="20% - Accent4 9 3 2 5 2" xfId="42832" xr:uid="{104E8EE3-EDD7-4213-A413-6003E1F342D5}"/>
    <cellStyle name="20% - Accent4 9 3 2 6" xfId="26952" xr:uid="{B173A7AA-0995-4F96-8FD5-4B9C88B3BD2F}"/>
    <cellStyle name="20% - Accent4 9 3 2_Exh G" xfId="2426" xr:uid="{00000000-0005-0000-0000-0000D81B0000}"/>
    <cellStyle name="20% - Accent4 9 3 3" xfId="3899" xr:uid="{00000000-0005-0000-0000-0000D91B0000}"/>
    <cellStyle name="20% - Accent4 9 3 3 2" xfId="7491" xr:uid="{00000000-0005-0000-0000-0000DA1B0000}"/>
    <cellStyle name="20% - Accent4 9 3 3 2 2" xfId="15461" xr:uid="{00000000-0005-0000-0000-0000DB1B0000}"/>
    <cellStyle name="20% - Accent4 9 3 3 2 2 2" xfId="39303" xr:uid="{2C9EF351-6D1C-4953-91DD-D1ADB9D8426B}"/>
    <cellStyle name="20% - Accent4 9 3 3 2 3" xfId="23407" xr:uid="{00000000-0005-0000-0000-0000DC1B0000}"/>
    <cellStyle name="20% - Accent4 9 3 3 2 3 2" xfId="47239" xr:uid="{BBD28727-6A46-47F5-997C-E2B781A9CBA0}"/>
    <cellStyle name="20% - Accent4 9 3 3 2 4" xfId="31362" xr:uid="{F604B4BD-6F44-4EA4-AEC0-525990F5F838}"/>
    <cellStyle name="20% - Accent4 9 3 3 3" xfId="11923" xr:uid="{00000000-0005-0000-0000-0000DD1B0000}"/>
    <cellStyle name="20% - Accent4 9 3 3 3 2" xfId="35772" xr:uid="{A4854C00-29B0-4333-88FA-7881951E4AE6}"/>
    <cellStyle name="20% - Accent4 9 3 3 4" xfId="19878" xr:uid="{00000000-0005-0000-0000-0000DE1B0000}"/>
    <cellStyle name="20% - Accent4 9 3 3 4 2" xfId="43710" xr:uid="{D3CCB66B-3DF4-400E-A2A5-816C2C403F1D}"/>
    <cellStyle name="20% - Accent4 9 3 3 5" xfId="27831" xr:uid="{78D6064B-7F1E-45C7-A491-DB8994D50684}"/>
    <cellStyle name="20% - Accent4 9 3 4" xfId="5719" xr:uid="{00000000-0005-0000-0000-0000DF1B0000}"/>
    <cellStyle name="20% - Accent4 9 3 4 2" xfId="13702" xr:uid="{00000000-0005-0000-0000-0000E01B0000}"/>
    <cellStyle name="20% - Accent4 9 3 4 2 2" xfId="37545" xr:uid="{F8FCBE34-CA51-40C9-BAFC-23EC0459D377}"/>
    <cellStyle name="20% - Accent4 9 3 4 3" xfId="21650" xr:uid="{00000000-0005-0000-0000-0000E11B0000}"/>
    <cellStyle name="20% - Accent4 9 3 4 3 2" xfId="45482" xr:uid="{557EB789-50CC-4458-9378-7A743A4D4081}"/>
    <cellStyle name="20% - Accent4 9 3 4 4" xfId="29604" xr:uid="{16104CB7-7765-443C-BCC0-C6375573F6AF}"/>
    <cellStyle name="20% - Accent4 9 3 5" xfId="9271" xr:uid="{00000000-0005-0000-0000-0000E21B0000}"/>
    <cellStyle name="20% - Accent4 9 3 5 2" xfId="17229" xr:uid="{00000000-0005-0000-0000-0000E31B0000}"/>
    <cellStyle name="20% - Accent4 9 3 5 2 2" xfId="41069" xr:uid="{B0AA858A-EF2D-454F-A06B-4FF0B16E5877}"/>
    <cellStyle name="20% - Accent4 9 3 5 3" xfId="25173" xr:uid="{00000000-0005-0000-0000-0000E41B0000}"/>
    <cellStyle name="20% - Accent4 9 3 5 3 2" xfId="49005" xr:uid="{8E3439C7-83A3-4474-A836-304AE5B00094}"/>
    <cellStyle name="20% - Accent4 9 3 5 4" xfId="33128" xr:uid="{03638FF3-9D5B-4F7F-A5E4-4D0F01C89531}"/>
    <cellStyle name="20% - Accent4 9 3 6" xfId="10167" xr:uid="{00000000-0005-0000-0000-0000E51B0000}"/>
    <cellStyle name="20% - Accent4 9 3 6 2" xfId="34016" xr:uid="{013C1EDE-FF4B-40B8-87C0-50603449D742}"/>
    <cellStyle name="20% - Accent4 9 3 7" xfId="18122" xr:uid="{00000000-0005-0000-0000-0000E61B0000}"/>
    <cellStyle name="20% - Accent4 9 3 7 2" xfId="41954" xr:uid="{73B01E60-399B-4998-B72F-96C5F88D9E57}"/>
    <cellStyle name="20% - Accent4 9 3 8" xfId="26074" xr:uid="{BC95548C-AF46-49A3-9719-B02507D85AEE}"/>
    <cellStyle name="20% - Accent4 9 3_Exh G" xfId="2425" xr:uid="{00000000-0005-0000-0000-0000E71B0000}"/>
    <cellStyle name="20% - Accent4 9 4" xfId="906" xr:uid="{00000000-0005-0000-0000-0000E81B0000}"/>
    <cellStyle name="20% - Accent4 9 4 2" xfId="1831" xr:uid="{00000000-0005-0000-0000-0000E91B0000}"/>
    <cellStyle name="20% - Accent4 9 4 2 2" xfId="5348" xr:uid="{00000000-0005-0000-0000-0000EA1B0000}"/>
    <cellStyle name="20% - Accent4 9 4 2 2 2" xfId="8939" xr:uid="{00000000-0005-0000-0000-0000EB1B0000}"/>
    <cellStyle name="20% - Accent4 9 4 2 2 2 2" xfId="16909" xr:uid="{00000000-0005-0000-0000-0000EC1B0000}"/>
    <cellStyle name="20% - Accent4 9 4 2 2 2 2 2" xfId="40751" xr:uid="{88D477B0-A4DF-49C0-A281-B988AF24498E}"/>
    <cellStyle name="20% - Accent4 9 4 2 2 2 3" xfId="24855" xr:uid="{00000000-0005-0000-0000-0000ED1B0000}"/>
    <cellStyle name="20% - Accent4 9 4 2 2 2 3 2" xfId="48687" xr:uid="{195DA8F0-552C-4F78-B265-B89D77143CD5}"/>
    <cellStyle name="20% - Accent4 9 4 2 2 2 4" xfId="32810" xr:uid="{4958E4F7-9894-4272-BE06-015341B1A52D}"/>
    <cellStyle name="20% - Accent4 9 4 2 2 3" xfId="13371" xr:uid="{00000000-0005-0000-0000-0000EE1B0000}"/>
    <cellStyle name="20% - Accent4 9 4 2 2 3 2" xfId="37220" xr:uid="{9D788031-9200-47D1-9286-D01BF2FDFF53}"/>
    <cellStyle name="20% - Accent4 9 4 2 2 4" xfId="21326" xr:uid="{00000000-0005-0000-0000-0000EF1B0000}"/>
    <cellStyle name="20% - Accent4 9 4 2 2 4 2" xfId="45158" xr:uid="{708633BD-7368-4075-8E0C-ABB2CD2521B7}"/>
    <cellStyle name="20% - Accent4 9 4 2 2 5" xfId="29279" xr:uid="{10D60517-33DE-4559-BAF0-E4318D130951}"/>
    <cellStyle name="20% - Accent4 9 4 2 3" xfId="7180" xr:uid="{00000000-0005-0000-0000-0000F01B0000}"/>
    <cellStyle name="20% - Accent4 9 4 2 3 2" xfId="15151" xr:uid="{00000000-0005-0000-0000-0000F11B0000}"/>
    <cellStyle name="20% - Accent4 9 4 2 3 2 2" xfId="38993" xr:uid="{09732ED0-9A20-4C18-A787-7675483922AA}"/>
    <cellStyle name="20% - Accent4 9 4 2 3 3" xfId="23098" xr:uid="{00000000-0005-0000-0000-0000F21B0000}"/>
    <cellStyle name="20% - Accent4 9 4 2 3 3 2" xfId="46930" xr:uid="{E2A9ADD5-926F-4B2F-BD30-6659B7F656B3}"/>
    <cellStyle name="20% - Accent4 9 4 2 3 4" xfId="31052" xr:uid="{D5F58A75-3048-42DC-9FCB-D8A9416FB028}"/>
    <cellStyle name="20% - Accent4 9 4 2 4" xfId="11615" xr:uid="{00000000-0005-0000-0000-0000F31B0000}"/>
    <cellStyle name="20% - Accent4 9 4 2 4 2" xfId="35464" xr:uid="{F9828049-06FD-4433-8B1D-3BF97428A586}"/>
    <cellStyle name="20% - Accent4 9 4 2 5" xfId="19570" xr:uid="{00000000-0005-0000-0000-0000F41B0000}"/>
    <cellStyle name="20% - Accent4 9 4 2 5 2" xfId="43402" xr:uid="{C9ECB0CC-21BF-4EA4-8964-0D198742F5CD}"/>
    <cellStyle name="20% - Accent4 9 4 2 6" xfId="27522" xr:uid="{86E53F30-EC32-4FDA-B0DB-FB69329CC153}"/>
    <cellStyle name="20% - Accent4 9 4 2_Exh G" xfId="2428" xr:uid="{00000000-0005-0000-0000-0000F51B0000}"/>
    <cellStyle name="20% - Accent4 9 4 3" xfId="4469" xr:uid="{00000000-0005-0000-0000-0000F61B0000}"/>
    <cellStyle name="20% - Accent4 9 4 3 2" xfId="8061" xr:uid="{00000000-0005-0000-0000-0000F71B0000}"/>
    <cellStyle name="20% - Accent4 9 4 3 2 2" xfId="16031" xr:uid="{00000000-0005-0000-0000-0000F81B0000}"/>
    <cellStyle name="20% - Accent4 9 4 3 2 2 2" xfId="39873" xr:uid="{FE1DBB86-BAFC-4145-9EB2-5B80F509D9BC}"/>
    <cellStyle name="20% - Accent4 9 4 3 2 3" xfId="23977" xr:uid="{00000000-0005-0000-0000-0000F91B0000}"/>
    <cellStyle name="20% - Accent4 9 4 3 2 3 2" xfId="47809" xr:uid="{15EE5A92-12B2-4C4D-8193-3129DF2E290F}"/>
    <cellStyle name="20% - Accent4 9 4 3 2 4" xfId="31932" xr:uid="{51A2CF71-E166-446E-9008-79AE6CDA0219}"/>
    <cellStyle name="20% - Accent4 9 4 3 3" xfId="12493" xr:uid="{00000000-0005-0000-0000-0000FA1B0000}"/>
    <cellStyle name="20% - Accent4 9 4 3 3 2" xfId="36342" xr:uid="{72EF6A82-9908-4D9D-896D-881EE4AEF073}"/>
    <cellStyle name="20% - Accent4 9 4 3 4" xfId="20448" xr:uid="{00000000-0005-0000-0000-0000FB1B0000}"/>
    <cellStyle name="20% - Accent4 9 4 3 4 2" xfId="44280" xr:uid="{69A14A9A-AB14-4890-8D11-D37742354B99}"/>
    <cellStyle name="20% - Accent4 9 4 3 5" xfId="28401" xr:uid="{780EE6E2-EB4D-4870-BDAF-56F9DD697373}"/>
    <cellStyle name="20% - Accent4 9 4 4" xfId="6299" xr:uid="{00000000-0005-0000-0000-0000FC1B0000}"/>
    <cellStyle name="20% - Accent4 9 4 4 2" xfId="14273" xr:uid="{00000000-0005-0000-0000-0000FD1B0000}"/>
    <cellStyle name="20% - Accent4 9 4 4 2 2" xfId="38115" xr:uid="{3A117EA0-180B-4226-AA11-EB58D8F59044}"/>
    <cellStyle name="20% - Accent4 9 4 4 3" xfId="22220" xr:uid="{00000000-0005-0000-0000-0000FE1B0000}"/>
    <cellStyle name="20% - Accent4 9 4 4 3 2" xfId="46052" xr:uid="{93BC6381-BC5E-407F-97AB-B0E63AD809E7}"/>
    <cellStyle name="20% - Accent4 9 4 4 4" xfId="30174" xr:uid="{C98AB223-E7DB-4DCD-9D9A-DDC1FD4C205D}"/>
    <cellStyle name="20% - Accent4 9 4 5" xfId="9841" xr:uid="{00000000-0005-0000-0000-0000FF1B0000}"/>
    <cellStyle name="20% - Accent4 9 4 5 2" xfId="17799" xr:uid="{00000000-0005-0000-0000-0000001C0000}"/>
    <cellStyle name="20% - Accent4 9 4 5 2 2" xfId="41639" xr:uid="{A67A6DCC-D33C-48FD-A700-1DE67CC26AA3}"/>
    <cellStyle name="20% - Accent4 9 4 5 3" xfId="25743" xr:uid="{00000000-0005-0000-0000-0000011C0000}"/>
    <cellStyle name="20% - Accent4 9 4 5 3 2" xfId="49575" xr:uid="{E0F2ED26-7D2C-45FC-8F99-D8A24EE926B3}"/>
    <cellStyle name="20% - Accent4 9 4 5 4" xfId="33698" xr:uid="{66AFE92E-673D-401A-881F-D242C1E1550A}"/>
    <cellStyle name="20% - Accent4 9 4 6" xfId="10737" xr:uid="{00000000-0005-0000-0000-0000021C0000}"/>
    <cellStyle name="20% - Accent4 9 4 6 2" xfId="34586" xr:uid="{73279337-B76E-479B-8AEB-A6239C9BABE7}"/>
    <cellStyle name="20% - Accent4 9 4 7" xfId="18692" xr:uid="{00000000-0005-0000-0000-0000031C0000}"/>
    <cellStyle name="20% - Accent4 9 4 7 2" xfId="42524" xr:uid="{EB8E5FCD-941C-4246-BCB5-42FBB7A9E4C3}"/>
    <cellStyle name="20% - Accent4 9 4 8" xfId="26644" xr:uid="{8CF61BAF-D0FB-466D-A932-93E40FCBA1D8}"/>
    <cellStyle name="20% - Accent4 9 4_Exh G" xfId="2427" xr:uid="{00000000-0005-0000-0000-0000041C0000}"/>
    <cellStyle name="20% - Accent4 9 5" xfId="1248" xr:uid="{00000000-0005-0000-0000-0000051C0000}"/>
    <cellStyle name="20% - Accent4 9 5 2" xfId="4775" xr:uid="{00000000-0005-0000-0000-0000061C0000}"/>
    <cellStyle name="20% - Accent4 9 5 2 2" xfId="8366" xr:uid="{00000000-0005-0000-0000-0000071C0000}"/>
    <cellStyle name="20% - Accent4 9 5 2 2 2" xfId="16336" xr:uid="{00000000-0005-0000-0000-0000081C0000}"/>
    <cellStyle name="20% - Accent4 9 5 2 2 2 2" xfId="40178" xr:uid="{EE205BBC-2CF2-4F6B-A7BD-7EC7CD91D2EE}"/>
    <cellStyle name="20% - Accent4 9 5 2 2 3" xfId="24282" xr:uid="{00000000-0005-0000-0000-0000091C0000}"/>
    <cellStyle name="20% - Accent4 9 5 2 2 3 2" xfId="48114" xr:uid="{E31D8AC6-0DA8-4760-B610-8135C9783677}"/>
    <cellStyle name="20% - Accent4 9 5 2 2 4" xfId="32237" xr:uid="{5E4997CC-F70C-46BC-8871-86065280862E}"/>
    <cellStyle name="20% - Accent4 9 5 2 3" xfId="12798" xr:uid="{00000000-0005-0000-0000-00000A1C0000}"/>
    <cellStyle name="20% - Accent4 9 5 2 3 2" xfId="36647" xr:uid="{D44A35E1-F569-4240-86B8-E3986B207D97}"/>
    <cellStyle name="20% - Accent4 9 5 2 4" xfId="20753" xr:uid="{00000000-0005-0000-0000-00000B1C0000}"/>
    <cellStyle name="20% - Accent4 9 5 2 4 2" xfId="44585" xr:uid="{C9131E65-713D-4F3F-9B7B-F43A3C368EDD}"/>
    <cellStyle name="20% - Accent4 9 5 2 5" xfId="28706" xr:uid="{8BDD2768-1135-4E8D-8B94-0C8AD0636E38}"/>
    <cellStyle name="20% - Accent4 9 5 3" xfId="6607" xr:uid="{00000000-0005-0000-0000-00000C1C0000}"/>
    <cellStyle name="20% - Accent4 9 5 3 2" xfId="14578" xr:uid="{00000000-0005-0000-0000-00000D1C0000}"/>
    <cellStyle name="20% - Accent4 9 5 3 2 2" xfId="38420" xr:uid="{FE26C3A8-BC77-4A26-8108-AE4ECDBB2B0C}"/>
    <cellStyle name="20% - Accent4 9 5 3 3" xfId="22525" xr:uid="{00000000-0005-0000-0000-00000E1C0000}"/>
    <cellStyle name="20% - Accent4 9 5 3 3 2" xfId="46357" xr:uid="{E8F2BF6F-49EB-4219-A6F9-D479FEF98E8C}"/>
    <cellStyle name="20% - Accent4 9 5 3 4" xfId="30479" xr:uid="{88357BF8-300A-4A09-89B3-ECED42546231}"/>
    <cellStyle name="20% - Accent4 9 5 4" xfId="11042" xr:uid="{00000000-0005-0000-0000-00000F1C0000}"/>
    <cellStyle name="20% - Accent4 9 5 4 2" xfId="34891" xr:uid="{A92ECB3A-E6B0-4B33-A046-59ECE0AC542E}"/>
    <cellStyle name="20% - Accent4 9 5 5" xfId="18997" xr:uid="{00000000-0005-0000-0000-0000101C0000}"/>
    <cellStyle name="20% - Accent4 9 5 5 2" xfId="42829" xr:uid="{745FCED0-DBC9-4538-B9D1-779D9292F76B}"/>
    <cellStyle name="20% - Accent4 9 5 6" xfId="26949" xr:uid="{8CDE856D-25E0-4920-AEFB-1A5AE1C2D682}"/>
    <cellStyle name="20% - Accent4 9 5_Exh G" xfId="2429" xr:uid="{00000000-0005-0000-0000-0000111C0000}"/>
    <cellStyle name="20% - Accent4 9 6" xfId="3896" xr:uid="{00000000-0005-0000-0000-0000121C0000}"/>
    <cellStyle name="20% - Accent4 9 6 2" xfId="7488" xr:uid="{00000000-0005-0000-0000-0000131C0000}"/>
    <cellStyle name="20% - Accent4 9 6 2 2" xfId="15458" xr:uid="{00000000-0005-0000-0000-0000141C0000}"/>
    <cellStyle name="20% - Accent4 9 6 2 2 2" xfId="39300" xr:uid="{0A4420AE-A813-4FC5-9E4E-960515BBCE4A}"/>
    <cellStyle name="20% - Accent4 9 6 2 3" xfId="23404" xr:uid="{00000000-0005-0000-0000-0000151C0000}"/>
    <cellStyle name="20% - Accent4 9 6 2 3 2" xfId="47236" xr:uid="{EDF91C0D-102F-4B36-A39D-457BC2F3C1DC}"/>
    <cellStyle name="20% - Accent4 9 6 2 4" xfId="31359" xr:uid="{B0022A87-2B47-457A-98C4-1BB43FD67F4A}"/>
    <cellStyle name="20% - Accent4 9 6 3" xfId="11920" xr:uid="{00000000-0005-0000-0000-0000161C0000}"/>
    <cellStyle name="20% - Accent4 9 6 3 2" xfId="35769" xr:uid="{F13AA409-B70A-4DB8-A823-5686E254468F}"/>
    <cellStyle name="20% - Accent4 9 6 4" xfId="19875" xr:uid="{00000000-0005-0000-0000-0000171C0000}"/>
    <cellStyle name="20% - Accent4 9 6 4 2" xfId="43707" xr:uid="{16D650E0-3310-402D-BE7E-27C1F7F40C13}"/>
    <cellStyle name="20% - Accent4 9 6 5" xfId="27828" xr:uid="{4B92A250-E0B2-4FE8-A12B-C5F29988353B}"/>
    <cellStyle name="20% - Accent4 9 7" xfId="5716" xr:uid="{00000000-0005-0000-0000-0000181C0000}"/>
    <cellStyle name="20% - Accent4 9 7 2" xfId="13699" xr:uid="{00000000-0005-0000-0000-0000191C0000}"/>
    <cellStyle name="20% - Accent4 9 7 2 2" xfId="37542" xr:uid="{E71DF474-8903-459A-97F3-59EB09F29760}"/>
    <cellStyle name="20% - Accent4 9 7 3" xfId="21647" xr:uid="{00000000-0005-0000-0000-00001A1C0000}"/>
    <cellStyle name="20% - Accent4 9 7 3 2" xfId="45479" xr:uid="{98AE592C-BD24-4029-B909-3185E910C5AB}"/>
    <cellStyle name="20% - Accent4 9 7 4" xfId="29601" xr:uid="{EF2E0F12-7A8E-471A-8416-21D89764A2DB}"/>
    <cellStyle name="20% - Accent4 9 8" xfId="9268" xr:uid="{00000000-0005-0000-0000-00001B1C0000}"/>
    <cellStyle name="20% - Accent4 9 8 2" xfId="17226" xr:uid="{00000000-0005-0000-0000-00001C1C0000}"/>
    <cellStyle name="20% - Accent4 9 8 2 2" xfId="41066" xr:uid="{54326F12-BCB4-4E9F-ADA5-1244B0D668C4}"/>
    <cellStyle name="20% - Accent4 9 8 3" xfId="25170" xr:uid="{00000000-0005-0000-0000-00001D1C0000}"/>
    <cellStyle name="20% - Accent4 9 8 3 2" xfId="49002" xr:uid="{293E62FD-F374-484D-9AB7-B0197F32171F}"/>
    <cellStyle name="20% - Accent4 9 8 4" xfId="33125" xr:uid="{02D8B0EC-D5A8-4364-8C5E-35AAAFC7E2F1}"/>
    <cellStyle name="20% - Accent4 9 9" xfId="10164" xr:uid="{00000000-0005-0000-0000-00001E1C0000}"/>
    <cellStyle name="20% - Accent4 9 9 2" xfId="34013" xr:uid="{810E4705-7635-4A82-B930-F29468AB1552}"/>
    <cellStyle name="20% - Accent4 9_Exh G" xfId="2420" xr:uid="{00000000-0005-0000-0000-00001F1C0000}"/>
    <cellStyle name="20% - Accent5" xfId="49693" builtinId="46" customBuiltin="1"/>
    <cellStyle name="20% - Accent5 10" xfId="226" xr:uid="{00000000-0005-0000-0000-0000201C0000}"/>
    <cellStyle name="20% - Accent5 10 10" xfId="18123" xr:uid="{00000000-0005-0000-0000-0000211C0000}"/>
    <cellStyle name="20% - Accent5 10 10 2" xfId="41955" xr:uid="{0382A021-9D4D-44E3-91C8-BFF906197714}"/>
    <cellStyle name="20% - Accent5 10 11" xfId="26075" xr:uid="{36A457C4-C6C3-43BE-A192-02407EA1F343}"/>
    <cellStyle name="20% - Accent5 10 2" xfId="227" xr:uid="{00000000-0005-0000-0000-0000221C0000}"/>
    <cellStyle name="20% - Accent5 10 2 2" xfId="228" xr:uid="{00000000-0005-0000-0000-0000231C0000}"/>
    <cellStyle name="20% - Accent5 10 2 2 2" xfId="1254" xr:uid="{00000000-0005-0000-0000-0000241C0000}"/>
    <cellStyle name="20% - Accent5 10 2 2 2 2" xfId="4781" xr:uid="{00000000-0005-0000-0000-0000251C0000}"/>
    <cellStyle name="20% - Accent5 10 2 2 2 2 2" xfId="8372" xr:uid="{00000000-0005-0000-0000-0000261C0000}"/>
    <cellStyle name="20% - Accent5 10 2 2 2 2 2 2" xfId="16342" xr:uid="{00000000-0005-0000-0000-0000271C0000}"/>
    <cellStyle name="20% - Accent5 10 2 2 2 2 2 2 2" xfId="40184" xr:uid="{9A7D8FAD-C508-41A6-8426-1C9406C4255B}"/>
    <cellStyle name="20% - Accent5 10 2 2 2 2 2 3" xfId="24288" xr:uid="{00000000-0005-0000-0000-0000281C0000}"/>
    <cellStyle name="20% - Accent5 10 2 2 2 2 2 3 2" xfId="48120" xr:uid="{BB542403-15A9-4445-8FAD-861E571DF08A}"/>
    <cellStyle name="20% - Accent5 10 2 2 2 2 2 4" xfId="32243" xr:uid="{BE47B085-BA8C-4317-A40D-BFF687962068}"/>
    <cellStyle name="20% - Accent5 10 2 2 2 2 3" xfId="12804" xr:uid="{00000000-0005-0000-0000-0000291C0000}"/>
    <cellStyle name="20% - Accent5 10 2 2 2 2 3 2" xfId="36653" xr:uid="{F2AFA4BC-5905-4F9D-9021-9FF72F621FEA}"/>
    <cellStyle name="20% - Accent5 10 2 2 2 2 4" xfId="20759" xr:uid="{00000000-0005-0000-0000-00002A1C0000}"/>
    <cellStyle name="20% - Accent5 10 2 2 2 2 4 2" xfId="44591" xr:uid="{BB1D70F5-748A-466C-B414-4E394D35A7F3}"/>
    <cellStyle name="20% - Accent5 10 2 2 2 2 5" xfId="28712" xr:uid="{0CB2EC3A-12E3-4AED-B525-3DE9D1D1AFA2}"/>
    <cellStyle name="20% - Accent5 10 2 2 2 3" xfId="6613" xr:uid="{00000000-0005-0000-0000-00002B1C0000}"/>
    <cellStyle name="20% - Accent5 10 2 2 2 3 2" xfId="14584" xr:uid="{00000000-0005-0000-0000-00002C1C0000}"/>
    <cellStyle name="20% - Accent5 10 2 2 2 3 2 2" xfId="38426" xr:uid="{402D85C1-6F54-4DC5-A378-32FF54F6A26E}"/>
    <cellStyle name="20% - Accent5 10 2 2 2 3 3" xfId="22531" xr:uid="{00000000-0005-0000-0000-00002D1C0000}"/>
    <cellStyle name="20% - Accent5 10 2 2 2 3 3 2" xfId="46363" xr:uid="{4896EADE-E3FD-4031-854F-C5004A33C7FB}"/>
    <cellStyle name="20% - Accent5 10 2 2 2 3 4" xfId="30485" xr:uid="{62228452-E75E-4505-926D-6ADFB5A2428F}"/>
    <cellStyle name="20% - Accent5 10 2 2 2 4" xfId="11048" xr:uid="{00000000-0005-0000-0000-00002E1C0000}"/>
    <cellStyle name="20% - Accent5 10 2 2 2 4 2" xfId="34897" xr:uid="{C05FE5A9-487D-448B-AA18-421D1ACAE4BC}"/>
    <cellStyle name="20% - Accent5 10 2 2 2 5" xfId="19003" xr:uid="{00000000-0005-0000-0000-00002F1C0000}"/>
    <cellStyle name="20% - Accent5 10 2 2 2 5 2" xfId="42835" xr:uid="{3DEBFC98-68D6-44C9-9C6D-9079D3A7889A}"/>
    <cellStyle name="20% - Accent5 10 2 2 2 6" xfId="26955" xr:uid="{26B354E1-87E0-431D-9268-8F1F366263B2}"/>
    <cellStyle name="20% - Accent5 10 2 2 2_Exh G" xfId="2433" xr:uid="{00000000-0005-0000-0000-0000301C0000}"/>
    <cellStyle name="20% - Accent5 10 2 2 3" xfId="3902" xr:uid="{00000000-0005-0000-0000-0000311C0000}"/>
    <cellStyle name="20% - Accent5 10 2 2 3 2" xfId="7494" xr:uid="{00000000-0005-0000-0000-0000321C0000}"/>
    <cellStyle name="20% - Accent5 10 2 2 3 2 2" xfId="15464" xr:uid="{00000000-0005-0000-0000-0000331C0000}"/>
    <cellStyle name="20% - Accent5 10 2 2 3 2 2 2" xfId="39306" xr:uid="{298512FA-DA12-4EDC-B6AE-BD1AD2E1A2A8}"/>
    <cellStyle name="20% - Accent5 10 2 2 3 2 3" xfId="23410" xr:uid="{00000000-0005-0000-0000-0000341C0000}"/>
    <cellStyle name="20% - Accent5 10 2 2 3 2 3 2" xfId="47242" xr:uid="{400DAC39-CEB1-41C9-94E2-FB7812FE574E}"/>
    <cellStyle name="20% - Accent5 10 2 2 3 2 4" xfId="31365" xr:uid="{C69BC268-BB61-4BC6-9D44-1EC32D8E255F}"/>
    <cellStyle name="20% - Accent5 10 2 2 3 3" xfId="11926" xr:uid="{00000000-0005-0000-0000-0000351C0000}"/>
    <cellStyle name="20% - Accent5 10 2 2 3 3 2" xfId="35775" xr:uid="{0C956393-F5ED-42BB-A8E8-2167A8AB034D}"/>
    <cellStyle name="20% - Accent5 10 2 2 3 4" xfId="19881" xr:uid="{00000000-0005-0000-0000-0000361C0000}"/>
    <cellStyle name="20% - Accent5 10 2 2 3 4 2" xfId="43713" xr:uid="{D9140B1E-BDF7-4A8F-AC49-2251AAD004FC}"/>
    <cellStyle name="20% - Accent5 10 2 2 3 5" xfId="27834" xr:uid="{722AC416-D26A-4785-BB9B-509F099878D7}"/>
    <cellStyle name="20% - Accent5 10 2 2 4" xfId="5722" xr:uid="{00000000-0005-0000-0000-0000371C0000}"/>
    <cellStyle name="20% - Accent5 10 2 2 4 2" xfId="13705" xr:uid="{00000000-0005-0000-0000-0000381C0000}"/>
    <cellStyle name="20% - Accent5 10 2 2 4 2 2" xfId="37548" xr:uid="{F7B4A214-1CD2-4C5A-B652-AEFAE8476AC1}"/>
    <cellStyle name="20% - Accent5 10 2 2 4 3" xfId="21653" xr:uid="{00000000-0005-0000-0000-0000391C0000}"/>
    <cellStyle name="20% - Accent5 10 2 2 4 3 2" xfId="45485" xr:uid="{9BA096FB-2EF2-4854-8C97-E55D7C183875}"/>
    <cellStyle name="20% - Accent5 10 2 2 4 4" xfId="29607" xr:uid="{F585D550-5B19-45F7-91A4-119B3CF8129D}"/>
    <cellStyle name="20% - Accent5 10 2 2 5" xfId="9274" xr:uid="{00000000-0005-0000-0000-00003A1C0000}"/>
    <cellStyle name="20% - Accent5 10 2 2 5 2" xfId="17232" xr:uid="{00000000-0005-0000-0000-00003B1C0000}"/>
    <cellStyle name="20% - Accent5 10 2 2 5 2 2" xfId="41072" xr:uid="{8B08668B-04D3-46DA-9109-E2F02E11A53E}"/>
    <cellStyle name="20% - Accent5 10 2 2 5 3" xfId="25176" xr:uid="{00000000-0005-0000-0000-00003C1C0000}"/>
    <cellStyle name="20% - Accent5 10 2 2 5 3 2" xfId="49008" xr:uid="{153FB33B-881C-4F3F-A8E5-5A8256246B9B}"/>
    <cellStyle name="20% - Accent5 10 2 2 5 4" xfId="33131" xr:uid="{3CFDD78F-0DB6-4C2E-A72E-53757629421B}"/>
    <cellStyle name="20% - Accent5 10 2 2 6" xfId="10170" xr:uid="{00000000-0005-0000-0000-00003D1C0000}"/>
    <cellStyle name="20% - Accent5 10 2 2 6 2" xfId="34019" xr:uid="{3EDAFF54-849A-40D5-9565-CD662A09FA2B}"/>
    <cellStyle name="20% - Accent5 10 2 2 7" xfId="18125" xr:uid="{00000000-0005-0000-0000-00003E1C0000}"/>
    <cellStyle name="20% - Accent5 10 2 2 7 2" xfId="41957" xr:uid="{ECD71E6C-E6A8-46B9-AA0D-688ACB0B54A3}"/>
    <cellStyle name="20% - Accent5 10 2 2 8" xfId="26077" xr:uid="{DF64EEED-AF39-41EB-8F41-9827F4A21EEF}"/>
    <cellStyle name="20% - Accent5 10 2 2_Exh G" xfId="2432" xr:uid="{00000000-0005-0000-0000-00003F1C0000}"/>
    <cellStyle name="20% - Accent5 10 2 3" xfId="1253" xr:uid="{00000000-0005-0000-0000-0000401C0000}"/>
    <cellStyle name="20% - Accent5 10 2 3 2" xfId="4780" xr:uid="{00000000-0005-0000-0000-0000411C0000}"/>
    <cellStyle name="20% - Accent5 10 2 3 2 2" xfId="8371" xr:uid="{00000000-0005-0000-0000-0000421C0000}"/>
    <cellStyle name="20% - Accent5 10 2 3 2 2 2" xfId="16341" xr:uid="{00000000-0005-0000-0000-0000431C0000}"/>
    <cellStyle name="20% - Accent5 10 2 3 2 2 2 2" xfId="40183" xr:uid="{5A3F5F80-890B-47C0-AAF4-A77AD8FAEE45}"/>
    <cellStyle name="20% - Accent5 10 2 3 2 2 3" xfId="24287" xr:uid="{00000000-0005-0000-0000-0000441C0000}"/>
    <cellStyle name="20% - Accent5 10 2 3 2 2 3 2" xfId="48119" xr:uid="{D4E1DE46-2174-4BA5-BE68-7BA744AC2ACF}"/>
    <cellStyle name="20% - Accent5 10 2 3 2 2 4" xfId="32242" xr:uid="{33348D50-3142-4620-840A-92EA5CF89EEA}"/>
    <cellStyle name="20% - Accent5 10 2 3 2 3" xfId="12803" xr:uid="{00000000-0005-0000-0000-0000451C0000}"/>
    <cellStyle name="20% - Accent5 10 2 3 2 3 2" xfId="36652" xr:uid="{49E0BC18-1586-4168-8F34-1D4731F2914F}"/>
    <cellStyle name="20% - Accent5 10 2 3 2 4" xfId="20758" xr:uid="{00000000-0005-0000-0000-0000461C0000}"/>
    <cellStyle name="20% - Accent5 10 2 3 2 4 2" xfId="44590" xr:uid="{8C5B2C9D-D124-4136-820C-8920FFD358F4}"/>
    <cellStyle name="20% - Accent5 10 2 3 2 5" xfId="28711" xr:uid="{E47E8487-853B-46BE-9350-7A02E2CA1EE7}"/>
    <cellStyle name="20% - Accent5 10 2 3 3" xfId="6612" xr:uid="{00000000-0005-0000-0000-0000471C0000}"/>
    <cellStyle name="20% - Accent5 10 2 3 3 2" xfId="14583" xr:uid="{00000000-0005-0000-0000-0000481C0000}"/>
    <cellStyle name="20% - Accent5 10 2 3 3 2 2" xfId="38425" xr:uid="{5D28D4F1-F570-4FA9-810D-E39C41AE4C33}"/>
    <cellStyle name="20% - Accent5 10 2 3 3 3" xfId="22530" xr:uid="{00000000-0005-0000-0000-0000491C0000}"/>
    <cellStyle name="20% - Accent5 10 2 3 3 3 2" xfId="46362" xr:uid="{FD644518-BDE7-437F-B343-226CE1962A3B}"/>
    <cellStyle name="20% - Accent5 10 2 3 3 4" xfId="30484" xr:uid="{C326F107-6E73-4650-AD06-10A765E6FC25}"/>
    <cellStyle name="20% - Accent5 10 2 3 4" xfId="11047" xr:uid="{00000000-0005-0000-0000-00004A1C0000}"/>
    <cellStyle name="20% - Accent5 10 2 3 4 2" xfId="34896" xr:uid="{03BEC86E-1AA6-468C-A646-6A08DA3EC481}"/>
    <cellStyle name="20% - Accent5 10 2 3 5" xfId="19002" xr:uid="{00000000-0005-0000-0000-00004B1C0000}"/>
    <cellStyle name="20% - Accent5 10 2 3 5 2" xfId="42834" xr:uid="{1E34BFDD-02E9-4BA0-99C5-6D2AB75303C8}"/>
    <cellStyle name="20% - Accent5 10 2 3 6" xfId="26954" xr:uid="{CC609BDB-DC51-41F5-978A-93FCAFBD32AA}"/>
    <cellStyle name="20% - Accent5 10 2 3_Exh G" xfId="2434" xr:uid="{00000000-0005-0000-0000-00004C1C0000}"/>
    <cellStyle name="20% - Accent5 10 2 4" xfId="3901" xr:uid="{00000000-0005-0000-0000-00004D1C0000}"/>
    <cellStyle name="20% - Accent5 10 2 4 2" xfId="7493" xr:uid="{00000000-0005-0000-0000-00004E1C0000}"/>
    <cellStyle name="20% - Accent5 10 2 4 2 2" xfId="15463" xr:uid="{00000000-0005-0000-0000-00004F1C0000}"/>
    <cellStyle name="20% - Accent5 10 2 4 2 2 2" xfId="39305" xr:uid="{10F17AB7-2630-49E3-BF69-B4AA263EAD7F}"/>
    <cellStyle name="20% - Accent5 10 2 4 2 3" xfId="23409" xr:uid="{00000000-0005-0000-0000-0000501C0000}"/>
    <cellStyle name="20% - Accent5 10 2 4 2 3 2" xfId="47241" xr:uid="{680A11E5-1860-489E-8148-5C2D0941A58F}"/>
    <cellStyle name="20% - Accent5 10 2 4 2 4" xfId="31364" xr:uid="{7A9D1359-C691-41E5-95DE-37DBB3CECAF2}"/>
    <cellStyle name="20% - Accent5 10 2 4 3" xfId="11925" xr:uid="{00000000-0005-0000-0000-0000511C0000}"/>
    <cellStyle name="20% - Accent5 10 2 4 3 2" xfId="35774" xr:uid="{7AA7CF15-AD64-436B-BECC-6B4404FFFE30}"/>
    <cellStyle name="20% - Accent5 10 2 4 4" xfId="19880" xr:uid="{00000000-0005-0000-0000-0000521C0000}"/>
    <cellStyle name="20% - Accent5 10 2 4 4 2" xfId="43712" xr:uid="{1BF33EAB-B2E8-485E-9533-306A3AB89097}"/>
    <cellStyle name="20% - Accent5 10 2 4 5" xfId="27833" xr:uid="{3A1CD1D2-1D33-48CB-BB56-DF095EBC8270}"/>
    <cellStyle name="20% - Accent5 10 2 5" xfId="5721" xr:uid="{00000000-0005-0000-0000-0000531C0000}"/>
    <cellStyle name="20% - Accent5 10 2 5 2" xfId="13704" xr:uid="{00000000-0005-0000-0000-0000541C0000}"/>
    <cellStyle name="20% - Accent5 10 2 5 2 2" xfId="37547" xr:uid="{0FA2CBE7-656E-484C-A5C8-E9AF9151C266}"/>
    <cellStyle name="20% - Accent5 10 2 5 3" xfId="21652" xr:uid="{00000000-0005-0000-0000-0000551C0000}"/>
    <cellStyle name="20% - Accent5 10 2 5 3 2" xfId="45484" xr:uid="{0705397E-A28C-4BEC-A703-FCC77E719D75}"/>
    <cellStyle name="20% - Accent5 10 2 5 4" xfId="29606" xr:uid="{AA8271D3-849C-4C19-90BC-DAA95F0AADC0}"/>
    <cellStyle name="20% - Accent5 10 2 6" xfId="9273" xr:uid="{00000000-0005-0000-0000-0000561C0000}"/>
    <cellStyle name="20% - Accent5 10 2 6 2" xfId="17231" xr:uid="{00000000-0005-0000-0000-0000571C0000}"/>
    <cellStyle name="20% - Accent5 10 2 6 2 2" xfId="41071" xr:uid="{771A4402-3CDB-4CCE-B40D-E4DE6E284233}"/>
    <cellStyle name="20% - Accent5 10 2 6 3" xfId="25175" xr:uid="{00000000-0005-0000-0000-0000581C0000}"/>
    <cellStyle name="20% - Accent5 10 2 6 3 2" xfId="49007" xr:uid="{17E9B780-4DCB-4EF9-8EC7-139FB2698800}"/>
    <cellStyle name="20% - Accent5 10 2 6 4" xfId="33130" xr:uid="{C63D2C88-7366-4FBE-87DC-7B48EFD3F441}"/>
    <cellStyle name="20% - Accent5 10 2 7" xfId="10169" xr:uid="{00000000-0005-0000-0000-0000591C0000}"/>
    <cellStyle name="20% - Accent5 10 2 7 2" xfId="34018" xr:uid="{5BAD8B33-0C3C-4F8A-963A-8B232CBAAF7C}"/>
    <cellStyle name="20% - Accent5 10 2 8" xfId="18124" xr:uid="{00000000-0005-0000-0000-00005A1C0000}"/>
    <cellStyle name="20% - Accent5 10 2 8 2" xfId="41956" xr:uid="{50F445C0-DBD0-44AD-9F54-63D81C269430}"/>
    <cellStyle name="20% - Accent5 10 2 9" xfId="26076" xr:uid="{58AADB83-5D6E-47CA-8F2C-1767B2B577FC}"/>
    <cellStyle name="20% - Accent5 10 2_Exh G" xfId="2431" xr:uid="{00000000-0005-0000-0000-00005B1C0000}"/>
    <cellStyle name="20% - Accent5 10 3" xfId="229" xr:uid="{00000000-0005-0000-0000-00005C1C0000}"/>
    <cellStyle name="20% - Accent5 10 3 2" xfId="1255" xr:uid="{00000000-0005-0000-0000-00005D1C0000}"/>
    <cellStyle name="20% - Accent5 10 3 2 2" xfId="4782" xr:uid="{00000000-0005-0000-0000-00005E1C0000}"/>
    <cellStyle name="20% - Accent5 10 3 2 2 2" xfId="8373" xr:uid="{00000000-0005-0000-0000-00005F1C0000}"/>
    <cellStyle name="20% - Accent5 10 3 2 2 2 2" xfId="16343" xr:uid="{00000000-0005-0000-0000-0000601C0000}"/>
    <cellStyle name="20% - Accent5 10 3 2 2 2 2 2" xfId="40185" xr:uid="{43E4FD08-47C3-44A2-B940-4617948787C2}"/>
    <cellStyle name="20% - Accent5 10 3 2 2 2 3" xfId="24289" xr:uid="{00000000-0005-0000-0000-0000611C0000}"/>
    <cellStyle name="20% - Accent5 10 3 2 2 2 3 2" xfId="48121" xr:uid="{B1AF985F-E59B-4E72-B864-A4B9DC7F18F4}"/>
    <cellStyle name="20% - Accent5 10 3 2 2 2 4" xfId="32244" xr:uid="{40E3AB47-FDD8-489F-8626-3EAAC4727B3D}"/>
    <cellStyle name="20% - Accent5 10 3 2 2 3" xfId="12805" xr:uid="{00000000-0005-0000-0000-0000621C0000}"/>
    <cellStyle name="20% - Accent5 10 3 2 2 3 2" xfId="36654" xr:uid="{05775A7F-7069-4297-A90A-80EC4FDBCC69}"/>
    <cellStyle name="20% - Accent5 10 3 2 2 4" xfId="20760" xr:uid="{00000000-0005-0000-0000-0000631C0000}"/>
    <cellStyle name="20% - Accent5 10 3 2 2 4 2" xfId="44592" xr:uid="{9B777533-D6E0-4FB3-9DE1-20E9DFA307A0}"/>
    <cellStyle name="20% - Accent5 10 3 2 2 5" xfId="28713" xr:uid="{628A6C2A-AB7B-45CB-8AC0-57A856F0578D}"/>
    <cellStyle name="20% - Accent5 10 3 2 3" xfId="6614" xr:uid="{00000000-0005-0000-0000-0000641C0000}"/>
    <cellStyle name="20% - Accent5 10 3 2 3 2" xfId="14585" xr:uid="{00000000-0005-0000-0000-0000651C0000}"/>
    <cellStyle name="20% - Accent5 10 3 2 3 2 2" xfId="38427" xr:uid="{BFD357F1-C2DA-4D75-85EB-E3FDABF2663C}"/>
    <cellStyle name="20% - Accent5 10 3 2 3 3" xfId="22532" xr:uid="{00000000-0005-0000-0000-0000661C0000}"/>
    <cellStyle name="20% - Accent5 10 3 2 3 3 2" xfId="46364" xr:uid="{ABDA118C-6624-4358-BDF3-5B3BAA809072}"/>
    <cellStyle name="20% - Accent5 10 3 2 3 4" xfId="30486" xr:uid="{7B316612-5686-4EA8-BBE7-1CA51D8B437C}"/>
    <cellStyle name="20% - Accent5 10 3 2 4" xfId="11049" xr:uid="{00000000-0005-0000-0000-0000671C0000}"/>
    <cellStyle name="20% - Accent5 10 3 2 4 2" xfId="34898" xr:uid="{573111CE-5B2E-4343-A7B8-EEB8701722D0}"/>
    <cellStyle name="20% - Accent5 10 3 2 5" xfId="19004" xr:uid="{00000000-0005-0000-0000-0000681C0000}"/>
    <cellStyle name="20% - Accent5 10 3 2 5 2" xfId="42836" xr:uid="{81D72D70-F21F-415B-A3EF-556CDBEC40E5}"/>
    <cellStyle name="20% - Accent5 10 3 2 6" xfId="26956" xr:uid="{034E9799-04FB-4A70-A156-3DCD18401F73}"/>
    <cellStyle name="20% - Accent5 10 3 2_Exh G" xfId="2436" xr:uid="{00000000-0005-0000-0000-0000691C0000}"/>
    <cellStyle name="20% - Accent5 10 3 3" xfId="3903" xr:uid="{00000000-0005-0000-0000-00006A1C0000}"/>
    <cellStyle name="20% - Accent5 10 3 3 2" xfId="7495" xr:uid="{00000000-0005-0000-0000-00006B1C0000}"/>
    <cellStyle name="20% - Accent5 10 3 3 2 2" xfId="15465" xr:uid="{00000000-0005-0000-0000-00006C1C0000}"/>
    <cellStyle name="20% - Accent5 10 3 3 2 2 2" xfId="39307" xr:uid="{8862584C-5982-4C1F-8CFA-89B9FD59D504}"/>
    <cellStyle name="20% - Accent5 10 3 3 2 3" xfId="23411" xr:uid="{00000000-0005-0000-0000-00006D1C0000}"/>
    <cellStyle name="20% - Accent5 10 3 3 2 3 2" xfId="47243" xr:uid="{1F8CBB97-DCB4-41BE-9362-627005F6522C}"/>
    <cellStyle name="20% - Accent5 10 3 3 2 4" xfId="31366" xr:uid="{42D2A9D6-CD59-4BB2-9D06-333327AB2F28}"/>
    <cellStyle name="20% - Accent5 10 3 3 3" xfId="11927" xr:uid="{00000000-0005-0000-0000-00006E1C0000}"/>
    <cellStyle name="20% - Accent5 10 3 3 3 2" xfId="35776" xr:uid="{EE3F9DBA-C544-432C-83BA-23BECA2764C6}"/>
    <cellStyle name="20% - Accent5 10 3 3 4" xfId="19882" xr:uid="{00000000-0005-0000-0000-00006F1C0000}"/>
    <cellStyle name="20% - Accent5 10 3 3 4 2" xfId="43714" xr:uid="{2C07D6D1-FB13-4851-9D2B-A3537FD7F949}"/>
    <cellStyle name="20% - Accent5 10 3 3 5" xfId="27835" xr:uid="{F8EE1DBE-5E54-47CC-B929-64847896DC26}"/>
    <cellStyle name="20% - Accent5 10 3 4" xfId="5723" xr:uid="{00000000-0005-0000-0000-0000701C0000}"/>
    <cellStyle name="20% - Accent5 10 3 4 2" xfId="13706" xr:uid="{00000000-0005-0000-0000-0000711C0000}"/>
    <cellStyle name="20% - Accent5 10 3 4 2 2" xfId="37549" xr:uid="{03F943E8-BE31-45C5-ACE7-E43D4B3225DF}"/>
    <cellStyle name="20% - Accent5 10 3 4 3" xfId="21654" xr:uid="{00000000-0005-0000-0000-0000721C0000}"/>
    <cellStyle name="20% - Accent5 10 3 4 3 2" xfId="45486" xr:uid="{FF60EA60-FF75-4823-B3A8-7AB33FE1FD1B}"/>
    <cellStyle name="20% - Accent5 10 3 4 4" xfId="29608" xr:uid="{BFDF12E4-7876-4B08-8DAD-4BBA9C6FF6A4}"/>
    <cellStyle name="20% - Accent5 10 3 5" xfId="9275" xr:uid="{00000000-0005-0000-0000-0000731C0000}"/>
    <cellStyle name="20% - Accent5 10 3 5 2" xfId="17233" xr:uid="{00000000-0005-0000-0000-0000741C0000}"/>
    <cellStyle name="20% - Accent5 10 3 5 2 2" xfId="41073" xr:uid="{CFD7E979-80AB-4E38-BD38-598F903B179B}"/>
    <cellStyle name="20% - Accent5 10 3 5 3" xfId="25177" xr:uid="{00000000-0005-0000-0000-0000751C0000}"/>
    <cellStyle name="20% - Accent5 10 3 5 3 2" xfId="49009" xr:uid="{D368C919-1899-4795-8350-D427444B5BCA}"/>
    <cellStyle name="20% - Accent5 10 3 5 4" xfId="33132" xr:uid="{9CC6921C-A3F4-411E-AEE7-D45A281F4FF4}"/>
    <cellStyle name="20% - Accent5 10 3 6" xfId="10171" xr:uid="{00000000-0005-0000-0000-0000761C0000}"/>
    <cellStyle name="20% - Accent5 10 3 6 2" xfId="34020" xr:uid="{F5D36921-90B0-4AAF-BE0B-D5359730D833}"/>
    <cellStyle name="20% - Accent5 10 3 7" xfId="18126" xr:uid="{00000000-0005-0000-0000-0000771C0000}"/>
    <cellStyle name="20% - Accent5 10 3 7 2" xfId="41958" xr:uid="{D0FB25F7-9611-4CBB-97A0-8634E1016905}"/>
    <cellStyle name="20% - Accent5 10 3 8" xfId="26078" xr:uid="{0164B109-8F1A-47B1-BF2B-D48E17A9BA9F}"/>
    <cellStyle name="20% - Accent5 10 3_Exh G" xfId="2435" xr:uid="{00000000-0005-0000-0000-0000781C0000}"/>
    <cellStyle name="20% - Accent5 10 4" xfId="907" xr:uid="{00000000-0005-0000-0000-0000791C0000}"/>
    <cellStyle name="20% - Accent5 10 5" xfId="1252" xr:uid="{00000000-0005-0000-0000-00007A1C0000}"/>
    <cellStyle name="20% - Accent5 10 5 2" xfId="4779" xr:uid="{00000000-0005-0000-0000-00007B1C0000}"/>
    <cellStyle name="20% - Accent5 10 5 2 2" xfId="8370" xr:uid="{00000000-0005-0000-0000-00007C1C0000}"/>
    <cellStyle name="20% - Accent5 10 5 2 2 2" xfId="16340" xr:uid="{00000000-0005-0000-0000-00007D1C0000}"/>
    <cellStyle name="20% - Accent5 10 5 2 2 2 2" xfId="40182" xr:uid="{AD1F3109-9B43-4DA8-A552-D8A037F0CB16}"/>
    <cellStyle name="20% - Accent5 10 5 2 2 3" xfId="24286" xr:uid="{00000000-0005-0000-0000-00007E1C0000}"/>
    <cellStyle name="20% - Accent5 10 5 2 2 3 2" xfId="48118" xr:uid="{A3979616-2552-4035-A1CF-4CE44552AF8E}"/>
    <cellStyle name="20% - Accent5 10 5 2 2 4" xfId="32241" xr:uid="{EB7B50A4-E23C-4729-9B4F-814A5C3CEB47}"/>
    <cellStyle name="20% - Accent5 10 5 2 3" xfId="12802" xr:uid="{00000000-0005-0000-0000-00007F1C0000}"/>
    <cellStyle name="20% - Accent5 10 5 2 3 2" xfId="36651" xr:uid="{0919F1F1-E138-4C70-8E01-CFB85BF3EC54}"/>
    <cellStyle name="20% - Accent5 10 5 2 4" xfId="20757" xr:uid="{00000000-0005-0000-0000-0000801C0000}"/>
    <cellStyle name="20% - Accent5 10 5 2 4 2" xfId="44589" xr:uid="{72C32024-FB89-43F1-B054-FEC83650A801}"/>
    <cellStyle name="20% - Accent5 10 5 2 5" xfId="28710" xr:uid="{8545159D-4A5F-4A06-B43B-82FD16673566}"/>
    <cellStyle name="20% - Accent5 10 5 3" xfId="6611" xr:uid="{00000000-0005-0000-0000-0000811C0000}"/>
    <cellStyle name="20% - Accent5 10 5 3 2" xfId="14582" xr:uid="{00000000-0005-0000-0000-0000821C0000}"/>
    <cellStyle name="20% - Accent5 10 5 3 2 2" xfId="38424" xr:uid="{5BDB1B05-0C8B-4009-AF7E-618E59D89844}"/>
    <cellStyle name="20% - Accent5 10 5 3 3" xfId="22529" xr:uid="{00000000-0005-0000-0000-0000831C0000}"/>
    <cellStyle name="20% - Accent5 10 5 3 3 2" xfId="46361" xr:uid="{366E6DE6-2B20-4649-9DE8-5253A9650FD4}"/>
    <cellStyle name="20% - Accent5 10 5 3 4" xfId="30483" xr:uid="{B5528302-4608-4965-891A-1E7B4E376ACD}"/>
    <cellStyle name="20% - Accent5 10 5 4" xfId="11046" xr:uid="{00000000-0005-0000-0000-0000841C0000}"/>
    <cellStyle name="20% - Accent5 10 5 4 2" xfId="34895" xr:uid="{53FD3E23-3F48-40DE-B372-41B02C3DECE1}"/>
    <cellStyle name="20% - Accent5 10 5 5" xfId="19001" xr:uid="{00000000-0005-0000-0000-0000851C0000}"/>
    <cellStyle name="20% - Accent5 10 5 5 2" xfId="42833" xr:uid="{4D0035B5-5C8D-43DC-8D9B-5BFB3088996B}"/>
    <cellStyle name="20% - Accent5 10 5 6" xfId="26953" xr:uid="{65D77784-85C4-4777-922F-F1FCE838F9A8}"/>
    <cellStyle name="20% - Accent5 10 5_Exh G" xfId="2437" xr:uid="{00000000-0005-0000-0000-0000861C0000}"/>
    <cellStyle name="20% - Accent5 10 6" xfId="3900" xr:uid="{00000000-0005-0000-0000-0000871C0000}"/>
    <cellStyle name="20% - Accent5 10 6 2" xfId="7492" xr:uid="{00000000-0005-0000-0000-0000881C0000}"/>
    <cellStyle name="20% - Accent5 10 6 2 2" xfId="15462" xr:uid="{00000000-0005-0000-0000-0000891C0000}"/>
    <cellStyle name="20% - Accent5 10 6 2 2 2" xfId="39304" xr:uid="{CA0C6D32-7321-4FAD-B7B7-25616F4C9F6C}"/>
    <cellStyle name="20% - Accent5 10 6 2 3" xfId="23408" xr:uid="{00000000-0005-0000-0000-00008A1C0000}"/>
    <cellStyle name="20% - Accent5 10 6 2 3 2" xfId="47240" xr:uid="{2415DE6D-8F56-4796-B4BB-4385FF4B7881}"/>
    <cellStyle name="20% - Accent5 10 6 2 4" xfId="31363" xr:uid="{4C864121-2619-4FD6-9C24-6AC7C894D0BF}"/>
    <cellStyle name="20% - Accent5 10 6 3" xfId="11924" xr:uid="{00000000-0005-0000-0000-00008B1C0000}"/>
    <cellStyle name="20% - Accent5 10 6 3 2" xfId="35773" xr:uid="{644ACAA5-D02D-493B-A308-6BADCA67BC5A}"/>
    <cellStyle name="20% - Accent5 10 6 4" xfId="19879" xr:uid="{00000000-0005-0000-0000-00008C1C0000}"/>
    <cellStyle name="20% - Accent5 10 6 4 2" xfId="43711" xr:uid="{95542E62-7B2B-4B97-AB6A-DF0FC23644C3}"/>
    <cellStyle name="20% - Accent5 10 6 5" xfId="27832" xr:uid="{721FCBB0-32FA-45D7-BB64-BA07AD0B903D}"/>
    <cellStyle name="20% - Accent5 10 7" xfId="5720" xr:uid="{00000000-0005-0000-0000-00008D1C0000}"/>
    <cellStyle name="20% - Accent5 10 7 2" xfId="13703" xr:uid="{00000000-0005-0000-0000-00008E1C0000}"/>
    <cellStyle name="20% - Accent5 10 7 2 2" xfId="37546" xr:uid="{1238BD8F-1D6A-4A9B-A9CD-450482C9FD6B}"/>
    <cellStyle name="20% - Accent5 10 7 3" xfId="21651" xr:uid="{00000000-0005-0000-0000-00008F1C0000}"/>
    <cellStyle name="20% - Accent5 10 7 3 2" xfId="45483" xr:uid="{89D4248E-404C-4999-A7DD-C070DBA8B590}"/>
    <cellStyle name="20% - Accent5 10 7 4" xfId="29605" xr:uid="{CCC9C34F-3E66-43A2-957E-13BB18B467B4}"/>
    <cellStyle name="20% - Accent5 10 8" xfId="9272" xr:uid="{00000000-0005-0000-0000-0000901C0000}"/>
    <cellStyle name="20% - Accent5 10 8 2" xfId="17230" xr:uid="{00000000-0005-0000-0000-0000911C0000}"/>
    <cellStyle name="20% - Accent5 10 8 2 2" xfId="41070" xr:uid="{E452C764-0AC2-4CAF-B698-AEEB2DF7005C}"/>
    <cellStyle name="20% - Accent5 10 8 3" xfId="25174" xr:uid="{00000000-0005-0000-0000-0000921C0000}"/>
    <cellStyle name="20% - Accent5 10 8 3 2" xfId="49006" xr:uid="{C59D144B-B78A-409B-A353-51556266F3AE}"/>
    <cellStyle name="20% - Accent5 10 8 4" xfId="33129" xr:uid="{008ACFC2-91AB-49E0-8A53-DA66D3AF75E6}"/>
    <cellStyle name="20% - Accent5 10 9" xfId="10168" xr:uid="{00000000-0005-0000-0000-0000931C0000}"/>
    <cellStyle name="20% - Accent5 10 9 2" xfId="34017" xr:uid="{52ECCAC9-FA6D-4E9A-A1EF-354016018187}"/>
    <cellStyle name="20% - Accent5 10_Exh G" xfId="2430" xr:uid="{00000000-0005-0000-0000-0000941C0000}"/>
    <cellStyle name="20% - Accent5 11" xfId="230" xr:uid="{00000000-0005-0000-0000-0000951C0000}"/>
    <cellStyle name="20% - Accent5 11 10" xfId="26079" xr:uid="{EDEA82C3-748E-454D-BB64-626ABAACC178}"/>
    <cellStyle name="20% - Accent5 11 2" xfId="231" xr:uid="{00000000-0005-0000-0000-0000961C0000}"/>
    <cellStyle name="20% - Accent5 11 2 2" xfId="232" xr:uid="{00000000-0005-0000-0000-0000971C0000}"/>
    <cellStyle name="20% - Accent5 11 2 2 2" xfId="1258" xr:uid="{00000000-0005-0000-0000-0000981C0000}"/>
    <cellStyle name="20% - Accent5 11 2 2 2 2" xfId="4785" xr:uid="{00000000-0005-0000-0000-0000991C0000}"/>
    <cellStyle name="20% - Accent5 11 2 2 2 2 2" xfId="8376" xr:uid="{00000000-0005-0000-0000-00009A1C0000}"/>
    <cellStyle name="20% - Accent5 11 2 2 2 2 2 2" xfId="16346" xr:uid="{00000000-0005-0000-0000-00009B1C0000}"/>
    <cellStyle name="20% - Accent5 11 2 2 2 2 2 2 2" xfId="40188" xr:uid="{4F6C1A86-3F14-4D19-91A1-2C9D6BB37B3A}"/>
    <cellStyle name="20% - Accent5 11 2 2 2 2 2 3" xfId="24292" xr:uid="{00000000-0005-0000-0000-00009C1C0000}"/>
    <cellStyle name="20% - Accent5 11 2 2 2 2 2 3 2" xfId="48124" xr:uid="{1A9060FC-7903-4EC1-A658-607E7CFEC170}"/>
    <cellStyle name="20% - Accent5 11 2 2 2 2 2 4" xfId="32247" xr:uid="{3EF68755-B640-4DF1-9D1D-871E6464716C}"/>
    <cellStyle name="20% - Accent5 11 2 2 2 2 3" xfId="12808" xr:uid="{00000000-0005-0000-0000-00009D1C0000}"/>
    <cellStyle name="20% - Accent5 11 2 2 2 2 3 2" xfId="36657" xr:uid="{88C57EB4-5FE1-41B0-9A3A-5A304773DC91}"/>
    <cellStyle name="20% - Accent5 11 2 2 2 2 4" xfId="20763" xr:uid="{00000000-0005-0000-0000-00009E1C0000}"/>
    <cellStyle name="20% - Accent5 11 2 2 2 2 4 2" xfId="44595" xr:uid="{8A786332-C944-439E-99C7-FB234F773162}"/>
    <cellStyle name="20% - Accent5 11 2 2 2 2 5" xfId="28716" xr:uid="{AD1D3A04-E042-42E4-A8BF-F31C847297E9}"/>
    <cellStyle name="20% - Accent5 11 2 2 2 3" xfId="6617" xr:uid="{00000000-0005-0000-0000-00009F1C0000}"/>
    <cellStyle name="20% - Accent5 11 2 2 2 3 2" xfId="14588" xr:uid="{00000000-0005-0000-0000-0000A01C0000}"/>
    <cellStyle name="20% - Accent5 11 2 2 2 3 2 2" xfId="38430" xr:uid="{1849DFAE-1C39-425D-A6F0-74245902DB34}"/>
    <cellStyle name="20% - Accent5 11 2 2 2 3 3" xfId="22535" xr:uid="{00000000-0005-0000-0000-0000A11C0000}"/>
    <cellStyle name="20% - Accent5 11 2 2 2 3 3 2" xfId="46367" xr:uid="{71722771-2B0F-4D18-AA41-5DD694587CD0}"/>
    <cellStyle name="20% - Accent5 11 2 2 2 3 4" xfId="30489" xr:uid="{10551933-2DFD-4D82-B742-CB16B2207D11}"/>
    <cellStyle name="20% - Accent5 11 2 2 2 4" xfId="11052" xr:uid="{00000000-0005-0000-0000-0000A21C0000}"/>
    <cellStyle name="20% - Accent5 11 2 2 2 4 2" xfId="34901" xr:uid="{54B4EE6F-F37E-4EF6-BF78-6EC5163537AE}"/>
    <cellStyle name="20% - Accent5 11 2 2 2 5" xfId="19007" xr:uid="{00000000-0005-0000-0000-0000A31C0000}"/>
    <cellStyle name="20% - Accent5 11 2 2 2 5 2" xfId="42839" xr:uid="{C079F5D9-9817-4728-B307-398DB2B75986}"/>
    <cellStyle name="20% - Accent5 11 2 2 2 6" xfId="26959" xr:uid="{8FBF3C09-C484-4D2D-AA79-AA8786BF3EE5}"/>
    <cellStyle name="20% - Accent5 11 2 2 2_Exh G" xfId="2441" xr:uid="{00000000-0005-0000-0000-0000A41C0000}"/>
    <cellStyle name="20% - Accent5 11 2 2 3" xfId="3906" xr:uid="{00000000-0005-0000-0000-0000A51C0000}"/>
    <cellStyle name="20% - Accent5 11 2 2 3 2" xfId="7498" xr:uid="{00000000-0005-0000-0000-0000A61C0000}"/>
    <cellStyle name="20% - Accent5 11 2 2 3 2 2" xfId="15468" xr:uid="{00000000-0005-0000-0000-0000A71C0000}"/>
    <cellStyle name="20% - Accent5 11 2 2 3 2 2 2" xfId="39310" xr:uid="{CFB0554A-423B-4663-B865-FDE4B86A251C}"/>
    <cellStyle name="20% - Accent5 11 2 2 3 2 3" xfId="23414" xr:uid="{00000000-0005-0000-0000-0000A81C0000}"/>
    <cellStyle name="20% - Accent5 11 2 2 3 2 3 2" xfId="47246" xr:uid="{88DB5BDF-52E2-4FB1-8884-3E991EBAA355}"/>
    <cellStyle name="20% - Accent5 11 2 2 3 2 4" xfId="31369" xr:uid="{AB4406FB-D717-4680-AE3A-F4CEDA939B42}"/>
    <cellStyle name="20% - Accent5 11 2 2 3 3" xfId="11930" xr:uid="{00000000-0005-0000-0000-0000A91C0000}"/>
    <cellStyle name="20% - Accent5 11 2 2 3 3 2" xfId="35779" xr:uid="{920F9742-AE8A-466B-83ED-1CE518EB1B63}"/>
    <cellStyle name="20% - Accent5 11 2 2 3 4" xfId="19885" xr:uid="{00000000-0005-0000-0000-0000AA1C0000}"/>
    <cellStyle name="20% - Accent5 11 2 2 3 4 2" xfId="43717" xr:uid="{3F6957CD-2B62-4C59-8720-58328A1219EE}"/>
    <cellStyle name="20% - Accent5 11 2 2 3 5" xfId="27838" xr:uid="{4E66131D-D904-4EA6-9212-2DD404082256}"/>
    <cellStyle name="20% - Accent5 11 2 2 4" xfId="5726" xr:uid="{00000000-0005-0000-0000-0000AB1C0000}"/>
    <cellStyle name="20% - Accent5 11 2 2 4 2" xfId="13709" xr:uid="{00000000-0005-0000-0000-0000AC1C0000}"/>
    <cellStyle name="20% - Accent5 11 2 2 4 2 2" xfId="37552" xr:uid="{13C51DA4-9C28-4B51-8978-3AD704F86221}"/>
    <cellStyle name="20% - Accent5 11 2 2 4 3" xfId="21657" xr:uid="{00000000-0005-0000-0000-0000AD1C0000}"/>
    <cellStyle name="20% - Accent5 11 2 2 4 3 2" xfId="45489" xr:uid="{93859073-A23E-4E85-A58B-C1988B74825A}"/>
    <cellStyle name="20% - Accent5 11 2 2 4 4" xfId="29611" xr:uid="{C314DC11-B72A-4686-BB5C-288D416DB2E7}"/>
    <cellStyle name="20% - Accent5 11 2 2 5" xfId="9278" xr:uid="{00000000-0005-0000-0000-0000AE1C0000}"/>
    <cellStyle name="20% - Accent5 11 2 2 5 2" xfId="17236" xr:uid="{00000000-0005-0000-0000-0000AF1C0000}"/>
    <cellStyle name="20% - Accent5 11 2 2 5 2 2" xfId="41076" xr:uid="{0AD4C625-747F-42FB-86CD-5B62E49EBFB0}"/>
    <cellStyle name="20% - Accent5 11 2 2 5 3" xfId="25180" xr:uid="{00000000-0005-0000-0000-0000B01C0000}"/>
    <cellStyle name="20% - Accent5 11 2 2 5 3 2" xfId="49012" xr:uid="{7ED74E57-D90B-4E7D-B089-FD0BD6A58C5C}"/>
    <cellStyle name="20% - Accent5 11 2 2 5 4" xfId="33135" xr:uid="{EB9E82B6-D015-46BD-9E7E-90F3B0809757}"/>
    <cellStyle name="20% - Accent5 11 2 2 6" xfId="10174" xr:uid="{00000000-0005-0000-0000-0000B11C0000}"/>
    <cellStyle name="20% - Accent5 11 2 2 6 2" xfId="34023" xr:uid="{59164C0C-E5C0-433D-9A24-40782F35D337}"/>
    <cellStyle name="20% - Accent5 11 2 2 7" xfId="18129" xr:uid="{00000000-0005-0000-0000-0000B21C0000}"/>
    <cellStyle name="20% - Accent5 11 2 2 7 2" xfId="41961" xr:uid="{91C16DE7-9BED-4507-8327-9518A879DAB1}"/>
    <cellStyle name="20% - Accent5 11 2 2 8" xfId="26081" xr:uid="{4863A611-FF6F-4E32-8018-2D9FA05FC9C8}"/>
    <cellStyle name="20% - Accent5 11 2 2_Exh G" xfId="2440" xr:uid="{00000000-0005-0000-0000-0000B31C0000}"/>
    <cellStyle name="20% - Accent5 11 2 3" xfId="1257" xr:uid="{00000000-0005-0000-0000-0000B41C0000}"/>
    <cellStyle name="20% - Accent5 11 2 3 2" xfId="4784" xr:uid="{00000000-0005-0000-0000-0000B51C0000}"/>
    <cellStyle name="20% - Accent5 11 2 3 2 2" xfId="8375" xr:uid="{00000000-0005-0000-0000-0000B61C0000}"/>
    <cellStyle name="20% - Accent5 11 2 3 2 2 2" xfId="16345" xr:uid="{00000000-0005-0000-0000-0000B71C0000}"/>
    <cellStyle name="20% - Accent5 11 2 3 2 2 2 2" xfId="40187" xr:uid="{310FDDEA-9377-430C-B644-5C3E58527AA8}"/>
    <cellStyle name="20% - Accent5 11 2 3 2 2 3" xfId="24291" xr:uid="{00000000-0005-0000-0000-0000B81C0000}"/>
    <cellStyle name="20% - Accent5 11 2 3 2 2 3 2" xfId="48123" xr:uid="{89DD1B20-528E-4975-887C-007CD9CD13A9}"/>
    <cellStyle name="20% - Accent5 11 2 3 2 2 4" xfId="32246" xr:uid="{D18DB40C-7F63-428F-97DE-33425B08113F}"/>
    <cellStyle name="20% - Accent5 11 2 3 2 3" xfId="12807" xr:uid="{00000000-0005-0000-0000-0000B91C0000}"/>
    <cellStyle name="20% - Accent5 11 2 3 2 3 2" xfId="36656" xr:uid="{FB7C5DA0-BFE6-4D62-809B-2C9A18C9900C}"/>
    <cellStyle name="20% - Accent5 11 2 3 2 4" xfId="20762" xr:uid="{00000000-0005-0000-0000-0000BA1C0000}"/>
    <cellStyle name="20% - Accent5 11 2 3 2 4 2" xfId="44594" xr:uid="{249423B6-B710-4C06-A82C-4F2D8497F77F}"/>
    <cellStyle name="20% - Accent5 11 2 3 2 5" xfId="28715" xr:uid="{06C7A405-EC7F-45CC-AAB1-6CAA25D53817}"/>
    <cellStyle name="20% - Accent5 11 2 3 3" xfId="6616" xr:uid="{00000000-0005-0000-0000-0000BB1C0000}"/>
    <cellStyle name="20% - Accent5 11 2 3 3 2" xfId="14587" xr:uid="{00000000-0005-0000-0000-0000BC1C0000}"/>
    <cellStyle name="20% - Accent5 11 2 3 3 2 2" xfId="38429" xr:uid="{131B6437-A1D1-4AFF-B435-33626A5822C0}"/>
    <cellStyle name="20% - Accent5 11 2 3 3 3" xfId="22534" xr:uid="{00000000-0005-0000-0000-0000BD1C0000}"/>
    <cellStyle name="20% - Accent5 11 2 3 3 3 2" xfId="46366" xr:uid="{5A6F6A27-528A-4160-9008-9C5382677AAB}"/>
    <cellStyle name="20% - Accent5 11 2 3 3 4" xfId="30488" xr:uid="{F7007F0A-5E47-4E12-9CB2-CB631AFA3FC8}"/>
    <cellStyle name="20% - Accent5 11 2 3 4" xfId="11051" xr:uid="{00000000-0005-0000-0000-0000BE1C0000}"/>
    <cellStyle name="20% - Accent5 11 2 3 4 2" xfId="34900" xr:uid="{22E54021-5C31-4E09-BD46-1A3A3EC8E65D}"/>
    <cellStyle name="20% - Accent5 11 2 3 5" xfId="19006" xr:uid="{00000000-0005-0000-0000-0000BF1C0000}"/>
    <cellStyle name="20% - Accent5 11 2 3 5 2" xfId="42838" xr:uid="{4FE39032-F57D-4F9D-9CBB-676DA8ADE827}"/>
    <cellStyle name="20% - Accent5 11 2 3 6" xfId="26958" xr:uid="{A2DAD41A-01A6-462D-A7D0-DE9EEAAF7FAF}"/>
    <cellStyle name="20% - Accent5 11 2 3_Exh G" xfId="2442" xr:uid="{00000000-0005-0000-0000-0000C01C0000}"/>
    <cellStyle name="20% - Accent5 11 2 4" xfId="3905" xr:uid="{00000000-0005-0000-0000-0000C11C0000}"/>
    <cellStyle name="20% - Accent5 11 2 4 2" xfId="7497" xr:uid="{00000000-0005-0000-0000-0000C21C0000}"/>
    <cellStyle name="20% - Accent5 11 2 4 2 2" xfId="15467" xr:uid="{00000000-0005-0000-0000-0000C31C0000}"/>
    <cellStyle name="20% - Accent5 11 2 4 2 2 2" xfId="39309" xr:uid="{2F402230-F091-4AD4-BD6C-44EDDCB60021}"/>
    <cellStyle name="20% - Accent5 11 2 4 2 3" xfId="23413" xr:uid="{00000000-0005-0000-0000-0000C41C0000}"/>
    <cellStyle name="20% - Accent5 11 2 4 2 3 2" xfId="47245" xr:uid="{50183291-70E8-472C-AB38-4CD8E488FB7E}"/>
    <cellStyle name="20% - Accent5 11 2 4 2 4" xfId="31368" xr:uid="{77A17ADD-55E4-4EFD-A997-90E996712A28}"/>
    <cellStyle name="20% - Accent5 11 2 4 3" xfId="11929" xr:uid="{00000000-0005-0000-0000-0000C51C0000}"/>
    <cellStyle name="20% - Accent5 11 2 4 3 2" xfId="35778" xr:uid="{462ADD5A-0EFA-41AA-B6F5-4A56E3F2266B}"/>
    <cellStyle name="20% - Accent5 11 2 4 4" xfId="19884" xr:uid="{00000000-0005-0000-0000-0000C61C0000}"/>
    <cellStyle name="20% - Accent5 11 2 4 4 2" xfId="43716" xr:uid="{B5EA47F4-C962-4890-B164-2AA454903002}"/>
    <cellStyle name="20% - Accent5 11 2 4 5" xfId="27837" xr:uid="{FA1B38C1-6E2F-4E5F-9DEF-2AA2F7143D7C}"/>
    <cellStyle name="20% - Accent5 11 2 5" xfId="5725" xr:uid="{00000000-0005-0000-0000-0000C71C0000}"/>
    <cellStyle name="20% - Accent5 11 2 5 2" xfId="13708" xr:uid="{00000000-0005-0000-0000-0000C81C0000}"/>
    <cellStyle name="20% - Accent5 11 2 5 2 2" xfId="37551" xr:uid="{BEF2E6CF-156E-47F7-B366-0688CDA5A8DC}"/>
    <cellStyle name="20% - Accent5 11 2 5 3" xfId="21656" xr:uid="{00000000-0005-0000-0000-0000C91C0000}"/>
    <cellStyle name="20% - Accent5 11 2 5 3 2" xfId="45488" xr:uid="{40AE2D1F-C1FB-4B88-BE17-915B0CA8C8DD}"/>
    <cellStyle name="20% - Accent5 11 2 5 4" xfId="29610" xr:uid="{3231EB43-7961-4812-8BE4-4DC1FC341924}"/>
    <cellStyle name="20% - Accent5 11 2 6" xfId="9277" xr:uid="{00000000-0005-0000-0000-0000CA1C0000}"/>
    <cellStyle name="20% - Accent5 11 2 6 2" xfId="17235" xr:uid="{00000000-0005-0000-0000-0000CB1C0000}"/>
    <cellStyle name="20% - Accent5 11 2 6 2 2" xfId="41075" xr:uid="{0CA48069-1245-49E7-AE3B-036E1BFCCCF4}"/>
    <cellStyle name="20% - Accent5 11 2 6 3" xfId="25179" xr:uid="{00000000-0005-0000-0000-0000CC1C0000}"/>
    <cellStyle name="20% - Accent5 11 2 6 3 2" xfId="49011" xr:uid="{12063BB9-2A8C-4D3D-9643-9F1CAD96DB84}"/>
    <cellStyle name="20% - Accent5 11 2 6 4" xfId="33134" xr:uid="{37D73305-E695-4AF9-BA2B-CED766FE8523}"/>
    <cellStyle name="20% - Accent5 11 2 7" xfId="10173" xr:uid="{00000000-0005-0000-0000-0000CD1C0000}"/>
    <cellStyle name="20% - Accent5 11 2 7 2" xfId="34022" xr:uid="{3F31E5AB-23CB-457D-A9EB-60169ED21472}"/>
    <cellStyle name="20% - Accent5 11 2 8" xfId="18128" xr:uid="{00000000-0005-0000-0000-0000CE1C0000}"/>
    <cellStyle name="20% - Accent5 11 2 8 2" xfId="41960" xr:uid="{CEBB8A24-6DF9-47C0-9EF2-9CECF9E4FC46}"/>
    <cellStyle name="20% - Accent5 11 2 9" xfId="26080" xr:uid="{A4F8018E-1328-4899-8F5A-4F7040089C21}"/>
    <cellStyle name="20% - Accent5 11 2_Exh G" xfId="2439" xr:uid="{00000000-0005-0000-0000-0000CF1C0000}"/>
    <cellStyle name="20% - Accent5 11 3" xfId="233" xr:uid="{00000000-0005-0000-0000-0000D01C0000}"/>
    <cellStyle name="20% - Accent5 11 3 2" xfId="1259" xr:uid="{00000000-0005-0000-0000-0000D11C0000}"/>
    <cellStyle name="20% - Accent5 11 3 2 2" xfId="4786" xr:uid="{00000000-0005-0000-0000-0000D21C0000}"/>
    <cellStyle name="20% - Accent5 11 3 2 2 2" xfId="8377" xr:uid="{00000000-0005-0000-0000-0000D31C0000}"/>
    <cellStyle name="20% - Accent5 11 3 2 2 2 2" xfId="16347" xr:uid="{00000000-0005-0000-0000-0000D41C0000}"/>
    <cellStyle name="20% - Accent5 11 3 2 2 2 2 2" xfId="40189" xr:uid="{83AF2C13-7F38-4048-BB7B-59F729869EB8}"/>
    <cellStyle name="20% - Accent5 11 3 2 2 2 3" xfId="24293" xr:uid="{00000000-0005-0000-0000-0000D51C0000}"/>
    <cellStyle name="20% - Accent5 11 3 2 2 2 3 2" xfId="48125" xr:uid="{7EABBFCE-DC97-478F-A0C7-188416A33290}"/>
    <cellStyle name="20% - Accent5 11 3 2 2 2 4" xfId="32248" xr:uid="{3FC81779-CB3A-4FAD-970A-F0526547FC56}"/>
    <cellStyle name="20% - Accent5 11 3 2 2 3" xfId="12809" xr:uid="{00000000-0005-0000-0000-0000D61C0000}"/>
    <cellStyle name="20% - Accent5 11 3 2 2 3 2" xfId="36658" xr:uid="{E817D027-4855-40AC-AC95-45D7C8FAB9D3}"/>
    <cellStyle name="20% - Accent5 11 3 2 2 4" xfId="20764" xr:uid="{00000000-0005-0000-0000-0000D71C0000}"/>
    <cellStyle name="20% - Accent5 11 3 2 2 4 2" xfId="44596" xr:uid="{17AE358D-A062-447A-A126-08E9B42A8DA0}"/>
    <cellStyle name="20% - Accent5 11 3 2 2 5" xfId="28717" xr:uid="{C25C3C7B-DBCF-4EFA-BE58-A8DA98624E87}"/>
    <cellStyle name="20% - Accent5 11 3 2 3" xfId="6618" xr:uid="{00000000-0005-0000-0000-0000D81C0000}"/>
    <cellStyle name="20% - Accent5 11 3 2 3 2" xfId="14589" xr:uid="{00000000-0005-0000-0000-0000D91C0000}"/>
    <cellStyle name="20% - Accent5 11 3 2 3 2 2" xfId="38431" xr:uid="{659F2084-F903-4815-8405-C249D4692674}"/>
    <cellStyle name="20% - Accent5 11 3 2 3 3" xfId="22536" xr:uid="{00000000-0005-0000-0000-0000DA1C0000}"/>
    <cellStyle name="20% - Accent5 11 3 2 3 3 2" xfId="46368" xr:uid="{AB738CC1-C3AB-4F79-B792-09B45ECBCCBE}"/>
    <cellStyle name="20% - Accent5 11 3 2 3 4" xfId="30490" xr:uid="{25144A3C-94C0-4DC0-95BC-577A6C58E682}"/>
    <cellStyle name="20% - Accent5 11 3 2 4" xfId="11053" xr:uid="{00000000-0005-0000-0000-0000DB1C0000}"/>
    <cellStyle name="20% - Accent5 11 3 2 4 2" xfId="34902" xr:uid="{0B453F2A-8A25-4630-A18D-4023DD5F46A6}"/>
    <cellStyle name="20% - Accent5 11 3 2 5" xfId="19008" xr:uid="{00000000-0005-0000-0000-0000DC1C0000}"/>
    <cellStyle name="20% - Accent5 11 3 2 5 2" xfId="42840" xr:uid="{4D781934-D1A6-4246-9665-A599AFD95609}"/>
    <cellStyle name="20% - Accent5 11 3 2 6" xfId="26960" xr:uid="{A95177D1-5D77-49DA-B084-AEDFD4D011F0}"/>
    <cellStyle name="20% - Accent5 11 3 2_Exh G" xfId="2444" xr:uid="{00000000-0005-0000-0000-0000DD1C0000}"/>
    <cellStyle name="20% - Accent5 11 3 3" xfId="3907" xr:uid="{00000000-0005-0000-0000-0000DE1C0000}"/>
    <cellStyle name="20% - Accent5 11 3 3 2" xfId="7499" xr:uid="{00000000-0005-0000-0000-0000DF1C0000}"/>
    <cellStyle name="20% - Accent5 11 3 3 2 2" xfId="15469" xr:uid="{00000000-0005-0000-0000-0000E01C0000}"/>
    <cellStyle name="20% - Accent5 11 3 3 2 2 2" xfId="39311" xr:uid="{5541F18F-F5C2-4688-BF0F-210850A701AC}"/>
    <cellStyle name="20% - Accent5 11 3 3 2 3" xfId="23415" xr:uid="{00000000-0005-0000-0000-0000E11C0000}"/>
    <cellStyle name="20% - Accent5 11 3 3 2 3 2" xfId="47247" xr:uid="{2B8FCC3B-30F0-4F79-80D5-90DC9A54CDA9}"/>
    <cellStyle name="20% - Accent5 11 3 3 2 4" xfId="31370" xr:uid="{8AE53DA2-51D8-46F4-BFBE-00F3367771AB}"/>
    <cellStyle name="20% - Accent5 11 3 3 3" xfId="11931" xr:uid="{00000000-0005-0000-0000-0000E21C0000}"/>
    <cellStyle name="20% - Accent5 11 3 3 3 2" xfId="35780" xr:uid="{761CC9B0-21C1-4E5F-BCEC-746B6DB9A3F7}"/>
    <cellStyle name="20% - Accent5 11 3 3 4" xfId="19886" xr:uid="{00000000-0005-0000-0000-0000E31C0000}"/>
    <cellStyle name="20% - Accent5 11 3 3 4 2" xfId="43718" xr:uid="{86A08902-A43B-4DC3-892E-C2AAEFFEEB5B}"/>
    <cellStyle name="20% - Accent5 11 3 3 5" xfId="27839" xr:uid="{45AC0CCA-3CF9-4AEF-8D7C-4BB3B182661F}"/>
    <cellStyle name="20% - Accent5 11 3 4" xfId="5727" xr:uid="{00000000-0005-0000-0000-0000E41C0000}"/>
    <cellStyle name="20% - Accent5 11 3 4 2" xfId="13710" xr:uid="{00000000-0005-0000-0000-0000E51C0000}"/>
    <cellStyle name="20% - Accent5 11 3 4 2 2" xfId="37553" xr:uid="{A7E5D3A9-D8C8-43EE-91C6-4D2A7025E1E2}"/>
    <cellStyle name="20% - Accent5 11 3 4 3" xfId="21658" xr:uid="{00000000-0005-0000-0000-0000E61C0000}"/>
    <cellStyle name="20% - Accent5 11 3 4 3 2" xfId="45490" xr:uid="{BB21032C-C529-4634-BECE-74998A9F18F3}"/>
    <cellStyle name="20% - Accent5 11 3 4 4" xfId="29612" xr:uid="{56D12AA7-900E-4880-998F-318706848F08}"/>
    <cellStyle name="20% - Accent5 11 3 5" xfId="9279" xr:uid="{00000000-0005-0000-0000-0000E71C0000}"/>
    <cellStyle name="20% - Accent5 11 3 5 2" xfId="17237" xr:uid="{00000000-0005-0000-0000-0000E81C0000}"/>
    <cellStyle name="20% - Accent5 11 3 5 2 2" xfId="41077" xr:uid="{4EBE3316-6711-44C1-BDBF-9CE55A7D52AB}"/>
    <cellStyle name="20% - Accent5 11 3 5 3" xfId="25181" xr:uid="{00000000-0005-0000-0000-0000E91C0000}"/>
    <cellStyle name="20% - Accent5 11 3 5 3 2" xfId="49013" xr:uid="{873173C4-78FD-4264-9864-FB09B447A300}"/>
    <cellStyle name="20% - Accent5 11 3 5 4" xfId="33136" xr:uid="{62161B34-3569-425A-B2E2-20AF56769327}"/>
    <cellStyle name="20% - Accent5 11 3 6" xfId="10175" xr:uid="{00000000-0005-0000-0000-0000EA1C0000}"/>
    <cellStyle name="20% - Accent5 11 3 6 2" xfId="34024" xr:uid="{49089319-A669-447F-BB39-2DC5CB4DDFAF}"/>
    <cellStyle name="20% - Accent5 11 3 7" xfId="18130" xr:uid="{00000000-0005-0000-0000-0000EB1C0000}"/>
    <cellStyle name="20% - Accent5 11 3 7 2" xfId="41962" xr:uid="{FCE986BE-7B86-4479-9474-5B6C322BD636}"/>
    <cellStyle name="20% - Accent5 11 3 8" xfId="26082" xr:uid="{7745CF36-D9B4-4C63-9990-2862351671DA}"/>
    <cellStyle name="20% - Accent5 11 3_Exh G" xfId="2443" xr:uid="{00000000-0005-0000-0000-0000EC1C0000}"/>
    <cellStyle name="20% - Accent5 11 4" xfId="1256" xr:uid="{00000000-0005-0000-0000-0000ED1C0000}"/>
    <cellStyle name="20% - Accent5 11 4 2" xfId="4783" xr:uid="{00000000-0005-0000-0000-0000EE1C0000}"/>
    <cellStyle name="20% - Accent5 11 4 2 2" xfId="8374" xr:uid="{00000000-0005-0000-0000-0000EF1C0000}"/>
    <cellStyle name="20% - Accent5 11 4 2 2 2" xfId="16344" xr:uid="{00000000-0005-0000-0000-0000F01C0000}"/>
    <cellStyle name="20% - Accent5 11 4 2 2 2 2" xfId="40186" xr:uid="{C17D9006-38A0-47A8-A6EE-FA32CFFB2E88}"/>
    <cellStyle name="20% - Accent5 11 4 2 2 3" xfId="24290" xr:uid="{00000000-0005-0000-0000-0000F11C0000}"/>
    <cellStyle name="20% - Accent5 11 4 2 2 3 2" xfId="48122" xr:uid="{2945BBA7-5B2C-4AA9-BF73-BF55D5353145}"/>
    <cellStyle name="20% - Accent5 11 4 2 2 4" xfId="32245" xr:uid="{6C6CB874-8113-4D0F-96B1-C99F2FD19DE5}"/>
    <cellStyle name="20% - Accent5 11 4 2 3" xfId="12806" xr:uid="{00000000-0005-0000-0000-0000F21C0000}"/>
    <cellStyle name="20% - Accent5 11 4 2 3 2" xfId="36655" xr:uid="{DC75A835-111B-4AA9-967B-02DE7ED12804}"/>
    <cellStyle name="20% - Accent5 11 4 2 4" xfId="20761" xr:uid="{00000000-0005-0000-0000-0000F31C0000}"/>
    <cellStyle name="20% - Accent5 11 4 2 4 2" xfId="44593" xr:uid="{EA3D1BAD-85FD-4FCC-9781-DAF884FD6F1D}"/>
    <cellStyle name="20% - Accent5 11 4 2 5" xfId="28714" xr:uid="{A41666E5-736C-4261-B97C-6D71B878CF61}"/>
    <cellStyle name="20% - Accent5 11 4 3" xfId="6615" xr:uid="{00000000-0005-0000-0000-0000F41C0000}"/>
    <cellStyle name="20% - Accent5 11 4 3 2" xfId="14586" xr:uid="{00000000-0005-0000-0000-0000F51C0000}"/>
    <cellStyle name="20% - Accent5 11 4 3 2 2" xfId="38428" xr:uid="{0B691D23-B18A-4C74-8E0C-C496A1F31906}"/>
    <cellStyle name="20% - Accent5 11 4 3 3" xfId="22533" xr:uid="{00000000-0005-0000-0000-0000F61C0000}"/>
    <cellStyle name="20% - Accent5 11 4 3 3 2" xfId="46365" xr:uid="{6CB30AC6-DA42-4985-867E-76A3172FDB3B}"/>
    <cellStyle name="20% - Accent5 11 4 3 4" xfId="30487" xr:uid="{2D2D7AA6-DC4B-475F-B337-BDCBDBF15D2A}"/>
    <cellStyle name="20% - Accent5 11 4 4" xfId="11050" xr:uid="{00000000-0005-0000-0000-0000F71C0000}"/>
    <cellStyle name="20% - Accent5 11 4 4 2" xfId="34899" xr:uid="{A61413F8-A286-4984-8F10-839B7FF04F01}"/>
    <cellStyle name="20% - Accent5 11 4 5" xfId="19005" xr:uid="{00000000-0005-0000-0000-0000F81C0000}"/>
    <cellStyle name="20% - Accent5 11 4 5 2" xfId="42837" xr:uid="{F294C42A-966D-4579-A3ED-E6298D1E1DCE}"/>
    <cellStyle name="20% - Accent5 11 4 6" xfId="26957" xr:uid="{5528E4C4-CBF2-417F-A46E-8D8A7F2F04A1}"/>
    <cellStyle name="20% - Accent5 11 4_Exh G" xfId="2445" xr:uid="{00000000-0005-0000-0000-0000F91C0000}"/>
    <cellStyle name="20% - Accent5 11 5" xfId="3904" xr:uid="{00000000-0005-0000-0000-0000FA1C0000}"/>
    <cellStyle name="20% - Accent5 11 5 2" xfId="7496" xr:uid="{00000000-0005-0000-0000-0000FB1C0000}"/>
    <cellStyle name="20% - Accent5 11 5 2 2" xfId="15466" xr:uid="{00000000-0005-0000-0000-0000FC1C0000}"/>
    <cellStyle name="20% - Accent5 11 5 2 2 2" xfId="39308" xr:uid="{1486405A-E256-4ED8-A461-D909FC180C24}"/>
    <cellStyle name="20% - Accent5 11 5 2 3" xfId="23412" xr:uid="{00000000-0005-0000-0000-0000FD1C0000}"/>
    <cellStyle name="20% - Accent5 11 5 2 3 2" xfId="47244" xr:uid="{47DF288D-10BF-437B-9E18-59633E09CF8A}"/>
    <cellStyle name="20% - Accent5 11 5 2 4" xfId="31367" xr:uid="{9E4659E6-0E3D-4E39-BF55-77C46F05150F}"/>
    <cellStyle name="20% - Accent5 11 5 3" xfId="11928" xr:uid="{00000000-0005-0000-0000-0000FE1C0000}"/>
    <cellStyle name="20% - Accent5 11 5 3 2" xfId="35777" xr:uid="{3A49F66B-FC8E-45C8-B57A-52FD412BF6EB}"/>
    <cellStyle name="20% - Accent5 11 5 4" xfId="19883" xr:uid="{00000000-0005-0000-0000-0000FF1C0000}"/>
    <cellStyle name="20% - Accent5 11 5 4 2" xfId="43715" xr:uid="{C306A4AA-2D59-40FA-A65B-5892F52BB29E}"/>
    <cellStyle name="20% - Accent5 11 5 5" xfId="27836" xr:uid="{EFDAB9AF-38F8-43CD-85EC-C0512AB26063}"/>
    <cellStyle name="20% - Accent5 11 6" xfId="5724" xr:uid="{00000000-0005-0000-0000-0000001D0000}"/>
    <cellStyle name="20% - Accent5 11 6 2" xfId="13707" xr:uid="{00000000-0005-0000-0000-0000011D0000}"/>
    <cellStyle name="20% - Accent5 11 6 2 2" xfId="37550" xr:uid="{8844F41B-0CBA-4824-AA89-072567F1290A}"/>
    <cellStyle name="20% - Accent5 11 6 3" xfId="21655" xr:uid="{00000000-0005-0000-0000-0000021D0000}"/>
    <cellStyle name="20% - Accent5 11 6 3 2" xfId="45487" xr:uid="{4E708D2A-31BF-42FC-A595-41C17A93A7DD}"/>
    <cellStyle name="20% - Accent5 11 6 4" xfId="29609" xr:uid="{4D19F61E-B617-4563-BDBD-C922620E800A}"/>
    <cellStyle name="20% - Accent5 11 7" xfId="9276" xr:uid="{00000000-0005-0000-0000-0000031D0000}"/>
    <cellStyle name="20% - Accent5 11 7 2" xfId="17234" xr:uid="{00000000-0005-0000-0000-0000041D0000}"/>
    <cellStyle name="20% - Accent5 11 7 2 2" xfId="41074" xr:uid="{39D4E8FE-2C57-4A72-B4B1-D32EB619D9CD}"/>
    <cellStyle name="20% - Accent5 11 7 3" xfId="25178" xr:uid="{00000000-0005-0000-0000-0000051D0000}"/>
    <cellStyle name="20% - Accent5 11 7 3 2" xfId="49010" xr:uid="{6A6DC99A-615A-4EEB-8EC8-7CEC6B2FEE56}"/>
    <cellStyle name="20% - Accent5 11 7 4" xfId="33133" xr:uid="{8EEAE0CE-CE6B-4914-BE75-8659E15F01D2}"/>
    <cellStyle name="20% - Accent5 11 8" xfId="10172" xr:uid="{00000000-0005-0000-0000-0000061D0000}"/>
    <cellStyle name="20% - Accent5 11 8 2" xfId="34021" xr:uid="{EEFEDB78-0FA5-4121-9571-9595DAE1223C}"/>
    <cellStyle name="20% - Accent5 11 9" xfId="18127" xr:uid="{00000000-0005-0000-0000-0000071D0000}"/>
    <cellStyle name="20% - Accent5 11 9 2" xfId="41959" xr:uid="{F43DB838-6361-42B1-9400-1225459C8BB8}"/>
    <cellStyle name="20% - Accent5 11_Exh G" xfId="2438" xr:uid="{00000000-0005-0000-0000-0000081D0000}"/>
    <cellStyle name="20% - Accent5 12" xfId="234" xr:uid="{00000000-0005-0000-0000-0000091D0000}"/>
    <cellStyle name="20% - Accent5 12 10" xfId="26083" xr:uid="{DB056558-7F16-43AA-9D13-A866481F6700}"/>
    <cellStyle name="20% - Accent5 12 2" xfId="235" xr:uid="{00000000-0005-0000-0000-00000A1D0000}"/>
    <cellStyle name="20% - Accent5 12 2 2" xfId="236" xr:uid="{00000000-0005-0000-0000-00000B1D0000}"/>
    <cellStyle name="20% - Accent5 12 2 2 2" xfId="1262" xr:uid="{00000000-0005-0000-0000-00000C1D0000}"/>
    <cellStyle name="20% - Accent5 12 2 2 2 2" xfId="4789" xr:uid="{00000000-0005-0000-0000-00000D1D0000}"/>
    <cellStyle name="20% - Accent5 12 2 2 2 2 2" xfId="8380" xr:uid="{00000000-0005-0000-0000-00000E1D0000}"/>
    <cellStyle name="20% - Accent5 12 2 2 2 2 2 2" xfId="16350" xr:uid="{00000000-0005-0000-0000-00000F1D0000}"/>
    <cellStyle name="20% - Accent5 12 2 2 2 2 2 2 2" xfId="40192" xr:uid="{D1E9E994-7F83-45E3-83E4-57AE6DBEF3F6}"/>
    <cellStyle name="20% - Accent5 12 2 2 2 2 2 3" xfId="24296" xr:uid="{00000000-0005-0000-0000-0000101D0000}"/>
    <cellStyle name="20% - Accent5 12 2 2 2 2 2 3 2" xfId="48128" xr:uid="{8E78B4D3-EEAD-449A-8B0E-E1B6E42C2146}"/>
    <cellStyle name="20% - Accent5 12 2 2 2 2 2 4" xfId="32251" xr:uid="{775CA2AA-11C3-43D1-B078-67FACAB263F8}"/>
    <cellStyle name="20% - Accent5 12 2 2 2 2 3" xfId="12812" xr:uid="{00000000-0005-0000-0000-0000111D0000}"/>
    <cellStyle name="20% - Accent5 12 2 2 2 2 3 2" xfId="36661" xr:uid="{0E7689E9-00D1-4F51-8724-00E2D06F9C5C}"/>
    <cellStyle name="20% - Accent5 12 2 2 2 2 4" xfId="20767" xr:uid="{00000000-0005-0000-0000-0000121D0000}"/>
    <cellStyle name="20% - Accent5 12 2 2 2 2 4 2" xfId="44599" xr:uid="{F0CE54DF-F11D-4B84-89E2-0E229374F72F}"/>
    <cellStyle name="20% - Accent5 12 2 2 2 2 5" xfId="28720" xr:uid="{E08C3053-02B3-443E-8BE9-DB97EDEDFA18}"/>
    <cellStyle name="20% - Accent5 12 2 2 2 3" xfId="6621" xr:uid="{00000000-0005-0000-0000-0000131D0000}"/>
    <cellStyle name="20% - Accent5 12 2 2 2 3 2" xfId="14592" xr:uid="{00000000-0005-0000-0000-0000141D0000}"/>
    <cellStyle name="20% - Accent5 12 2 2 2 3 2 2" xfId="38434" xr:uid="{90DD602A-C1C2-4549-BE26-6758E2295823}"/>
    <cellStyle name="20% - Accent5 12 2 2 2 3 3" xfId="22539" xr:uid="{00000000-0005-0000-0000-0000151D0000}"/>
    <cellStyle name="20% - Accent5 12 2 2 2 3 3 2" xfId="46371" xr:uid="{D50A6DA3-8CF0-4071-865C-EA43638244A2}"/>
    <cellStyle name="20% - Accent5 12 2 2 2 3 4" xfId="30493" xr:uid="{13887849-BABE-4748-8857-B86E20B21E09}"/>
    <cellStyle name="20% - Accent5 12 2 2 2 4" xfId="11056" xr:uid="{00000000-0005-0000-0000-0000161D0000}"/>
    <cellStyle name="20% - Accent5 12 2 2 2 4 2" xfId="34905" xr:uid="{040309AF-3098-4395-B833-F18D0DB898CC}"/>
    <cellStyle name="20% - Accent5 12 2 2 2 5" xfId="19011" xr:uid="{00000000-0005-0000-0000-0000171D0000}"/>
    <cellStyle name="20% - Accent5 12 2 2 2 5 2" xfId="42843" xr:uid="{563B6A25-FCC6-42FE-8762-4D97ADA5E772}"/>
    <cellStyle name="20% - Accent5 12 2 2 2 6" xfId="26963" xr:uid="{977DAE3F-42C4-4681-82E7-94BDD3A8FA9C}"/>
    <cellStyle name="20% - Accent5 12 2 2 2_Exh G" xfId="2449" xr:uid="{00000000-0005-0000-0000-0000181D0000}"/>
    <cellStyle name="20% - Accent5 12 2 2 3" xfId="3910" xr:uid="{00000000-0005-0000-0000-0000191D0000}"/>
    <cellStyle name="20% - Accent5 12 2 2 3 2" xfId="7502" xr:uid="{00000000-0005-0000-0000-00001A1D0000}"/>
    <cellStyle name="20% - Accent5 12 2 2 3 2 2" xfId="15472" xr:uid="{00000000-0005-0000-0000-00001B1D0000}"/>
    <cellStyle name="20% - Accent5 12 2 2 3 2 2 2" xfId="39314" xr:uid="{61905D80-02AC-4320-80D5-946B66BD70C1}"/>
    <cellStyle name="20% - Accent5 12 2 2 3 2 3" xfId="23418" xr:uid="{00000000-0005-0000-0000-00001C1D0000}"/>
    <cellStyle name="20% - Accent5 12 2 2 3 2 3 2" xfId="47250" xr:uid="{D6344D2D-3824-4C96-8560-6339E499A9E0}"/>
    <cellStyle name="20% - Accent5 12 2 2 3 2 4" xfId="31373" xr:uid="{05DBABDE-7E03-4C77-A014-14632037C48D}"/>
    <cellStyle name="20% - Accent5 12 2 2 3 3" xfId="11934" xr:uid="{00000000-0005-0000-0000-00001D1D0000}"/>
    <cellStyle name="20% - Accent5 12 2 2 3 3 2" xfId="35783" xr:uid="{CB1541EE-2887-419F-AFA9-9B0BF8F63ECF}"/>
    <cellStyle name="20% - Accent5 12 2 2 3 4" xfId="19889" xr:uid="{00000000-0005-0000-0000-00001E1D0000}"/>
    <cellStyle name="20% - Accent5 12 2 2 3 4 2" xfId="43721" xr:uid="{B1DC5442-61D4-4F0C-AB04-19CAFA6EC3CD}"/>
    <cellStyle name="20% - Accent5 12 2 2 3 5" xfId="27842" xr:uid="{215318A9-4A73-4E0D-9D5D-01C0EC635AF4}"/>
    <cellStyle name="20% - Accent5 12 2 2 4" xfId="5730" xr:uid="{00000000-0005-0000-0000-00001F1D0000}"/>
    <cellStyle name="20% - Accent5 12 2 2 4 2" xfId="13713" xr:uid="{00000000-0005-0000-0000-0000201D0000}"/>
    <cellStyle name="20% - Accent5 12 2 2 4 2 2" xfId="37556" xr:uid="{DF94403D-40F9-4399-888E-9DA4CEA2CE2D}"/>
    <cellStyle name="20% - Accent5 12 2 2 4 3" xfId="21661" xr:uid="{00000000-0005-0000-0000-0000211D0000}"/>
    <cellStyle name="20% - Accent5 12 2 2 4 3 2" xfId="45493" xr:uid="{A8466FFD-29D0-4835-82F6-49CD9D1BA236}"/>
    <cellStyle name="20% - Accent5 12 2 2 4 4" xfId="29615" xr:uid="{B53D7088-7955-4D99-86B9-9AE37A7D09A9}"/>
    <cellStyle name="20% - Accent5 12 2 2 5" xfId="9282" xr:uid="{00000000-0005-0000-0000-0000221D0000}"/>
    <cellStyle name="20% - Accent5 12 2 2 5 2" xfId="17240" xr:uid="{00000000-0005-0000-0000-0000231D0000}"/>
    <cellStyle name="20% - Accent5 12 2 2 5 2 2" xfId="41080" xr:uid="{6E0D8B09-13EE-4582-A98A-62F811C7D471}"/>
    <cellStyle name="20% - Accent5 12 2 2 5 3" xfId="25184" xr:uid="{00000000-0005-0000-0000-0000241D0000}"/>
    <cellStyle name="20% - Accent5 12 2 2 5 3 2" xfId="49016" xr:uid="{CB2701E9-3515-404B-8044-9BA9DDE36E3B}"/>
    <cellStyle name="20% - Accent5 12 2 2 5 4" xfId="33139" xr:uid="{098F6F7B-A80C-47C8-B722-8D9B394D32F3}"/>
    <cellStyle name="20% - Accent5 12 2 2 6" xfId="10178" xr:uid="{00000000-0005-0000-0000-0000251D0000}"/>
    <cellStyle name="20% - Accent5 12 2 2 6 2" xfId="34027" xr:uid="{FD74571C-AF81-45BF-B9D3-07C96972E33B}"/>
    <cellStyle name="20% - Accent5 12 2 2 7" xfId="18133" xr:uid="{00000000-0005-0000-0000-0000261D0000}"/>
    <cellStyle name="20% - Accent5 12 2 2 7 2" xfId="41965" xr:uid="{ADD7DBEE-C7CE-4C42-B804-018AE27AA8BD}"/>
    <cellStyle name="20% - Accent5 12 2 2 8" xfId="26085" xr:uid="{C1CE3FDB-24E7-4343-AD18-2A48A3600BFC}"/>
    <cellStyle name="20% - Accent5 12 2 2_Exh G" xfId="2448" xr:uid="{00000000-0005-0000-0000-0000271D0000}"/>
    <cellStyle name="20% - Accent5 12 2 3" xfId="1261" xr:uid="{00000000-0005-0000-0000-0000281D0000}"/>
    <cellStyle name="20% - Accent5 12 2 3 2" xfId="4788" xr:uid="{00000000-0005-0000-0000-0000291D0000}"/>
    <cellStyle name="20% - Accent5 12 2 3 2 2" xfId="8379" xr:uid="{00000000-0005-0000-0000-00002A1D0000}"/>
    <cellStyle name="20% - Accent5 12 2 3 2 2 2" xfId="16349" xr:uid="{00000000-0005-0000-0000-00002B1D0000}"/>
    <cellStyle name="20% - Accent5 12 2 3 2 2 2 2" xfId="40191" xr:uid="{BA6E254E-91E7-4356-B52B-E4781966105D}"/>
    <cellStyle name="20% - Accent5 12 2 3 2 2 3" xfId="24295" xr:uid="{00000000-0005-0000-0000-00002C1D0000}"/>
    <cellStyle name="20% - Accent5 12 2 3 2 2 3 2" xfId="48127" xr:uid="{5D70DA85-F7C3-46C2-AD44-29D2271BCF6F}"/>
    <cellStyle name="20% - Accent5 12 2 3 2 2 4" xfId="32250" xr:uid="{E046BE0B-7EEF-4599-8E2A-636C91629233}"/>
    <cellStyle name="20% - Accent5 12 2 3 2 3" xfId="12811" xr:uid="{00000000-0005-0000-0000-00002D1D0000}"/>
    <cellStyle name="20% - Accent5 12 2 3 2 3 2" xfId="36660" xr:uid="{460EE341-E63B-40DC-AEF8-0BBA676D1165}"/>
    <cellStyle name="20% - Accent5 12 2 3 2 4" xfId="20766" xr:uid="{00000000-0005-0000-0000-00002E1D0000}"/>
    <cellStyle name="20% - Accent5 12 2 3 2 4 2" xfId="44598" xr:uid="{CF879428-605D-4C63-B8AD-EEB1F016D6E9}"/>
    <cellStyle name="20% - Accent5 12 2 3 2 5" xfId="28719" xr:uid="{1AF9975E-0D99-4FCC-961E-1784A4B3C442}"/>
    <cellStyle name="20% - Accent5 12 2 3 3" xfId="6620" xr:uid="{00000000-0005-0000-0000-00002F1D0000}"/>
    <cellStyle name="20% - Accent5 12 2 3 3 2" xfId="14591" xr:uid="{00000000-0005-0000-0000-0000301D0000}"/>
    <cellStyle name="20% - Accent5 12 2 3 3 2 2" xfId="38433" xr:uid="{E93DC95F-067C-4140-AF11-0937661F57D8}"/>
    <cellStyle name="20% - Accent5 12 2 3 3 3" xfId="22538" xr:uid="{00000000-0005-0000-0000-0000311D0000}"/>
    <cellStyle name="20% - Accent5 12 2 3 3 3 2" xfId="46370" xr:uid="{651A0091-7187-4230-9A97-0B6040E2BD32}"/>
    <cellStyle name="20% - Accent5 12 2 3 3 4" xfId="30492" xr:uid="{D6D13CE9-89BD-478F-A69C-56A2E51AEF5D}"/>
    <cellStyle name="20% - Accent5 12 2 3 4" xfId="11055" xr:uid="{00000000-0005-0000-0000-0000321D0000}"/>
    <cellStyle name="20% - Accent5 12 2 3 4 2" xfId="34904" xr:uid="{AC1B20FE-4A70-4B95-961B-EE523847317D}"/>
    <cellStyle name="20% - Accent5 12 2 3 5" xfId="19010" xr:uid="{00000000-0005-0000-0000-0000331D0000}"/>
    <cellStyle name="20% - Accent5 12 2 3 5 2" xfId="42842" xr:uid="{60C19E00-E22F-42F1-B136-0DB582ECBBC4}"/>
    <cellStyle name="20% - Accent5 12 2 3 6" xfId="26962" xr:uid="{978EA9DC-F12B-4BA4-A2E1-17186528D31E}"/>
    <cellStyle name="20% - Accent5 12 2 3_Exh G" xfId="2450" xr:uid="{00000000-0005-0000-0000-0000341D0000}"/>
    <cellStyle name="20% - Accent5 12 2 4" xfId="3909" xr:uid="{00000000-0005-0000-0000-0000351D0000}"/>
    <cellStyle name="20% - Accent5 12 2 4 2" xfId="7501" xr:uid="{00000000-0005-0000-0000-0000361D0000}"/>
    <cellStyle name="20% - Accent5 12 2 4 2 2" xfId="15471" xr:uid="{00000000-0005-0000-0000-0000371D0000}"/>
    <cellStyle name="20% - Accent5 12 2 4 2 2 2" xfId="39313" xr:uid="{71E65E74-0952-4D22-AC21-CEA2BA053D96}"/>
    <cellStyle name="20% - Accent5 12 2 4 2 3" xfId="23417" xr:uid="{00000000-0005-0000-0000-0000381D0000}"/>
    <cellStyle name="20% - Accent5 12 2 4 2 3 2" xfId="47249" xr:uid="{DE4CD0BD-F950-4FB2-B77C-5177B6B123BE}"/>
    <cellStyle name="20% - Accent5 12 2 4 2 4" xfId="31372" xr:uid="{671BC46F-182C-4EA9-96E7-0073ED3D389E}"/>
    <cellStyle name="20% - Accent5 12 2 4 3" xfId="11933" xr:uid="{00000000-0005-0000-0000-0000391D0000}"/>
    <cellStyle name="20% - Accent5 12 2 4 3 2" xfId="35782" xr:uid="{048AD690-2BE0-4898-AE91-3967260D51A4}"/>
    <cellStyle name="20% - Accent5 12 2 4 4" xfId="19888" xr:uid="{00000000-0005-0000-0000-00003A1D0000}"/>
    <cellStyle name="20% - Accent5 12 2 4 4 2" xfId="43720" xr:uid="{221B25D5-8CDB-4AF7-8009-757596B1F04F}"/>
    <cellStyle name="20% - Accent5 12 2 4 5" xfId="27841" xr:uid="{28F5ACDD-6274-474F-9AD0-077F47088130}"/>
    <cellStyle name="20% - Accent5 12 2 5" xfId="5729" xr:uid="{00000000-0005-0000-0000-00003B1D0000}"/>
    <cellStyle name="20% - Accent5 12 2 5 2" xfId="13712" xr:uid="{00000000-0005-0000-0000-00003C1D0000}"/>
    <cellStyle name="20% - Accent5 12 2 5 2 2" xfId="37555" xr:uid="{CA18E86B-C841-4DAD-997E-A424B88AB730}"/>
    <cellStyle name="20% - Accent5 12 2 5 3" xfId="21660" xr:uid="{00000000-0005-0000-0000-00003D1D0000}"/>
    <cellStyle name="20% - Accent5 12 2 5 3 2" xfId="45492" xr:uid="{C443C5F4-E88F-424F-BDCE-8C950BB6091F}"/>
    <cellStyle name="20% - Accent5 12 2 5 4" xfId="29614" xr:uid="{C4D0C210-DFC7-4F6B-B191-5812B473CF8E}"/>
    <cellStyle name="20% - Accent5 12 2 6" xfId="9281" xr:uid="{00000000-0005-0000-0000-00003E1D0000}"/>
    <cellStyle name="20% - Accent5 12 2 6 2" xfId="17239" xr:uid="{00000000-0005-0000-0000-00003F1D0000}"/>
    <cellStyle name="20% - Accent5 12 2 6 2 2" xfId="41079" xr:uid="{6D53FB0F-173B-416B-9942-414D39878479}"/>
    <cellStyle name="20% - Accent5 12 2 6 3" xfId="25183" xr:uid="{00000000-0005-0000-0000-0000401D0000}"/>
    <cellStyle name="20% - Accent5 12 2 6 3 2" xfId="49015" xr:uid="{ADE4257D-176E-40FE-BC44-C121FC28831E}"/>
    <cellStyle name="20% - Accent5 12 2 6 4" xfId="33138" xr:uid="{65C86FE3-556A-4C28-B53C-B2B4D6A52C52}"/>
    <cellStyle name="20% - Accent5 12 2 7" xfId="10177" xr:uid="{00000000-0005-0000-0000-0000411D0000}"/>
    <cellStyle name="20% - Accent5 12 2 7 2" xfId="34026" xr:uid="{6E7895BF-01FD-486C-B6EE-908D8583446B}"/>
    <cellStyle name="20% - Accent5 12 2 8" xfId="18132" xr:uid="{00000000-0005-0000-0000-0000421D0000}"/>
    <cellStyle name="20% - Accent5 12 2 8 2" xfId="41964" xr:uid="{73733EB1-2A38-4B67-B702-37B01533D64F}"/>
    <cellStyle name="20% - Accent5 12 2 9" xfId="26084" xr:uid="{D556A75C-586E-4732-BB33-ADF11EF4A4AF}"/>
    <cellStyle name="20% - Accent5 12 2_Exh G" xfId="2447" xr:uid="{00000000-0005-0000-0000-0000431D0000}"/>
    <cellStyle name="20% - Accent5 12 3" xfId="237" xr:uid="{00000000-0005-0000-0000-0000441D0000}"/>
    <cellStyle name="20% - Accent5 12 3 2" xfId="1263" xr:uid="{00000000-0005-0000-0000-0000451D0000}"/>
    <cellStyle name="20% - Accent5 12 3 2 2" xfId="4790" xr:uid="{00000000-0005-0000-0000-0000461D0000}"/>
    <cellStyle name="20% - Accent5 12 3 2 2 2" xfId="8381" xr:uid="{00000000-0005-0000-0000-0000471D0000}"/>
    <cellStyle name="20% - Accent5 12 3 2 2 2 2" xfId="16351" xr:uid="{00000000-0005-0000-0000-0000481D0000}"/>
    <cellStyle name="20% - Accent5 12 3 2 2 2 2 2" xfId="40193" xr:uid="{0C013822-CE12-435B-9AE7-E4A787AA421C}"/>
    <cellStyle name="20% - Accent5 12 3 2 2 2 3" xfId="24297" xr:uid="{00000000-0005-0000-0000-0000491D0000}"/>
    <cellStyle name="20% - Accent5 12 3 2 2 2 3 2" xfId="48129" xr:uid="{09845713-3F43-46AD-AE9C-5729C0BA0854}"/>
    <cellStyle name="20% - Accent5 12 3 2 2 2 4" xfId="32252" xr:uid="{F70C60AC-5BBC-4538-9850-ECA6C8912E6C}"/>
    <cellStyle name="20% - Accent5 12 3 2 2 3" xfId="12813" xr:uid="{00000000-0005-0000-0000-00004A1D0000}"/>
    <cellStyle name="20% - Accent5 12 3 2 2 3 2" xfId="36662" xr:uid="{C42299B7-94D6-4C7B-8FFB-BD02D841734A}"/>
    <cellStyle name="20% - Accent5 12 3 2 2 4" xfId="20768" xr:uid="{00000000-0005-0000-0000-00004B1D0000}"/>
    <cellStyle name="20% - Accent5 12 3 2 2 4 2" xfId="44600" xr:uid="{B4BDECEF-04B2-4DF9-857B-3F1D6F2AB34F}"/>
    <cellStyle name="20% - Accent5 12 3 2 2 5" xfId="28721" xr:uid="{77ABAD2F-3A76-4C2D-ADD0-F06ADC886834}"/>
    <cellStyle name="20% - Accent5 12 3 2 3" xfId="6622" xr:uid="{00000000-0005-0000-0000-00004C1D0000}"/>
    <cellStyle name="20% - Accent5 12 3 2 3 2" xfId="14593" xr:uid="{00000000-0005-0000-0000-00004D1D0000}"/>
    <cellStyle name="20% - Accent5 12 3 2 3 2 2" xfId="38435" xr:uid="{C86D5B2D-D75B-4B6A-8976-6752928D7548}"/>
    <cellStyle name="20% - Accent5 12 3 2 3 3" xfId="22540" xr:uid="{00000000-0005-0000-0000-00004E1D0000}"/>
    <cellStyle name="20% - Accent5 12 3 2 3 3 2" xfId="46372" xr:uid="{267E5736-A18B-4398-A45B-7D735A89AD86}"/>
    <cellStyle name="20% - Accent5 12 3 2 3 4" xfId="30494" xr:uid="{7F7140F5-1054-4DCC-AEC1-052B6E7C54A3}"/>
    <cellStyle name="20% - Accent5 12 3 2 4" xfId="11057" xr:uid="{00000000-0005-0000-0000-00004F1D0000}"/>
    <cellStyle name="20% - Accent5 12 3 2 4 2" xfId="34906" xr:uid="{049FC204-D96D-4D76-A380-4CD9C9E87C5A}"/>
    <cellStyle name="20% - Accent5 12 3 2 5" xfId="19012" xr:uid="{00000000-0005-0000-0000-0000501D0000}"/>
    <cellStyle name="20% - Accent5 12 3 2 5 2" xfId="42844" xr:uid="{DC865FDB-84D9-46A2-978A-1FED6D14D408}"/>
    <cellStyle name="20% - Accent5 12 3 2 6" xfId="26964" xr:uid="{14C8DA82-D532-4246-8AA7-225352F93759}"/>
    <cellStyle name="20% - Accent5 12 3 2_Exh G" xfId="2452" xr:uid="{00000000-0005-0000-0000-0000511D0000}"/>
    <cellStyle name="20% - Accent5 12 3 3" xfId="3911" xr:uid="{00000000-0005-0000-0000-0000521D0000}"/>
    <cellStyle name="20% - Accent5 12 3 3 2" xfId="7503" xr:uid="{00000000-0005-0000-0000-0000531D0000}"/>
    <cellStyle name="20% - Accent5 12 3 3 2 2" xfId="15473" xr:uid="{00000000-0005-0000-0000-0000541D0000}"/>
    <cellStyle name="20% - Accent5 12 3 3 2 2 2" xfId="39315" xr:uid="{61AC687D-B37D-423C-8FCE-A7B42CDC84D1}"/>
    <cellStyle name="20% - Accent5 12 3 3 2 3" xfId="23419" xr:uid="{00000000-0005-0000-0000-0000551D0000}"/>
    <cellStyle name="20% - Accent5 12 3 3 2 3 2" xfId="47251" xr:uid="{9A86D614-702D-4AAF-8560-A0D2D221FD10}"/>
    <cellStyle name="20% - Accent5 12 3 3 2 4" xfId="31374" xr:uid="{A07D0E94-EF76-4054-8500-1924CFADF2EA}"/>
    <cellStyle name="20% - Accent5 12 3 3 3" xfId="11935" xr:uid="{00000000-0005-0000-0000-0000561D0000}"/>
    <cellStyle name="20% - Accent5 12 3 3 3 2" xfId="35784" xr:uid="{62257C61-3D3C-44F9-ABD4-89F0CEC00262}"/>
    <cellStyle name="20% - Accent5 12 3 3 4" xfId="19890" xr:uid="{00000000-0005-0000-0000-0000571D0000}"/>
    <cellStyle name="20% - Accent5 12 3 3 4 2" xfId="43722" xr:uid="{C8AEFE80-19C4-41DF-ABAC-E40E72954F3A}"/>
    <cellStyle name="20% - Accent5 12 3 3 5" xfId="27843" xr:uid="{4A30679F-E612-44A3-948D-3A55F23BC743}"/>
    <cellStyle name="20% - Accent5 12 3 4" xfId="5731" xr:uid="{00000000-0005-0000-0000-0000581D0000}"/>
    <cellStyle name="20% - Accent5 12 3 4 2" xfId="13714" xr:uid="{00000000-0005-0000-0000-0000591D0000}"/>
    <cellStyle name="20% - Accent5 12 3 4 2 2" xfId="37557" xr:uid="{BFC06454-3F44-4007-B852-0224B26C859E}"/>
    <cellStyle name="20% - Accent5 12 3 4 3" xfId="21662" xr:uid="{00000000-0005-0000-0000-00005A1D0000}"/>
    <cellStyle name="20% - Accent5 12 3 4 3 2" xfId="45494" xr:uid="{7690DF84-C438-4949-84C0-1336707399AD}"/>
    <cellStyle name="20% - Accent5 12 3 4 4" xfId="29616" xr:uid="{C27B00A7-F7A9-40DD-B521-397B199057F7}"/>
    <cellStyle name="20% - Accent5 12 3 5" xfId="9283" xr:uid="{00000000-0005-0000-0000-00005B1D0000}"/>
    <cellStyle name="20% - Accent5 12 3 5 2" xfId="17241" xr:uid="{00000000-0005-0000-0000-00005C1D0000}"/>
    <cellStyle name="20% - Accent5 12 3 5 2 2" xfId="41081" xr:uid="{F521B933-8135-402A-9218-169F18E3E069}"/>
    <cellStyle name="20% - Accent5 12 3 5 3" xfId="25185" xr:uid="{00000000-0005-0000-0000-00005D1D0000}"/>
    <cellStyle name="20% - Accent5 12 3 5 3 2" xfId="49017" xr:uid="{1F0DA942-6FCC-4268-A015-05D1DAAC8628}"/>
    <cellStyle name="20% - Accent5 12 3 5 4" xfId="33140" xr:uid="{15821628-31CC-4C9F-88A2-662F8DB62063}"/>
    <cellStyle name="20% - Accent5 12 3 6" xfId="10179" xr:uid="{00000000-0005-0000-0000-00005E1D0000}"/>
    <cellStyle name="20% - Accent5 12 3 6 2" xfId="34028" xr:uid="{F1EF37CA-FE2D-40A3-9849-36E7EEE0111A}"/>
    <cellStyle name="20% - Accent5 12 3 7" xfId="18134" xr:uid="{00000000-0005-0000-0000-00005F1D0000}"/>
    <cellStyle name="20% - Accent5 12 3 7 2" xfId="41966" xr:uid="{44E42E37-DD37-47AF-8EE2-DB939737395B}"/>
    <cellStyle name="20% - Accent5 12 3 8" xfId="26086" xr:uid="{09624003-D1C7-494F-B69D-DDA0F3312C23}"/>
    <cellStyle name="20% - Accent5 12 3_Exh G" xfId="2451" xr:uid="{00000000-0005-0000-0000-0000601D0000}"/>
    <cellStyle name="20% - Accent5 12 4" xfId="1260" xr:uid="{00000000-0005-0000-0000-0000611D0000}"/>
    <cellStyle name="20% - Accent5 12 4 2" xfId="4787" xr:uid="{00000000-0005-0000-0000-0000621D0000}"/>
    <cellStyle name="20% - Accent5 12 4 2 2" xfId="8378" xr:uid="{00000000-0005-0000-0000-0000631D0000}"/>
    <cellStyle name="20% - Accent5 12 4 2 2 2" xfId="16348" xr:uid="{00000000-0005-0000-0000-0000641D0000}"/>
    <cellStyle name="20% - Accent5 12 4 2 2 2 2" xfId="40190" xr:uid="{D52713AD-24F1-4913-9CA5-3D1C74538C68}"/>
    <cellStyle name="20% - Accent5 12 4 2 2 3" xfId="24294" xr:uid="{00000000-0005-0000-0000-0000651D0000}"/>
    <cellStyle name="20% - Accent5 12 4 2 2 3 2" xfId="48126" xr:uid="{12D5A8A7-4A18-4589-B37C-30767BA7CB82}"/>
    <cellStyle name="20% - Accent5 12 4 2 2 4" xfId="32249" xr:uid="{A1AF2430-2890-4710-94DD-892B0F51352A}"/>
    <cellStyle name="20% - Accent5 12 4 2 3" xfId="12810" xr:uid="{00000000-0005-0000-0000-0000661D0000}"/>
    <cellStyle name="20% - Accent5 12 4 2 3 2" xfId="36659" xr:uid="{C7B8EFB0-83D5-4292-8768-35164F0D3E0B}"/>
    <cellStyle name="20% - Accent5 12 4 2 4" xfId="20765" xr:uid="{00000000-0005-0000-0000-0000671D0000}"/>
    <cellStyle name="20% - Accent5 12 4 2 4 2" xfId="44597" xr:uid="{8E09CB8C-9332-48D1-BB08-A3E63EBA3DEB}"/>
    <cellStyle name="20% - Accent5 12 4 2 5" xfId="28718" xr:uid="{A0D5E455-EC36-42E5-AD3A-980DAB73D996}"/>
    <cellStyle name="20% - Accent5 12 4 3" xfId="6619" xr:uid="{00000000-0005-0000-0000-0000681D0000}"/>
    <cellStyle name="20% - Accent5 12 4 3 2" xfId="14590" xr:uid="{00000000-0005-0000-0000-0000691D0000}"/>
    <cellStyle name="20% - Accent5 12 4 3 2 2" xfId="38432" xr:uid="{266C84FD-5E72-4956-80EC-EC8F1DA7A08B}"/>
    <cellStyle name="20% - Accent5 12 4 3 3" xfId="22537" xr:uid="{00000000-0005-0000-0000-00006A1D0000}"/>
    <cellStyle name="20% - Accent5 12 4 3 3 2" xfId="46369" xr:uid="{46EBAD8A-4AB4-4ABB-AB55-BDB0865C4A20}"/>
    <cellStyle name="20% - Accent5 12 4 3 4" xfId="30491" xr:uid="{5A74DA61-475B-4D6B-881D-0CA755E6D220}"/>
    <cellStyle name="20% - Accent5 12 4 4" xfId="11054" xr:uid="{00000000-0005-0000-0000-00006B1D0000}"/>
    <cellStyle name="20% - Accent5 12 4 4 2" xfId="34903" xr:uid="{1306D243-9B02-4D6E-9065-1045AD8BDB96}"/>
    <cellStyle name="20% - Accent5 12 4 5" xfId="19009" xr:uid="{00000000-0005-0000-0000-00006C1D0000}"/>
    <cellStyle name="20% - Accent5 12 4 5 2" xfId="42841" xr:uid="{4F45C83A-9570-4116-A397-D4A966B8C40B}"/>
    <cellStyle name="20% - Accent5 12 4 6" xfId="26961" xr:uid="{EEF35499-9B48-491E-A18E-8B7A470D57D2}"/>
    <cellStyle name="20% - Accent5 12 4_Exh G" xfId="2453" xr:uid="{00000000-0005-0000-0000-00006D1D0000}"/>
    <cellStyle name="20% - Accent5 12 5" xfId="3908" xr:uid="{00000000-0005-0000-0000-00006E1D0000}"/>
    <cellStyle name="20% - Accent5 12 5 2" xfId="7500" xr:uid="{00000000-0005-0000-0000-00006F1D0000}"/>
    <cellStyle name="20% - Accent5 12 5 2 2" xfId="15470" xr:uid="{00000000-0005-0000-0000-0000701D0000}"/>
    <cellStyle name="20% - Accent5 12 5 2 2 2" xfId="39312" xr:uid="{20A656AF-2790-4B04-94DA-4B0217856354}"/>
    <cellStyle name="20% - Accent5 12 5 2 3" xfId="23416" xr:uid="{00000000-0005-0000-0000-0000711D0000}"/>
    <cellStyle name="20% - Accent5 12 5 2 3 2" xfId="47248" xr:uid="{F7806817-40CF-4C51-8541-E8EC97A3135F}"/>
    <cellStyle name="20% - Accent5 12 5 2 4" xfId="31371" xr:uid="{9F72D510-1D6E-479A-8EFF-EA56D5F758AA}"/>
    <cellStyle name="20% - Accent5 12 5 3" xfId="11932" xr:uid="{00000000-0005-0000-0000-0000721D0000}"/>
    <cellStyle name="20% - Accent5 12 5 3 2" xfId="35781" xr:uid="{337A88A3-6D98-4B32-9EB2-73ED7C4A9477}"/>
    <cellStyle name="20% - Accent5 12 5 4" xfId="19887" xr:uid="{00000000-0005-0000-0000-0000731D0000}"/>
    <cellStyle name="20% - Accent5 12 5 4 2" xfId="43719" xr:uid="{846FD91C-9C6E-429A-8CED-F8B4BAB3B7D6}"/>
    <cellStyle name="20% - Accent5 12 5 5" xfId="27840" xr:uid="{2592E060-5C4D-4ED1-B9A3-823883877E8B}"/>
    <cellStyle name="20% - Accent5 12 6" xfId="5728" xr:uid="{00000000-0005-0000-0000-0000741D0000}"/>
    <cellStyle name="20% - Accent5 12 6 2" xfId="13711" xr:uid="{00000000-0005-0000-0000-0000751D0000}"/>
    <cellStyle name="20% - Accent5 12 6 2 2" xfId="37554" xr:uid="{203FA8D7-5AB0-45BA-86DD-94A72FDFE630}"/>
    <cellStyle name="20% - Accent5 12 6 3" xfId="21659" xr:uid="{00000000-0005-0000-0000-0000761D0000}"/>
    <cellStyle name="20% - Accent5 12 6 3 2" xfId="45491" xr:uid="{C0621941-D89C-4106-B87E-017BA37171E4}"/>
    <cellStyle name="20% - Accent5 12 6 4" xfId="29613" xr:uid="{FAECF4C6-4933-4629-9F4B-0684F6275382}"/>
    <cellStyle name="20% - Accent5 12 7" xfId="9280" xr:uid="{00000000-0005-0000-0000-0000771D0000}"/>
    <cellStyle name="20% - Accent5 12 7 2" xfId="17238" xr:uid="{00000000-0005-0000-0000-0000781D0000}"/>
    <cellStyle name="20% - Accent5 12 7 2 2" xfId="41078" xr:uid="{A73EFBF0-AD9C-4703-A20A-7166586E561B}"/>
    <cellStyle name="20% - Accent5 12 7 3" xfId="25182" xr:uid="{00000000-0005-0000-0000-0000791D0000}"/>
    <cellStyle name="20% - Accent5 12 7 3 2" xfId="49014" xr:uid="{64DBFC43-AC84-4789-8FAE-6D66AF0DE14C}"/>
    <cellStyle name="20% - Accent5 12 7 4" xfId="33137" xr:uid="{287F5FFB-24CC-4AE1-9FBC-316E9AF268F9}"/>
    <cellStyle name="20% - Accent5 12 8" xfId="10176" xr:uid="{00000000-0005-0000-0000-00007A1D0000}"/>
    <cellStyle name="20% - Accent5 12 8 2" xfId="34025" xr:uid="{B22E19BE-3F00-4736-9E46-C9FEE3F0E813}"/>
    <cellStyle name="20% - Accent5 12 9" xfId="18131" xr:uid="{00000000-0005-0000-0000-00007B1D0000}"/>
    <cellStyle name="20% - Accent5 12 9 2" xfId="41963" xr:uid="{C7E32357-8B86-4B17-8792-3F6F51595CB1}"/>
    <cellStyle name="20% - Accent5 12_Exh G" xfId="2446" xr:uid="{00000000-0005-0000-0000-00007C1D0000}"/>
    <cellStyle name="20% - Accent5 13" xfId="238" xr:uid="{00000000-0005-0000-0000-00007D1D0000}"/>
    <cellStyle name="20% - Accent5 13 10" xfId="26087" xr:uid="{DE57B2D6-9767-495F-B367-4347F13C334F}"/>
    <cellStyle name="20% - Accent5 13 2" xfId="239" xr:uid="{00000000-0005-0000-0000-00007E1D0000}"/>
    <cellStyle name="20% - Accent5 13 2 2" xfId="240" xr:uid="{00000000-0005-0000-0000-00007F1D0000}"/>
    <cellStyle name="20% - Accent5 13 2 2 2" xfId="1266" xr:uid="{00000000-0005-0000-0000-0000801D0000}"/>
    <cellStyle name="20% - Accent5 13 2 2 2 2" xfId="4793" xr:uid="{00000000-0005-0000-0000-0000811D0000}"/>
    <cellStyle name="20% - Accent5 13 2 2 2 2 2" xfId="8384" xr:uid="{00000000-0005-0000-0000-0000821D0000}"/>
    <cellStyle name="20% - Accent5 13 2 2 2 2 2 2" xfId="16354" xr:uid="{00000000-0005-0000-0000-0000831D0000}"/>
    <cellStyle name="20% - Accent5 13 2 2 2 2 2 2 2" xfId="40196" xr:uid="{E8B7A0AD-F489-4341-8024-4EF652A99ADD}"/>
    <cellStyle name="20% - Accent5 13 2 2 2 2 2 3" xfId="24300" xr:uid="{00000000-0005-0000-0000-0000841D0000}"/>
    <cellStyle name="20% - Accent5 13 2 2 2 2 2 3 2" xfId="48132" xr:uid="{23E2ECB3-AEF7-4F65-AE9A-DFABB505AB39}"/>
    <cellStyle name="20% - Accent5 13 2 2 2 2 2 4" xfId="32255" xr:uid="{252DE69C-A9E5-46BA-A7ED-22526F17BF12}"/>
    <cellStyle name="20% - Accent5 13 2 2 2 2 3" xfId="12816" xr:uid="{00000000-0005-0000-0000-0000851D0000}"/>
    <cellStyle name="20% - Accent5 13 2 2 2 2 3 2" xfId="36665" xr:uid="{6F05DC6D-5B44-465B-B4FF-A2EAC3E2ED7A}"/>
    <cellStyle name="20% - Accent5 13 2 2 2 2 4" xfId="20771" xr:uid="{00000000-0005-0000-0000-0000861D0000}"/>
    <cellStyle name="20% - Accent5 13 2 2 2 2 4 2" xfId="44603" xr:uid="{1605C3BC-7C96-4EF2-BE0B-A7F0604EE047}"/>
    <cellStyle name="20% - Accent5 13 2 2 2 2 5" xfId="28724" xr:uid="{C705D874-EBAF-4309-B3DC-9B3BCE85D2F0}"/>
    <cellStyle name="20% - Accent5 13 2 2 2 3" xfId="6625" xr:uid="{00000000-0005-0000-0000-0000871D0000}"/>
    <cellStyle name="20% - Accent5 13 2 2 2 3 2" xfId="14596" xr:uid="{00000000-0005-0000-0000-0000881D0000}"/>
    <cellStyle name="20% - Accent5 13 2 2 2 3 2 2" xfId="38438" xr:uid="{2476B5F4-5B0A-4957-BC7B-B3FCA5D2F86F}"/>
    <cellStyle name="20% - Accent5 13 2 2 2 3 3" xfId="22543" xr:uid="{00000000-0005-0000-0000-0000891D0000}"/>
    <cellStyle name="20% - Accent5 13 2 2 2 3 3 2" xfId="46375" xr:uid="{E54235C3-97B0-4CAE-983D-0B249381E024}"/>
    <cellStyle name="20% - Accent5 13 2 2 2 3 4" xfId="30497" xr:uid="{2CD94CBE-A933-404D-8A99-A733A5401853}"/>
    <cellStyle name="20% - Accent5 13 2 2 2 4" xfId="11060" xr:uid="{00000000-0005-0000-0000-00008A1D0000}"/>
    <cellStyle name="20% - Accent5 13 2 2 2 4 2" xfId="34909" xr:uid="{6557A7DD-DA32-477E-A931-9B639791AEB9}"/>
    <cellStyle name="20% - Accent5 13 2 2 2 5" xfId="19015" xr:uid="{00000000-0005-0000-0000-00008B1D0000}"/>
    <cellStyle name="20% - Accent5 13 2 2 2 5 2" xfId="42847" xr:uid="{CA3DC8CB-5BD5-49A5-8996-824E2EA628BF}"/>
    <cellStyle name="20% - Accent5 13 2 2 2 6" xfId="26967" xr:uid="{1594F5E5-AA8F-42C6-9250-37853BC32A48}"/>
    <cellStyle name="20% - Accent5 13 2 2 2_Exh G" xfId="2457" xr:uid="{00000000-0005-0000-0000-00008C1D0000}"/>
    <cellStyle name="20% - Accent5 13 2 2 3" xfId="3914" xr:uid="{00000000-0005-0000-0000-00008D1D0000}"/>
    <cellStyle name="20% - Accent5 13 2 2 3 2" xfId="7506" xr:uid="{00000000-0005-0000-0000-00008E1D0000}"/>
    <cellStyle name="20% - Accent5 13 2 2 3 2 2" xfId="15476" xr:uid="{00000000-0005-0000-0000-00008F1D0000}"/>
    <cellStyle name="20% - Accent5 13 2 2 3 2 2 2" xfId="39318" xr:uid="{0C1C0BFD-C282-417A-8A76-8E5115B7B1BD}"/>
    <cellStyle name="20% - Accent5 13 2 2 3 2 3" xfId="23422" xr:uid="{00000000-0005-0000-0000-0000901D0000}"/>
    <cellStyle name="20% - Accent5 13 2 2 3 2 3 2" xfId="47254" xr:uid="{B996B34F-708D-4C66-91CA-D47F6FF8266D}"/>
    <cellStyle name="20% - Accent5 13 2 2 3 2 4" xfId="31377" xr:uid="{173FE4EF-87F8-4208-ABFE-E33F330C5BB5}"/>
    <cellStyle name="20% - Accent5 13 2 2 3 3" xfId="11938" xr:uid="{00000000-0005-0000-0000-0000911D0000}"/>
    <cellStyle name="20% - Accent5 13 2 2 3 3 2" xfId="35787" xr:uid="{494009FA-8A0D-4B83-A674-52E0361B3726}"/>
    <cellStyle name="20% - Accent5 13 2 2 3 4" xfId="19893" xr:uid="{00000000-0005-0000-0000-0000921D0000}"/>
    <cellStyle name="20% - Accent5 13 2 2 3 4 2" xfId="43725" xr:uid="{C63118E4-F83D-44D3-A6DF-2739C41B0F8E}"/>
    <cellStyle name="20% - Accent5 13 2 2 3 5" xfId="27846" xr:uid="{16A931EB-7357-483E-9F7A-C0F42A80412B}"/>
    <cellStyle name="20% - Accent5 13 2 2 4" xfId="5734" xr:uid="{00000000-0005-0000-0000-0000931D0000}"/>
    <cellStyle name="20% - Accent5 13 2 2 4 2" xfId="13717" xr:uid="{00000000-0005-0000-0000-0000941D0000}"/>
    <cellStyle name="20% - Accent5 13 2 2 4 2 2" xfId="37560" xr:uid="{E16F253C-8F13-4DC4-A687-3C4274EA14A7}"/>
    <cellStyle name="20% - Accent5 13 2 2 4 3" xfId="21665" xr:uid="{00000000-0005-0000-0000-0000951D0000}"/>
    <cellStyle name="20% - Accent5 13 2 2 4 3 2" xfId="45497" xr:uid="{E157D91A-3B36-426B-A832-453CE0050D02}"/>
    <cellStyle name="20% - Accent5 13 2 2 4 4" xfId="29619" xr:uid="{6A115177-5F94-48C1-9FFE-19B7D6D927BC}"/>
    <cellStyle name="20% - Accent5 13 2 2 5" xfId="9286" xr:uid="{00000000-0005-0000-0000-0000961D0000}"/>
    <cellStyle name="20% - Accent5 13 2 2 5 2" xfId="17244" xr:uid="{00000000-0005-0000-0000-0000971D0000}"/>
    <cellStyle name="20% - Accent5 13 2 2 5 2 2" xfId="41084" xr:uid="{920341BC-4321-4B61-ADCA-A8DCB64FA240}"/>
    <cellStyle name="20% - Accent5 13 2 2 5 3" xfId="25188" xr:uid="{00000000-0005-0000-0000-0000981D0000}"/>
    <cellStyle name="20% - Accent5 13 2 2 5 3 2" xfId="49020" xr:uid="{724D402E-DFB4-467E-98A3-DEC11237EFE4}"/>
    <cellStyle name="20% - Accent5 13 2 2 5 4" xfId="33143" xr:uid="{AAC47D27-D44C-4082-A42C-6143DFFEC367}"/>
    <cellStyle name="20% - Accent5 13 2 2 6" xfId="10182" xr:uid="{00000000-0005-0000-0000-0000991D0000}"/>
    <cellStyle name="20% - Accent5 13 2 2 6 2" xfId="34031" xr:uid="{8D56604D-291C-4363-B8B6-25A0B28E3387}"/>
    <cellStyle name="20% - Accent5 13 2 2 7" xfId="18137" xr:uid="{00000000-0005-0000-0000-00009A1D0000}"/>
    <cellStyle name="20% - Accent5 13 2 2 7 2" xfId="41969" xr:uid="{CB3CDE38-7B2B-4BB8-A596-9C9B140CF674}"/>
    <cellStyle name="20% - Accent5 13 2 2 8" xfId="26089" xr:uid="{305BBAC9-F84D-4077-ABFD-838ECB7C33FE}"/>
    <cellStyle name="20% - Accent5 13 2 2_Exh G" xfId="2456" xr:uid="{00000000-0005-0000-0000-00009B1D0000}"/>
    <cellStyle name="20% - Accent5 13 2 3" xfId="1265" xr:uid="{00000000-0005-0000-0000-00009C1D0000}"/>
    <cellStyle name="20% - Accent5 13 2 3 2" xfId="4792" xr:uid="{00000000-0005-0000-0000-00009D1D0000}"/>
    <cellStyle name="20% - Accent5 13 2 3 2 2" xfId="8383" xr:uid="{00000000-0005-0000-0000-00009E1D0000}"/>
    <cellStyle name="20% - Accent5 13 2 3 2 2 2" xfId="16353" xr:uid="{00000000-0005-0000-0000-00009F1D0000}"/>
    <cellStyle name="20% - Accent5 13 2 3 2 2 2 2" xfId="40195" xr:uid="{82B2277D-8396-473B-B0A6-54573B545259}"/>
    <cellStyle name="20% - Accent5 13 2 3 2 2 3" xfId="24299" xr:uid="{00000000-0005-0000-0000-0000A01D0000}"/>
    <cellStyle name="20% - Accent5 13 2 3 2 2 3 2" xfId="48131" xr:uid="{1E066375-5ED6-47BD-A409-D1CC12D7E8D6}"/>
    <cellStyle name="20% - Accent5 13 2 3 2 2 4" xfId="32254" xr:uid="{E40633B6-8027-4774-B6A1-A2104E2707F1}"/>
    <cellStyle name="20% - Accent5 13 2 3 2 3" xfId="12815" xr:uid="{00000000-0005-0000-0000-0000A11D0000}"/>
    <cellStyle name="20% - Accent5 13 2 3 2 3 2" xfId="36664" xr:uid="{53B06251-B6FE-4EA0-A5C9-BDC7DB5036E7}"/>
    <cellStyle name="20% - Accent5 13 2 3 2 4" xfId="20770" xr:uid="{00000000-0005-0000-0000-0000A21D0000}"/>
    <cellStyle name="20% - Accent5 13 2 3 2 4 2" xfId="44602" xr:uid="{DD4FBB69-5413-4E37-8A6A-A6C54E9A9AE2}"/>
    <cellStyle name="20% - Accent5 13 2 3 2 5" xfId="28723" xr:uid="{427D6BB3-2B1E-4EDB-840D-2D4C89A36785}"/>
    <cellStyle name="20% - Accent5 13 2 3 3" xfId="6624" xr:uid="{00000000-0005-0000-0000-0000A31D0000}"/>
    <cellStyle name="20% - Accent5 13 2 3 3 2" xfId="14595" xr:uid="{00000000-0005-0000-0000-0000A41D0000}"/>
    <cellStyle name="20% - Accent5 13 2 3 3 2 2" xfId="38437" xr:uid="{87780B6D-9EC2-49BF-B7DE-05586701F6F2}"/>
    <cellStyle name="20% - Accent5 13 2 3 3 3" xfId="22542" xr:uid="{00000000-0005-0000-0000-0000A51D0000}"/>
    <cellStyle name="20% - Accent5 13 2 3 3 3 2" xfId="46374" xr:uid="{2B6CB93E-89A2-47BC-8997-07894A5B6A30}"/>
    <cellStyle name="20% - Accent5 13 2 3 3 4" xfId="30496" xr:uid="{E8276F5B-2D0D-4A5B-B839-F15FB87DEA05}"/>
    <cellStyle name="20% - Accent5 13 2 3 4" xfId="11059" xr:uid="{00000000-0005-0000-0000-0000A61D0000}"/>
    <cellStyle name="20% - Accent5 13 2 3 4 2" xfId="34908" xr:uid="{D619CE1C-715E-49D1-B525-AE36B360E0E2}"/>
    <cellStyle name="20% - Accent5 13 2 3 5" xfId="19014" xr:uid="{00000000-0005-0000-0000-0000A71D0000}"/>
    <cellStyle name="20% - Accent5 13 2 3 5 2" xfId="42846" xr:uid="{B46EC3FE-FE28-4824-8F6B-5603BBAFF2E5}"/>
    <cellStyle name="20% - Accent5 13 2 3 6" xfId="26966" xr:uid="{3D879784-ECBD-4C1F-AEB8-9B90DC87D0DC}"/>
    <cellStyle name="20% - Accent5 13 2 3_Exh G" xfId="2458" xr:uid="{00000000-0005-0000-0000-0000A81D0000}"/>
    <cellStyle name="20% - Accent5 13 2 4" xfId="3913" xr:uid="{00000000-0005-0000-0000-0000A91D0000}"/>
    <cellStyle name="20% - Accent5 13 2 4 2" xfId="7505" xr:uid="{00000000-0005-0000-0000-0000AA1D0000}"/>
    <cellStyle name="20% - Accent5 13 2 4 2 2" xfId="15475" xr:uid="{00000000-0005-0000-0000-0000AB1D0000}"/>
    <cellStyle name="20% - Accent5 13 2 4 2 2 2" xfId="39317" xr:uid="{15C982EE-0674-41F6-B209-429D14A1259D}"/>
    <cellStyle name="20% - Accent5 13 2 4 2 3" xfId="23421" xr:uid="{00000000-0005-0000-0000-0000AC1D0000}"/>
    <cellStyle name="20% - Accent5 13 2 4 2 3 2" xfId="47253" xr:uid="{A486BCA0-C8CC-4987-8D21-553F4BC874FF}"/>
    <cellStyle name="20% - Accent5 13 2 4 2 4" xfId="31376" xr:uid="{FC08F54D-F70A-4ACB-B123-58FAF4FB8499}"/>
    <cellStyle name="20% - Accent5 13 2 4 3" xfId="11937" xr:uid="{00000000-0005-0000-0000-0000AD1D0000}"/>
    <cellStyle name="20% - Accent5 13 2 4 3 2" xfId="35786" xr:uid="{A8EA12C4-AACB-487E-BC9B-C0EC7256AED3}"/>
    <cellStyle name="20% - Accent5 13 2 4 4" xfId="19892" xr:uid="{00000000-0005-0000-0000-0000AE1D0000}"/>
    <cellStyle name="20% - Accent5 13 2 4 4 2" xfId="43724" xr:uid="{1A28BC58-DF75-45A6-96D0-A8112BFC6BCC}"/>
    <cellStyle name="20% - Accent5 13 2 4 5" xfId="27845" xr:uid="{A7FCBB10-395B-4A06-B869-6E91680EAE5F}"/>
    <cellStyle name="20% - Accent5 13 2 5" xfId="5733" xr:uid="{00000000-0005-0000-0000-0000AF1D0000}"/>
    <cellStyle name="20% - Accent5 13 2 5 2" xfId="13716" xr:uid="{00000000-0005-0000-0000-0000B01D0000}"/>
    <cellStyle name="20% - Accent5 13 2 5 2 2" xfId="37559" xr:uid="{70750F5E-93C9-428E-AC62-82EE93D14968}"/>
    <cellStyle name="20% - Accent5 13 2 5 3" xfId="21664" xr:uid="{00000000-0005-0000-0000-0000B11D0000}"/>
    <cellStyle name="20% - Accent5 13 2 5 3 2" xfId="45496" xr:uid="{93C63A47-54B5-4440-8197-FB0636044E23}"/>
    <cellStyle name="20% - Accent5 13 2 5 4" xfId="29618" xr:uid="{FFED742F-DD36-41F5-A97F-206AAC1103D6}"/>
    <cellStyle name="20% - Accent5 13 2 6" xfId="9285" xr:uid="{00000000-0005-0000-0000-0000B21D0000}"/>
    <cellStyle name="20% - Accent5 13 2 6 2" xfId="17243" xr:uid="{00000000-0005-0000-0000-0000B31D0000}"/>
    <cellStyle name="20% - Accent5 13 2 6 2 2" xfId="41083" xr:uid="{BD0E25B8-E448-4D44-AB0D-0C07DCC0E343}"/>
    <cellStyle name="20% - Accent5 13 2 6 3" xfId="25187" xr:uid="{00000000-0005-0000-0000-0000B41D0000}"/>
    <cellStyle name="20% - Accent5 13 2 6 3 2" xfId="49019" xr:uid="{B690B962-BD4E-4FB5-BA37-519A63E50F86}"/>
    <cellStyle name="20% - Accent5 13 2 6 4" xfId="33142" xr:uid="{4B869C52-5A7B-4342-BAC1-6E3D092BDCB2}"/>
    <cellStyle name="20% - Accent5 13 2 7" xfId="10181" xr:uid="{00000000-0005-0000-0000-0000B51D0000}"/>
    <cellStyle name="20% - Accent5 13 2 7 2" xfId="34030" xr:uid="{01EFD3F5-157A-4837-AA9F-8BC1723F45A3}"/>
    <cellStyle name="20% - Accent5 13 2 8" xfId="18136" xr:uid="{00000000-0005-0000-0000-0000B61D0000}"/>
    <cellStyle name="20% - Accent5 13 2 8 2" xfId="41968" xr:uid="{1E64A75D-5295-4200-BD09-18D61387A447}"/>
    <cellStyle name="20% - Accent5 13 2 9" xfId="26088" xr:uid="{332EF8FC-E10F-4859-AD96-56063DCF2FF6}"/>
    <cellStyle name="20% - Accent5 13 2_Exh G" xfId="2455" xr:uid="{00000000-0005-0000-0000-0000B71D0000}"/>
    <cellStyle name="20% - Accent5 13 3" xfId="241" xr:uid="{00000000-0005-0000-0000-0000B81D0000}"/>
    <cellStyle name="20% - Accent5 13 3 2" xfId="1267" xr:uid="{00000000-0005-0000-0000-0000B91D0000}"/>
    <cellStyle name="20% - Accent5 13 3 2 2" xfId="4794" xr:uid="{00000000-0005-0000-0000-0000BA1D0000}"/>
    <cellStyle name="20% - Accent5 13 3 2 2 2" xfId="8385" xr:uid="{00000000-0005-0000-0000-0000BB1D0000}"/>
    <cellStyle name="20% - Accent5 13 3 2 2 2 2" xfId="16355" xr:uid="{00000000-0005-0000-0000-0000BC1D0000}"/>
    <cellStyle name="20% - Accent5 13 3 2 2 2 2 2" xfId="40197" xr:uid="{77BA1294-C619-4108-8432-4E3E265762E4}"/>
    <cellStyle name="20% - Accent5 13 3 2 2 2 3" xfId="24301" xr:uid="{00000000-0005-0000-0000-0000BD1D0000}"/>
    <cellStyle name="20% - Accent5 13 3 2 2 2 3 2" xfId="48133" xr:uid="{DBD24705-D4D8-480E-86C2-827106B9986C}"/>
    <cellStyle name="20% - Accent5 13 3 2 2 2 4" xfId="32256" xr:uid="{2A8BC4B3-A5CD-44F4-9E87-C8BD9236E287}"/>
    <cellStyle name="20% - Accent5 13 3 2 2 3" xfId="12817" xr:uid="{00000000-0005-0000-0000-0000BE1D0000}"/>
    <cellStyle name="20% - Accent5 13 3 2 2 3 2" xfId="36666" xr:uid="{5240C39F-D26C-4649-9B19-F40292537CCE}"/>
    <cellStyle name="20% - Accent5 13 3 2 2 4" xfId="20772" xr:uid="{00000000-0005-0000-0000-0000BF1D0000}"/>
    <cellStyle name="20% - Accent5 13 3 2 2 4 2" xfId="44604" xr:uid="{A1E0B1D6-D218-40B2-86EF-1F6CCC5F4C63}"/>
    <cellStyle name="20% - Accent5 13 3 2 2 5" xfId="28725" xr:uid="{E8E29076-2F8B-4C14-A681-A9B90E26F466}"/>
    <cellStyle name="20% - Accent5 13 3 2 3" xfId="6626" xr:uid="{00000000-0005-0000-0000-0000C01D0000}"/>
    <cellStyle name="20% - Accent5 13 3 2 3 2" xfId="14597" xr:uid="{00000000-0005-0000-0000-0000C11D0000}"/>
    <cellStyle name="20% - Accent5 13 3 2 3 2 2" xfId="38439" xr:uid="{5192F187-A6EC-43F1-857C-9D4F61E7A7A4}"/>
    <cellStyle name="20% - Accent5 13 3 2 3 3" xfId="22544" xr:uid="{00000000-0005-0000-0000-0000C21D0000}"/>
    <cellStyle name="20% - Accent5 13 3 2 3 3 2" xfId="46376" xr:uid="{50E761BA-3652-4334-8BD4-30C33CEBBB4B}"/>
    <cellStyle name="20% - Accent5 13 3 2 3 4" xfId="30498" xr:uid="{B0DA085F-2ADC-4CE4-99FD-3C13F7E13A26}"/>
    <cellStyle name="20% - Accent5 13 3 2 4" xfId="11061" xr:uid="{00000000-0005-0000-0000-0000C31D0000}"/>
    <cellStyle name="20% - Accent5 13 3 2 4 2" xfId="34910" xr:uid="{3A7CFE4B-BB53-446D-A440-8BBEE28FF358}"/>
    <cellStyle name="20% - Accent5 13 3 2 5" xfId="19016" xr:uid="{00000000-0005-0000-0000-0000C41D0000}"/>
    <cellStyle name="20% - Accent5 13 3 2 5 2" xfId="42848" xr:uid="{CD129010-F58E-4318-A6F6-DD34BB4930D2}"/>
    <cellStyle name="20% - Accent5 13 3 2 6" xfId="26968" xr:uid="{66E18408-9B65-4332-B5AC-E78724655B99}"/>
    <cellStyle name="20% - Accent5 13 3 2_Exh G" xfId="2460" xr:uid="{00000000-0005-0000-0000-0000C51D0000}"/>
    <cellStyle name="20% - Accent5 13 3 3" xfId="3915" xr:uid="{00000000-0005-0000-0000-0000C61D0000}"/>
    <cellStyle name="20% - Accent5 13 3 3 2" xfId="7507" xr:uid="{00000000-0005-0000-0000-0000C71D0000}"/>
    <cellStyle name="20% - Accent5 13 3 3 2 2" xfId="15477" xr:uid="{00000000-0005-0000-0000-0000C81D0000}"/>
    <cellStyle name="20% - Accent5 13 3 3 2 2 2" xfId="39319" xr:uid="{8B71E18B-C1F0-4355-88E9-6663331E3970}"/>
    <cellStyle name="20% - Accent5 13 3 3 2 3" xfId="23423" xr:uid="{00000000-0005-0000-0000-0000C91D0000}"/>
    <cellStyle name="20% - Accent5 13 3 3 2 3 2" xfId="47255" xr:uid="{035CFDE5-C24D-4F7E-994F-08D1A72B95AE}"/>
    <cellStyle name="20% - Accent5 13 3 3 2 4" xfId="31378" xr:uid="{584D1B8C-C238-4B5D-BF0A-D0568E37CFC9}"/>
    <cellStyle name="20% - Accent5 13 3 3 3" xfId="11939" xr:uid="{00000000-0005-0000-0000-0000CA1D0000}"/>
    <cellStyle name="20% - Accent5 13 3 3 3 2" xfId="35788" xr:uid="{D0A2EBDB-C1A1-4BA3-8B87-6B62D3F905A0}"/>
    <cellStyle name="20% - Accent5 13 3 3 4" xfId="19894" xr:uid="{00000000-0005-0000-0000-0000CB1D0000}"/>
    <cellStyle name="20% - Accent5 13 3 3 4 2" xfId="43726" xr:uid="{EB41032D-2983-46BC-9A55-6486D974ACB8}"/>
    <cellStyle name="20% - Accent5 13 3 3 5" xfId="27847" xr:uid="{49DC54A1-2866-46F2-A350-46269A876F6E}"/>
    <cellStyle name="20% - Accent5 13 3 4" xfId="5735" xr:uid="{00000000-0005-0000-0000-0000CC1D0000}"/>
    <cellStyle name="20% - Accent5 13 3 4 2" xfId="13718" xr:uid="{00000000-0005-0000-0000-0000CD1D0000}"/>
    <cellStyle name="20% - Accent5 13 3 4 2 2" xfId="37561" xr:uid="{D553E8F3-B44E-409D-8E4F-F71839762AA1}"/>
    <cellStyle name="20% - Accent5 13 3 4 3" xfId="21666" xr:uid="{00000000-0005-0000-0000-0000CE1D0000}"/>
    <cellStyle name="20% - Accent5 13 3 4 3 2" xfId="45498" xr:uid="{5F777953-6EB7-4ED2-8E40-8E34DD3FC61D}"/>
    <cellStyle name="20% - Accent5 13 3 4 4" xfId="29620" xr:uid="{AA2F238D-D6C4-424F-AB26-646C37D6F2FF}"/>
    <cellStyle name="20% - Accent5 13 3 5" xfId="9287" xr:uid="{00000000-0005-0000-0000-0000CF1D0000}"/>
    <cellStyle name="20% - Accent5 13 3 5 2" xfId="17245" xr:uid="{00000000-0005-0000-0000-0000D01D0000}"/>
    <cellStyle name="20% - Accent5 13 3 5 2 2" xfId="41085" xr:uid="{B4AC5215-43D3-4DA8-BBEB-FAAD20FFBC4C}"/>
    <cellStyle name="20% - Accent5 13 3 5 3" xfId="25189" xr:uid="{00000000-0005-0000-0000-0000D11D0000}"/>
    <cellStyle name="20% - Accent5 13 3 5 3 2" xfId="49021" xr:uid="{AAB99947-1FA5-481F-B4C3-A7EA2DA65B4A}"/>
    <cellStyle name="20% - Accent5 13 3 5 4" xfId="33144" xr:uid="{1663D910-C7AE-4602-A3A4-27FFB7294312}"/>
    <cellStyle name="20% - Accent5 13 3 6" xfId="10183" xr:uid="{00000000-0005-0000-0000-0000D21D0000}"/>
    <cellStyle name="20% - Accent5 13 3 6 2" xfId="34032" xr:uid="{7C52981C-8923-4362-80E9-18CB30805177}"/>
    <cellStyle name="20% - Accent5 13 3 7" xfId="18138" xr:uid="{00000000-0005-0000-0000-0000D31D0000}"/>
    <cellStyle name="20% - Accent5 13 3 7 2" xfId="41970" xr:uid="{4DECA3DC-A226-4D38-9641-0AB36CDECB0D}"/>
    <cellStyle name="20% - Accent5 13 3 8" xfId="26090" xr:uid="{6653EF7D-1605-4717-BAE7-8DD1A3B0768D}"/>
    <cellStyle name="20% - Accent5 13 3_Exh G" xfId="2459" xr:uid="{00000000-0005-0000-0000-0000D41D0000}"/>
    <cellStyle name="20% - Accent5 13 4" xfId="1264" xr:uid="{00000000-0005-0000-0000-0000D51D0000}"/>
    <cellStyle name="20% - Accent5 13 4 2" xfId="4791" xr:uid="{00000000-0005-0000-0000-0000D61D0000}"/>
    <cellStyle name="20% - Accent5 13 4 2 2" xfId="8382" xr:uid="{00000000-0005-0000-0000-0000D71D0000}"/>
    <cellStyle name="20% - Accent5 13 4 2 2 2" xfId="16352" xr:uid="{00000000-0005-0000-0000-0000D81D0000}"/>
    <cellStyle name="20% - Accent5 13 4 2 2 2 2" xfId="40194" xr:uid="{88D8226E-6904-4099-B9FB-213597F34C22}"/>
    <cellStyle name="20% - Accent5 13 4 2 2 3" xfId="24298" xr:uid="{00000000-0005-0000-0000-0000D91D0000}"/>
    <cellStyle name="20% - Accent5 13 4 2 2 3 2" xfId="48130" xr:uid="{3E28002B-150D-4B4B-9FD6-A26F6E6044EA}"/>
    <cellStyle name="20% - Accent5 13 4 2 2 4" xfId="32253" xr:uid="{BC39698C-D122-46E1-9423-E5D19595282C}"/>
    <cellStyle name="20% - Accent5 13 4 2 3" xfId="12814" xr:uid="{00000000-0005-0000-0000-0000DA1D0000}"/>
    <cellStyle name="20% - Accent5 13 4 2 3 2" xfId="36663" xr:uid="{9084833A-8738-41CB-8613-F703A1881D50}"/>
    <cellStyle name="20% - Accent5 13 4 2 4" xfId="20769" xr:uid="{00000000-0005-0000-0000-0000DB1D0000}"/>
    <cellStyle name="20% - Accent5 13 4 2 4 2" xfId="44601" xr:uid="{49E16342-7986-41DD-9979-EF6107EB3251}"/>
    <cellStyle name="20% - Accent5 13 4 2 5" xfId="28722" xr:uid="{0D902729-CAAC-445A-9387-ED6E35328C88}"/>
    <cellStyle name="20% - Accent5 13 4 3" xfId="6623" xr:uid="{00000000-0005-0000-0000-0000DC1D0000}"/>
    <cellStyle name="20% - Accent5 13 4 3 2" xfId="14594" xr:uid="{00000000-0005-0000-0000-0000DD1D0000}"/>
    <cellStyle name="20% - Accent5 13 4 3 2 2" xfId="38436" xr:uid="{00D49EB4-057A-4DAE-89BD-38AB90529EC6}"/>
    <cellStyle name="20% - Accent5 13 4 3 3" xfId="22541" xr:uid="{00000000-0005-0000-0000-0000DE1D0000}"/>
    <cellStyle name="20% - Accent5 13 4 3 3 2" xfId="46373" xr:uid="{CE382D4C-2456-4C08-BCA7-828339DD9BCF}"/>
    <cellStyle name="20% - Accent5 13 4 3 4" xfId="30495" xr:uid="{856BB385-D13D-44AE-998B-12F927DA4625}"/>
    <cellStyle name="20% - Accent5 13 4 4" xfId="11058" xr:uid="{00000000-0005-0000-0000-0000DF1D0000}"/>
    <cellStyle name="20% - Accent5 13 4 4 2" xfId="34907" xr:uid="{AA78191D-D490-4FCD-9177-80B226464570}"/>
    <cellStyle name="20% - Accent5 13 4 5" xfId="19013" xr:uid="{00000000-0005-0000-0000-0000E01D0000}"/>
    <cellStyle name="20% - Accent5 13 4 5 2" xfId="42845" xr:uid="{43ECCD9E-3584-48D3-A76A-165FFB718979}"/>
    <cellStyle name="20% - Accent5 13 4 6" xfId="26965" xr:uid="{38F5CD9E-23B9-4854-ADAC-67A30B389E8D}"/>
    <cellStyle name="20% - Accent5 13 4_Exh G" xfId="2461" xr:uid="{00000000-0005-0000-0000-0000E11D0000}"/>
    <cellStyle name="20% - Accent5 13 5" xfId="3912" xr:uid="{00000000-0005-0000-0000-0000E21D0000}"/>
    <cellStyle name="20% - Accent5 13 5 2" xfId="7504" xr:uid="{00000000-0005-0000-0000-0000E31D0000}"/>
    <cellStyle name="20% - Accent5 13 5 2 2" xfId="15474" xr:uid="{00000000-0005-0000-0000-0000E41D0000}"/>
    <cellStyle name="20% - Accent5 13 5 2 2 2" xfId="39316" xr:uid="{1BA413F3-AD65-4532-8BA4-41B044164CA9}"/>
    <cellStyle name="20% - Accent5 13 5 2 3" xfId="23420" xr:uid="{00000000-0005-0000-0000-0000E51D0000}"/>
    <cellStyle name="20% - Accent5 13 5 2 3 2" xfId="47252" xr:uid="{2267AA10-8AA6-4C7A-AE26-E03BA10C5057}"/>
    <cellStyle name="20% - Accent5 13 5 2 4" xfId="31375" xr:uid="{903EEBD0-03B5-448F-93EF-29A688B6C6A9}"/>
    <cellStyle name="20% - Accent5 13 5 3" xfId="11936" xr:uid="{00000000-0005-0000-0000-0000E61D0000}"/>
    <cellStyle name="20% - Accent5 13 5 3 2" xfId="35785" xr:uid="{83D054F9-985E-4BF8-B243-0D48804A969A}"/>
    <cellStyle name="20% - Accent5 13 5 4" xfId="19891" xr:uid="{00000000-0005-0000-0000-0000E71D0000}"/>
    <cellStyle name="20% - Accent5 13 5 4 2" xfId="43723" xr:uid="{EAA67211-FB3C-4E16-997B-C0BBC83A62D9}"/>
    <cellStyle name="20% - Accent5 13 5 5" xfId="27844" xr:uid="{1A114ED1-1FDB-4A95-82DA-A34596D97751}"/>
    <cellStyle name="20% - Accent5 13 6" xfId="5732" xr:uid="{00000000-0005-0000-0000-0000E81D0000}"/>
    <cellStyle name="20% - Accent5 13 6 2" xfId="13715" xr:uid="{00000000-0005-0000-0000-0000E91D0000}"/>
    <cellStyle name="20% - Accent5 13 6 2 2" xfId="37558" xr:uid="{734AA32E-13C5-4BAA-8C4B-2A0D7A56E335}"/>
    <cellStyle name="20% - Accent5 13 6 3" xfId="21663" xr:uid="{00000000-0005-0000-0000-0000EA1D0000}"/>
    <cellStyle name="20% - Accent5 13 6 3 2" xfId="45495" xr:uid="{9F936676-B125-44B2-84EB-9B1D9BD7BF13}"/>
    <cellStyle name="20% - Accent5 13 6 4" xfId="29617" xr:uid="{8E422EF6-9D21-4AAA-A843-04AAC89FC54D}"/>
    <cellStyle name="20% - Accent5 13 7" xfId="9284" xr:uid="{00000000-0005-0000-0000-0000EB1D0000}"/>
    <cellStyle name="20% - Accent5 13 7 2" xfId="17242" xr:uid="{00000000-0005-0000-0000-0000EC1D0000}"/>
    <cellStyle name="20% - Accent5 13 7 2 2" xfId="41082" xr:uid="{B524788F-EEFA-4FE2-BE57-6EB02200CAFB}"/>
    <cellStyle name="20% - Accent5 13 7 3" xfId="25186" xr:uid="{00000000-0005-0000-0000-0000ED1D0000}"/>
    <cellStyle name="20% - Accent5 13 7 3 2" xfId="49018" xr:uid="{9D1AE978-8338-42D3-A88D-773D3687E54C}"/>
    <cellStyle name="20% - Accent5 13 7 4" xfId="33141" xr:uid="{DDC9A46C-883C-42F2-A972-11B4A1493F5C}"/>
    <cellStyle name="20% - Accent5 13 8" xfId="10180" xr:uid="{00000000-0005-0000-0000-0000EE1D0000}"/>
    <cellStyle name="20% - Accent5 13 8 2" xfId="34029" xr:uid="{A6811475-5436-4961-9DAB-004138BBA7BE}"/>
    <cellStyle name="20% - Accent5 13 9" xfId="18135" xr:uid="{00000000-0005-0000-0000-0000EF1D0000}"/>
    <cellStyle name="20% - Accent5 13 9 2" xfId="41967" xr:uid="{5EF3DBC9-B4BD-4F21-AFF5-9CD055B3D876}"/>
    <cellStyle name="20% - Accent5 13_Exh G" xfId="2454" xr:uid="{00000000-0005-0000-0000-0000F01D0000}"/>
    <cellStyle name="20% - Accent5 14" xfId="242" xr:uid="{00000000-0005-0000-0000-0000F11D0000}"/>
    <cellStyle name="20% - Accent5 14 2" xfId="243" xr:uid="{00000000-0005-0000-0000-0000F21D0000}"/>
    <cellStyle name="20% - Accent5 14 2 2" xfId="1269" xr:uid="{00000000-0005-0000-0000-0000F31D0000}"/>
    <cellStyle name="20% - Accent5 14 2 2 2" xfId="4796" xr:uid="{00000000-0005-0000-0000-0000F41D0000}"/>
    <cellStyle name="20% - Accent5 14 2 2 2 2" xfId="8387" xr:uid="{00000000-0005-0000-0000-0000F51D0000}"/>
    <cellStyle name="20% - Accent5 14 2 2 2 2 2" xfId="16357" xr:uid="{00000000-0005-0000-0000-0000F61D0000}"/>
    <cellStyle name="20% - Accent5 14 2 2 2 2 2 2" xfId="40199" xr:uid="{42C18052-123A-4BED-A4CA-E9EE8AC21198}"/>
    <cellStyle name="20% - Accent5 14 2 2 2 2 3" xfId="24303" xr:uid="{00000000-0005-0000-0000-0000F71D0000}"/>
    <cellStyle name="20% - Accent5 14 2 2 2 2 3 2" xfId="48135" xr:uid="{0F60E358-11D5-4D91-997E-4BEE1318B09E}"/>
    <cellStyle name="20% - Accent5 14 2 2 2 2 4" xfId="32258" xr:uid="{C7132CB9-AA53-4B7C-9B86-E61E6BD75C11}"/>
    <cellStyle name="20% - Accent5 14 2 2 2 3" xfId="12819" xr:uid="{00000000-0005-0000-0000-0000F81D0000}"/>
    <cellStyle name="20% - Accent5 14 2 2 2 3 2" xfId="36668" xr:uid="{1A30A8C7-133D-4149-B315-8328BC8069C6}"/>
    <cellStyle name="20% - Accent5 14 2 2 2 4" xfId="20774" xr:uid="{00000000-0005-0000-0000-0000F91D0000}"/>
    <cellStyle name="20% - Accent5 14 2 2 2 4 2" xfId="44606" xr:uid="{807977A8-2E0A-4CBA-9701-59F193E59769}"/>
    <cellStyle name="20% - Accent5 14 2 2 2 5" xfId="28727" xr:uid="{EF3A6E4D-1E36-40AF-ABD6-44B5B69FB33C}"/>
    <cellStyle name="20% - Accent5 14 2 2 3" xfId="6628" xr:uid="{00000000-0005-0000-0000-0000FA1D0000}"/>
    <cellStyle name="20% - Accent5 14 2 2 3 2" xfId="14599" xr:uid="{00000000-0005-0000-0000-0000FB1D0000}"/>
    <cellStyle name="20% - Accent5 14 2 2 3 2 2" xfId="38441" xr:uid="{AC471207-075D-46B2-92E8-6B20DD92018A}"/>
    <cellStyle name="20% - Accent5 14 2 2 3 3" xfId="22546" xr:uid="{00000000-0005-0000-0000-0000FC1D0000}"/>
    <cellStyle name="20% - Accent5 14 2 2 3 3 2" xfId="46378" xr:uid="{08296A8B-1974-4EFC-A181-28D37A97DAA4}"/>
    <cellStyle name="20% - Accent5 14 2 2 3 4" xfId="30500" xr:uid="{FAF90A31-C148-48BE-9856-930885AB8884}"/>
    <cellStyle name="20% - Accent5 14 2 2 4" xfId="11063" xr:uid="{00000000-0005-0000-0000-0000FD1D0000}"/>
    <cellStyle name="20% - Accent5 14 2 2 4 2" xfId="34912" xr:uid="{D9334058-B518-464A-83D3-8631C4CCD45E}"/>
    <cellStyle name="20% - Accent5 14 2 2 5" xfId="19018" xr:uid="{00000000-0005-0000-0000-0000FE1D0000}"/>
    <cellStyle name="20% - Accent5 14 2 2 5 2" xfId="42850" xr:uid="{66B01DD9-E471-42B6-B851-7EB62F79E204}"/>
    <cellStyle name="20% - Accent5 14 2 2 6" xfId="26970" xr:uid="{AB03C91F-C52A-4FA0-A49F-8A487D7586ED}"/>
    <cellStyle name="20% - Accent5 14 2 2_Exh G" xfId="2464" xr:uid="{00000000-0005-0000-0000-0000FF1D0000}"/>
    <cellStyle name="20% - Accent5 14 2 3" xfId="3917" xr:uid="{00000000-0005-0000-0000-0000001E0000}"/>
    <cellStyle name="20% - Accent5 14 2 3 2" xfId="7509" xr:uid="{00000000-0005-0000-0000-0000011E0000}"/>
    <cellStyle name="20% - Accent5 14 2 3 2 2" xfId="15479" xr:uid="{00000000-0005-0000-0000-0000021E0000}"/>
    <cellStyle name="20% - Accent5 14 2 3 2 2 2" xfId="39321" xr:uid="{619DF550-7107-4266-8E02-CE59B569A572}"/>
    <cellStyle name="20% - Accent5 14 2 3 2 3" xfId="23425" xr:uid="{00000000-0005-0000-0000-0000031E0000}"/>
    <cellStyle name="20% - Accent5 14 2 3 2 3 2" xfId="47257" xr:uid="{52463A46-E1D2-4844-A9FD-0075F8115052}"/>
    <cellStyle name="20% - Accent5 14 2 3 2 4" xfId="31380" xr:uid="{05C520A1-AF4D-4556-B725-8884096D6800}"/>
    <cellStyle name="20% - Accent5 14 2 3 3" xfId="11941" xr:uid="{00000000-0005-0000-0000-0000041E0000}"/>
    <cellStyle name="20% - Accent5 14 2 3 3 2" xfId="35790" xr:uid="{BAD76776-46C7-4211-8A9F-FC4612EFBDFA}"/>
    <cellStyle name="20% - Accent5 14 2 3 4" xfId="19896" xr:uid="{00000000-0005-0000-0000-0000051E0000}"/>
    <cellStyle name="20% - Accent5 14 2 3 4 2" xfId="43728" xr:uid="{6D1C2F1D-47A9-454D-A8AE-050F27A88582}"/>
    <cellStyle name="20% - Accent5 14 2 3 5" xfId="27849" xr:uid="{D5B19370-1F6E-458E-89D4-AAF37147D324}"/>
    <cellStyle name="20% - Accent5 14 2 4" xfId="5737" xr:uid="{00000000-0005-0000-0000-0000061E0000}"/>
    <cellStyle name="20% - Accent5 14 2 4 2" xfId="13720" xr:uid="{00000000-0005-0000-0000-0000071E0000}"/>
    <cellStyle name="20% - Accent5 14 2 4 2 2" xfId="37563" xr:uid="{0AC961BF-D11C-49C4-BC84-DF9360192EF3}"/>
    <cellStyle name="20% - Accent5 14 2 4 3" xfId="21668" xr:uid="{00000000-0005-0000-0000-0000081E0000}"/>
    <cellStyle name="20% - Accent5 14 2 4 3 2" xfId="45500" xr:uid="{0EDACCB8-E087-476F-90B1-EEBAFDE5E87A}"/>
    <cellStyle name="20% - Accent5 14 2 4 4" xfId="29622" xr:uid="{961DFCE5-CDF1-4B8B-8D5D-4A89CE999193}"/>
    <cellStyle name="20% - Accent5 14 2 5" xfId="9289" xr:uid="{00000000-0005-0000-0000-0000091E0000}"/>
    <cellStyle name="20% - Accent5 14 2 5 2" xfId="17247" xr:uid="{00000000-0005-0000-0000-00000A1E0000}"/>
    <cellStyle name="20% - Accent5 14 2 5 2 2" xfId="41087" xr:uid="{36169D8D-A887-4C3B-906F-FFE7998F05D9}"/>
    <cellStyle name="20% - Accent5 14 2 5 3" xfId="25191" xr:uid="{00000000-0005-0000-0000-00000B1E0000}"/>
    <cellStyle name="20% - Accent5 14 2 5 3 2" xfId="49023" xr:uid="{A227CAFC-0610-4A5E-8BF6-0230A0A67658}"/>
    <cellStyle name="20% - Accent5 14 2 5 4" xfId="33146" xr:uid="{B012EF26-459B-45A9-A4E1-4CA1D1461BC4}"/>
    <cellStyle name="20% - Accent5 14 2 6" xfId="10185" xr:uid="{00000000-0005-0000-0000-00000C1E0000}"/>
    <cellStyle name="20% - Accent5 14 2 6 2" xfId="34034" xr:uid="{05A4BC1B-A84B-486C-9E37-FE53C30AD969}"/>
    <cellStyle name="20% - Accent5 14 2 7" xfId="18140" xr:uid="{00000000-0005-0000-0000-00000D1E0000}"/>
    <cellStyle name="20% - Accent5 14 2 7 2" xfId="41972" xr:uid="{16FA4BEB-4B20-46E9-9FA4-F742AF18447F}"/>
    <cellStyle name="20% - Accent5 14 2 8" xfId="26092" xr:uid="{1C01AEAC-EF35-4AE4-BB5E-1B6D7BF0DAAE}"/>
    <cellStyle name="20% - Accent5 14 2_Exh G" xfId="2463" xr:uid="{00000000-0005-0000-0000-00000E1E0000}"/>
    <cellStyle name="20% - Accent5 14 3" xfId="1268" xr:uid="{00000000-0005-0000-0000-00000F1E0000}"/>
    <cellStyle name="20% - Accent5 14 3 2" xfId="4795" xr:uid="{00000000-0005-0000-0000-0000101E0000}"/>
    <cellStyle name="20% - Accent5 14 3 2 2" xfId="8386" xr:uid="{00000000-0005-0000-0000-0000111E0000}"/>
    <cellStyle name="20% - Accent5 14 3 2 2 2" xfId="16356" xr:uid="{00000000-0005-0000-0000-0000121E0000}"/>
    <cellStyle name="20% - Accent5 14 3 2 2 2 2" xfId="40198" xr:uid="{3C6D057D-1766-4EB5-BAB2-063493981A0E}"/>
    <cellStyle name="20% - Accent5 14 3 2 2 3" xfId="24302" xr:uid="{00000000-0005-0000-0000-0000131E0000}"/>
    <cellStyle name="20% - Accent5 14 3 2 2 3 2" xfId="48134" xr:uid="{4D6EF735-826F-4E4D-94E3-27712F835FE2}"/>
    <cellStyle name="20% - Accent5 14 3 2 2 4" xfId="32257" xr:uid="{8142E049-94F1-4BC4-987F-02DFFC28D94F}"/>
    <cellStyle name="20% - Accent5 14 3 2 3" xfId="12818" xr:uid="{00000000-0005-0000-0000-0000141E0000}"/>
    <cellStyle name="20% - Accent5 14 3 2 3 2" xfId="36667" xr:uid="{486DAD3F-58CE-4B1E-B007-81C65EC2B534}"/>
    <cellStyle name="20% - Accent5 14 3 2 4" xfId="20773" xr:uid="{00000000-0005-0000-0000-0000151E0000}"/>
    <cellStyle name="20% - Accent5 14 3 2 4 2" xfId="44605" xr:uid="{860D748E-7043-4A3D-86A6-24C7E1C97151}"/>
    <cellStyle name="20% - Accent5 14 3 2 5" xfId="28726" xr:uid="{FD680071-4B5B-47D3-87C7-73D9D81B41CD}"/>
    <cellStyle name="20% - Accent5 14 3 3" xfId="6627" xr:uid="{00000000-0005-0000-0000-0000161E0000}"/>
    <cellStyle name="20% - Accent5 14 3 3 2" xfId="14598" xr:uid="{00000000-0005-0000-0000-0000171E0000}"/>
    <cellStyle name="20% - Accent5 14 3 3 2 2" xfId="38440" xr:uid="{55A7DC70-3572-482F-A745-AFA80C48F0BA}"/>
    <cellStyle name="20% - Accent5 14 3 3 3" xfId="22545" xr:uid="{00000000-0005-0000-0000-0000181E0000}"/>
    <cellStyle name="20% - Accent5 14 3 3 3 2" xfId="46377" xr:uid="{5FADA9F9-F823-484B-8FF4-5E88D92E76B4}"/>
    <cellStyle name="20% - Accent5 14 3 3 4" xfId="30499" xr:uid="{5C83E520-18FB-4CD2-A5DA-1EFA4E54FED4}"/>
    <cellStyle name="20% - Accent5 14 3 4" xfId="11062" xr:uid="{00000000-0005-0000-0000-0000191E0000}"/>
    <cellStyle name="20% - Accent5 14 3 4 2" xfId="34911" xr:uid="{1E103635-9013-4CFB-82F5-911F1FCB190E}"/>
    <cellStyle name="20% - Accent5 14 3 5" xfId="19017" xr:uid="{00000000-0005-0000-0000-00001A1E0000}"/>
    <cellStyle name="20% - Accent5 14 3 5 2" xfId="42849" xr:uid="{D3D38AE0-603D-4D8A-B2E5-78849E2B881B}"/>
    <cellStyle name="20% - Accent5 14 3 6" xfId="26969" xr:uid="{777B1B8E-1FB4-4896-9DF4-6FA043F994EC}"/>
    <cellStyle name="20% - Accent5 14 3_Exh G" xfId="2465" xr:uid="{00000000-0005-0000-0000-00001B1E0000}"/>
    <cellStyle name="20% - Accent5 14 4" xfId="3916" xr:uid="{00000000-0005-0000-0000-00001C1E0000}"/>
    <cellStyle name="20% - Accent5 14 4 2" xfId="7508" xr:uid="{00000000-0005-0000-0000-00001D1E0000}"/>
    <cellStyle name="20% - Accent5 14 4 2 2" xfId="15478" xr:uid="{00000000-0005-0000-0000-00001E1E0000}"/>
    <cellStyle name="20% - Accent5 14 4 2 2 2" xfId="39320" xr:uid="{E9752D5C-A284-4D7E-B16E-9001D8F1D0AA}"/>
    <cellStyle name="20% - Accent5 14 4 2 3" xfId="23424" xr:uid="{00000000-0005-0000-0000-00001F1E0000}"/>
    <cellStyle name="20% - Accent5 14 4 2 3 2" xfId="47256" xr:uid="{0C19C676-C00F-4955-8D6F-F5ECA9E990DE}"/>
    <cellStyle name="20% - Accent5 14 4 2 4" xfId="31379" xr:uid="{7FCF06AF-E940-4D5F-9E9C-C515393EFD8C}"/>
    <cellStyle name="20% - Accent5 14 4 3" xfId="11940" xr:uid="{00000000-0005-0000-0000-0000201E0000}"/>
    <cellStyle name="20% - Accent5 14 4 3 2" xfId="35789" xr:uid="{AE93CADB-CE7D-49F4-B285-7E7365AEF773}"/>
    <cellStyle name="20% - Accent5 14 4 4" xfId="19895" xr:uid="{00000000-0005-0000-0000-0000211E0000}"/>
    <cellStyle name="20% - Accent5 14 4 4 2" xfId="43727" xr:uid="{F3364425-CA08-444C-93D2-33D65F3A356A}"/>
    <cellStyle name="20% - Accent5 14 4 5" xfId="27848" xr:uid="{24A0057F-E791-4F44-B27B-CFF6EFDB33DC}"/>
    <cellStyle name="20% - Accent5 14 5" xfId="5736" xr:uid="{00000000-0005-0000-0000-0000221E0000}"/>
    <cellStyle name="20% - Accent5 14 5 2" xfId="13719" xr:uid="{00000000-0005-0000-0000-0000231E0000}"/>
    <cellStyle name="20% - Accent5 14 5 2 2" xfId="37562" xr:uid="{1D82F001-65AD-42ED-BE02-CB3A274CF44B}"/>
    <cellStyle name="20% - Accent5 14 5 3" xfId="21667" xr:uid="{00000000-0005-0000-0000-0000241E0000}"/>
    <cellStyle name="20% - Accent5 14 5 3 2" xfId="45499" xr:uid="{FC26FE91-E3FC-46D3-9412-1B62B91B61F5}"/>
    <cellStyle name="20% - Accent5 14 5 4" xfId="29621" xr:uid="{3C2F9E31-7849-46B6-9685-5346CD42BCFA}"/>
    <cellStyle name="20% - Accent5 14 6" xfId="9288" xr:uid="{00000000-0005-0000-0000-0000251E0000}"/>
    <cellStyle name="20% - Accent5 14 6 2" xfId="17246" xr:uid="{00000000-0005-0000-0000-0000261E0000}"/>
    <cellStyle name="20% - Accent5 14 6 2 2" xfId="41086" xr:uid="{D2B43074-8EC1-457E-8A9C-608152702C93}"/>
    <cellStyle name="20% - Accent5 14 6 3" xfId="25190" xr:uid="{00000000-0005-0000-0000-0000271E0000}"/>
    <cellStyle name="20% - Accent5 14 6 3 2" xfId="49022" xr:uid="{E6BC11BE-4D84-426B-96F0-8BD9E9AB6339}"/>
    <cellStyle name="20% - Accent5 14 6 4" xfId="33145" xr:uid="{9B4E13F9-5EC3-402A-B2C8-EFFB8E9565BD}"/>
    <cellStyle name="20% - Accent5 14 7" xfId="10184" xr:uid="{00000000-0005-0000-0000-0000281E0000}"/>
    <cellStyle name="20% - Accent5 14 7 2" xfId="34033" xr:uid="{2205B9C1-8A41-4042-9E35-2F966E1359F9}"/>
    <cellStyle name="20% - Accent5 14 8" xfId="18139" xr:uid="{00000000-0005-0000-0000-0000291E0000}"/>
    <cellStyle name="20% - Accent5 14 8 2" xfId="41971" xr:uid="{1633EC70-159D-4F84-B3A8-D76098AFA646}"/>
    <cellStyle name="20% - Accent5 14 9" xfId="26091" xr:uid="{EF3D7D16-3974-4051-A3F4-5D68052FFA9D}"/>
    <cellStyle name="20% - Accent5 14_Exh G" xfId="2462" xr:uid="{00000000-0005-0000-0000-00002A1E0000}"/>
    <cellStyle name="20% - Accent5 15" xfId="244" xr:uid="{00000000-0005-0000-0000-00002B1E0000}"/>
    <cellStyle name="20% - Accent5 15 2" xfId="1270" xr:uid="{00000000-0005-0000-0000-00002C1E0000}"/>
    <cellStyle name="20% - Accent5 15 2 2" xfId="4797" xr:uid="{00000000-0005-0000-0000-00002D1E0000}"/>
    <cellStyle name="20% - Accent5 15 2 2 2" xfId="8388" xr:uid="{00000000-0005-0000-0000-00002E1E0000}"/>
    <cellStyle name="20% - Accent5 15 2 2 2 2" xfId="16358" xr:uid="{00000000-0005-0000-0000-00002F1E0000}"/>
    <cellStyle name="20% - Accent5 15 2 2 2 2 2" xfId="40200" xr:uid="{6C0AC16A-D034-4FC1-A370-7176FBDF3F99}"/>
    <cellStyle name="20% - Accent5 15 2 2 2 3" xfId="24304" xr:uid="{00000000-0005-0000-0000-0000301E0000}"/>
    <cellStyle name="20% - Accent5 15 2 2 2 3 2" xfId="48136" xr:uid="{98A17D12-D57F-4B0F-AB4D-A52037D8A192}"/>
    <cellStyle name="20% - Accent5 15 2 2 2 4" xfId="32259" xr:uid="{96110B40-D7C7-4FBB-A2F8-111D309DB901}"/>
    <cellStyle name="20% - Accent5 15 2 2 3" xfId="12820" xr:uid="{00000000-0005-0000-0000-0000311E0000}"/>
    <cellStyle name="20% - Accent5 15 2 2 3 2" xfId="36669" xr:uid="{24EF6BF6-548B-45B2-B39C-4635D48D96A4}"/>
    <cellStyle name="20% - Accent5 15 2 2 4" xfId="20775" xr:uid="{00000000-0005-0000-0000-0000321E0000}"/>
    <cellStyle name="20% - Accent5 15 2 2 4 2" xfId="44607" xr:uid="{F58F3EFB-80AF-427F-8CE4-9D5E1D07BF76}"/>
    <cellStyle name="20% - Accent5 15 2 2 5" xfId="28728" xr:uid="{6810C77D-0AD5-42D5-8556-14842DE0680C}"/>
    <cellStyle name="20% - Accent5 15 2 3" xfId="6629" xr:uid="{00000000-0005-0000-0000-0000331E0000}"/>
    <cellStyle name="20% - Accent5 15 2 3 2" xfId="14600" xr:uid="{00000000-0005-0000-0000-0000341E0000}"/>
    <cellStyle name="20% - Accent5 15 2 3 2 2" xfId="38442" xr:uid="{0FCA9C11-A3C6-453C-81E7-FD73E4287ED7}"/>
    <cellStyle name="20% - Accent5 15 2 3 3" xfId="22547" xr:uid="{00000000-0005-0000-0000-0000351E0000}"/>
    <cellStyle name="20% - Accent5 15 2 3 3 2" xfId="46379" xr:uid="{0908A25D-111D-4841-BACE-190875446F65}"/>
    <cellStyle name="20% - Accent5 15 2 3 4" xfId="30501" xr:uid="{A07CD9D4-FE02-434A-A761-74E4790AE7A8}"/>
    <cellStyle name="20% - Accent5 15 2 4" xfId="11064" xr:uid="{00000000-0005-0000-0000-0000361E0000}"/>
    <cellStyle name="20% - Accent5 15 2 4 2" xfId="34913" xr:uid="{AA4DF979-22A1-465F-A7E9-BC1428B72222}"/>
    <cellStyle name="20% - Accent5 15 2 5" xfId="19019" xr:uid="{00000000-0005-0000-0000-0000371E0000}"/>
    <cellStyle name="20% - Accent5 15 2 5 2" xfId="42851" xr:uid="{BA0D949C-EF1E-41BD-A7B9-94CDB70CED11}"/>
    <cellStyle name="20% - Accent5 15 2 6" xfId="26971" xr:uid="{CE3C7168-613F-481A-960E-C896155DBDEA}"/>
    <cellStyle name="20% - Accent5 15 2_Exh G" xfId="2467" xr:uid="{00000000-0005-0000-0000-0000381E0000}"/>
    <cellStyle name="20% - Accent5 15 3" xfId="3918" xr:uid="{00000000-0005-0000-0000-0000391E0000}"/>
    <cellStyle name="20% - Accent5 15 3 2" xfId="7510" xr:uid="{00000000-0005-0000-0000-00003A1E0000}"/>
    <cellStyle name="20% - Accent5 15 3 2 2" xfId="15480" xr:uid="{00000000-0005-0000-0000-00003B1E0000}"/>
    <cellStyle name="20% - Accent5 15 3 2 2 2" xfId="39322" xr:uid="{E23B2BF8-776A-4895-9F8B-CEC4A594B61A}"/>
    <cellStyle name="20% - Accent5 15 3 2 3" xfId="23426" xr:uid="{00000000-0005-0000-0000-00003C1E0000}"/>
    <cellStyle name="20% - Accent5 15 3 2 3 2" xfId="47258" xr:uid="{9B770143-A869-4C43-9553-AFF85B1732E7}"/>
    <cellStyle name="20% - Accent5 15 3 2 4" xfId="31381" xr:uid="{F6D0208D-18E3-4004-A3DB-AE92B7098CD7}"/>
    <cellStyle name="20% - Accent5 15 3 3" xfId="11942" xr:uid="{00000000-0005-0000-0000-00003D1E0000}"/>
    <cellStyle name="20% - Accent5 15 3 3 2" xfId="35791" xr:uid="{D6C92AB3-60A1-4E46-8DE8-A280B2253C44}"/>
    <cellStyle name="20% - Accent5 15 3 4" xfId="19897" xr:uid="{00000000-0005-0000-0000-00003E1E0000}"/>
    <cellStyle name="20% - Accent5 15 3 4 2" xfId="43729" xr:uid="{EE6DB6E4-25EC-4A77-B20D-827E9F5C2C68}"/>
    <cellStyle name="20% - Accent5 15 3 5" xfId="27850" xr:uid="{B4983D75-9AEA-46ED-ACD9-5268BF16162F}"/>
    <cellStyle name="20% - Accent5 15 4" xfId="5738" xr:uid="{00000000-0005-0000-0000-00003F1E0000}"/>
    <cellStyle name="20% - Accent5 15 4 2" xfId="13721" xr:uid="{00000000-0005-0000-0000-0000401E0000}"/>
    <cellStyle name="20% - Accent5 15 4 2 2" xfId="37564" xr:uid="{96664E36-4071-481C-9BEB-C37ECE60D3D6}"/>
    <cellStyle name="20% - Accent5 15 4 3" xfId="21669" xr:uid="{00000000-0005-0000-0000-0000411E0000}"/>
    <cellStyle name="20% - Accent5 15 4 3 2" xfId="45501" xr:uid="{D9A67F5C-FE25-4CCE-A855-CD320C159815}"/>
    <cellStyle name="20% - Accent5 15 4 4" xfId="29623" xr:uid="{D8C96A2C-5908-4016-B181-C0158F42234D}"/>
    <cellStyle name="20% - Accent5 15 5" xfId="9290" xr:uid="{00000000-0005-0000-0000-0000421E0000}"/>
    <cellStyle name="20% - Accent5 15 5 2" xfId="17248" xr:uid="{00000000-0005-0000-0000-0000431E0000}"/>
    <cellStyle name="20% - Accent5 15 5 2 2" xfId="41088" xr:uid="{CD770889-3440-4927-9B0E-34969EF1792A}"/>
    <cellStyle name="20% - Accent5 15 5 3" xfId="25192" xr:uid="{00000000-0005-0000-0000-0000441E0000}"/>
    <cellStyle name="20% - Accent5 15 5 3 2" xfId="49024" xr:uid="{4389EBFE-BEDB-47F1-8E96-9BD2EBC4E833}"/>
    <cellStyle name="20% - Accent5 15 5 4" xfId="33147" xr:uid="{08BADA86-FA4D-4601-94BD-91C7BEEC50A7}"/>
    <cellStyle name="20% - Accent5 15 6" xfId="10186" xr:uid="{00000000-0005-0000-0000-0000451E0000}"/>
    <cellStyle name="20% - Accent5 15 6 2" xfId="34035" xr:uid="{A0FF62B9-016C-4966-B217-D5A435A919C7}"/>
    <cellStyle name="20% - Accent5 15 7" xfId="18141" xr:uid="{00000000-0005-0000-0000-0000461E0000}"/>
    <cellStyle name="20% - Accent5 15 7 2" xfId="41973" xr:uid="{A3160F34-71F2-470C-8A98-74731D4D3A4E}"/>
    <cellStyle name="20% - Accent5 15 8" xfId="26093" xr:uid="{2273F41D-3B4A-4D50-9F10-49E9E2F33D6A}"/>
    <cellStyle name="20% - Accent5 15_Exh G" xfId="2466" xr:uid="{00000000-0005-0000-0000-0000471E0000}"/>
    <cellStyle name="20% - Accent5 16" xfId="844" xr:uid="{00000000-0005-0000-0000-0000481E0000}"/>
    <cellStyle name="20% - Accent5 16 2" xfId="1779" xr:uid="{00000000-0005-0000-0000-0000491E0000}"/>
    <cellStyle name="20% - Accent5 16 2 2" xfId="5299" xr:uid="{00000000-0005-0000-0000-00004A1E0000}"/>
    <cellStyle name="20% - Accent5 16 2 2 2" xfId="8890" xr:uid="{00000000-0005-0000-0000-00004B1E0000}"/>
    <cellStyle name="20% - Accent5 16 2 2 2 2" xfId="16860" xr:uid="{00000000-0005-0000-0000-00004C1E0000}"/>
    <cellStyle name="20% - Accent5 16 2 2 2 2 2" xfId="40702" xr:uid="{CD8D54AF-6416-4551-AF03-DC3ABD36FD7D}"/>
    <cellStyle name="20% - Accent5 16 2 2 2 3" xfId="24806" xr:uid="{00000000-0005-0000-0000-00004D1E0000}"/>
    <cellStyle name="20% - Accent5 16 2 2 2 3 2" xfId="48638" xr:uid="{0D58899D-6A51-421A-912E-14C61F7740FB}"/>
    <cellStyle name="20% - Accent5 16 2 2 2 4" xfId="32761" xr:uid="{0D1ECE56-DAC8-4F80-A933-B65554EB9CF6}"/>
    <cellStyle name="20% - Accent5 16 2 2 3" xfId="13322" xr:uid="{00000000-0005-0000-0000-00004E1E0000}"/>
    <cellStyle name="20% - Accent5 16 2 2 3 2" xfId="37171" xr:uid="{BD8BF230-5C80-4A6F-BFFB-A525AE10ECDE}"/>
    <cellStyle name="20% - Accent5 16 2 2 4" xfId="21277" xr:uid="{00000000-0005-0000-0000-00004F1E0000}"/>
    <cellStyle name="20% - Accent5 16 2 2 4 2" xfId="45109" xr:uid="{1C05D4EE-B333-479A-BEEC-B2CD5A0D1B0A}"/>
    <cellStyle name="20% - Accent5 16 2 2 5" xfId="29230" xr:uid="{634A5461-830E-48DF-9A22-345974B9AA97}"/>
    <cellStyle name="20% - Accent5 16 2 3" xfId="7131" xr:uid="{00000000-0005-0000-0000-0000501E0000}"/>
    <cellStyle name="20% - Accent5 16 2 3 2" xfId="15102" xr:uid="{00000000-0005-0000-0000-0000511E0000}"/>
    <cellStyle name="20% - Accent5 16 2 3 2 2" xfId="38944" xr:uid="{278DDC06-357E-4DDD-B6C4-4E2FB87D6C86}"/>
    <cellStyle name="20% - Accent5 16 2 3 3" xfId="23049" xr:uid="{00000000-0005-0000-0000-0000521E0000}"/>
    <cellStyle name="20% - Accent5 16 2 3 3 2" xfId="46881" xr:uid="{721CF5C8-AD96-4419-B1DF-751F5883F070}"/>
    <cellStyle name="20% - Accent5 16 2 3 4" xfId="31003" xr:uid="{22169C79-1629-4434-9230-7180B5D5A72B}"/>
    <cellStyle name="20% - Accent5 16 2 4" xfId="11566" xr:uid="{00000000-0005-0000-0000-0000531E0000}"/>
    <cellStyle name="20% - Accent5 16 2 4 2" xfId="35415" xr:uid="{36DACF6F-C85E-46C8-AD1C-6CB3E01E531F}"/>
    <cellStyle name="20% - Accent5 16 2 5" xfId="19521" xr:uid="{00000000-0005-0000-0000-0000541E0000}"/>
    <cellStyle name="20% - Accent5 16 2 5 2" xfId="43353" xr:uid="{6951F409-168B-4756-941B-982F8B2CFC57}"/>
    <cellStyle name="20% - Accent5 16 2 6" xfId="27473" xr:uid="{E9A83D6D-2ED7-4939-8D2F-4BE561790DCA}"/>
    <cellStyle name="20% - Accent5 16 2_Exh G" xfId="2469" xr:uid="{00000000-0005-0000-0000-0000551E0000}"/>
    <cellStyle name="20% - Accent5 16 3" xfId="4420" xr:uid="{00000000-0005-0000-0000-0000561E0000}"/>
    <cellStyle name="20% - Accent5 16 3 2" xfId="8012" xr:uid="{00000000-0005-0000-0000-0000571E0000}"/>
    <cellStyle name="20% - Accent5 16 3 2 2" xfId="15982" xr:uid="{00000000-0005-0000-0000-0000581E0000}"/>
    <cellStyle name="20% - Accent5 16 3 2 2 2" xfId="39824" xr:uid="{A6E9997C-7230-4208-A49F-5708ECE5C752}"/>
    <cellStyle name="20% - Accent5 16 3 2 3" xfId="23928" xr:uid="{00000000-0005-0000-0000-0000591E0000}"/>
    <cellStyle name="20% - Accent5 16 3 2 3 2" xfId="47760" xr:uid="{0BC449DE-8D06-4BD6-B6D9-7371FCC9CD68}"/>
    <cellStyle name="20% - Accent5 16 3 2 4" xfId="31883" xr:uid="{003661DC-D3F0-4FC0-8A78-21A24E787AEA}"/>
    <cellStyle name="20% - Accent5 16 3 3" xfId="12444" xr:uid="{00000000-0005-0000-0000-00005A1E0000}"/>
    <cellStyle name="20% - Accent5 16 3 3 2" xfId="36293" xr:uid="{9263AD86-CD88-4FE2-BE28-F5D171EE56AC}"/>
    <cellStyle name="20% - Accent5 16 3 4" xfId="20399" xr:uid="{00000000-0005-0000-0000-00005B1E0000}"/>
    <cellStyle name="20% - Accent5 16 3 4 2" xfId="44231" xr:uid="{05E06585-7FAA-46E9-BD66-E3ABE9BAADDF}"/>
    <cellStyle name="20% - Accent5 16 3 5" xfId="28352" xr:uid="{FBF2C0FD-046E-4637-AB8D-524096BB5492}"/>
    <cellStyle name="20% - Accent5 16 4" xfId="6250" xr:uid="{00000000-0005-0000-0000-00005C1E0000}"/>
    <cellStyle name="20% - Accent5 16 4 2" xfId="14224" xr:uid="{00000000-0005-0000-0000-00005D1E0000}"/>
    <cellStyle name="20% - Accent5 16 4 2 2" xfId="38066" xr:uid="{B6FDD149-22B0-4ED4-9F59-F8A9778A2DEC}"/>
    <cellStyle name="20% - Accent5 16 4 3" xfId="22171" xr:uid="{00000000-0005-0000-0000-00005E1E0000}"/>
    <cellStyle name="20% - Accent5 16 4 3 2" xfId="46003" xr:uid="{76419D62-E41B-4524-9E34-45168FDE67A2}"/>
    <cellStyle name="20% - Accent5 16 4 4" xfId="30125" xr:uid="{BD652081-57D2-44F6-9624-0B792A096811}"/>
    <cellStyle name="20% - Accent5 16 5" xfId="9792" xr:uid="{00000000-0005-0000-0000-00005F1E0000}"/>
    <cellStyle name="20% - Accent5 16 5 2" xfId="17750" xr:uid="{00000000-0005-0000-0000-0000601E0000}"/>
    <cellStyle name="20% - Accent5 16 5 2 2" xfId="41590" xr:uid="{361C4ED7-58E3-42F1-B236-D038CA0B2817}"/>
    <cellStyle name="20% - Accent5 16 5 3" xfId="25694" xr:uid="{00000000-0005-0000-0000-0000611E0000}"/>
    <cellStyle name="20% - Accent5 16 5 3 2" xfId="49526" xr:uid="{DD5376CE-1D17-457A-BDED-7E5856F753B9}"/>
    <cellStyle name="20% - Accent5 16 5 4" xfId="33649" xr:uid="{072D6F21-1DB9-4FA3-A76D-1F808B7E7441}"/>
    <cellStyle name="20% - Accent5 16 6" xfId="10688" xr:uid="{00000000-0005-0000-0000-0000621E0000}"/>
    <cellStyle name="20% - Accent5 16 6 2" xfId="34537" xr:uid="{A333D925-6962-4922-A459-7C5C75D3D1F9}"/>
    <cellStyle name="20% - Accent5 16 7" xfId="18643" xr:uid="{00000000-0005-0000-0000-0000631E0000}"/>
    <cellStyle name="20% - Accent5 16 7 2" xfId="42475" xr:uid="{A64BA5FB-1138-4D73-B57E-F4FF83006ECB}"/>
    <cellStyle name="20% - Accent5 16 8" xfId="26595" xr:uid="{B4E749AF-2110-4F5C-AB57-427D3D3417DE}"/>
    <cellStyle name="20% - Accent5 16_Exh G" xfId="2468" xr:uid="{00000000-0005-0000-0000-0000641E0000}"/>
    <cellStyle name="20% - Accent5 17" xfId="49791" xr:uid="{F21BA508-5F2E-4B0C-8F2F-67B8E340F3EE}"/>
    <cellStyle name="20% - Accent5 18" xfId="49831" xr:uid="{3045C7DC-1FA6-42D8-A310-8D5F0E8875EB}"/>
    <cellStyle name="20% - Accent5 2" xfId="245" xr:uid="{00000000-0005-0000-0000-0000651E0000}"/>
    <cellStyle name="20% - Accent5 2 10" xfId="18142" xr:uid="{00000000-0005-0000-0000-0000661E0000}"/>
    <cellStyle name="20% - Accent5 2 10 2" xfId="41974" xr:uid="{806D8F63-AEE9-45E6-A679-F8B95DAC5437}"/>
    <cellStyle name="20% - Accent5 2 11" xfId="26094" xr:uid="{3B99B583-C0AA-4FF0-A0AA-4C43A9BEB3E1}"/>
    <cellStyle name="20% - Accent5 2 12" xfId="49776" xr:uid="{39659C3B-173F-45B7-AFE5-9CDB25164FCD}"/>
    <cellStyle name="20% - Accent5 2 13" xfId="49804" xr:uid="{FF1607C8-D95D-42DD-9AF6-5B2CB418C4B8}"/>
    <cellStyle name="20% - Accent5 2 14" xfId="49845" xr:uid="{7B5E354F-BA11-4793-A505-2976A6B591AE}"/>
    <cellStyle name="20% - Accent5 2 2" xfId="246" xr:uid="{00000000-0005-0000-0000-0000671E0000}"/>
    <cellStyle name="20% - Accent5 2 2 10" xfId="26095" xr:uid="{F7763727-FE4C-4F3C-A41E-9EC107180D29}"/>
    <cellStyle name="20% - Accent5 2 2 2" xfId="247" xr:uid="{00000000-0005-0000-0000-0000681E0000}"/>
    <cellStyle name="20% - Accent5 2 2 2 2" xfId="1273" xr:uid="{00000000-0005-0000-0000-0000691E0000}"/>
    <cellStyle name="20% - Accent5 2 2 2 2 2" xfId="4800" xr:uid="{00000000-0005-0000-0000-00006A1E0000}"/>
    <cellStyle name="20% - Accent5 2 2 2 2 2 2" xfId="8391" xr:uid="{00000000-0005-0000-0000-00006B1E0000}"/>
    <cellStyle name="20% - Accent5 2 2 2 2 2 2 2" xfId="16361" xr:uid="{00000000-0005-0000-0000-00006C1E0000}"/>
    <cellStyle name="20% - Accent5 2 2 2 2 2 2 2 2" xfId="40203" xr:uid="{78052D98-F094-4130-8B50-38DF5A9FBAC5}"/>
    <cellStyle name="20% - Accent5 2 2 2 2 2 2 3" xfId="24307" xr:uid="{00000000-0005-0000-0000-00006D1E0000}"/>
    <cellStyle name="20% - Accent5 2 2 2 2 2 2 3 2" xfId="48139" xr:uid="{D95EC4B0-05C4-43DE-B741-4FF17D35E66A}"/>
    <cellStyle name="20% - Accent5 2 2 2 2 2 2 4" xfId="32262" xr:uid="{075E6267-8629-4CB2-9054-559F822A819E}"/>
    <cellStyle name="20% - Accent5 2 2 2 2 2 3" xfId="12823" xr:uid="{00000000-0005-0000-0000-00006E1E0000}"/>
    <cellStyle name="20% - Accent5 2 2 2 2 2 3 2" xfId="36672" xr:uid="{DA00B602-DFE7-49C6-9907-1A02DBC7F916}"/>
    <cellStyle name="20% - Accent5 2 2 2 2 2 4" xfId="20778" xr:uid="{00000000-0005-0000-0000-00006F1E0000}"/>
    <cellStyle name="20% - Accent5 2 2 2 2 2 4 2" xfId="44610" xr:uid="{DE8BFF95-02E0-4536-87D0-3ACF27A76CE5}"/>
    <cellStyle name="20% - Accent5 2 2 2 2 2 5" xfId="28731" xr:uid="{C8633938-48AC-48AD-8E6B-800079889A81}"/>
    <cellStyle name="20% - Accent5 2 2 2 2 3" xfId="6632" xr:uid="{00000000-0005-0000-0000-0000701E0000}"/>
    <cellStyle name="20% - Accent5 2 2 2 2 3 2" xfId="14603" xr:uid="{00000000-0005-0000-0000-0000711E0000}"/>
    <cellStyle name="20% - Accent5 2 2 2 2 3 2 2" xfId="38445" xr:uid="{9378BDC3-72A5-4305-9EA1-D90FC3EE55E1}"/>
    <cellStyle name="20% - Accent5 2 2 2 2 3 3" xfId="22550" xr:uid="{00000000-0005-0000-0000-0000721E0000}"/>
    <cellStyle name="20% - Accent5 2 2 2 2 3 3 2" xfId="46382" xr:uid="{2EB46A90-19F3-4CB0-97C3-1F95B46E8406}"/>
    <cellStyle name="20% - Accent5 2 2 2 2 3 4" xfId="30504" xr:uid="{EE8E5C1E-9A1C-4972-A150-7CDAC970F8E5}"/>
    <cellStyle name="20% - Accent5 2 2 2 2 4" xfId="11067" xr:uid="{00000000-0005-0000-0000-0000731E0000}"/>
    <cellStyle name="20% - Accent5 2 2 2 2 4 2" xfId="34916" xr:uid="{5D799E7C-4287-49F9-9A77-01A26996E475}"/>
    <cellStyle name="20% - Accent5 2 2 2 2 5" xfId="19022" xr:uid="{00000000-0005-0000-0000-0000741E0000}"/>
    <cellStyle name="20% - Accent5 2 2 2 2 5 2" xfId="42854" xr:uid="{7EF9C27E-2DB6-48D2-8A26-6305E46DE400}"/>
    <cellStyle name="20% - Accent5 2 2 2 2 6" xfId="26974" xr:uid="{77F4C72F-02E3-4B5F-893A-FBA5DFA50F0D}"/>
    <cellStyle name="20% - Accent5 2 2 2 2_Exh G" xfId="2473" xr:uid="{00000000-0005-0000-0000-0000751E0000}"/>
    <cellStyle name="20% - Accent5 2 2 2 3" xfId="3921" xr:uid="{00000000-0005-0000-0000-0000761E0000}"/>
    <cellStyle name="20% - Accent5 2 2 2 3 2" xfId="7513" xr:uid="{00000000-0005-0000-0000-0000771E0000}"/>
    <cellStyle name="20% - Accent5 2 2 2 3 2 2" xfId="15483" xr:uid="{00000000-0005-0000-0000-0000781E0000}"/>
    <cellStyle name="20% - Accent5 2 2 2 3 2 2 2" xfId="39325" xr:uid="{70B6DE0D-C82C-449C-B68D-2BF3AD75EAD9}"/>
    <cellStyle name="20% - Accent5 2 2 2 3 2 3" xfId="23429" xr:uid="{00000000-0005-0000-0000-0000791E0000}"/>
    <cellStyle name="20% - Accent5 2 2 2 3 2 3 2" xfId="47261" xr:uid="{C2E117F9-3156-4DAF-92C7-64DBD4A27999}"/>
    <cellStyle name="20% - Accent5 2 2 2 3 2 4" xfId="31384" xr:uid="{5AF6B1C8-F7E1-4DDD-9B43-D8D3F2657DAE}"/>
    <cellStyle name="20% - Accent5 2 2 2 3 3" xfId="11945" xr:uid="{00000000-0005-0000-0000-00007A1E0000}"/>
    <cellStyle name="20% - Accent5 2 2 2 3 3 2" xfId="35794" xr:uid="{E55EBC24-585F-4CB6-A575-0E56983637F7}"/>
    <cellStyle name="20% - Accent5 2 2 2 3 4" xfId="19900" xr:uid="{00000000-0005-0000-0000-00007B1E0000}"/>
    <cellStyle name="20% - Accent5 2 2 2 3 4 2" xfId="43732" xr:uid="{13442232-721B-4AB3-A561-1CE5EBFA4371}"/>
    <cellStyle name="20% - Accent5 2 2 2 3 5" xfId="27853" xr:uid="{5D817BC5-8493-4A84-B04F-DBB258BC259F}"/>
    <cellStyle name="20% - Accent5 2 2 2 4" xfId="5741" xr:uid="{00000000-0005-0000-0000-00007C1E0000}"/>
    <cellStyle name="20% - Accent5 2 2 2 4 2" xfId="13724" xr:uid="{00000000-0005-0000-0000-00007D1E0000}"/>
    <cellStyle name="20% - Accent5 2 2 2 4 2 2" xfId="37567" xr:uid="{DD301FF2-45C2-422E-A4FA-AE413AF636A3}"/>
    <cellStyle name="20% - Accent5 2 2 2 4 3" xfId="21672" xr:uid="{00000000-0005-0000-0000-00007E1E0000}"/>
    <cellStyle name="20% - Accent5 2 2 2 4 3 2" xfId="45504" xr:uid="{BFFF91C5-5107-4E2A-AA70-E07ED6382136}"/>
    <cellStyle name="20% - Accent5 2 2 2 4 4" xfId="29626" xr:uid="{DD2F8BBE-6CBD-46BF-BD46-4AE8BC8B7891}"/>
    <cellStyle name="20% - Accent5 2 2 2 5" xfId="9293" xr:uid="{00000000-0005-0000-0000-00007F1E0000}"/>
    <cellStyle name="20% - Accent5 2 2 2 5 2" xfId="17251" xr:uid="{00000000-0005-0000-0000-0000801E0000}"/>
    <cellStyle name="20% - Accent5 2 2 2 5 2 2" xfId="41091" xr:uid="{B9D00F12-A780-4E45-B0C9-46B60D7560FA}"/>
    <cellStyle name="20% - Accent5 2 2 2 5 3" xfId="25195" xr:uid="{00000000-0005-0000-0000-0000811E0000}"/>
    <cellStyle name="20% - Accent5 2 2 2 5 3 2" xfId="49027" xr:uid="{A4BD3A1A-07CB-4E40-ADBB-6FA72F8A0CD7}"/>
    <cellStyle name="20% - Accent5 2 2 2 5 4" xfId="33150" xr:uid="{F6BBC88A-39C3-47C9-978F-15675369F9F8}"/>
    <cellStyle name="20% - Accent5 2 2 2 6" xfId="10189" xr:uid="{00000000-0005-0000-0000-0000821E0000}"/>
    <cellStyle name="20% - Accent5 2 2 2 6 2" xfId="34038" xr:uid="{7493DE01-7088-42C8-9C88-F6EFEF373196}"/>
    <cellStyle name="20% - Accent5 2 2 2 7" xfId="18144" xr:uid="{00000000-0005-0000-0000-0000831E0000}"/>
    <cellStyle name="20% - Accent5 2 2 2 7 2" xfId="41976" xr:uid="{F59577CE-1B00-47D5-B26B-3487D0169C93}"/>
    <cellStyle name="20% - Accent5 2 2 2 8" xfId="26096" xr:uid="{1A64F3E4-22E8-4ABF-A7EF-0CE15B963AFF}"/>
    <cellStyle name="20% - Accent5 2 2 2_Exh G" xfId="2472" xr:uid="{00000000-0005-0000-0000-0000841E0000}"/>
    <cellStyle name="20% - Accent5 2 2 3" xfId="909" xr:uid="{00000000-0005-0000-0000-0000851E0000}"/>
    <cellStyle name="20% - Accent5 2 2 3 2" xfId="1833" xr:uid="{00000000-0005-0000-0000-0000861E0000}"/>
    <cellStyle name="20% - Accent5 2 2 3 2 2" xfId="5350" xr:uid="{00000000-0005-0000-0000-0000871E0000}"/>
    <cellStyle name="20% - Accent5 2 2 3 2 2 2" xfId="8941" xr:uid="{00000000-0005-0000-0000-0000881E0000}"/>
    <cellStyle name="20% - Accent5 2 2 3 2 2 2 2" xfId="16911" xr:uid="{00000000-0005-0000-0000-0000891E0000}"/>
    <cellStyle name="20% - Accent5 2 2 3 2 2 2 2 2" xfId="40753" xr:uid="{3F069FA0-E5DA-40B6-8DBB-F9752B02F435}"/>
    <cellStyle name="20% - Accent5 2 2 3 2 2 2 3" xfId="24857" xr:uid="{00000000-0005-0000-0000-00008A1E0000}"/>
    <cellStyle name="20% - Accent5 2 2 3 2 2 2 3 2" xfId="48689" xr:uid="{E26A3F67-F23D-42BF-98A6-CFA4159EF129}"/>
    <cellStyle name="20% - Accent5 2 2 3 2 2 2 4" xfId="32812" xr:uid="{CE34B3B3-DF17-4C05-A238-8D53746400D5}"/>
    <cellStyle name="20% - Accent5 2 2 3 2 2 3" xfId="13373" xr:uid="{00000000-0005-0000-0000-00008B1E0000}"/>
    <cellStyle name="20% - Accent5 2 2 3 2 2 3 2" xfId="37222" xr:uid="{B5B6DD8B-8EDD-484E-9A14-F39A739E931E}"/>
    <cellStyle name="20% - Accent5 2 2 3 2 2 4" xfId="21328" xr:uid="{00000000-0005-0000-0000-00008C1E0000}"/>
    <cellStyle name="20% - Accent5 2 2 3 2 2 4 2" xfId="45160" xr:uid="{F290EF41-06F5-42DB-957B-0E12A519B415}"/>
    <cellStyle name="20% - Accent5 2 2 3 2 2 5" xfId="29281" xr:uid="{3B474A2B-3466-45FE-9FF5-05D8F318D4DA}"/>
    <cellStyle name="20% - Accent5 2 2 3 2 3" xfId="7182" xr:uid="{00000000-0005-0000-0000-00008D1E0000}"/>
    <cellStyle name="20% - Accent5 2 2 3 2 3 2" xfId="15153" xr:uid="{00000000-0005-0000-0000-00008E1E0000}"/>
    <cellStyle name="20% - Accent5 2 2 3 2 3 2 2" xfId="38995" xr:uid="{97F784D8-C208-4F4E-AFD0-AF8DEBC2AEAA}"/>
    <cellStyle name="20% - Accent5 2 2 3 2 3 3" xfId="23100" xr:uid="{00000000-0005-0000-0000-00008F1E0000}"/>
    <cellStyle name="20% - Accent5 2 2 3 2 3 3 2" xfId="46932" xr:uid="{50771DD9-9A6D-4ADF-921F-DC4081AB4BC6}"/>
    <cellStyle name="20% - Accent5 2 2 3 2 3 4" xfId="31054" xr:uid="{2C9A79ED-9473-4737-B6C4-AD15B137FD78}"/>
    <cellStyle name="20% - Accent5 2 2 3 2 4" xfId="11617" xr:uid="{00000000-0005-0000-0000-0000901E0000}"/>
    <cellStyle name="20% - Accent5 2 2 3 2 4 2" xfId="35466" xr:uid="{5BBCEE09-F6EF-46A3-A27C-5CA9C034FED9}"/>
    <cellStyle name="20% - Accent5 2 2 3 2 5" xfId="19572" xr:uid="{00000000-0005-0000-0000-0000911E0000}"/>
    <cellStyle name="20% - Accent5 2 2 3 2 5 2" xfId="43404" xr:uid="{79FBF992-0770-4996-AC76-BD7C9EB35A78}"/>
    <cellStyle name="20% - Accent5 2 2 3 2 6" xfId="27524" xr:uid="{762040E4-E9CC-4360-9D18-DC0AEEE2F915}"/>
    <cellStyle name="20% - Accent5 2 2 3 2_Exh G" xfId="2475" xr:uid="{00000000-0005-0000-0000-0000921E0000}"/>
    <cellStyle name="20% - Accent5 2 2 3 3" xfId="4471" xr:uid="{00000000-0005-0000-0000-0000931E0000}"/>
    <cellStyle name="20% - Accent5 2 2 3 3 2" xfId="8063" xr:uid="{00000000-0005-0000-0000-0000941E0000}"/>
    <cellStyle name="20% - Accent5 2 2 3 3 2 2" xfId="16033" xr:uid="{00000000-0005-0000-0000-0000951E0000}"/>
    <cellStyle name="20% - Accent5 2 2 3 3 2 2 2" xfId="39875" xr:uid="{7648A0D7-6DAA-4401-B44E-D08E9FF61890}"/>
    <cellStyle name="20% - Accent5 2 2 3 3 2 3" xfId="23979" xr:uid="{00000000-0005-0000-0000-0000961E0000}"/>
    <cellStyle name="20% - Accent5 2 2 3 3 2 3 2" xfId="47811" xr:uid="{929B33DE-2BFF-4D45-9220-72C452647219}"/>
    <cellStyle name="20% - Accent5 2 2 3 3 2 4" xfId="31934" xr:uid="{4C664BAF-CACE-4F9A-8852-D3433F6C2A70}"/>
    <cellStyle name="20% - Accent5 2 2 3 3 3" xfId="12495" xr:uid="{00000000-0005-0000-0000-0000971E0000}"/>
    <cellStyle name="20% - Accent5 2 2 3 3 3 2" xfId="36344" xr:uid="{27305B91-9014-4EAA-A315-607D573A69F5}"/>
    <cellStyle name="20% - Accent5 2 2 3 3 4" xfId="20450" xr:uid="{00000000-0005-0000-0000-0000981E0000}"/>
    <cellStyle name="20% - Accent5 2 2 3 3 4 2" xfId="44282" xr:uid="{902AC4DC-FE92-40F4-BC0C-B9176ADB1F3E}"/>
    <cellStyle name="20% - Accent5 2 2 3 3 5" xfId="28403" xr:uid="{FE415AD4-B251-4A56-863A-CEB7B413C294}"/>
    <cellStyle name="20% - Accent5 2 2 3 4" xfId="6301" xr:uid="{00000000-0005-0000-0000-0000991E0000}"/>
    <cellStyle name="20% - Accent5 2 2 3 4 2" xfId="14275" xr:uid="{00000000-0005-0000-0000-00009A1E0000}"/>
    <cellStyle name="20% - Accent5 2 2 3 4 2 2" xfId="38117" xr:uid="{3FBF0614-4827-45F1-BB68-EF44093D0760}"/>
    <cellStyle name="20% - Accent5 2 2 3 4 3" xfId="22222" xr:uid="{00000000-0005-0000-0000-00009B1E0000}"/>
    <cellStyle name="20% - Accent5 2 2 3 4 3 2" xfId="46054" xr:uid="{28E05076-9AAE-4A8D-A67D-08061EBE9FC8}"/>
    <cellStyle name="20% - Accent5 2 2 3 4 4" xfId="30176" xr:uid="{54F79E74-EF5B-4ACB-9410-5F023B60E0E6}"/>
    <cellStyle name="20% - Accent5 2 2 3 5" xfId="9843" xr:uid="{00000000-0005-0000-0000-00009C1E0000}"/>
    <cellStyle name="20% - Accent5 2 2 3 5 2" xfId="17801" xr:uid="{00000000-0005-0000-0000-00009D1E0000}"/>
    <cellStyle name="20% - Accent5 2 2 3 5 2 2" xfId="41641" xr:uid="{A22C850A-5763-4452-AC84-627D8D918843}"/>
    <cellStyle name="20% - Accent5 2 2 3 5 3" xfId="25745" xr:uid="{00000000-0005-0000-0000-00009E1E0000}"/>
    <cellStyle name="20% - Accent5 2 2 3 5 3 2" xfId="49577" xr:uid="{8E0AFE8C-52EE-46D8-B5ED-427F185C1C47}"/>
    <cellStyle name="20% - Accent5 2 2 3 5 4" xfId="33700" xr:uid="{113C6B16-DD0D-4361-B023-3EA36334E033}"/>
    <cellStyle name="20% - Accent5 2 2 3 6" xfId="10739" xr:uid="{00000000-0005-0000-0000-00009F1E0000}"/>
    <cellStyle name="20% - Accent5 2 2 3 6 2" xfId="34588" xr:uid="{212E370C-D0EE-4231-80D3-09A37147A185}"/>
    <cellStyle name="20% - Accent5 2 2 3 7" xfId="18694" xr:uid="{00000000-0005-0000-0000-0000A01E0000}"/>
    <cellStyle name="20% - Accent5 2 2 3 7 2" xfId="42526" xr:uid="{1212129E-F6FD-48F2-8784-A4C54480E1A2}"/>
    <cellStyle name="20% - Accent5 2 2 3 8" xfId="26646" xr:uid="{38971907-DD45-413E-A7C2-960311776F07}"/>
    <cellStyle name="20% - Accent5 2 2 3_Exh G" xfId="2474" xr:uid="{00000000-0005-0000-0000-0000A11E0000}"/>
    <cellStyle name="20% - Accent5 2 2 4" xfId="1272" xr:uid="{00000000-0005-0000-0000-0000A21E0000}"/>
    <cellStyle name="20% - Accent5 2 2 4 2" xfId="4799" xr:uid="{00000000-0005-0000-0000-0000A31E0000}"/>
    <cellStyle name="20% - Accent5 2 2 4 2 2" xfId="8390" xr:uid="{00000000-0005-0000-0000-0000A41E0000}"/>
    <cellStyle name="20% - Accent5 2 2 4 2 2 2" xfId="16360" xr:uid="{00000000-0005-0000-0000-0000A51E0000}"/>
    <cellStyle name="20% - Accent5 2 2 4 2 2 2 2" xfId="40202" xr:uid="{66277825-E91F-45AD-ABE5-849862652D66}"/>
    <cellStyle name="20% - Accent5 2 2 4 2 2 3" xfId="24306" xr:uid="{00000000-0005-0000-0000-0000A61E0000}"/>
    <cellStyle name="20% - Accent5 2 2 4 2 2 3 2" xfId="48138" xr:uid="{6728436C-735F-4A16-A4A2-A77DAB1DE5A1}"/>
    <cellStyle name="20% - Accent5 2 2 4 2 2 4" xfId="32261" xr:uid="{57685C60-5CFE-4043-B62A-FE37F1892E27}"/>
    <cellStyle name="20% - Accent5 2 2 4 2 3" xfId="12822" xr:uid="{00000000-0005-0000-0000-0000A71E0000}"/>
    <cellStyle name="20% - Accent5 2 2 4 2 3 2" xfId="36671" xr:uid="{84EFC5C3-5F8A-48B8-827E-FB4B266DEBB6}"/>
    <cellStyle name="20% - Accent5 2 2 4 2 4" xfId="20777" xr:uid="{00000000-0005-0000-0000-0000A81E0000}"/>
    <cellStyle name="20% - Accent5 2 2 4 2 4 2" xfId="44609" xr:uid="{769024C2-E8EC-42D4-9735-6BA9AA6EA40C}"/>
    <cellStyle name="20% - Accent5 2 2 4 2 5" xfId="28730" xr:uid="{A6FACD55-3B45-49E7-B689-BF4A333E5F12}"/>
    <cellStyle name="20% - Accent5 2 2 4 3" xfId="6631" xr:uid="{00000000-0005-0000-0000-0000A91E0000}"/>
    <cellStyle name="20% - Accent5 2 2 4 3 2" xfId="14602" xr:uid="{00000000-0005-0000-0000-0000AA1E0000}"/>
    <cellStyle name="20% - Accent5 2 2 4 3 2 2" xfId="38444" xr:uid="{6E17944E-F3D9-4BEC-AAAF-6326832B9A7E}"/>
    <cellStyle name="20% - Accent5 2 2 4 3 3" xfId="22549" xr:uid="{00000000-0005-0000-0000-0000AB1E0000}"/>
    <cellStyle name="20% - Accent5 2 2 4 3 3 2" xfId="46381" xr:uid="{7BE5492A-79E8-41D9-9977-1022A564F6FE}"/>
    <cellStyle name="20% - Accent5 2 2 4 3 4" xfId="30503" xr:uid="{DF2943C3-8C73-409E-918A-895E8D06E049}"/>
    <cellStyle name="20% - Accent5 2 2 4 4" xfId="11066" xr:uid="{00000000-0005-0000-0000-0000AC1E0000}"/>
    <cellStyle name="20% - Accent5 2 2 4 4 2" xfId="34915" xr:uid="{C22354B5-B0A0-4FF2-A365-E6CD25E45D9D}"/>
    <cellStyle name="20% - Accent5 2 2 4 5" xfId="19021" xr:uid="{00000000-0005-0000-0000-0000AD1E0000}"/>
    <cellStyle name="20% - Accent5 2 2 4 5 2" xfId="42853" xr:uid="{5708D649-EA79-4E9B-99D2-4D5C867D4737}"/>
    <cellStyle name="20% - Accent5 2 2 4 6" xfId="26973" xr:uid="{140DFFA3-9A97-490A-ABE7-72457E2F5404}"/>
    <cellStyle name="20% - Accent5 2 2 4_Exh G" xfId="2476" xr:uid="{00000000-0005-0000-0000-0000AE1E0000}"/>
    <cellStyle name="20% - Accent5 2 2 5" xfId="3920" xr:uid="{00000000-0005-0000-0000-0000AF1E0000}"/>
    <cellStyle name="20% - Accent5 2 2 5 2" xfId="7512" xr:uid="{00000000-0005-0000-0000-0000B01E0000}"/>
    <cellStyle name="20% - Accent5 2 2 5 2 2" xfId="15482" xr:uid="{00000000-0005-0000-0000-0000B11E0000}"/>
    <cellStyle name="20% - Accent5 2 2 5 2 2 2" xfId="39324" xr:uid="{6AC95B25-5068-4E65-AF1D-1839FB7D24C8}"/>
    <cellStyle name="20% - Accent5 2 2 5 2 3" xfId="23428" xr:uid="{00000000-0005-0000-0000-0000B21E0000}"/>
    <cellStyle name="20% - Accent5 2 2 5 2 3 2" xfId="47260" xr:uid="{74BC22FF-7C94-4BE7-9815-8985347B743B}"/>
    <cellStyle name="20% - Accent5 2 2 5 2 4" xfId="31383" xr:uid="{587F5A36-433F-4256-A4BC-C480C81B1B08}"/>
    <cellStyle name="20% - Accent5 2 2 5 3" xfId="11944" xr:uid="{00000000-0005-0000-0000-0000B31E0000}"/>
    <cellStyle name="20% - Accent5 2 2 5 3 2" xfId="35793" xr:uid="{2B214C07-4B95-46C5-AEEA-1D3B348DCF7C}"/>
    <cellStyle name="20% - Accent5 2 2 5 4" xfId="19899" xr:uid="{00000000-0005-0000-0000-0000B41E0000}"/>
    <cellStyle name="20% - Accent5 2 2 5 4 2" xfId="43731" xr:uid="{50868B5C-67FB-4E0C-A032-5F9EEC563634}"/>
    <cellStyle name="20% - Accent5 2 2 5 5" xfId="27852" xr:uid="{B344FA21-6816-41B8-990A-36E490071380}"/>
    <cellStyle name="20% - Accent5 2 2 6" xfId="5740" xr:uid="{00000000-0005-0000-0000-0000B51E0000}"/>
    <cellStyle name="20% - Accent5 2 2 6 2" xfId="13723" xr:uid="{00000000-0005-0000-0000-0000B61E0000}"/>
    <cellStyle name="20% - Accent5 2 2 6 2 2" xfId="37566" xr:uid="{038E3027-E11D-493F-B509-BE1C03D3C4C3}"/>
    <cellStyle name="20% - Accent5 2 2 6 3" xfId="21671" xr:uid="{00000000-0005-0000-0000-0000B71E0000}"/>
    <cellStyle name="20% - Accent5 2 2 6 3 2" xfId="45503" xr:uid="{DB3A93D6-A690-4A7C-9B80-5FAEAB25E1DF}"/>
    <cellStyle name="20% - Accent5 2 2 6 4" xfId="29625" xr:uid="{B7237864-DE87-4C41-8973-D0030A003AA0}"/>
    <cellStyle name="20% - Accent5 2 2 7" xfId="9292" xr:uid="{00000000-0005-0000-0000-0000B81E0000}"/>
    <cellStyle name="20% - Accent5 2 2 7 2" xfId="17250" xr:uid="{00000000-0005-0000-0000-0000B91E0000}"/>
    <cellStyle name="20% - Accent5 2 2 7 2 2" xfId="41090" xr:uid="{8AD08DA6-6AEC-41D5-BCDD-FBF371CABE11}"/>
    <cellStyle name="20% - Accent5 2 2 7 3" xfId="25194" xr:uid="{00000000-0005-0000-0000-0000BA1E0000}"/>
    <cellStyle name="20% - Accent5 2 2 7 3 2" xfId="49026" xr:uid="{802798D8-0758-4902-8D92-072623C20709}"/>
    <cellStyle name="20% - Accent5 2 2 7 4" xfId="33149" xr:uid="{46DB6753-E8D0-4BB6-ADFF-FBE541B7E9D4}"/>
    <cellStyle name="20% - Accent5 2 2 8" xfId="10188" xr:uid="{00000000-0005-0000-0000-0000BB1E0000}"/>
    <cellStyle name="20% - Accent5 2 2 8 2" xfId="34037" xr:uid="{70519252-42D6-4FAF-8136-AD8D61E38359}"/>
    <cellStyle name="20% - Accent5 2 2 9" xfId="18143" xr:uid="{00000000-0005-0000-0000-0000BC1E0000}"/>
    <cellStyle name="20% - Accent5 2 2 9 2" xfId="41975" xr:uid="{23482311-AE9E-46C9-BC62-B58BFCF64A7D}"/>
    <cellStyle name="20% - Accent5 2 2_Exh G" xfId="2471" xr:uid="{00000000-0005-0000-0000-0000BD1E0000}"/>
    <cellStyle name="20% - Accent5 2 3" xfId="248" xr:uid="{00000000-0005-0000-0000-0000BE1E0000}"/>
    <cellStyle name="20% - Accent5 2 3 2" xfId="1274" xr:uid="{00000000-0005-0000-0000-0000BF1E0000}"/>
    <cellStyle name="20% - Accent5 2 3 2 2" xfId="4801" xr:uid="{00000000-0005-0000-0000-0000C01E0000}"/>
    <cellStyle name="20% - Accent5 2 3 2 2 2" xfId="8392" xr:uid="{00000000-0005-0000-0000-0000C11E0000}"/>
    <cellStyle name="20% - Accent5 2 3 2 2 2 2" xfId="16362" xr:uid="{00000000-0005-0000-0000-0000C21E0000}"/>
    <cellStyle name="20% - Accent5 2 3 2 2 2 2 2" xfId="40204" xr:uid="{52C0790A-37EF-480E-8F36-B0965A27D3CE}"/>
    <cellStyle name="20% - Accent5 2 3 2 2 2 3" xfId="24308" xr:uid="{00000000-0005-0000-0000-0000C31E0000}"/>
    <cellStyle name="20% - Accent5 2 3 2 2 2 3 2" xfId="48140" xr:uid="{A3C9190C-4899-48D8-89F5-FA718ED81D86}"/>
    <cellStyle name="20% - Accent5 2 3 2 2 2 4" xfId="32263" xr:uid="{69727AB3-115E-48FA-B9F5-1D99AE86EBD0}"/>
    <cellStyle name="20% - Accent5 2 3 2 2 3" xfId="12824" xr:uid="{00000000-0005-0000-0000-0000C41E0000}"/>
    <cellStyle name="20% - Accent5 2 3 2 2 3 2" xfId="36673" xr:uid="{2F3C3D8E-5C0B-4958-8BA2-20071E14CC96}"/>
    <cellStyle name="20% - Accent5 2 3 2 2 4" xfId="20779" xr:uid="{00000000-0005-0000-0000-0000C51E0000}"/>
    <cellStyle name="20% - Accent5 2 3 2 2 4 2" xfId="44611" xr:uid="{0E47228F-00DD-4E1C-9BAC-33F6A4A6F34F}"/>
    <cellStyle name="20% - Accent5 2 3 2 2 5" xfId="28732" xr:uid="{70215000-AB83-45BC-A962-C71347417DFE}"/>
    <cellStyle name="20% - Accent5 2 3 2 3" xfId="6633" xr:uid="{00000000-0005-0000-0000-0000C61E0000}"/>
    <cellStyle name="20% - Accent5 2 3 2 3 2" xfId="14604" xr:uid="{00000000-0005-0000-0000-0000C71E0000}"/>
    <cellStyle name="20% - Accent5 2 3 2 3 2 2" xfId="38446" xr:uid="{3B8CCBAD-4097-4C48-B0A7-10DF55B91AE1}"/>
    <cellStyle name="20% - Accent5 2 3 2 3 3" xfId="22551" xr:uid="{00000000-0005-0000-0000-0000C81E0000}"/>
    <cellStyle name="20% - Accent5 2 3 2 3 3 2" xfId="46383" xr:uid="{4647DB61-1C1A-4A23-86B5-1FB3646E8A69}"/>
    <cellStyle name="20% - Accent5 2 3 2 3 4" xfId="30505" xr:uid="{D1E6775C-446B-43E0-92FC-504931FE3AC3}"/>
    <cellStyle name="20% - Accent5 2 3 2 4" xfId="11068" xr:uid="{00000000-0005-0000-0000-0000C91E0000}"/>
    <cellStyle name="20% - Accent5 2 3 2 4 2" xfId="34917" xr:uid="{1F4FE8C9-97CD-4FE2-A7C1-719B0C2B2C0D}"/>
    <cellStyle name="20% - Accent5 2 3 2 5" xfId="19023" xr:uid="{00000000-0005-0000-0000-0000CA1E0000}"/>
    <cellStyle name="20% - Accent5 2 3 2 5 2" xfId="42855" xr:uid="{08F91B9F-5C64-4B88-9E81-C49994C5F52E}"/>
    <cellStyle name="20% - Accent5 2 3 2 6" xfId="26975" xr:uid="{E372C863-49EA-4721-976F-7FB744FD0706}"/>
    <cellStyle name="20% - Accent5 2 3 2_Exh G" xfId="2478" xr:uid="{00000000-0005-0000-0000-0000CB1E0000}"/>
    <cellStyle name="20% - Accent5 2 3 3" xfId="3922" xr:uid="{00000000-0005-0000-0000-0000CC1E0000}"/>
    <cellStyle name="20% - Accent5 2 3 3 2" xfId="7514" xr:uid="{00000000-0005-0000-0000-0000CD1E0000}"/>
    <cellStyle name="20% - Accent5 2 3 3 2 2" xfId="15484" xr:uid="{00000000-0005-0000-0000-0000CE1E0000}"/>
    <cellStyle name="20% - Accent5 2 3 3 2 2 2" xfId="39326" xr:uid="{EAA77046-3B3A-4EA3-9494-851DB8169CAA}"/>
    <cellStyle name="20% - Accent5 2 3 3 2 3" xfId="23430" xr:uid="{00000000-0005-0000-0000-0000CF1E0000}"/>
    <cellStyle name="20% - Accent5 2 3 3 2 3 2" xfId="47262" xr:uid="{788A02EA-7014-4F27-B5A4-AE67DCF71EBF}"/>
    <cellStyle name="20% - Accent5 2 3 3 2 4" xfId="31385" xr:uid="{D75C80A7-517C-4CBB-A691-D4BD78B9FD22}"/>
    <cellStyle name="20% - Accent5 2 3 3 3" xfId="11946" xr:uid="{00000000-0005-0000-0000-0000D01E0000}"/>
    <cellStyle name="20% - Accent5 2 3 3 3 2" xfId="35795" xr:uid="{14C0791A-1C30-4CB0-A7C8-D204CCC9BD01}"/>
    <cellStyle name="20% - Accent5 2 3 3 4" xfId="19901" xr:uid="{00000000-0005-0000-0000-0000D11E0000}"/>
    <cellStyle name="20% - Accent5 2 3 3 4 2" xfId="43733" xr:uid="{2B770DE6-A415-4319-A612-3B6FAD0A9C56}"/>
    <cellStyle name="20% - Accent5 2 3 3 5" xfId="27854" xr:uid="{C6D8F0DD-8FBB-4B72-A36C-3003C6325413}"/>
    <cellStyle name="20% - Accent5 2 3 4" xfId="5742" xr:uid="{00000000-0005-0000-0000-0000D21E0000}"/>
    <cellStyle name="20% - Accent5 2 3 4 2" xfId="13725" xr:uid="{00000000-0005-0000-0000-0000D31E0000}"/>
    <cellStyle name="20% - Accent5 2 3 4 2 2" xfId="37568" xr:uid="{42B43F27-DF89-4F0A-B337-FF32FD559C65}"/>
    <cellStyle name="20% - Accent5 2 3 4 3" xfId="21673" xr:uid="{00000000-0005-0000-0000-0000D41E0000}"/>
    <cellStyle name="20% - Accent5 2 3 4 3 2" xfId="45505" xr:uid="{74547EA9-2001-4706-BA2B-21B5B428D928}"/>
    <cellStyle name="20% - Accent5 2 3 4 4" xfId="29627" xr:uid="{92DB4FA5-067E-4FF5-811F-EFDC636187DB}"/>
    <cellStyle name="20% - Accent5 2 3 5" xfId="9294" xr:uid="{00000000-0005-0000-0000-0000D51E0000}"/>
    <cellStyle name="20% - Accent5 2 3 5 2" xfId="17252" xr:uid="{00000000-0005-0000-0000-0000D61E0000}"/>
    <cellStyle name="20% - Accent5 2 3 5 2 2" xfId="41092" xr:uid="{5E5E45F3-6912-4013-88B7-D3F21B23388B}"/>
    <cellStyle name="20% - Accent5 2 3 5 3" xfId="25196" xr:uid="{00000000-0005-0000-0000-0000D71E0000}"/>
    <cellStyle name="20% - Accent5 2 3 5 3 2" xfId="49028" xr:uid="{9B7F791F-997A-4D13-BBA7-E47C20E8B843}"/>
    <cellStyle name="20% - Accent5 2 3 5 4" xfId="33151" xr:uid="{0CF5A02A-C25A-4714-BADE-140E547533F3}"/>
    <cellStyle name="20% - Accent5 2 3 6" xfId="10190" xr:uid="{00000000-0005-0000-0000-0000D81E0000}"/>
    <cellStyle name="20% - Accent5 2 3 6 2" xfId="34039" xr:uid="{31115DD1-5C50-4730-8F2E-43D7B6C140EE}"/>
    <cellStyle name="20% - Accent5 2 3 7" xfId="18145" xr:uid="{00000000-0005-0000-0000-0000D91E0000}"/>
    <cellStyle name="20% - Accent5 2 3 7 2" xfId="41977" xr:uid="{D2FC82D1-E6FA-4AF3-8B14-97EB0157AA57}"/>
    <cellStyle name="20% - Accent5 2 3 8" xfId="26097" xr:uid="{B4ABD534-3D30-4E6C-88DC-C4DA00A919DC}"/>
    <cellStyle name="20% - Accent5 2 3_Exh G" xfId="2477" xr:uid="{00000000-0005-0000-0000-0000DA1E0000}"/>
    <cellStyle name="20% - Accent5 2 4" xfId="908" xr:uid="{00000000-0005-0000-0000-0000DB1E0000}"/>
    <cellStyle name="20% - Accent5 2 4 2" xfId="1832" xr:uid="{00000000-0005-0000-0000-0000DC1E0000}"/>
    <cellStyle name="20% - Accent5 2 4 2 2" xfId="5349" xr:uid="{00000000-0005-0000-0000-0000DD1E0000}"/>
    <cellStyle name="20% - Accent5 2 4 2 2 2" xfId="8940" xr:uid="{00000000-0005-0000-0000-0000DE1E0000}"/>
    <cellStyle name="20% - Accent5 2 4 2 2 2 2" xfId="16910" xr:uid="{00000000-0005-0000-0000-0000DF1E0000}"/>
    <cellStyle name="20% - Accent5 2 4 2 2 2 2 2" xfId="40752" xr:uid="{95713E84-B24A-4787-8935-66461324EC5F}"/>
    <cellStyle name="20% - Accent5 2 4 2 2 2 3" xfId="24856" xr:uid="{00000000-0005-0000-0000-0000E01E0000}"/>
    <cellStyle name="20% - Accent5 2 4 2 2 2 3 2" xfId="48688" xr:uid="{B682CDB4-DB57-45AB-9164-777610450D39}"/>
    <cellStyle name="20% - Accent5 2 4 2 2 2 4" xfId="32811" xr:uid="{482C5C49-1480-42DB-9B42-38B117FC92D1}"/>
    <cellStyle name="20% - Accent5 2 4 2 2 3" xfId="13372" xr:uid="{00000000-0005-0000-0000-0000E11E0000}"/>
    <cellStyle name="20% - Accent5 2 4 2 2 3 2" xfId="37221" xr:uid="{84F3DB1F-F06B-41B5-99DC-2B837839C702}"/>
    <cellStyle name="20% - Accent5 2 4 2 2 4" xfId="21327" xr:uid="{00000000-0005-0000-0000-0000E21E0000}"/>
    <cellStyle name="20% - Accent5 2 4 2 2 4 2" xfId="45159" xr:uid="{7EC22814-16DC-4290-9929-CB22CBD808D7}"/>
    <cellStyle name="20% - Accent5 2 4 2 2 5" xfId="29280" xr:uid="{E0230F5E-EE9F-4C4A-AD02-8D7EC14FC382}"/>
    <cellStyle name="20% - Accent5 2 4 2 3" xfId="7181" xr:uid="{00000000-0005-0000-0000-0000E31E0000}"/>
    <cellStyle name="20% - Accent5 2 4 2 3 2" xfId="15152" xr:uid="{00000000-0005-0000-0000-0000E41E0000}"/>
    <cellStyle name="20% - Accent5 2 4 2 3 2 2" xfId="38994" xr:uid="{D22E2B96-5139-4454-BA6F-78E04CBA1D28}"/>
    <cellStyle name="20% - Accent5 2 4 2 3 3" xfId="23099" xr:uid="{00000000-0005-0000-0000-0000E51E0000}"/>
    <cellStyle name="20% - Accent5 2 4 2 3 3 2" xfId="46931" xr:uid="{2D621961-DFCA-4092-A384-CB40507E4C52}"/>
    <cellStyle name="20% - Accent5 2 4 2 3 4" xfId="31053" xr:uid="{E922E5A7-4A68-4C50-9174-F7F6B5D12E50}"/>
    <cellStyle name="20% - Accent5 2 4 2 4" xfId="11616" xr:uid="{00000000-0005-0000-0000-0000E61E0000}"/>
    <cellStyle name="20% - Accent5 2 4 2 4 2" xfId="35465" xr:uid="{7FBA52C5-C37C-49E4-B7EB-FF26BB9DA90E}"/>
    <cellStyle name="20% - Accent5 2 4 2 5" xfId="19571" xr:uid="{00000000-0005-0000-0000-0000E71E0000}"/>
    <cellStyle name="20% - Accent5 2 4 2 5 2" xfId="43403" xr:uid="{FC6C69A1-11C1-4C6D-A1AC-725FDED0D120}"/>
    <cellStyle name="20% - Accent5 2 4 2 6" xfId="27523" xr:uid="{A44B3D99-E4E7-4A03-A558-DC6647767208}"/>
    <cellStyle name="20% - Accent5 2 4 2_Exh G" xfId="2480" xr:uid="{00000000-0005-0000-0000-0000E81E0000}"/>
    <cellStyle name="20% - Accent5 2 4 3" xfId="4470" xr:uid="{00000000-0005-0000-0000-0000E91E0000}"/>
    <cellStyle name="20% - Accent5 2 4 3 2" xfId="8062" xr:uid="{00000000-0005-0000-0000-0000EA1E0000}"/>
    <cellStyle name="20% - Accent5 2 4 3 2 2" xfId="16032" xr:uid="{00000000-0005-0000-0000-0000EB1E0000}"/>
    <cellStyle name="20% - Accent5 2 4 3 2 2 2" xfId="39874" xr:uid="{6948E651-687D-4A1A-BC65-36684F0A7E7F}"/>
    <cellStyle name="20% - Accent5 2 4 3 2 3" xfId="23978" xr:uid="{00000000-0005-0000-0000-0000EC1E0000}"/>
    <cellStyle name="20% - Accent5 2 4 3 2 3 2" xfId="47810" xr:uid="{847D03C7-887D-4811-B18A-58CE14183B68}"/>
    <cellStyle name="20% - Accent5 2 4 3 2 4" xfId="31933" xr:uid="{52C0C719-F5EE-4CE5-B616-AE76C85DA144}"/>
    <cellStyle name="20% - Accent5 2 4 3 3" xfId="12494" xr:uid="{00000000-0005-0000-0000-0000ED1E0000}"/>
    <cellStyle name="20% - Accent5 2 4 3 3 2" xfId="36343" xr:uid="{957166A5-5EC0-4F6B-9B1B-9DEFF0064DC9}"/>
    <cellStyle name="20% - Accent5 2 4 3 4" xfId="20449" xr:uid="{00000000-0005-0000-0000-0000EE1E0000}"/>
    <cellStyle name="20% - Accent5 2 4 3 4 2" xfId="44281" xr:uid="{71F740DD-A26D-4D5A-B270-9BB8410039BA}"/>
    <cellStyle name="20% - Accent5 2 4 3 5" xfId="28402" xr:uid="{73000160-7397-44CE-AF4D-7FE35E21F54F}"/>
    <cellStyle name="20% - Accent5 2 4 4" xfId="6300" xr:uid="{00000000-0005-0000-0000-0000EF1E0000}"/>
    <cellStyle name="20% - Accent5 2 4 4 2" xfId="14274" xr:uid="{00000000-0005-0000-0000-0000F01E0000}"/>
    <cellStyle name="20% - Accent5 2 4 4 2 2" xfId="38116" xr:uid="{2C5676C9-8BA8-4859-898C-A1D9A5FEB612}"/>
    <cellStyle name="20% - Accent5 2 4 4 3" xfId="22221" xr:uid="{00000000-0005-0000-0000-0000F11E0000}"/>
    <cellStyle name="20% - Accent5 2 4 4 3 2" xfId="46053" xr:uid="{D442B29E-4695-45A6-B8AA-BCCD65BEA3C7}"/>
    <cellStyle name="20% - Accent5 2 4 4 4" xfId="30175" xr:uid="{06AFE1EE-2163-4C89-9255-C32B3F4D3B4E}"/>
    <cellStyle name="20% - Accent5 2 4 5" xfId="9842" xr:uid="{00000000-0005-0000-0000-0000F21E0000}"/>
    <cellStyle name="20% - Accent5 2 4 5 2" xfId="17800" xr:uid="{00000000-0005-0000-0000-0000F31E0000}"/>
    <cellStyle name="20% - Accent5 2 4 5 2 2" xfId="41640" xr:uid="{D642E8B4-B610-4286-BECD-B9DD78565BC3}"/>
    <cellStyle name="20% - Accent5 2 4 5 3" xfId="25744" xr:uid="{00000000-0005-0000-0000-0000F41E0000}"/>
    <cellStyle name="20% - Accent5 2 4 5 3 2" xfId="49576" xr:uid="{8060629F-2779-4C55-AD76-0393AD19D44B}"/>
    <cellStyle name="20% - Accent5 2 4 5 4" xfId="33699" xr:uid="{4D3378FE-A025-495A-96B3-AE2E6D32BB1C}"/>
    <cellStyle name="20% - Accent5 2 4 6" xfId="10738" xr:uid="{00000000-0005-0000-0000-0000F51E0000}"/>
    <cellStyle name="20% - Accent5 2 4 6 2" xfId="34587" xr:uid="{2B98C86D-C321-434F-B3CE-09EBF531C58F}"/>
    <cellStyle name="20% - Accent5 2 4 7" xfId="18693" xr:uid="{00000000-0005-0000-0000-0000F61E0000}"/>
    <cellStyle name="20% - Accent5 2 4 7 2" xfId="42525" xr:uid="{CEEB0BC4-A458-4C1A-AA81-FEBA211AAD49}"/>
    <cellStyle name="20% - Accent5 2 4 8" xfId="26645" xr:uid="{F0DD4FD4-5806-4FF0-9187-D02245D7EEA8}"/>
    <cellStyle name="20% - Accent5 2 4_Exh G" xfId="2479" xr:uid="{00000000-0005-0000-0000-0000F71E0000}"/>
    <cellStyle name="20% - Accent5 2 5" xfId="1271" xr:uid="{00000000-0005-0000-0000-0000F81E0000}"/>
    <cellStyle name="20% - Accent5 2 5 2" xfId="4798" xr:uid="{00000000-0005-0000-0000-0000F91E0000}"/>
    <cellStyle name="20% - Accent5 2 5 2 2" xfId="8389" xr:uid="{00000000-0005-0000-0000-0000FA1E0000}"/>
    <cellStyle name="20% - Accent5 2 5 2 2 2" xfId="16359" xr:uid="{00000000-0005-0000-0000-0000FB1E0000}"/>
    <cellStyle name="20% - Accent5 2 5 2 2 2 2" xfId="40201" xr:uid="{8F560EAD-CE0F-47A3-A441-9AE72AB9F6D7}"/>
    <cellStyle name="20% - Accent5 2 5 2 2 3" xfId="24305" xr:uid="{00000000-0005-0000-0000-0000FC1E0000}"/>
    <cellStyle name="20% - Accent5 2 5 2 2 3 2" xfId="48137" xr:uid="{6437FEB3-0210-420D-9E51-8FD1779EB080}"/>
    <cellStyle name="20% - Accent5 2 5 2 2 4" xfId="32260" xr:uid="{6B1094FB-49BD-431F-B5C5-0769EBD48812}"/>
    <cellStyle name="20% - Accent5 2 5 2 3" xfId="12821" xr:uid="{00000000-0005-0000-0000-0000FD1E0000}"/>
    <cellStyle name="20% - Accent5 2 5 2 3 2" xfId="36670" xr:uid="{502D1A35-FA37-447F-8919-6AB5EB482061}"/>
    <cellStyle name="20% - Accent5 2 5 2 4" xfId="20776" xr:uid="{00000000-0005-0000-0000-0000FE1E0000}"/>
    <cellStyle name="20% - Accent5 2 5 2 4 2" xfId="44608" xr:uid="{4A9595B9-36DB-41A4-A056-29647EAA53E1}"/>
    <cellStyle name="20% - Accent5 2 5 2 5" xfId="28729" xr:uid="{19164F66-FD72-4FA0-89E8-9E55875EBCE1}"/>
    <cellStyle name="20% - Accent5 2 5 3" xfId="6630" xr:uid="{00000000-0005-0000-0000-0000FF1E0000}"/>
    <cellStyle name="20% - Accent5 2 5 3 2" xfId="14601" xr:uid="{00000000-0005-0000-0000-0000001F0000}"/>
    <cellStyle name="20% - Accent5 2 5 3 2 2" xfId="38443" xr:uid="{C7971F98-F980-441D-AB92-CCFC146DDED5}"/>
    <cellStyle name="20% - Accent5 2 5 3 3" xfId="22548" xr:uid="{00000000-0005-0000-0000-0000011F0000}"/>
    <cellStyle name="20% - Accent5 2 5 3 3 2" xfId="46380" xr:uid="{9403341A-FCE8-4041-8B0F-9E719ACFE80B}"/>
    <cellStyle name="20% - Accent5 2 5 3 4" xfId="30502" xr:uid="{7749FAAA-8F9A-427C-B1D5-85987090D698}"/>
    <cellStyle name="20% - Accent5 2 5 4" xfId="11065" xr:uid="{00000000-0005-0000-0000-0000021F0000}"/>
    <cellStyle name="20% - Accent5 2 5 4 2" xfId="34914" xr:uid="{3CEBD589-07F7-47B5-B519-642F70AB7E4A}"/>
    <cellStyle name="20% - Accent5 2 5 5" xfId="19020" xr:uid="{00000000-0005-0000-0000-0000031F0000}"/>
    <cellStyle name="20% - Accent5 2 5 5 2" xfId="42852" xr:uid="{EAA253B7-9BB2-4B52-A7C5-305D635CE84A}"/>
    <cellStyle name="20% - Accent5 2 5 6" xfId="26972" xr:uid="{2A0BCCD8-D79D-43A4-8B2A-5E754A25AD68}"/>
    <cellStyle name="20% - Accent5 2 5_Exh G" xfId="2481" xr:uid="{00000000-0005-0000-0000-0000041F0000}"/>
    <cellStyle name="20% - Accent5 2 6" xfId="3919" xr:uid="{00000000-0005-0000-0000-0000051F0000}"/>
    <cellStyle name="20% - Accent5 2 6 2" xfId="7511" xr:uid="{00000000-0005-0000-0000-0000061F0000}"/>
    <cellStyle name="20% - Accent5 2 6 2 2" xfId="15481" xr:uid="{00000000-0005-0000-0000-0000071F0000}"/>
    <cellStyle name="20% - Accent5 2 6 2 2 2" xfId="39323" xr:uid="{9992EC6D-FF4D-479E-8FCD-AA2B3C306BBB}"/>
    <cellStyle name="20% - Accent5 2 6 2 3" xfId="23427" xr:uid="{00000000-0005-0000-0000-0000081F0000}"/>
    <cellStyle name="20% - Accent5 2 6 2 3 2" xfId="47259" xr:uid="{D6A4C343-DBE9-4589-9C57-41F309DFA27A}"/>
    <cellStyle name="20% - Accent5 2 6 2 4" xfId="31382" xr:uid="{82F2DE8C-A9F8-493F-99E3-F255C1E8B221}"/>
    <cellStyle name="20% - Accent5 2 6 3" xfId="11943" xr:uid="{00000000-0005-0000-0000-0000091F0000}"/>
    <cellStyle name="20% - Accent5 2 6 3 2" xfId="35792" xr:uid="{5BA5A169-340D-4E03-9AD7-73F3AD5636C2}"/>
    <cellStyle name="20% - Accent5 2 6 4" xfId="19898" xr:uid="{00000000-0005-0000-0000-00000A1F0000}"/>
    <cellStyle name="20% - Accent5 2 6 4 2" xfId="43730" xr:uid="{89A6F20F-E6BC-4F97-8845-B346A9C0FCAB}"/>
    <cellStyle name="20% - Accent5 2 6 5" xfId="27851" xr:uid="{736A5600-757E-46CA-B8A4-7FEA559ECA85}"/>
    <cellStyle name="20% - Accent5 2 7" xfId="5739" xr:uid="{00000000-0005-0000-0000-00000B1F0000}"/>
    <cellStyle name="20% - Accent5 2 7 2" xfId="13722" xr:uid="{00000000-0005-0000-0000-00000C1F0000}"/>
    <cellStyle name="20% - Accent5 2 7 2 2" xfId="37565" xr:uid="{345ADE02-1DBF-46AC-97FA-CD29B7BA28CE}"/>
    <cellStyle name="20% - Accent5 2 7 3" xfId="21670" xr:uid="{00000000-0005-0000-0000-00000D1F0000}"/>
    <cellStyle name="20% - Accent5 2 7 3 2" xfId="45502" xr:uid="{B8346EFD-45B4-41CC-ABC6-20408716C200}"/>
    <cellStyle name="20% - Accent5 2 7 4" xfId="29624" xr:uid="{7425D9E3-AA18-4533-B6BC-6AD78C8A7064}"/>
    <cellStyle name="20% - Accent5 2 8" xfId="9291" xr:uid="{00000000-0005-0000-0000-00000E1F0000}"/>
    <cellStyle name="20% - Accent5 2 8 2" xfId="17249" xr:uid="{00000000-0005-0000-0000-00000F1F0000}"/>
    <cellStyle name="20% - Accent5 2 8 2 2" xfId="41089" xr:uid="{E73ECFB0-5350-4E87-84E5-06F2DB6F3098}"/>
    <cellStyle name="20% - Accent5 2 8 3" xfId="25193" xr:uid="{00000000-0005-0000-0000-0000101F0000}"/>
    <cellStyle name="20% - Accent5 2 8 3 2" xfId="49025" xr:uid="{2855E040-B7DF-4B7C-B684-1954AFC65BD5}"/>
    <cellStyle name="20% - Accent5 2 8 4" xfId="33148" xr:uid="{4A4584E7-2EA1-454E-A6A0-BCF62FDCA472}"/>
    <cellStyle name="20% - Accent5 2 9" xfId="10187" xr:uid="{00000000-0005-0000-0000-0000111F0000}"/>
    <cellStyle name="20% - Accent5 2 9 2" xfId="34036" xr:uid="{7BC756EA-4039-43FA-908F-C1B98DE3F8D7}"/>
    <cellStyle name="20% - Accent5 2_Exh G" xfId="2470" xr:uid="{00000000-0005-0000-0000-0000121F0000}"/>
    <cellStyle name="20% - Accent5 3" xfId="249" xr:uid="{00000000-0005-0000-0000-0000131F0000}"/>
    <cellStyle name="20% - Accent5 3 10" xfId="18146" xr:uid="{00000000-0005-0000-0000-0000141F0000}"/>
    <cellStyle name="20% - Accent5 3 10 2" xfId="41978" xr:uid="{D1A15652-8611-4422-808E-FC92FCA3FF2A}"/>
    <cellStyle name="20% - Accent5 3 11" xfId="26098" xr:uid="{9D55866E-B3CC-4633-9DAD-DD871A9F33E3}"/>
    <cellStyle name="20% - Accent5 3 12" xfId="49762" xr:uid="{B1364B62-E969-4E62-A715-EC57E16D280D}"/>
    <cellStyle name="20% - Accent5 3 13" xfId="49816" xr:uid="{67BC31E0-703A-42E3-BF41-EDE96BDA5966}"/>
    <cellStyle name="20% - Accent5 3 2" xfId="250" xr:uid="{00000000-0005-0000-0000-0000151F0000}"/>
    <cellStyle name="20% - Accent5 3 2 10" xfId="26099" xr:uid="{4E967EBA-3B6F-46A8-9D48-1F5617BDD4F8}"/>
    <cellStyle name="20% - Accent5 3 2 2" xfId="251" xr:uid="{00000000-0005-0000-0000-0000161F0000}"/>
    <cellStyle name="20% - Accent5 3 2 2 2" xfId="1277" xr:uid="{00000000-0005-0000-0000-0000171F0000}"/>
    <cellStyle name="20% - Accent5 3 2 2 2 2" xfId="4804" xr:uid="{00000000-0005-0000-0000-0000181F0000}"/>
    <cellStyle name="20% - Accent5 3 2 2 2 2 2" xfId="8395" xr:uid="{00000000-0005-0000-0000-0000191F0000}"/>
    <cellStyle name="20% - Accent5 3 2 2 2 2 2 2" xfId="16365" xr:uid="{00000000-0005-0000-0000-00001A1F0000}"/>
    <cellStyle name="20% - Accent5 3 2 2 2 2 2 2 2" xfId="40207" xr:uid="{DDF06356-1981-49F6-A847-848A42EB7D04}"/>
    <cellStyle name="20% - Accent5 3 2 2 2 2 2 3" xfId="24311" xr:uid="{00000000-0005-0000-0000-00001B1F0000}"/>
    <cellStyle name="20% - Accent5 3 2 2 2 2 2 3 2" xfId="48143" xr:uid="{C9C7C27F-D793-4BFC-B17A-0732A2DDFAFA}"/>
    <cellStyle name="20% - Accent5 3 2 2 2 2 2 4" xfId="32266" xr:uid="{1B5C7698-A558-437E-94D6-DBB1053F699F}"/>
    <cellStyle name="20% - Accent5 3 2 2 2 2 3" xfId="12827" xr:uid="{00000000-0005-0000-0000-00001C1F0000}"/>
    <cellStyle name="20% - Accent5 3 2 2 2 2 3 2" xfId="36676" xr:uid="{1B201984-8ED8-4F72-8056-F8048901341C}"/>
    <cellStyle name="20% - Accent5 3 2 2 2 2 4" xfId="20782" xr:uid="{00000000-0005-0000-0000-00001D1F0000}"/>
    <cellStyle name="20% - Accent5 3 2 2 2 2 4 2" xfId="44614" xr:uid="{11AD5967-493F-49A0-AF29-BF2C6FD1A574}"/>
    <cellStyle name="20% - Accent5 3 2 2 2 2 5" xfId="28735" xr:uid="{92779F6B-A4F8-4235-A8EA-54EE722F503F}"/>
    <cellStyle name="20% - Accent5 3 2 2 2 3" xfId="6636" xr:uid="{00000000-0005-0000-0000-00001E1F0000}"/>
    <cellStyle name="20% - Accent5 3 2 2 2 3 2" xfId="14607" xr:uid="{00000000-0005-0000-0000-00001F1F0000}"/>
    <cellStyle name="20% - Accent5 3 2 2 2 3 2 2" xfId="38449" xr:uid="{8F12F087-F185-477B-BE2B-1F892B80012F}"/>
    <cellStyle name="20% - Accent5 3 2 2 2 3 3" xfId="22554" xr:uid="{00000000-0005-0000-0000-0000201F0000}"/>
    <cellStyle name="20% - Accent5 3 2 2 2 3 3 2" xfId="46386" xr:uid="{DA39E621-7C3C-4707-BB4A-B741343B85A0}"/>
    <cellStyle name="20% - Accent5 3 2 2 2 3 4" xfId="30508" xr:uid="{299D008F-8A12-440B-9A76-8D54D32BD45B}"/>
    <cellStyle name="20% - Accent5 3 2 2 2 4" xfId="11071" xr:uid="{00000000-0005-0000-0000-0000211F0000}"/>
    <cellStyle name="20% - Accent5 3 2 2 2 4 2" xfId="34920" xr:uid="{AD1D88D7-1731-4D1D-83E5-5CD4813494D6}"/>
    <cellStyle name="20% - Accent5 3 2 2 2 5" xfId="19026" xr:uid="{00000000-0005-0000-0000-0000221F0000}"/>
    <cellStyle name="20% - Accent5 3 2 2 2 5 2" xfId="42858" xr:uid="{7658D699-B029-4724-B7FB-4E478B50C738}"/>
    <cellStyle name="20% - Accent5 3 2 2 2 6" xfId="26978" xr:uid="{F14A16C7-F2EA-4F12-955F-DCB03DAB8BD7}"/>
    <cellStyle name="20% - Accent5 3 2 2 2_Exh G" xfId="2485" xr:uid="{00000000-0005-0000-0000-0000231F0000}"/>
    <cellStyle name="20% - Accent5 3 2 2 3" xfId="3925" xr:uid="{00000000-0005-0000-0000-0000241F0000}"/>
    <cellStyle name="20% - Accent5 3 2 2 3 2" xfId="7517" xr:uid="{00000000-0005-0000-0000-0000251F0000}"/>
    <cellStyle name="20% - Accent5 3 2 2 3 2 2" xfId="15487" xr:uid="{00000000-0005-0000-0000-0000261F0000}"/>
    <cellStyle name="20% - Accent5 3 2 2 3 2 2 2" xfId="39329" xr:uid="{E5455759-48B3-498D-85A2-982FED88897C}"/>
    <cellStyle name="20% - Accent5 3 2 2 3 2 3" xfId="23433" xr:uid="{00000000-0005-0000-0000-0000271F0000}"/>
    <cellStyle name="20% - Accent5 3 2 2 3 2 3 2" xfId="47265" xr:uid="{897397B2-FE25-47F0-BB0B-37F9C792D2F8}"/>
    <cellStyle name="20% - Accent5 3 2 2 3 2 4" xfId="31388" xr:uid="{EAC9360A-3A3B-4BB9-B112-E92C244585A7}"/>
    <cellStyle name="20% - Accent5 3 2 2 3 3" xfId="11949" xr:uid="{00000000-0005-0000-0000-0000281F0000}"/>
    <cellStyle name="20% - Accent5 3 2 2 3 3 2" xfId="35798" xr:uid="{0BE2B348-F156-4A1D-8648-271F2B2FF0FD}"/>
    <cellStyle name="20% - Accent5 3 2 2 3 4" xfId="19904" xr:uid="{00000000-0005-0000-0000-0000291F0000}"/>
    <cellStyle name="20% - Accent5 3 2 2 3 4 2" xfId="43736" xr:uid="{80F59EF7-870A-495B-9A0D-E35986FFB8F6}"/>
    <cellStyle name="20% - Accent5 3 2 2 3 5" xfId="27857" xr:uid="{44C36D88-ECA9-4F2A-8C9F-1F0E5DE40829}"/>
    <cellStyle name="20% - Accent5 3 2 2 4" xfId="5745" xr:uid="{00000000-0005-0000-0000-00002A1F0000}"/>
    <cellStyle name="20% - Accent5 3 2 2 4 2" xfId="13728" xr:uid="{00000000-0005-0000-0000-00002B1F0000}"/>
    <cellStyle name="20% - Accent5 3 2 2 4 2 2" xfId="37571" xr:uid="{419E5172-386A-4ECE-BB73-EFEBB6F53206}"/>
    <cellStyle name="20% - Accent5 3 2 2 4 3" xfId="21676" xr:uid="{00000000-0005-0000-0000-00002C1F0000}"/>
    <cellStyle name="20% - Accent5 3 2 2 4 3 2" xfId="45508" xr:uid="{1DC15D6F-557D-4C47-AEAF-4B1E16A5C303}"/>
    <cellStyle name="20% - Accent5 3 2 2 4 4" xfId="29630" xr:uid="{AF8DCCE2-5E2F-4DAC-9091-F0B169091A3D}"/>
    <cellStyle name="20% - Accent5 3 2 2 5" xfId="9297" xr:uid="{00000000-0005-0000-0000-00002D1F0000}"/>
    <cellStyle name="20% - Accent5 3 2 2 5 2" xfId="17255" xr:uid="{00000000-0005-0000-0000-00002E1F0000}"/>
    <cellStyle name="20% - Accent5 3 2 2 5 2 2" xfId="41095" xr:uid="{708E1DCF-1367-4B79-9E4B-D74685313838}"/>
    <cellStyle name="20% - Accent5 3 2 2 5 3" xfId="25199" xr:uid="{00000000-0005-0000-0000-00002F1F0000}"/>
    <cellStyle name="20% - Accent5 3 2 2 5 3 2" xfId="49031" xr:uid="{D2724CCC-B9A7-402C-BA60-6434A819E007}"/>
    <cellStyle name="20% - Accent5 3 2 2 5 4" xfId="33154" xr:uid="{F2A2B110-183B-478C-AC3F-755D6D32616D}"/>
    <cellStyle name="20% - Accent5 3 2 2 6" xfId="10193" xr:uid="{00000000-0005-0000-0000-0000301F0000}"/>
    <cellStyle name="20% - Accent5 3 2 2 6 2" xfId="34042" xr:uid="{373D417B-CC7A-4530-9986-BC08E0DFAB87}"/>
    <cellStyle name="20% - Accent5 3 2 2 7" xfId="18148" xr:uid="{00000000-0005-0000-0000-0000311F0000}"/>
    <cellStyle name="20% - Accent5 3 2 2 7 2" xfId="41980" xr:uid="{45D5D31F-4495-47A8-A477-8EA112516745}"/>
    <cellStyle name="20% - Accent5 3 2 2 8" xfId="26100" xr:uid="{90A8663B-7FE9-42C4-921A-AB4BB096FA68}"/>
    <cellStyle name="20% - Accent5 3 2 2_Exh G" xfId="2484" xr:uid="{00000000-0005-0000-0000-0000321F0000}"/>
    <cellStyle name="20% - Accent5 3 2 3" xfId="911" xr:uid="{00000000-0005-0000-0000-0000331F0000}"/>
    <cellStyle name="20% - Accent5 3 2 3 2" xfId="1835" xr:uid="{00000000-0005-0000-0000-0000341F0000}"/>
    <cellStyle name="20% - Accent5 3 2 3 2 2" xfId="5352" xr:uid="{00000000-0005-0000-0000-0000351F0000}"/>
    <cellStyle name="20% - Accent5 3 2 3 2 2 2" xfId="8943" xr:uid="{00000000-0005-0000-0000-0000361F0000}"/>
    <cellStyle name="20% - Accent5 3 2 3 2 2 2 2" xfId="16913" xr:uid="{00000000-0005-0000-0000-0000371F0000}"/>
    <cellStyle name="20% - Accent5 3 2 3 2 2 2 2 2" xfId="40755" xr:uid="{3CFFEB1F-67C4-475B-AFA9-DC8794278EE4}"/>
    <cellStyle name="20% - Accent5 3 2 3 2 2 2 3" xfId="24859" xr:uid="{00000000-0005-0000-0000-0000381F0000}"/>
    <cellStyle name="20% - Accent5 3 2 3 2 2 2 3 2" xfId="48691" xr:uid="{76AABF60-B084-4D82-8A16-3FA9ED5FB1F6}"/>
    <cellStyle name="20% - Accent5 3 2 3 2 2 2 4" xfId="32814" xr:uid="{A3145CE2-6AB0-48F2-BCAD-009844363F6C}"/>
    <cellStyle name="20% - Accent5 3 2 3 2 2 3" xfId="13375" xr:uid="{00000000-0005-0000-0000-0000391F0000}"/>
    <cellStyle name="20% - Accent5 3 2 3 2 2 3 2" xfId="37224" xr:uid="{CD9C6B03-F2DC-44A8-9D5E-2A656D3D063F}"/>
    <cellStyle name="20% - Accent5 3 2 3 2 2 4" xfId="21330" xr:uid="{00000000-0005-0000-0000-00003A1F0000}"/>
    <cellStyle name="20% - Accent5 3 2 3 2 2 4 2" xfId="45162" xr:uid="{F68B36D0-7F28-4808-A086-AD7D3C7BD44B}"/>
    <cellStyle name="20% - Accent5 3 2 3 2 2 5" xfId="29283" xr:uid="{564A1EE2-5B6A-4B9D-935F-3A004542B835}"/>
    <cellStyle name="20% - Accent5 3 2 3 2 3" xfId="7184" xr:uid="{00000000-0005-0000-0000-00003B1F0000}"/>
    <cellStyle name="20% - Accent5 3 2 3 2 3 2" xfId="15155" xr:uid="{00000000-0005-0000-0000-00003C1F0000}"/>
    <cellStyle name="20% - Accent5 3 2 3 2 3 2 2" xfId="38997" xr:uid="{41210852-D61A-4682-B123-737F73DACD40}"/>
    <cellStyle name="20% - Accent5 3 2 3 2 3 3" xfId="23102" xr:uid="{00000000-0005-0000-0000-00003D1F0000}"/>
    <cellStyle name="20% - Accent5 3 2 3 2 3 3 2" xfId="46934" xr:uid="{4CE5BC37-436D-429C-8645-BE58A87F4B77}"/>
    <cellStyle name="20% - Accent5 3 2 3 2 3 4" xfId="31056" xr:uid="{8E0575AF-3C12-4992-A0A8-B40473FC1164}"/>
    <cellStyle name="20% - Accent5 3 2 3 2 4" xfId="11619" xr:uid="{00000000-0005-0000-0000-00003E1F0000}"/>
    <cellStyle name="20% - Accent5 3 2 3 2 4 2" xfId="35468" xr:uid="{AF6938D5-1CBF-437A-BECB-FE7A090D7561}"/>
    <cellStyle name="20% - Accent5 3 2 3 2 5" xfId="19574" xr:uid="{00000000-0005-0000-0000-00003F1F0000}"/>
    <cellStyle name="20% - Accent5 3 2 3 2 5 2" xfId="43406" xr:uid="{636832E6-A583-4B6D-9559-70FED2A5BC68}"/>
    <cellStyle name="20% - Accent5 3 2 3 2 6" xfId="27526" xr:uid="{3D0DDEB0-C5EA-4850-9988-754149F9737E}"/>
    <cellStyle name="20% - Accent5 3 2 3 2_Exh G" xfId="2487" xr:uid="{00000000-0005-0000-0000-0000401F0000}"/>
    <cellStyle name="20% - Accent5 3 2 3 3" xfId="4473" xr:uid="{00000000-0005-0000-0000-0000411F0000}"/>
    <cellStyle name="20% - Accent5 3 2 3 3 2" xfId="8065" xr:uid="{00000000-0005-0000-0000-0000421F0000}"/>
    <cellStyle name="20% - Accent5 3 2 3 3 2 2" xfId="16035" xr:uid="{00000000-0005-0000-0000-0000431F0000}"/>
    <cellStyle name="20% - Accent5 3 2 3 3 2 2 2" xfId="39877" xr:uid="{FA817DA5-79AA-4A1B-B69A-5B24DFB6BA8A}"/>
    <cellStyle name="20% - Accent5 3 2 3 3 2 3" xfId="23981" xr:uid="{00000000-0005-0000-0000-0000441F0000}"/>
    <cellStyle name="20% - Accent5 3 2 3 3 2 3 2" xfId="47813" xr:uid="{A8813BA7-A4AB-4C8A-AF9F-F3E58F6FA75D}"/>
    <cellStyle name="20% - Accent5 3 2 3 3 2 4" xfId="31936" xr:uid="{EED0999B-7D2F-4E9E-9FD2-5E4B9CE19193}"/>
    <cellStyle name="20% - Accent5 3 2 3 3 3" xfId="12497" xr:uid="{00000000-0005-0000-0000-0000451F0000}"/>
    <cellStyle name="20% - Accent5 3 2 3 3 3 2" xfId="36346" xr:uid="{1B3DEF65-9AA9-49DB-9B2F-DEC10B011C37}"/>
    <cellStyle name="20% - Accent5 3 2 3 3 4" xfId="20452" xr:uid="{00000000-0005-0000-0000-0000461F0000}"/>
    <cellStyle name="20% - Accent5 3 2 3 3 4 2" xfId="44284" xr:uid="{5A9CDAD9-E67B-42C6-9CBB-E365CF7C1D73}"/>
    <cellStyle name="20% - Accent5 3 2 3 3 5" xfId="28405" xr:uid="{B0510770-50BD-4133-965E-2BC1D7969218}"/>
    <cellStyle name="20% - Accent5 3 2 3 4" xfId="6303" xr:uid="{00000000-0005-0000-0000-0000471F0000}"/>
    <cellStyle name="20% - Accent5 3 2 3 4 2" xfId="14277" xr:uid="{00000000-0005-0000-0000-0000481F0000}"/>
    <cellStyle name="20% - Accent5 3 2 3 4 2 2" xfId="38119" xr:uid="{70DD2ECB-135F-4205-9ABC-AA8A13C5361E}"/>
    <cellStyle name="20% - Accent5 3 2 3 4 3" xfId="22224" xr:uid="{00000000-0005-0000-0000-0000491F0000}"/>
    <cellStyle name="20% - Accent5 3 2 3 4 3 2" xfId="46056" xr:uid="{0FC9CAFF-5AA3-4654-8BF9-2BA3CDF993E3}"/>
    <cellStyle name="20% - Accent5 3 2 3 4 4" xfId="30178" xr:uid="{4D7ED8C3-23F7-4DEB-836E-427531E57CF5}"/>
    <cellStyle name="20% - Accent5 3 2 3 5" xfId="9845" xr:uid="{00000000-0005-0000-0000-00004A1F0000}"/>
    <cellStyle name="20% - Accent5 3 2 3 5 2" xfId="17803" xr:uid="{00000000-0005-0000-0000-00004B1F0000}"/>
    <cellStyle name="20% - Accent5 3 2 3 5 2 2" xfId="41643" xr:uid="{DF645FE0-A680-4E2A-A5FA-3BA12439FA28}"/>
    <cellStyle name="20% - Accent5 3 2 3 5 3" xfId="25747" xr:uid="{00000000-0005-0000-0000-00004C1F0000}"/>
    <cellStyle name="20% - Accent5 3 2 3 5 3 2" xfId="49579" xr:uid="{31BCCD6B-C447-4E6D-81D6-100A02B20348}"/>
    <cellStyle name="20% - Accent5 3 2 3 5 4" xfId="33702" xr:uid="{0FE5A241-48C2-4EAA-AE98-884C3EFB7A91}"/>
    <cellStyle name="20% - Accent5 3 2 3 6" xfId="10741" xr:uid="{00000000-0005-0000-0000-00004D1F0000}"/>
    <cellStyle name="20% - Accent5 3 2 3 6 2" xfId="34590" xr:uid="{BC84EED9-6CE1-4D70-9D95-BD6953C2B79D}"/>
    <cellStyle name="20% - Accent5 3 2 3 7" xfId="18696" xr:uid="{00000000-0005-0000-0000-00004E1F0000}"/>
    <cellStyle name="20% - Accent5 3 2 3 7 2" xfId="42528" xr:uid="{F7093080-B411-4685-87C8-EFA77DC18F03}"/>
    <cellStyle name="20% - Accent5 3 2 3 8" xfId="26648" xr:uid="{DAF429D2-9F89-4876-A76B-EF39C5C3D094}"/>
    <cellStyle name="20% - Accent5 3 2 3_Exh G" xfId="2486" xr:uid="{00000000-0005-0000-0000-00004F1F0000}"/>
    <cellStyle name="20% - Accent5 3 2 4" xfId="1276" xr:uid="{00000000-0005-0000-0000-0000501F0000}"/>
    <cellStyle name="20% - Accent5 3 2 4 2" xfId="4803" xr:uid="{00000000-0005-0000-0000-0000511F0000}"/>
    <cellStyle name="20% - Accent5 3 2 4 2 2" xfId="8394" xr:uid="{00000000-0005-0000-0000-0000521F0000}"/>
    <cellStyle name="20% - Accent5 3 2 4 2 2 2" xfId="16364" xr:uid="{00000000-0005-0000-0000-0000531F0000}"/>
    <cellStyle name="20% - Accent5 3 2 4 2 2 2 2" xfId="40206" xr:uid="{C2F54819-7F17-4288-BE28-F4B98CF95170}"/>
    <cellStyle name="20% - Accent5 3 2 4 2 2 3" xfId="24310" xr:uid="{00000000-0005-0000-0000-0000541F0000}"/>
    <cellStyle name="20% - Accent5 3 2 4 2 2 3 2" xfId="48142" xr:uid="{F1D8D911-811E-403A-978E-1238697D023C}"/>
    <cellStyle name="20% - Accent5 3 2 4 2 2 4" xfId="32265" xr:uid="{28FB328B-B080-4460-834B-A598B67C3382}"/>
    <cellStyle name="20% - Accent5 3 2 4 2 3" xfId="12826" xr:uid="{00000000-0005-0000-0000-0000551F0000}"/>
    <cellStyle name="20% - Accent5 3 2 4 2 3 2" xfId="36675" xr:uid="{D0DEBEB3-E10C-4C60-B453-97CBCBD6BAFF}"/>
    <cellStyle name="20% - Accent5 3 2 4 2 4" xfId="20781" xr:uid="{00000000-0005-0000-0000-0000561F0000}"/>
    <cellStyle name="20% - Accent5 3 2 4 2 4 2" xfId="44613" xr:uid="{6986E510-AF4C-4BE8-8C32-9AC9D80E234D}"/>
    <cellStyle name="20% - Accent5 3 2 4 2 5" xfId="28734" xr:uid="{A900DF04-B3A7-4C23-AB4C-EA0D248C0D60}"/>
    <cellStyle name="20% - Accent5 3 2 4 3" xfId="6635" xr:uid="{00000000-0005-0000-0000-0000571F0000}"/>
    <cellStyle name="20% - Accent5 3 2 4 3 2" xfId="14606" xr:uid="{00000000-0005-0000-0000-0000581F0000}"/>
    <cellStyle name="20% - Accent5 3 2 4 3 2 2" xfId="38448" xr:uid="{48E8C3FD-8255-4F89-9457-3FE9CF872D3C}"/>
    <cellStyle name="20% - Accent5 3 2 4 3 3" xfId="22553" xr:uid="{00000000-0005-0000-0000-0000591F0000}"/>
    <cellStyle name="20% - Accent5 3 2 4 3 3 2" xfId="46385" xr:uid="{94D5AF2E-5E98-4961-87ED-EAC416F987CC}"/>
    <cellStyle name="20% - Accent5 3 2 4 3 4" xfId="30507" xr:uid="{0051BF3C-C6B3-4536-B9D5-86648A7C5367}"/>
    <cellStyle name="20% - Accent5 3 2 4 4" xfId="11070" xr:uid="{00000000-0005-0000-0000-00005A1F0000}"/>
    <cellStyle name="20% - Accent5 3 2 4 4 2" xfId="34919" xr:uid="{8D5D7ACD-2BEC-4E22-909E-09FEEE774616}"/>
    <cellStyle name="20% - Accent5 3 2 4 5" xfId="19025" xr:uid="{00000000-0005-0000-0000-00005B1F0000}"/>
    <cellStyle name="20% - Accent5 3 2 4 5 2" xfId="42857" xr:uid="{95EEA537-400C-4A27-8A6F-A503B49BB1BB}"/>
    <cellStyle name="20% - Accent5 3 2 4 6" xfId="26977" xr:uid="{D7C0880A-9ED4-4F7F-9DFC-631E1CA6B388}"/>
    <cellStyle name="20% - Accent5 3 2 4_Exh G" xfId="2488" xr:uid="{00000000-0005-0000-0000-00005C1F0000}"/>
    <cellStyle name="20% - Accent5 3 2 5" xfId="3924" xr:uid="{00000000-0005-0000-0000-00005D1F0000}"/>
    <cellStyle name="20% - Accent5 3 2 5 2" xfId="7516" xr:uid="{00000000-0005-0000-0000-00005E1F0000}"/>
    <cellStyle name="20% - Accent5 3 2 5 2 2" xfId="15486" xr:uid="{00000000-0005-0000-0000-00005F1F0000}"/>
    <cellStyle name="20% - Accent5 3 2 5 2 2 2" xfId="39328" xr:uid="{674A4FDF-37CA-475A-84F6-150FDB82C447}"/>
    <cellStyle name="20% - Accent5 3 2 5 2 3" xfId="23432" xr:uid="{00000000-0005-0000-0000-0000601F0000}"/>
    <cellStyle name="20% - Accent5 3 2 5 2 3 2" xfId="47264" xr:uid="{60F7403B-94B3-480B-9562-8D6807B74534}"/>
    <cellStyle name="20% - Accent5 3 2 5 2 4" xfId="31387" xr:uid="{3EF81BCD-D319-4C73-8FCC-C67C33CC687D}"/>
    <cellStyle name="20% - Accent5 3 2 5 3" xfId="11948" xr:uid="{00000000-0005-0000-0000-0000611F0000}"/>
    <cellStyle name="20% - Accent5 3 2 5 3 2" xfId="35797" xr:uid="{34374C8B-64A6-4072-A605-194BBF6F1E3D}"/>
    <cellStyle name="20% - Accent5 3 2 5 4" xfId="19903" xr:uid="{00000000-0005-0000-0000-0000621F0000}"/>
    <cellStyle name="20% - Accent5 3 2 5 4 2" xfId="43735" xr:uid="{9F8DD5C8-36ED-445E-96E9-901BC88507EB}"/>
    <cellStyle name="20% - Accent5 3 2 5 5" xfId="27856" xr:uid="{839FD5CE-1682-4A12-B1DA-2429D0933A7A}"/>
    <cellStyle name="20% - Accent5 3 2 6" xfId="5744" xr:uid="{00000000-0005-0000-0000-0000631F0000}"/>
    <cellStyle name="20% - Accent5 3 2 6 2" xfId="13727" xr:uid="{00000000-0005-0000-0000-0000641F0000}"/>
    <cellStyle name="20% - Accent5 3 2 6 2 2" xfId="37570" xr:uid="{4D1838BF-5841-471A-837C-6A65F7E906E8}"/>
    <cellStyle name="20% - Accent5 3 2 6 3" xfId="21675" xr:uid="{00000000-0005-0000-0000-0000651F0000}"/>
    <cellStyle name="20% - Accent5 3 2 6 3 2" xfId="45507" xr:uid="{31329398-C160-4F20-B63D-AA223DC0197D}"/>
    <cellStyle name="20% - Accent5 3 2 6 4" xfId="29629" xr:uid="{6F9F49D3-D7FB-4161-A8A4-F1B34A92A1DC}"/>
    <cellStyle name="20% - Accent5 3 2 7" xfId="9296" xr:uid="{00000000-0005-0000-0000-0000661F0000}"/>
    <cellStyle name="20% - Accent5 3 2 7 2" xfId="17254" xr:uid="{00000000-0005-0000-0000-0000671F0000}"/>
    <cellStyle name="20% - Accent5 3 2 7 2 2" xfId="41094" xr:uid="{70DCAAEA-CA5B-4F55-9253-4F6B8DE59E7C}"/>
    <cellStyle name="20% - Accent5 3 2 7 3" xfId="25198" xr:uid="{00000000-0005-0000-0000-0000681F0000}"/>
    <cellStyle name="20% - Accent5 3 2 7 3 2" xfId="49030" xr:uid="{DF0B3B9E-E03C-4B49-853F-2A629EF07D57}"/>
    <cellStyle name="20% - Accent5 3 2 7 4" xfId="33153" xr:uid="{787EA3B2-2631-4C5D-AABB-C1E88047E560}"/>
    <cellStyle name="20% - Accent5 3 2 8" xfId="10192" xr:uid="{00000000-0005-0000-0000-0000691F0000}"/>
    <cellStyle name="20% - Accent5 3 2 8 2" xfId="34041" xr:uid="{E6FBB3FB-0E78-4B65-B790-52449B001D1A}"/>
    <cellStyle name="20% - Accent5 3 2 9" xfId="18147" xr:uid="{00000000-0005-0000-0000-00006A1F0000}"/>
    <cellStyle name="20% - Accent5 3 2 9 2" xfId="41979" xr:uid="{FCDA576C-F7B0-4032-8B70-393DFA37F34B}"/>
    <cellStyle name="20% - Accent5 3 2_Exh G" xfId="2483" xr:uid="{00000000-0005-0000-0000-00006B1F0000}"/>
    <cellStyle name="20% - Accent5 3 3" xfId="252" xr:uid="{00000000-0005-0000-0000-00006C1F0000}"/>
    <cellStyle name="20% - Accent5 3 3 2" xfId="1278" xr:uid="{00000000-0005-0000-0000-00006D1F0000}"/>
    <cellStyle name="20% - Accent5 3 3 2 2" xfId="4805" xr:uid="{00000000-0005-0000-0000-00006E1F0000}"/>
    <cellStyle name="20% - Accent5 3 3 2 2 2" xfId="8396" xr:uid="{00000000-0005-0000-0000-00006F1F0000}"/>
    <cellStyle name="20% - Accent5 3 3 2 2 2 2" xfId="16366" xr:uid="{00000000-0005-0000-0000-0000701F0000}"/>
    <cellStyle name="20% - Accent5 3 3 2 2 2 2 2" xfId="40208" xr:uid="{50ED666C-658B-42BE-821D-3C6860C654DB}"/>
    <cellStyle name="20% - Accent5 3 3 2 2 2 3" xfId="24312" xr:uid="{00000000-0005-0000-0000-0000711F0000}"/>
    <cellStyle name="20% - Accent5 3 3 2 2 2 3 2" xfId="48144" xr:uid="{29D4F9AA-CC9F-4C62-934E-C27E976EB2A4}"/>
    <cellStyle name="20% - Accent5 3 3 2 2 2 4" xfId="32267" xr:uid="{DB9CCA29-6BD5-4227-9B5A-9644D7362C24}"/>
    <cellStyle name="20% - Accent5 3 3 2 2 3" xfId="12828" xr:uid="{00000000-0005-0000-0000-0000721F0000}"/>
    <cellStyle name="20% - Accent5 3 3 2 2 3 2" xfId="36677" xr:uid="{4608E6F0-9790-4BB7-BF47-01D83DB873CB}"/>
    <cellStyle name="20% - Accent5 3 3 2 2 4" xfId="20783" xr:uid="{00000000-0005-0000-0000-0000731F0000}"/>
    <cellStyle name="20% - Accent5 3 3 2 2 4 2" xfId="44615" xr:uid="{F7C89231-1B02-4AB7-B692-9D4061337164}"/>
    <cellStyle name="20% - Accent5 3 3 2 2 5" xfId="28736" xr:uid="{DF13AD6B-88C5-4B6C-B14A-66C083210A6D}"/>
    <cellStyle name="20% - Accent5 3 3 2 3" xfId="6637" xr:uid="{00000000-0005-0000-0000-0000741F0000}"/>
    <cellStyle name="20% - Accent5 3 3 2 3 2" xfId="14608" xr:uid="{00000000-0005-0000-0000-0000751F0000}"/>
    <cellStyle name="20% - Accent5 3 3 2 3 2 2" xfId="38450" xr:uid="{F6CD071B-D0AE-4ADB-A297-D0361E9BC233}"/>
    <cellStyle name="20% - Accent5 3 3 2 3 3" xfId="22555" xr:uid="{00000000-0005-0000-0000-0000761F0000}"/>
    <cellStyle name="20% - Accent5 3 3 2 3 3 2" xfId="46387" xr:uid="{3A733179-1AD9-4BC7-914B-08A04F482710}"/>
    <cellStyle name="20% - Accent5 3 3 2 3 4" xfId="30509" xr:uid="{07891802-23A7-4888-BCD0-8AC5460DA7B8}"/>
    <cellStyle name="20% - Accent5 3 3 2 4" xfId="11072" xr:uid="{00000000-0005-0000-0000-0000771F0000}"/>
    <cellStyle name="20% - Accent5 3 3 2 4 2" xfId="34921" xr:uid="{5E373054-876E-4F62-8DC3-05B462316A6E}"/>
    <cellStyle name="20% - Accent5 3 3 2 5" xfId="19027" xr:uid="{00000000-0005-0000-0000-0000781F0000}"/>
    <cellStyle name="20% - Accent5 3 3 2 5 2" xfId="42859" xr:uid="{9CEE978E-DA1E-4CD9-A21B-9790BE8D3279}"/>
    <cellStyle name="20% - Accent5 3 3 2 6" xfId="26979" xr:uid="{10F09034-6F6A-4189-8722-7F42C775AC5E}"/>
    <cellStyle name="20% - Accent5 3 3 2_Exh G" xfId="2490" xr:uid="{00000000-0005-0000-0000-0000791F0000}"/>
    <cellStyle name="20% - Accent5 3 3 3" xfId="3926" xr:uid="{00000000-0005-0000-0000-00007A1F0000}"/>
    <cellStyle name="20% - Accent5 3 3 3 2" xfId="7518" xr:uid="{00000000-0005-0000-0000-00007B1F0000}"/>
    <cellStyle name="20% - Accent5 3 3 3 2 2" xfId="15488" xr:uid="{00000000-0005-0000-0000-00007C1F0000}"/>
    <cellStyle name="20% - Accent5 3 3 3 2 2 2" xfId="39330" xr:uid="{C1CCEC65-072C-43E4-A563-3738DC6D0DD6}"/>
    <cellStyle name="20% - Accent5 3 3 3 2 3" xfId="23434" xr:uid="{00000000-0005-0000-0000-00007D1F0000}"/>
    <cellStyle name="20% - Accent5 3 3 3 2 3 2" xfId="47266" xr:uid="{FAA55C0C-2B0E-4F98-8C6C-0C9BF9D2F2F0}"/>
    <cellStyle name="20% - Accent5 3 3 3 2 4" xfId="31389" xr:uid="{7726A279-24E4-4A6B-9F38-275FB0C9B54A}"/>
    <cellStyle name="20% - Accent5 3 3 3 3" xfId="11950" xr:uid="{00000000-0005-0000-0000-00007E1F0000}"/>
    <cellStyle name="20% - Accent5 3 3 3 3 2" xfId="35799" xr:uid="{5DAFEE07-3637-441F-875F-02B19B6E4DD0}"/>
    <cellStyle name="20% - Accent5 3 3 3 4" xfId="19905" xr:uid="{00000000-0005-0000-0000-00007F1F0000}"/>
    <cellStyle name="20% - Accent5 3 3 3 4 2" xfId="43737" xr:uid="{7729F32D-8388-4AAB-9FFA-A6DF4D8741D6}"/>
    <cellStyle name="20% - Accent5 3 3 3 5" xfId="27858" xr:uid="{72216F27-0086-4702-8CAC-65E226FE3816}"/>
    <cellStyle name="20% - Accent5 3 3 4" xfId="5746" xr:uid="{00000000-0005-0000-0000-0000801F0000}"/>
    <cellStyle name="20% - Accent5 3 3 4 2" xfId="13729" xr:uid="{00000000-0005-0000-0000-0000811F0000}"/>
    <cellStyle name="20% - Accent5 3 3 4 2 2" xfId="37572" xr:uid="{5B105818-D14F-48DD-8844-7F8599B6DB9B}"/>
    <cellStyle name="20% - Accent5 3 3 4 3" xfId="21677" xr:uid="{00000000-0005-0000-0000-0000821F0000}"/>
    <cellStyle name="20% - Accent5 3 3 4 3 2" xfId="45509" xr:uid="{7FC084BF-DC95-4C47-9A51-1825C7F9C51F}"/>
    <cellStyle name="20% - Accent5 3 3 4 4" xfId="29631" xr:uid="{E923502B-747F-45D2-B93C-332889F0D9DA}"/>
    <cellStyle name="20% - Accent5 3 3 5" xfId="9298" xr:uid="{00000000-0005-0000-0000-0000831F0000}"/>
    <cellStyle name="20% - Accent5 3 3 5 2" xfId="17256" xr:uid="{00000000-0005-0000-0000-0000841F0000}"/>
    <cellStyle name="20% - Accent5 3 3 5 2 2" xfId="41096" xr:uid="{B9F11228-71B4-48DB-90EC-D145AB8947C1}"/>
    <cellStyle name="20% - Accent5 3 3 5 3" xfId="25200" xr:uid="{00000000-0005-0000-0000-0000851F0000}"/>
    <cellStyle name="20% - Accent5 3 3 5 3 2" xfId="49032" xr:uid="{42A41A53-42E2-44E4-B641-F633E04BA6A6}"/>
    <cellStyle name="20% - Accent5 3 3 5 4" xfId="33155" xr:uid="{9A0F7EA0-37ED-47FA-B0D8-94F886597EE7}"/>
    <cellStyle name="20% - Accent5 3 3 6" xfId="10194" xr:uid="{00000000-0005-0000-0000-0000861F0000}"/>
    <cellStyle name="20% - Accent5 3 3 6 2" xfId="34043" xr:uid="{A7AAF48B-33B7-4F60-92F8-0A25EE43D7B7}"/>
    <cellStyle name="20% - Accent5 3 3 7" xfId="18149" xr:uid="{00000000-0005-0000-0000-0000871F0000}"/>
    <cellStyle name="20% - Accent5 3 3 7 2" xfId="41981" xr:uid="{F19E6BCA-3438-4E72-8C20-A89D81F7FA71}"/>
    <cellStyle name="20% - Accent5 3 3 8" xfId="26101" xr:uid="{226FD49C-0506-452F-80E8-553C5C1F21D4}"/>
    <cellStyle name="20% - Accent5 3 3_Exh G" xfId="2489" xr:uid="{00000000-0005-0000-0000-0000881F0000}"/>
    <cellStyle name="20% - Accent5 3 4" xfId="910" xr:uid="{00000000-0005-0000-0000-0000891F0000}"/>
    <cellStyle name="20% - Accent5 3 4 2" xfId="1834" xr:uid="{00000000-0005-0000-0000-00008A1F0000}"/>
    <cellStyle name="20% - Accent5 3 4 2 2" xfId="5351" xr:uid="{00000000-0005-0000-0000-00008B1F0000}"/>
    <cellStyle name="20% - Accent5 3 4 2 2 2" xfId="8942" xr:uid="{00000000-0005-0000-0000-00008C1F0000}"/>
    <cellStyle name="20% - Accent5 3 4 2 2 2 2" xfId="16912" xr:uid="{00000000-0005-0000-0000-00008D1F0000}"/>
    <cellStyle name="20% - Accent5 3 4 2 2 2 2 2" xfId="40754" xr:uid="{C9AF3B58-46D4-49D9-B9A6-01504F2BA27E}"/>
    <cellStyle name="20% - Accent5 3 4 2 2 2 3" xfId="24858" xr:uid="{00000000-0005-0000-0000-00008E1F0000}"/>
    <cellStyle name="20% - Accent5 3 4 2 2 2 3 2" xfId="48690" xr:uid="{23651A99-48B7-49A1-AE58-DA5263439C6F}"/>
    <cellStyle name="20% - Accent5 3 4 2 2 2 4" xfId="32813" xr:uid="{B40E0723-E7E2-43F8-9C71-17909D368690}"/>
    <cellStyle name="20% - Accent5 3 4 2 2 3" xfId="13374" xr:uid="{00000000-0005-0000-0000-00008F1F0000}"/>
    <cellStyle name="20% - Accent5 3 4 2 2 3 2" xfId="37223" xr:uid="{B40DB2C3-04D1-4B0D-81CF-D33E3280C9A1}"/>
    <cellStyle name="20% - Accent5 3 4 2 2 4" xfId="21329" xr:uid="{00000000-0005-0000-0000-0000901F0000}"/>
    <cellStyle name="20% - Accent5 3 4 2 2 4 2" xfId="45161" xr:uid="{E0A2DE39-8DC8-4753-B432-4C637F29522D}"/>
    <cellStyle name="20% - Accent5 3 4 2 2 5" xfId="29282" xr:uid="{D7E1095E-3B4D-47EB-B804-EAB4B3AEA2D1}"/>
    <cellStyle name="20% - Accent5 3 4 2 3" xfId="7183" xr:uid="{00000000-0005-0000-0000-0000911F0000}"/>
    <cellStyle name="20% - Accent5 3 4 2 3 2" xfId="15154" xr:uid="{00000000-0005-0000-0000-0000921F0000}"/>
    <cellStyle name="20% - Accent5 3 4 2 3 2 2" xfId="38996" xr:uid="{929EC2D6-F850-4985-BEA4-DD53D65CCEFD}"/>
    <cellStyle name="20% - Accent5 3 4 2 3 3" xfId="23101" xr:uid="{00000000-0005-0000-0000-0000931F0000}"/>
    <cellStyle name="20% - Accent5 3 4 2 3 3 2" xfId="46933" xr:uid="{DE3F5D55-E103-4455-9C45-1833C4BBA10B}"/>
    <cellStyle name="20% - Accent5 3 4 2 3 4" xfId="31055" xr:uid="{F87236CA-DCB9-4F90-B422-627FAC41BE3A}"/>
    <cellStyle name="20% - Accent5 3 4 2 4" xfId="11618" xr:uid="{00000000-0005-0000-0000-0000941F0000}"/>
    <cellStyle name="20% - Accent5 3 4 2 4 2" xfId="35467" xr:uid="{FAD7EEB5-851E-4ADC-8939-719157CBB126}"/>
    <cellStyle name="20% - Accent5 3 4 2 5" xfId="19573" xr:uid="{00000000-0005-0000-0000-0000951F0000}"/>
    <cellStyle name="20% - Accent5 3 4 2 5 2" xfId="43405" xr:uid="{4F756F03-7D4B-4BF1-B850-C760E89BAD35}"/>
    <cellStyle name="20% - Accent5 3 4 2 6" xfId="27525" xr:uid="{DB0E164B-6281-4BFD-8972-68827EEB6534}"/>
    <cellStyle name="20% - Accent5 3 4 2_Exh G" xfId="2492" xr:uid="{00000000-0005-0000-0000-0000961F0000}"/>
    <cellStyle name="20% - Accent5 3 4 3" xfId="4472" xr:uid="{00000000-0005-0000-0000-0000971F0000}"/>
    <cellStyle name="20% - Accent5 3 4 3 2" xfId="8064" xr:uid="{00000000-0005-0000-0000-0000981F0000}"/>
    <cellStyle name="20% - Accent5 3 4 3 2 2" xfId="16034" xr:uid="{00000000-0005-0000-0000-0000991F0000}"/>
    <cellStyle name="20% - Accent5 3 4 3 2 2 2" xfId="39876" xr:uid="{AF5570E4-853F-48EF-B91B-3A1A5B1C85F0}"/>
    <cellStyle name="20% - Accent5 3 4 3 2 3" xfId="23980" xr:uid="{00000000-0005-0000-0000-00009A1F0000}"/>
    <cellStyle name="20% - Accent5 3 4 3 2 3 2" xfId="47812" xr:uid="{1BBFD631-FF6D-4C7A-B11C-DC0978A031EC}"/>
    <cellStyle name="20% - Accent5 3 4 3 2 4" xfId="31935" xr:uid="{F02D3A70-A49A-4CF9-B864-EF69FE34D2DA}"/>
    <cellStyle name="20% - Accent5 3 4 3 3" xfId="12496" xr:uid="{00000000-0005-0000-0000-00009B1F0000}"/>
    <cellStyle name="20% - Accent5 3 4 3 3 2" xfId="36345" xr:uid="{346E1B12-33E3-417B-961D-B7F8E679D6B5}"/>
    <cellStyle name="20% - Accent5 3 4 3 4" xfId="20451" xr:uid="{00000000-0005-0000-0000-00009C1F0000}"/>
    <cellStyle name="20% - Accent5 3 4 3 4 2" xfId="44283" xr:uid="{85B46E29-A76A-4E6B-A296-9E781D932A9E}"/>
    <cellStyle name="20% - Accent5 3 4 3 5" xfId="28404" xr:uid="{B9389831-A0FD-4B5F-9BEE-07BC425E45A0}"/>
    <cellStyle name="20% - Accent5 3 4 4" xfId="6302" xr:uid="{00000000-0005-0000-0000-00009D1F0000}"/>
    <cellStyle name="20% - Accent5 3 4 4 2" xfId="14276" xr:uid="{00000000-0005-0000-0000-00009E1F0000}"/>
    <cellStyle name="20% - Accent5 3 4 4 2 2" xfId="38118" xr:uid="{7D336748-26A4-49FE-80C6-96B377B706B1}"/>
    <cellStyle name="20% - Accent5 3 4 4 3" xfId="22223" xr:uid="{00000000-0005-0000-0000-00009F1F0000}"/>
    <cellStyle name="20% - Accent5 3 4 4 3 2" xfId="46055" xr:uid="{215D26F2-E4B3-4CB1-A176-F1810B88D194}"/>
    <cellStyle name="20% - Accent5 3 4 4 4" xfId="30177" xr:uid="{32DFF9F9-D9DA-42BE-B8EC-0F4F7331BF35}"/>
    <cellStyle name="20% - Accent5 3 4 5" xfId="9844" xr:uid="{00000000-0005-0000-0000-0000A01F0000}"/>
    <cellStyle name="20% - Accent5 3 4 5 2" xfId="17802" xr:uid="{00000000-0005-0000-0000-0000A11F0000}"/>
    <cellStyle name="20% - Accent5 3 4 5 2 2" xfId="41642" xr:uid="{600AAA3F-DB4E-466D-A316-6A20E775AB5A}"/>
    <cellStyle name="20% - Accent5 3 4 5 3" xfId="25746" xr:uid="{00000000-0005-0000-0000-0000A21F0000}"/>
    <cellStyle name="20% - Accent5 3 4 5 3 2" xfId="49578" xr:uid="{3E90A0CC-9507-49CA-83F7-74D53A6B794F}"/>
    <cellStyle name="20% - Accent5 3 4 5 4" xfId="33701" xr:uid="{0DA6D1AA-00DC-4A4A-8902-F3F4D7A64DCC}"/>
    <cellStyle name="20% - Accent5 3 4 6" xfId="10740" xr:uid="{00000000-0005-0000-0000-0000A31F0000}"/>
    <cellStyle name="20% - Accent5 3 4 6 2" xfId="34589" xr:uid="{076C8595-793A-431D-815A-7B3E1D21C25F}"/>
    <cellStyle name="20% - Accent5 3 4 7" xfId="18695" xr:uid="{00000000-0005-0000-0000-0000A41F0000}"/>
    <cellStyle name="20% - Accent5 3 4 7 2" xfId="42527" xr:uid="{21F79489-14AD-45D2-867C-21100F7611B7}"/>
    <cellStyle name="20% - Accent5 3 4 8" xfId="26647" xr:uid="{9E55D9A2-32FF-471E-8239-3C2B07A70C34}"/>
    <cellStyle name="20% - Accent5 3 4_Exh G" xfId="2491" xr:uid="{00000000-0005-0000-0000-0000A51F0000}"/>
    <cellStyle name="20% - Accent5 3 5" xfId="1275" xr:uid="{00000000-0005-0000-0000-0000A61F0000}"/>
    <cellStyle name="20% - Accent5 3 5 2" xfId="4802" xr:uid="{00000000-0005-0000-0000-0000A71F0000}"/>
    <cellStyle name="20% - Accent5 3 5 2 2" xfId="8393" xr:uid="{00000000-0005-0000-0000-0000A81F0000}"/>
    <cellStyle name="20% - Accent5 3 5 2 2 2" xfId="16363" xr:uid="{00000000-0005-0000-0000-0000A91F0000}"/>
    <cellStyle name="20% - Accent5 3 5 2 2 2 2" xfId="40205" xr:uid="{B3B1FD42-C079-4CF5-AF00-74E1FA68D916}"/>
    <cellStyle name="20% - Accent5 3 5 2 2 3" xfId="24309" xr:uid="{00000000-0005-0000-0000-0000AA1F0000}"/>
    <cellStyle name="20% - Accent5 3 5 2 2 3 2" xfId="48141" xr:uid="{140C1B59-C561-4D3E-95CE-8CBDBC42E7C4}"/>
    <cellStyle name="20% - Accent5 3 5 2 2 4" xfId="32264" xr:uid="{214ED543-F152-4827-9965-9054DB583E33}"/>
    <cellStyle name="20% - Accent5 3 5 2 3" xfId="12825" xr:uid="{00000000-0005-0000-0000-0000AB1F0000}"/>
    <cellStyle name="20% - Accent5 3 5 2 3 2" xfId="36674" xr:uid="{4B8CA411-D207-4F46-B76F-A9BEF2D178C5}"/>
    <cellStyle name="20% - Accent5 3 5 2 4" xfId="20780" xr:uid="{00000000-0005-0000-0000-0000AC1F0000}"/>
    <cellStyle name="20% - Accent5 3 5 2 4 2" xfId="44612" xr:uid="{7D76F872-EAE8-4EB9-9552-599A1C13B830}"/>
    <cellStyle name="20% - Accent5 3 5 2 5" xfId="28733" xr:uid="{C1E9126F-E054-4FAB-BF7F-906DEA02C449}"/>
    <cellStyle name="20% - Accent5 3 5 3" xfId="6634" xr:uid="{00000000-0005-0000-0000-0000AD1F0000}"/>
    <cellStyle name="20% - Accent5 3 5 3 2" xfId="14605" xr:uid="{00000000-0005-0000-0000-0000AE1F0000}"/>
    <cellStyle name="20% - Accent5 3 5 3 2 2" xfId="38447" xr:uid="{7EA3DF3B-AA2F-435A-9890-C961037732D3}"/>
    <cellStyle name="20% - Accent5 3 5 3 3" xfId="22552" xr:uid="{00000000-0005-0000-0000-0000AF1F0000}"/>
    <cellStyle name="20% - Accent5 3 5 3 3 2" xfId="46384" xr:uid="{12734964-821D-4F99-850D-185CC6C1FCBC}"/>
    <cellStyle name="20% - Accent5 3 5 3 4" xfId="30506" xr:uid="{B6D5F5E6-4E19-4EF5-ACAD-1F227E565A2E}"/>
    <cellStyle name="20% - Accent5 3 5 4" xfId="11069" xr:uid="{00000000-0005-0000-0000-0000B01F0000}"/>
    <cellStyle name="20% - Accent5 3 5 4 2" xfId="34918" xr:uid="{DD3A1CA5-A476-462D-B860-07DE11ABDC9E}"/>
    <cellStyle name="20% - Accent5 3 5 5" xfId="19024" xr:uid="{00000000-0005-0000-0000-0000B11F0000}"/>
    <cellStyle name="20% - Accent5 3 5 5 2" xfId="42856" xr:uid="{F6C2D0F6-E623-49EA-973B-0DF15280CB54}"/>
    <cellStyle name="20% - Accent5 3 5 6" xfId="26976" xr:uid="{416FA9D5-C115-4575-B24D-43FA14BEB285}"/>
    <cellStyle name="20% - Accent5 3 5_Exh G" xfId="2493" xr:uid="{00000000-0005-0000-0000-0000B21F0000}"/>
    <cellStyle name="20% - Accent5 3 6" xfId="3923" xr:uid="{00000000-0005-0000-0000-0000B31F0000}"/>
    <cellStyle name="20% - Accent5 3 6 2" xfId="7515" xr:uid="{00000000-0005-0000-0000-0000B41F0000}"/>
    <cellStyle name="20% - Accent5 3 6 2 2" xfId="15485" xr:uid="{00000000-0005-0000-0000-0000B51F0000}"/>
    <cellStyle name="20% - Accent5 3 6 2 2 2" xfId="39327" xr:uid="{2AC13832-F0B1-478D-974D-796A346D51C7}"/>
    <cellStyle name="20% - Accent5 3 6 2 3" xfId="23431" xr:uid="{00000000-0005-0000-0000-0000B61F0000}"/>
    <cellStyle name="20% - Accent5 3 6 2 3 2" xfId="47263" xr:uid="{9AD9F0DF-42E8-4336-A6C5-2D2AC71EF82B}"/>
    <cellStyle name="20% - Accent5 3 6 2 4" xfId="31386" xr:uid="{F17838F2-4CB2-4098-A2C0-A9B74C6F9C12}"/>
    <cellStyle name="20% - Accent5 3 6 3" xfId="11947" xr:uid="{00000000-0005-0000-0000-0000B71F0000}"/>
    <cellStyle name="20% - Accent5 3 6 3 2" xfId="35796" xr:uid="{848889B0-F5B3-41FB-9FB8-DADB635C6B7E}"/>
    <cellStyle name="20% - Accent5 3 6 4" xfId="19902" xr:uid="{00000000-0005-0000-0000-0000B81F0000}"/>
    <cellStyle name="20% - Accent5 3 6 4 2" xfId="43734" xr:uid="{5D691C83-4863-4764-9A79-111B429EC2B4}"/>
    <cellStyle name="20% - Accent5 3 6 5" xfId="27855" xr:uid="{0ACDC08E-2A0E-4BE0-9221-41B7EAD00545}"/>
    <cellStyle name="20% - Accent5 3 7" xfId="5743" xr:uid="{00000000-0005-0000-0000-0000B91F0000}"/>
    <cellStyle name="20% - Accent5 3 7 2" xfId="13726" xr:uid="{00000000-0005-0000-0000-0000BA1F0000}"/>
    <cellStyle name="20% - Accent5 3 7 2 2" xfId="37569" xr:uid="{754E7ABF-BBBE-4163-AD2B-43985D668AE3}"/>
    <cellStyle name="20% - Accent5 3 7 3" xfId="21674" xr:uid="{00000000-0005-0000-0000-0000BB1F0000}"/>
    <cellStyle name="20% - Accent5 3 7 3 2" xfId="45506" xr:uid="{32F2A4A6-A473-48D9-B3B8-A48A47983F52}"/>
    <cellStyle name="20% - Accent5 3 7 4" xfId="29628" xr:uid="{E324CF62-BBBE-489A-AED0-A1482BAFC978}"/>
    <cellStyle name="20% - Accent5 3 8" xfId="9295" xr:uid="{00000000-0005-0000-0000-0000BC1F0000}"/>
    <cellStyle name="20% - Accent5 3 8 2" xfId="17253" xr:uid="{00000000-0005-0000-0000-0000BD1F0000}"/>
    <cellStyle name="20% - Accent5 3 8 2 2" xfId="41093" xr:uid="{37E7583D-8F72-49BF-8A25-42493EAB3928}"/>
    <cellStyle name="20% - Accent5 3 8 3" xfId="25197" xr:uid="{00000000-0005-0000-0000-0000BE1F0000}"/>
    <cellStyle name="20% - Accent5 3 8 3 2" xfId="49029" xr:uid="{5ACBB648-2901-4333-B7E3-2A3824871B73}"/>
    <cellStyle name="20% - Accent5 3 8 4" xfId="33152" xr:uid="{F7F2A141-8227-4532-8FAE-CDB5B148F959}"/>
    <cellStyle name="20% - Accent5 3 9" xfId="10191" xr:uid="{00000000-0005-0000-0000-0000BF1F0000}"/>
    <cellStyle name="20% - Accent5 3 9 2" xfId="34040" xr:uid="{8EEE242C-9AC4-4068-88E7-174CAC889C9E}"/>
    <cellStyle name="20% - Accent5 3_Exh G" xfId="2482" xr:uid="{00000000-0005-0000-0000-0000C01F0000}"/>
    <cellStyle name="20% - Accent5 4" xfId="253" xr:uid="{00000000-0005-0000-0000-0000C11F0000}"/>
    <cellStyle name="20% - Accent5 4 10" xfId="18150" xr:uid="{00000000-0005-0000-0000-0000C21F0000}"/>
    <cellStyle name="20% - Accent5 4 10 2" xfId="41982" xr:uid="{5CAB093D-F5AC-4338-84D8-FBD7B352ED06}"/>
    <cellStyle name="20% - Accent5 4 11" xfId="26102" xr:uid="{7FE13B60-CF95-4A62-8ED0-2D84B2497EFA}"/>
    <cellStyle name="20% - Accent5 4 2" xfId="254" xr:uid="{00000000-0005-0000-0000-0000C31F0000}"/>
    <cellStyle name="20% - Accent5 4 2 10" xfId="26103" xr:uid="{298011B7-A9EA-4B0B-88B5-4957F6D6B75D}"/>
    <cellStyle name="20% - Accent5 4 2 2" xfId="255" xr:uid="{00000000-0005-0000-0000-0000C41F0000}"/>
    <cellStyle name="20% - Accent5 4 2 2 2" xfId="1281" xr:uid="{00000000-0005-0000-0000-0000C51F0000}"/>
    <cellStyle name="20% - Accent5 4 2 2 2 2" xfId="4808" xr:uid="{00000000-0005-0000-0000-0000C61F0000}"/>
    <cellStyle name="20% - Accent5 4 2 2 2 2 2" xfId="8399" xr:uid="{00000000-0005-0000-0000-0000C71F0000}"/>
    <cellStyle name="20% - Accent5 4 2 2 2 2 2 2" xfId="16369" xr:uid="{00000000-0005-0000-0000-0000C81F0000}"/>
    <cellStyle name="20% - Accent5 4 2 2 2 2 2 2 2" xfId="40211" xr:uid="{0F20549F-3BBC-4986-855F-B8D790A36F2E}"/>
    <cellStyle name="20% - Accent5 4 2 2 2 2 2 3" xfId="24315" xr:uid="{00000000-0005-0000-0000-0000C91F0000}"/>
    <cellStyle name="20% - Accent5 4 2 2 2 2 2 3 2" xfId="48147" xr:uid="{FC63BE34-45BB-4D44-A752-78F6391462AD}"/>
    <cellStyle name="20% - Accent5 4 2 2 2 2 2 4" xfId="32270" xr:uid="{AA5A2D8F-E452-4CA6-AAB4-51C577F4929C}"/>
    <cellStyle name="20% - Accent5 4 2 2 2 2 3" xfId="12831" xr:uid="{00000000-0005-0000-0000-0000CA1F0000}"/>
    <cellStyle name="20% - Accent5 4 2 2 2 2 3 2" xfId="36680" xr:uid="{2563BFE6-EB2B-4A87-9679-AE7F328C015E}"/>
    <cellStyle name="20% - Accent5 4 2 2 2 2 4" xfId="20786" xr:uid="{00000000-0005-0000-0000-0000CB1F0000}"/>
    <cellStyle name="20% - Accent5 4 2 2 2 2 4 2" xfId="44618" xr:uid="{754BDB7A-6DF0-4F62-B4D3-CA093F5221FF}"/>
    <cellStyle name="20% - Accent5 4 2 2 2 2 5" xfId="28739" xr:uid="{1D28A4D0-F5BA-4F7B-A774-042C09FD1BB1}"/>
    <cellStyle name="20% - Accent5 4 2 2 2 3" xfId="6640" xr:uid="{00000000-0005-0000-0000-0000CC1F0000}"/>
    <cellStyle name="20% - Accent5 4 2 2 2 3 2" xfId="14611" xr:uid="{00000000-0005-0000-0000-0000CD1F0000}"/>
    <cellStyle name="20% - Accent5 4 2 2 2 3 2 2" xfId="38453" xr:uid="{7DDEF07F-D351-4267-863D-AC418700E55F}"/>
    <cellStyle name="20% - Accent5 4 2 2 2 3 3" xfId="22558" xr:uid="{00000000-0005-0000-0000-0000CE1F0000}"/>
    <cellStyle name="20% - Accent5 4 2 2 2 3 3 2" xfId="46390" xr:uid="{E26C4EEC-CDAC-46B6-9828-8072B0F38B69}"/>
    <cellStyle name="20% - Accent5 4 2 2 2 3 4" xfId="30512" xr:uid="{9D7F3B99-C984-4BFE-B970-A850B246C700}"/>
    <cellStyle name="20% - Accent5 4 2 2 2 4" xfId="11075" xr:uid="{00000000-0005-0000-0000-0000CF1F0000}"/>
    <cellStyle name="20% - Accent5 4 2 2 2 4 2" xfId="34924" xr:uid="{339417B0-044E-4187-899E-DA701CC8427B}"/>
    <cellStyle name="20% - Accent5 4 2 2 2 5" xfId="19030" xr:uid="{00000000-0005-0000-0000-0000D01F0000}"/>
    <cellStyle name="20% - Accent5 4 2 2 2 5 2" xfId="42862" xr:uid="{39967844-B5BE-4EDD-B50F-2A642A477484}"/>
    <cellStyle name="20% - Accent5 4 2 2 2 6" xfId="26982" xr:uid="{EF6E8CD6-C3EB-430B-A64B-28EE59F546FE}"/>
    <cellStyle name="20% - Accent5 4 2 2 2_Exh G" xfId="2497" xr:uid="{00000000-0005-0000-0000-0000D11F0000}"/>
    <cellStyle name="20% - Accent5 4 2 2 3" xfId="3929" xr:uid="{00000000-0005-0000-0000-0000D21F0000}"/>
    <cellStyle name="20% - Accent5 4 2 2 3 2" xfId="7521" xr:uid="{00000000-0005-0000-0000-0000D31F0000}"/>
    <cellStyle name="20% - Accent5 4 2 2 3 2 2" xfId="15491" xr:uid="{00000000-0005-0000-0000-0000D41F0000}"/>
    <cellStyle name="20% - Accent5 4 2 2 3 2 2 2" xfId="39333" xr:uid="{9EC18E63-64D3-4590-8B42-75F6BBC61811}"/>
    <cellStyle name="20% - Accent5 4 2 2 3 2 3" xfId="23437" xr:uid="{00000000-0005-0000-0000-0000D51F0000}"/>
    <cellStyle name="20% - Accent5 4 2 2 3 2 3 2" xfId="47269" xr:uid="{284BF122-45BF-4684-827A-AA154FEFB4C9}"/>
    <cellStyle name="20% - Accent5 4 2 2 3 2 4" xfId="31392" xr:uid="{D78B28D8-3D16-4415-AA84-C535909A8469}"/>
    <cellStyle name="20% - Accent5 4 2 2 3 3" xfId="11953" xr:uid="{00000000-0005-0000-0000-0000D61F0000}"/>
    <cellStyle name="20% - Accent5 4 2 2 3 3 2" xfId="35802" xr:uid="{F1EF4C97-9180-48CD-B988-1E669D0D6A7E}"/>
    <cellStyle name="20% - Accent5 4 2 2 3 4" xfId="19908" xr:uid="{00000000-0005-0000-0000-0000D71F0000}"/>
    <cellStyle name="20% - Accent5 4 2 2 3 4 2" xfId="43740" xr:uid="{6FA8C3EF-659D-4B4B-AD2D-1DF09DC92D3F}"/>
    <cellStyle name="20% - Accent5 4 2 2 3 5" xfId="27861" xr:uid="{4F094628-748D-4276-85E2-32F6CAD32462}"/>
    <cellStyle name="20% - Accent5 4 2 2 4" xfId="5749" xr:uid="{00000000-0005-0000-0000-0000D81F0000}"/>
    <cellStyle name="20% - Accent5 4 2 2 4 2" xfId="13732" xr:uid="{00000000-0005-0000-0000-0000D91F0000}"/>
    <cellStyle name="20% - Accent5 4 2 2 4 2 2" xfId="37575" xr:uid="{BC366603-BE27-405C-9B9E-6610FD60BAF9}"/>
    <cellStyle name="20% - Accent5 4 2 2 4 3" xfId="21680" xr:uid="{00000000-0005-0000-0000-0000DA1F0000}"/>
    <cellStyle name="20% - Accent5 4 2 2 4 3 2" xfId="45512" xr:uid="{66A8C5F1-A2D0-49B4-A5BE-38C850C7E6F4}"/>
    <cellStyle name="20% - Accent5 4 2 2 4 4" xfId="29634" xr:uid="{54AD9266-938B-49E8-8E3F-4B4573B5B0C1}"/>
    <cellStyle name="20% - Accent5 4 2 2 5" xfId="9301" xr:uid="{00000000-0005-0000-0000-0000DB1F0000}"/>
    <cellStyle name="20% - Accent5 4 2 2 5 2" xfId="17259" xr:uid="{00000000-0005-0000-0000-0000DC1F0000}"/>
    <cellStyle name="20% - Accent5 4 2 2 5 2 2" xfId="41099" xr:uid="{5A141B45-19B1-4CF7-A224-0D548B1DB9FB}"/>
    <cellStyle name="20% - Accent5 4 2 2 5 3" xfId="25203" xr:uid="{00000000-0005-0000-0000-0000DD1F0000}"/>
    <cellStyle name="20% - Accent5 4 2 2 5 3 2" xfId="49035" xr:uid="{CB5C3B7D-F97B-48BD-87E1-F527EBAE701F}"/>
    <cellStyle name="20% - Accent5 4 2 2 5 4" xfId="33158" xr:uid="{C1CC0414-8798-4CDB-AD2C-EBBF9EB45C0B}"/>
    <cellStyle name="20% - Accent5 4 2 2 6" xfId="10197" xr:uid="{00000000-0005-0000-0000-0000DE1F0000}"/>
    <cellStyle name="20% - Accent5 4 2 2 6 2" xfId="34046" xr:uid="{AFAE1F7E-DE92-4BAB-9B23-0FE730B67FFB}"/>
    <cellStyle name="20% - Accent5 4 2 2 7" xfId="18152" xr:uid="{00000000-0005-0000-0000-0000DF1F0000}"/>
    <cellStyle name="20% - Accent5 4 2 2 7 2" xfId="41984" xr:uid="{6D5B30F2-3CA5-4837-A2F4-8534649395A8}"/>
    <cellStyle name="20% - Accent5 4 2 2 8" xfId="26104" xr:uid="{885A7404-1111-4B12-AD44-AEB9602E8A4B}"/>
    <cellStyle name="20% - Accent5 4 2 2_Exh G" xfId="2496" xr:uid="{00000000-0005-0000-0000-0000E01F0000}"/>
    <cellStyle name="20% - Accent5 4 2 3" xfId="913" xr:uid="{00000000-0005-0000-0000-0000E11F0000}"/>
    <cellStyle name="20% - Accent5 4 2 3 2" xfId="1837" xr:uid="{00000000-0005-0000-0000-0000E21F0000}"/>
    <cellStyle name="20% - Accent5 4 2 3 2 2" xfId="5354" xr:uid="{00000000-0005-0000-0000-0000E31F0000}"/>
    <cellStyle name="20% - Accent5 4 2 3 2 2 2" xfId="8945" xr:uid="{00000000-0005-0000-0000-0000E41F0000}"/>
    <cellStyle name="20% - Accent5 4 2 3 2 2 2 2" xfId="16915" xr:uid="{00000000-0005-0000-0000-0000E51F0000}"/>
    <cellStyle name="20% - Accent5 4 2 3 2 2 2 2 2" xfId="40757" xr:uid="{473E64CE-C4AD-4680-AF64-A0253AC72A5E}"/>
    <cellStyle name="20% - Accent5 4 2 3 2 2 2 3" xfId="24861" xr:uid="{00000000-0005-0000-0000-0000E61F0000}"/>
    <cellStyle name="20% - Accent5 4 2 3 2 2 2 3 2" xfId="48693" xr:uid="{10C2C475-5D3A-4608-B2EC-ED72965BE2F5}"/>
    <cellStyle name="20% - Accent5 4 2 3 2 2 2 4" xfId="32816" xr:uid="{634BA2EE-4BE3-4259-9305-C2768E16A7C4}"/>
    <cellStyle name="20% - Accent5 4 2 3 2 2 3" xfId="13377" xr:uid="{00000000-0005-0000-0000-0000E71F0000}"/>
    <cellStyle name="20% - Accent5 4 2 3 2 2 3 2" xfId="37226" xr:uid="{7DF73472-4BF9-441E-B126-79EB9A0B54FB}"/>
    <cellStyle name="20% - Accent5 4 2 3 2 2 4" xfId="21332" xr:uid="{00000000-0005-0000-0000-0000E81F0000}"/>
    <cellStyle name="20% - Accent5 4 2 3 2 2 4 2" xfId="45164" xr:uid="{2EDD5879-E501-4507-B2BF-F0A622AC822D}"/>
    <cellStyle name="20% - Accent5 4 2 3 2 2 5" xfId="29285" xr:uid="{ED4D02E1-9154-4F48-BC77-747957B79A43}"/>
    <cellStyle name="20% - Accent5 4 2 3 2 3" xfId="7186" xr:uid="{00000000-0005-0000-0000-0000E91F0000}"/>
    <cellStyle name="20% - Accent5 4 2 3 2 3 2" xfId="15157" xr:uid="{00000000-0005-0000-0000-0000EA1F0000}"/>
    <cellStyle name="20% - Accent5 4 2 3 2 3 2 2" xfId="38999" xr:uid="{CA060927-BA8F-4EA4-850F-F00094444B23}"/>
    <cellStyle name="20% - Accent5 4 2 3 2 3 3" xfId="23104" xr:uid="{00000000-0005-0000-0000-0000EB1F0000}"/>
    <cellStyle name="20% - Accent5 4 2 3 2 3 3 2" xfId="46936" xr:uid="{D6496D08-F8E9-472F-9F7F-22A880B82FE3}"/>
    <cellStyle name="20% - Accent5 4 2 3 2 3 4" xfId="31058" xr:uid="{08914420-ECEA-4596-AD8D-065655A09F6B}"/>
    <cellStyle name="20% - Accent5 4 2 3 2 4" xfId="11621" xr:uid="{00000000-0005-0000-0000-0000EC1F0000}"/>
    <cellStyle name="20% - Accent5 4 2 3 2 4 2" xfId="35470" xr:uid="{2C0F6C66-FAD0-458E-BA0C-CA07BB36430A}"/>
    <cellStyle name="20% - Accent5 4 2 3 2 5" xfId="19576" xr:uid="{00000000-0005-0000-0000-0000ED1F0000}"/>
    <cellStyle name="20% - Accent5 4 2 3 2 5 2" xfId="43408" xr:uid="{7658E809-2742-4D3B-A041-2A278BCB1F58}"/>
    <cellStyle name="20% - Accent5 4 2 3 2 6" xfId="27528" xr:uid="{BDCFE229-EA65-4F4A-885F-EA90831CD811}"/>
    <cellStyle name="20% - Accent5 4 2 3 2_Exh G" xfId="2499" xr:uid="{00000000-0005-0000-0000-0000EE1F0000}"/>
    <cellStyle name="20% - Accent5 4 2 3 3" xfId="4475" xr:uid="{00000000-0005-0000-0000-0000EF1F0000}"/>
    <cellStyle name="20% - Accent5 4 2 3 3 2" xfId="8067" xr:uid="{00000000-0005-0000-0000-0000F01F0000}"/>
    <cellStyle name="20% - Accent5 4 2 3 3 2 2" xfId="16037" xr:uid="{00000000-0005-0000-0000-0000F11F0000}"/>
    <cellStyle name="20% - Accent5 4 2 3 3 2 2 2" xfId="39879" xr:uid="{4EE3A1DA-7789-4516-BEFF-9CDEAA5921E9}"/>
    <cellStyle name="20% - Accent5 4 2 3 3 2 3" xfId="23983" xr:uid="{00000000-0005-0000-0000-0000F21F0000}"/>
    <cellStyle name="20% - Accent5 4 2 3 3 2 3 2" xfId="47815" xr:uid="{87B9D81D-C611-411F-8F2A-3670D977161C}"/>
    <cellStyle name="20% - Accent5 4 2 3 3 2 4" xfId="31938" xr:uid="{C7ED851C-32A6-4FE1-BDC9-B2AF992A6251}"/>
    <cellStyle name="20% - Accent5 4 2 3 3 3" xfId="12499" xr:uid="{00000000-0005-0000-0000-0000F31F0000}"/>
    <cellStyle name="20% - Accent5 4 2 3 3 3 2" xfId="36348" xr:uid="{4B130D05-AD97-4A43-9B0F-411E525F483D}"/>
    <cellStyle name="20% - Accent5 4 2 3 3 4" xfId="20454" xr:uid="{00000000-0005-0000-0000-0000F41F0000}"/>
    <cellStyle name="20% - Accent5 4 2 3 3 4 2" xfId="44286" xr:uid="{3F1C5E35-E3C5-414D-BEA6-70A87DEEAB4C}"/>
    <cellStyle name="20% - Accent5 4 2 3 3 5" xfId="28407" xr:uid="{3C58B741-1DBA-4B05-957C-C6370AE719ED}"/>
    <cellStyle name="20% - Accent5 4 2 3 4" xfId="6305" xr:uid="{00000000-0005-0000-0000-0000F51F0000}"/>
    <cellStyle name="20% - Accent5 4 2 3 4 2" xfId="14279" xr:uid="{00000000-0005-0000-0000-0000F61F0000}"/>
    <cellStyle name="20% - Accent5 4 2 3 4 2 2" xfId="38121" xr:uid="{930656EE-277D-498C-A6FD-E34C26A675D8}"/>
    <cellStyle name="20% - Accent5 4 2 3 4 3" xfId="22226" xr:uid="{00000000-0005-0000-0000-0000F71F0000}"/>
    <cellStyle name="20% - Accent5 4 2 3 4 3 2" xfId="46058" xr:uid="{BF7B007C-C1DA-4DA0-AC34-9F10B4CBF324}"/>
    <cellStyle name="20% - Accent5 4 2 3 4 4" xfId="30180" xr:uid="{ED0E41ED-EC4B-4E1D-A194-89ABB61CCF71}"/>
    <cellStyle name="20% - Accent5 4 2 3 5" xfId="9847" xr:uid="{00000000-0005-0000-0000-0000F81F0000}"/>
    <cellStyle name="20% - Accent5 4 2 3 5 2" xfId="17805" xr:uid="{00000000-0005-0000-0000-0000F91F0000}"/>
    <cellStyle name="20% - Accent5 4 2 3 5 2 2" xfId="41645" xr:uid="{62A4CDF4-1C0E-4ABB-8047-825D4584CF95}"/>
    <cellStyle name="20% - Accent5 4 2 3 5 3" xfId="25749" xr:uid="{00000000-0005-0000-0000-0000FA1F0000}"/>
    <cellStyle name="20% - Accent5 4 2 3 5 3 2" xfId="49581" xr:uid="{123D9C89-E715-4188-ABF4-C65086BF0DB0}"/>
    <cellStyle name="20% - Accent5 4 2 3 5 4" xfId="33704" xr:uid="{BF7E0AF6-DEE5-4B71-8B9D-59940FD3B2A8}"/>
    <cellStyle name="20% - Accent5 4 2 3 6" xfId="10743" xr:uid="{00000000-0005-0000-0000-0000FB1F0000}"/>
    <cellStyle name="20% - Accent5 4 2 3 6 2" xfId="34592" xr:uid="{888813B9-C4A2-489D-96B4-2A25B690A483}"/>
    <cellStyle name="20% - Accent5 4 2 3 7" xfId="18698" xr:uid="{00000000-0005-0000-0000-0000FC1F0000}"/>
    <cellStyle name="20% - Accent5 4 2 3 7 2" xfId="42530" xr:uid="{A3EAA467-EBA2-4732-871B-CC7C24AE0AB8}"/>
    <cellStyle name="20% - Accent5 4 2 3 8" xfId="26650" xr:uid="{DB406A03-FED9-4D9A-B200-C7B796D5784D}"/>
    <cellStyle name="20% - Accent5 4 2 3_Exh G" xfId="2498" xr:uid="{00000000-0005-0000-0000-0000FD1F0000}"/>
    <cellStyle name="20% - Accent5 4 2 4" xfId="1280" xr:uid="{00000000-0005-0000-0000-0000FE1F0000}"/>
    <cellStyle name="20% - Accent5 4 2 4 2" xfId="4807" xr:uid="{00000000-0005-0000-0000-0000FF1F0000}"/>
    <cellStyle name="20% - Accent5 4 2 4 2 2" xfId="8398" xr:uid="{00000000-0005-0000-0000-000000200000}"/>
    <cellStyle name="20% - Accent5 4 2 4 2 2 2" xfId="16368" xr:uid="{00000000-0005-0000-0000-000001200000}"/>
    <cellStyle name="20% - Accent5 4 2 4 2 2 2 2" xfId="40210" xr:uid="{7FCA29BB-8869-40A9-B06F-CB04D4354723}"/>
    <cellStyle name="20% - Accent5 4 2 4 2 2 3" xfId="24314" xr:uid="{00000000-0005-0000-0000-000002200000}"/>
    <cellStyle name="20% - Accent5 4 2 4 2 2 3 2" xfId="48146" xr:uid="{66E2448C-9C13-4B0D-9366-68AD3178B01C}"/>
    <cellStyle name="20% - Accent5 4 2 4 2 2 4" xfId="32269" xr:uid="{8AC89A57-97F8-4780-951E-6531C16A6F94}"/>
    <cellStyle name="20% - Accent5 4 2 4 2 3" xfId="12830" xr:uid="{00000000-0005-0000-0000-000003200000}"/>
    <cellStyle name="20% - Accent5 4 2 4 2 3 2" xfId="36679" xr:uid="{A32C3692-C146-4DD5-BC06-EDCFDC33BA24}"/>
    <cellStyle name="20% - Accent5 4 2 4 2 4" xfId="20785" xr:uid="{00000000-0005-0000-0000-000004200000}"/>
    <cellStyle name="20% - Accent5 4 2 4 2 4 2" xfId="44617" xr:uid="{40AF3DBA-C407-4FE6-9E17-45F679E99432}"/>
    <cellStyle name="20% - Accent5 4 2 4 2 5" xfId="28738" xr:uid="{B8547C0B-5DBA-49E4-B94C-BF4AC3516D8A}"/>
    <cellStyle name="20% - Accent5 4 2 4 3" xfId="6639" xr:uid="{00000000-0005-0000-0000-000005200000}"/>
    <cellStyle name="20% - Accent5 4 2 4 3 2" xfId="14610" xr:uid="{00000000-0005-0000-0000-000006200000}"/>
    <cellStyle name="20% - Accent5 4 2 4 3 2 2" xfId="38452" xr:uid="{ECB529B7-4E86-4244-9C6E-B72F90C3409A}"/>
    <cellStyle name="20% - Accent5 4 2 4 3 3" xfId="22557" xr:uid="{00000000-0005-0000-0000-000007200000}"/>
    <cellStyle name="20% - Accent5 4 2 4 3 3 2" xfId="46389" xr:uid="{FBE4CF47-FC85-4C3B-87F3-A767217DE7E5}"/>
    <cellStyle name="20% - Accent5 4 2 4 3 4" xfId="30511" xr:uid="{3448B849-48F7-4E44-A949-D6076034DCF8}"/>
    <cellStyle name="20% - Accent5 4 2 4 4" xfId="11074" xr:uid="{00000000-0005-0000-0000-000008200000}"/>
    <cellStyle name="20% - Accent5 4 2 4 4 2" xfId="34923" xr:uid="{515A9648-018B-4AA3-87BB-FC295A8BB2C2}"/>
    <cellStyle name="20% - Accent5 4 2 4 5" xfId="19029" xr:uid="{00000000-0005-0000-0000-000009200000}"/>
    <cellStyle name="20% - Accent5 4 2 4 5 2" xfId="42861" xr:uid="{4E1330BF-A7D9-4259-B86A-5AB49D75A37F}"/>
    <cellStyle name="20% - Accent5 4 2 4 6" xfId="26981" xr:uid="{08CEED28-254D-47BD-B3D3-CC1BEB0F1C1F}"/>
    <cellStyle name="20% - Accent5 4 2 4_Exh G" xfId="2500" xr:uid="{00000000-0005-0000-0000-00000A200000}"/>
    <cellStyle name="20% - Accent5 4 2 5" xfId="3928" xr:uid="{00000000-0005-0000-0000-00000B200000}"/>
    <cellStyle name="20% - Accent5 4 2 5 2" xfId="7520" xr:uid="{00000000-0005-0000-0000-00000C200000}"/>
    <cellStyle name="20% - Accent5 4 2 5 2 2" xfId="15490" xr:uid="{00000000-0005-0000-0000-00000D200000}"/>
    <cellStyle name="20% - Accent5 4 2 5 2 2 2" xfId="39332" xr:uid="{0A679857-6AAE-4205-8E0E-098CC38748B4}"/>
    <cellStyle name="20% - Accent5 4 2 5 2 3" xfId="23436" xr:uid="{00000000-0005-0000-0000-00000E200000}"/>
    <cellStyle name="20% - Accent5 4 2 5 2 3 2" xfId="47268" xr:uid="{E129ADC4-78F3-492D-8D54-6EA63BF59978}"/>
    <cellStyle name="20% - Accent5 4 2 5 2 4" xfId="31391" xr:uid="{44D65158-8991-49BB-BB5A-A491EE3AE5DC}"/>
    <cellStyle name="20% - Accent5 4 2 5 3" xfId="11952" xr:uid="{00000000-0005-0000-0000-00000F200000}"/>
    <cellStyle name="20% - Accent5 4 2 5 3 2" xfId="35801" xr:uid="{25511A9B-315C-491E-AB71-4224323714F7}"/>
    <cellStyle name="20% - Accent5 4 2 5 4" xfId="19907" xr:uid="{00000000-0005-0000-0000-000010200000}"/>
    <cellStyle name="20% - Accent5 4 2 5 4 2" xfId="43739" xr:uid="{7A2BC43A-7DC5-41B0-A911-36E30131C7E0}"/>
    <cellStyle name="20% - Accent5 4 2 5 5" xfId="27860" xr:uid="{00BFD455-47A4-4B02-869D-F58FF6DBFE03}"/>
    <cellStyle name="20% - Accent5 4 2 6" xfId="5748" xr:uid="{00000000-0005-0000-0000-000011200000}"/>
    <cellStyle name="20% - Accent5 4 2 6 2" xfId="13731" xr:uid="{00000000-0005-0000-0000-000012200000}"/>
    <cellStyle name="20% - Accent5 4 2 6 2 2" xfId="37574" xr:uid="{72BF0741-A8B3-4CE9-81BC-83A3A50A332B}"/>
    <cellStyle name="20% - Accent5 4 2 6 3" xfId="21679" xr:uid="{00000000-0005-0000-0000-000013200000}"/>
    <cellStyle name="20% - Accent5 4 2 6 3 2" xfId="45511" xr:uid="{BB8DADA6-17EA-441E-9C91-63CD4C2F13BD}"/>
    <cellStyle name="20% - Accent5 4 2 6 4" xfId="29633" xr:uid="{B36F0BBC-5CDC-4F38-8E99-7415413432F6}"/>
    <cellStyle name="20% - Accent5 4 2 7" xfId="9300" xr:uid="{00000000-0005-0000-0000-000014200000}"/>
    <cellStyle name="20% - Accent5 4 2 7 2" xfId="17258" xr:uid="{00000000-0005-0000-0000-000015200000}"/>
    <cellStyle name="20% - Accent5 4 2 7 2 2" xfId="41098" xr:uid="{CB43DD91-68F9-40A1-8F4F-BE2E83EAF1FE}"/>
    <cellStyle name="20% - Accent5 4 2 7 3" xfId="25202" xr:uid="{00000000-0005-0000-0000-000016200000}"/>
    <cellStyle name="20% - Accent5 4 2 7 3 2" xfId="49034" xr:uid="{C870FBFD-D183-4BA8-B589-5A6573DA3460}"/>
    <cellStyle name="20% - Accent5 4 2 7 4" xfId="33157" xr:uid="{8AE77227-510F-480D-B04E-C49048A09D0B}"/>
    <cellStyle name="20% - Accent5 4 2 8" xfId="10196" xr:uid="{00000000-0005-0000-0000-000017200000}"/>
    <cellStyle name="20% - Accent5 4 2 8 2" xfId="34045" xr:uid="{F2091597-CD3D-40F0-B30F-E779DECC6D3B}"/>
    <cellStyle name="20% - Accent5 4 2 9" xfId="18151" xr:uid="{00000000-0005-0000-0000-000018200000}"/>
    <cellStyle name="20% - Accent5 4 2 9 2" xfId="41983" xr:uid="{6A11C2C6-E822-4300-9A99-5CE4FC637F6C}"/>
    <cellStyle name="20% - Accent5 4 2_Exh G" xfId="2495" xr:uid="{00000000-0005-0000-0000-000019200000}"/>
    <cellStyle name="20% - Accent5 4 3" xfId="256" xr:uid="{00000000-0005-0000-0000-00001A200000}"/>
    <cellStyle name="20% - Accent5 4 3 2" xfId="1282" xr:uid="{00000000-0005-0000-0000-00001B200000}"/>
    <cellStyle name="20% - Accent5 4 3 2 2" xfId="4809" xr:uid="{00000000-0005-0000-0000-00001C200000}"/>
    <cellStyle name="20% - Accent5 4 3 2 2 2" xfId="8400" xr:uid="{00000000-0005-0000-0000-00001D200000}"/>
    <cellStyle name="20% - Accent5 4 3 2 2 2 2" xfId="16370" xr:uid="{00000000-0005-0000-0000-00001E200000}"/>
    <cellStyle name="20% - Accent5 4 3 2 2 2 2 2" xfId="40212" xr:uid="{895368F1-C04C-4B38-9152-17151F67C131}"/>
    <cellStyle name="20% - Accent5 4 3 2 2 2 3" xfId="24316" xr:uid="{00000000-0005-0000-0000-00001F200000}"/>
    <cellStyle name="20% - Accent5 4 3 2 2 2 3 2" xfId="48148" xr:uid="{7A6A77F6-A6D5-4EE0-B302-EE2249BC229C}"/>
    <cellStyle name="20% - Accent5 4 3 2 2 2 4" xfId="32271" xr:uid="{211D9EDC-1921-4ACB-BABB-605B1950E068}"/>
    <cellStyle name="20% - Accent5 4 3 2 2 3" xfId="12832" xr:uid="{00000000-0005-0000-0000-000020200000}"/>
    <cellStyle name="20% - Accent5 4 3 2 2 3 2" xfId="36681" xr:uid="{721A5669-B9F6-4067-8DE5-E554B651F72F}"/>
    <cellStyle name="20% - Accent5 4 3 2 2 4" xfId="20787" xr:uid="{00000000-0005-0000-0000-000021200000}"/>
    <cellStyle name="20% - Accent5 4 3 2 2 4 2" xfId="44619" xr:uid="{0BF9B6E3-1971-4A6C-BF98-ED4B0B613758}"/>
    <cellStyle name="20% - Accent5 4 3 2 2 5" xfId="28740" xr:uid="{1022D8D3-FC52-41E1-B0DE-24AD9A6DBD57}"/>
    <cellStyle name="20% - Accent5 4 3 2 3" xfId="6641" xr:uid="{00000000-0005-0000-0000-000022200000}"/>
    <cellStyle name="20% - Accent5 4 3 2 3 2" xfId="14612" xr:uid="{00000000-0005-0000-0000-000023200000}"/>
    <cellStyle name="20% - Accent5 4 3 2 3 2 2" xfId="38454" xr:uid="{8210E4F6-F458-405F-AAFA-AD1AEBBF8F25}"/>
    <cellStyle name="20% - Accent5 4 3 2 3 3" xfId="22559" xr:uid="{00000000-0005-0000-0000-000024200000}"/>
    <cellStyle name="20% - Accent5 4 3 2 3 3 2" xfId="46391" xr:uid="{F7977537-A00F-4877-A7B6-A37EED0290D5}"/>
    <cellStyle name="20% - Accent5 4 3 2 3 4" xfId="30513" xr:uid="{C6CDA589-AAF8-453C-9A8E-3A7998E9A645}"/>
    <cellStyle name="20% - Accent5 4 3 2 4" xfId="11076" xr:uid="{00000000-0005-0000-0000-000025200000}"/>
    <cellStyle name="20% - Accent5 4 3 2 4 2" xfId="34925" xr:uid="{D7B2664F-C57F-4409-B185-FF260412D543}"/>
    <cellStyle name="20% - Accent5 4 3 2 5" xfId="19031" xr:uid="{00000000-0005-0000-0000-000026200000}"/>
    <cellStyle name="20% - Accent5 4 3 2 5 2" xfId="42863" xr:uid="{4D11728B-77AD-40BB-B31B-03C40A73DE08}"/>
    <cellStyle name="20% - Accent5 4 3 2 6" xfId="26983" xr:uid="{234A4D2B-C009-488F-A33C-4BDE5341A04F}"/>
    <cellStyle name="20% - Accent5 4 3 2_Exh G" xfId="2502" xr:uid="{00000000-0005-0000-0000-000027200000}"/>
    <cellStyle name="20% - Accent5 4 3 3" xfId="3930" xr:uid="{00000000-0005-0000-0000-000028200000}"/>
    <cellStyle name="20% - Accent5 4 3 3 2" xfId="7522" xr:uid="{00000000-0005-0000-0000-000029200000}"/>
    <cellStyle name="20% - Accent5 4 3 3 2 2" xfId="15492" xr:uid="{00000000-0005-0000-0000-00002A200000}"/>
    <cellStyle name="20% - Accent5 4 3 3 2 2 2" xfId="39334" xr:uid="{7B165257-A789-4575-A069-201B83FB5667}"/>
    <cellStyle name="20% - Accent5 4 3 3 2 3" xfId="23438" xr:uid="{00000000-0005-0000-0000-00002B200000}"/>
    <cellStyle name="20% - Accent5 4 3 3 2 3 2" xfId="47270" xr:uid="{FACE7364-E7BF-4F17-BE27-C1792D0F9EAD}"/>
    <cellStyle name="20% - Accent5 4 3 3 2 4" xfId="31393" xr:uid="{4D51AC3E-927C-4422-AF21-534AD664BBB1}"/>
    <cellStyle name="20% - Accent5 4 3 3 3" xfId="11954" xr:uid="{00000000-0005-0000-0000-00002C200000}"/>
    <cellStyle name="20% - Accent5 4 3 3 3 2" xfId="35803" xr:uid="{3F3418BF-DA9B-4D7A-84CA-79E26363CD31}"/>
    <cellStyle name="20% - Accent5 4 3 3 4" xfId="19909" xr:uid="{00000000-0005-0000-0000-00002D200000}"/>
    <cellStyle name="20% - Accent5 4 3 3 4 2" xfId="43741" xr:uid="{F20C1532-42EC-40A2-8C89-531638C1B207}"/>
    <cellStyle name="20% - Accent5 4 3 3 5" xfId="27862" xr:uid="{C2CDA451-F07F-49B9-9C0D-E485F8E52259}"/>
    <cellStyle name="20% - Accent5 4 3 4" xfId="5750" xr:uid="{00000000-0005-0000-0000-00002E200000}"/>
    <cellStyle name="20% - Accent5 4 3 4 2" xfId="13733" xr:uid="{00000000-0005-0000-0000-00002F200000}"/>
    <cellStyle name="20% - Accent5 4 3 4 2 2" xfId="37576" xr:uid="{43A6E380-B2A7-44E8-AE88-F7FD47E55F8F}"/>
    <cellStyle name="20% - Accent5 4 3 4 3" xfId="21681" xr:uid="{00000000-0005-0000-0000-000030200000}"/>
    <cellStyle name="20% - Accent5 4 3 4 3 2" xfId="45513" xr:uid="{1D0F4A25-5927-4B4C-B685-F93196926E04}"/>
    <cellStyle name="20% - Accent5 4 3 4 4" xfId="29635" xr:uid="{EC7B0646-2B63-4C8A-8272-540ACF214B70}"/>
    <cellStyle name="20% - Accent5 4 3 5" xfId="9302" xr:uid="{00000000-0005-0000-0000-000031200000}"/>
    <cellStyle name="20% - Accent5 4 3 5 2" xfId="17260" xr:uid="{00000000-0005-0000-0000-000032200000}"/>
    <cellStyle name="20% - Accent5 4 3 5 2 2" xfId="41100" xr:uid="{6665801E-D33C-4D5C-9EB1-7842AB3B91BE}"/>
    <cellStyle name="20% - Accent5 4 3 5 3" xfId="25204" xr:uid="{00000000-0005-0000-0000-000033200000}"/>
    <cellStyle name="20% - Accent5 4 3 5 3 2" xfId="49036" xr:uid="{1CA73AD8-FD29-4BC4-A1A8-4EEC5011BD84}"/>
    <cellStyle name="20% - Accent5 4 3 5 4" xfId="33159" xr:uid="{D93521FD-89DF-4BDE-8970-1685E1D30792}"/>
    <cellStyle name="20% - Accent5 4 3 6" xfId="10198" xr:uid="{00000000-0005-0000-0000-000034200000}"/>
    <cellStyle name="20% - Accent5 4 3 6 2" xfId="34047" xr:uid="{ED2A4FEE-8BF0-41DF-9323-3643D6943851}"/>
    <cellStyle name="20% - Accent5 4 3 7" xfId="18153" xr:uid="{00000000-0005-0000-0000-000035200000}"/>
    <cellStyle name="20% - Accent5 4 3 7 2" xfId="41985" xr:uid="{5BA23772-DAFB-438D-92A4-9649919545EB}"/>
    <cellStyle name="20% - Accent5 4 3 8" xfId="26105" xr:uid="{963C9BF5-84FF-4FAC-B97F-E7405A1049DC}"/>
    <cellStyle name="20% - Accent5 4 3_Exh G" xfId="2501" xr:uid="{00000000-0005-0000-0000-000036200000}"/>
    <cellStyle name="20% - Accent5 4 4" xfId="912" xr:uid="{00000000-0005-0000-0000-000037200000}"/>
    <cellStyle name="20% - Accent5 4 4 2" xfId="1836" xr:uid="{00000000-0005-0000-0000-000038200000}"/>
    <cellStyle name="20% - Accent5 4 4 2 2" xfId="5353" xr:uid="{00000000-0005-0000-0000-000039200000}"/>
    <cellStyle name="20% - Accent5 4 4 2 2 2" xfId="8944" xr:uid="{00000000-0005-0000-0000-00003A200000}"/>
    <cellStyle name="20% - Accent5 4 4 2 2 2 2" xfId="16914" xr:uid="{00000000-0005-0000-0000-00003B200000}"/>
    <cellStyle name="20% - Accent5 4 4 2 2 2 2 2" xfId="40756" xr:uid="{5E0E2430-25B9-4284-8C44-87FBCA3DCAB6}"/>
    <cellStyle name="20% - Accent5 4 4 2 2 2 3" xfId="24860" xr:uid="{00000000-0005-0000-0000-00003C200000}"/>
    <cellStyle name="20% - Accent5 4 4 2 2 2 3 2" xfId="48692" xr:uid="{9DB1E36F-A4CF-41AF-8408-F484C0647EE7}"/>
    <cellStyle name="20% - Accent5 4 4 2 2 2 4" xfId="32815" xr:uid="{1A2BEA5B-6FDD-45DC-AE63-2AEC67447156}"/>
    <cellStyle name="20% - Accent5 4 4 2 2 3" xfId="13376" xr:uid="{00000000-0005-0000-0000-00003D200000}"/>
    <cellStyle name="20% - Accent5 4 4 2 2 3 2" xfId="37225" xr:uid="{7ECF48AC-8EFD-4782-B47C-C53803F5BB09}"/>
    <cellStyle name="20% - Accent5 4 4 2 2 4" xfId="21331" xr:uid="{00000000-0005-0000-0000-00003E200000}"/>
    <cellStyle name="20% - Accent5 4 4 2 2 4 2" xfId="45163" xr:uid="{E9BE0CB0-B8F5-4EAB-ABF0-772D16D4898C}"/>
    <cellStyle name="20% - Accent5 4 4 2 2 5" xfId="29284" xr:uid="{E1649436-3841-4FC0-BF4A-C4EF2DB81854}"/>
    <cellStyle name="20% - Accent5 4 4 2 3" xfId="7185" xr:uid="{00000000-0005-0000-0000-00003F200000}"/>
    <cellStyle name="20% - Accent5 4 4 2 3 2" xfId="15156" xr:uid="{00000000-0005-0000-0000-000040200000}"/>
    <cellStyle name="20% - Accent5 4 4 2 3 2 2" xfId="38998" xr:uid="{15A6EAAF-68E0-4DFD-922B-F842D368206E}"/>
    <cellStyle name="20% - Accent5 4 4 2 3 3" xfId="23103" xr:uid="{00000000-0005-0000-0000-000041200000}"/>
    <cellStyle name="20% - Accent5 4 4 2 3 3 2" xfId="46935" xr:uid="{47F6A169-400D-4B40-8888-ACDB142E5911}"/>
    <cellStyle name="20% - Accent5 4 4 2 3 4" xfId="31057" xr:uid="{EE223E7E-99A3-445B-8451-0E8CCA578266}"/>
    <cellStyle name="20% - Accent5 4 4 2 4" xfId="11620" xr:uid="{00000000-0005-0000-0000-000042200000}"/>
    <cellStyle name="20% - Accent5 4 4 2 4 2" xfId="35469" xr:uid="{0239F87A-CB15-40AD-9A69-B6EFD07BE2AA}"/>
    <cellStyle name="20% - Accent5 4 4 2 5" xfId="19575" xr:uid="{00000000-0005-0000-0000-000043200000}"/>
    <cellStyle name="20% - Accent5 4 4 2 5 2" xfId="43407" xr:uid="{3740D823-9E92-4F91-AB7B-95232C19AC1F}"/>
    <cellStyle name="20% - Accent5 4 4 2 6" xfId="27527" xr:uid="{6EDDC7A3-FA58-4038-A2C6-194655B08C9A}"/>
    <cellStyle name="20% - Accent5 4 4 2_Exh G" xfId="2504" xr:uid="{00000000-0005-0000-0000-000044200000}"/>
    <cellStyle name="20% - Accent5 4 4 3" xfId="4474" xr:uid="{00000000-0005-0000-0000-000045200000}"/>
    <cellStyle name="20% - Accent5 4 4 3 2" xfId="8066" xr:uid="{00000000-0005-0000-0000-000046200000}"/>
    <cellStyle name="20% - Accent5 4 4 3 2 2" xfId="16036" xr:uid="{00000000-0005-0000-0000-000047200000}"/>
    <cellStyle name="20% - Accent5 4 4 3 2 2 2" xfId="39878" xr:uid="{1286F0B7-2029-4D7F-B94C-E1BBA50D9797}"/>
    <cellStyle name="20% - Accent5 4 4 3 2 3" xfId="23982" xr:uid="{00000000-0005-0000-0000-000048200000}"/>
    <cellStyle name="20% - Accent5 4 4 3 2 3 2" xfId="47814" xr:uid="{262EE927-FF2A-448A-B2B2-9A72384D71D7}"/>
    <cellStyle name="20% - Accent5 4 4 3 2 4" xfId="31937" xr:uid="{A186D45D-82E5-44C3-86AE-539961B1E926}"/>
    <cellStyle name="20% - Accent5 4 4 3 3" xfId="12498" xr:uid="{00000000-0005-0000-0000-000049200000}"/>
    <cellStyle name="20% - Accent5 4 4 3 3 2" xfId="36347" xr:uid="{36E145D4-3F90-4A1E-BFB5-4E24C55658EF}"/>
    <cellStyle name="20% - Accent5 4 4 3 4" xfId="20453" xr:uid="{00000000-0005-0000-0000-00004A200000}"/>
    <cellStyle name="20% - Accent5 4 4 3 4 2" xfId="44285" xr:uid="{B4229C38-68DF-439F-BEB3-F1AB94607F0F}"/>
    <cellStyle name="20% - Accent5 4 4 3 5" xfId="28406" xr:uid="{017909F5-49D5-43F4-BC57-633FE43DBE96}"/>
    <cellStyle name="20% - Accent5 4 4 4" xfId="6304" xr:uid="{00000000-0005-0000-0000-00004B200000}"/>
    <cellStyle name="20% - Accent5 4 4 4 2" xfId="14278" xr:uid="{00000000-0005-0000-0000-00004C200000}"/>
    <cellStyle name="20% - Accent5 4 4 4 2 2" xfId="38120" xr:uid="{B672C0BE-E219-4ED3-9445-8D0C2A09962F}"/>
    <cellStyle name="20% - Accent5 4 4 4 3" xfId="22225" xr:uid="{00000000-0005-0000-0000-00004D200000}"/>
    <cellStyle name="20% - Accent5 4 4 4 3 2" xfId="46057" xr:uid="{6547C0B9-3EAF-4E88-8B7C-A384B4EF7F54}"/>
    <cellStyle name="20% - Accent5 4 4 4 4" xfId="30179" xr:uid="{757B0675-8F6D-4E2E-8F8E-440DA1E4F114}"/>
    <cellStyle name="20% - Accent5 4 4 5" xfId="9846" xr:uid="{00000000-0005-0000-0000-00004E200000}"/>
    <cellStyle name="20% - Accent5 4 4 5 2" xfId="17804" xr:uid="{00000000-0005-0000-0000-00004F200000}"/>
    <cellStyle name="20% - Accent5 4 4 5 2 2" xfId="41644" xr:uid="{5BF720C8-2522-4286-B289-A3B034A74B70}"/>
    <cellStyle name="20% - Accent5 4 4 5 3" xfId="25748" xr:uid="{00000000-0005-0000-0000-000050200000}"/>
    <cellStyle name="20% - Accent5 4 4 5 3 2" xfId="49580" xr:uid="{EEFBF3AD-AB42-49AF-831D-097B250C0CD7}"/>
    <cellStyle name="20% - Accent5 4 4 5 4" xfId="33703" xr:uid="{5DF62074-BF46-488B-899E-332814CADCAC}"/>
    <cellStyle name="20% - Accent5 4 4 6" xfId="10742" xr:uid="{00000000-0005-0000-0000-000051200000}"/>
    <cellStyle name="20% - Accent5 4 4 6 2" xfId="34591" xr:uid="{C35B1D51-FE3B-4C78-BEA4-28EB2CB4F57E}"/>
    <cellStyle name="20% - Accent5 4 4 7" xfId="18697" xr:uid="{00000000-0005-0000-0000-000052200000}"/>
    <cellStyle name="20% - Accent5 4 4 7 2" xfId="42529" xr:uid="{5251C2E8-7C2E-4602-94EA-5346C346FD39}"/>
    <cellStyle name="20% - Accent5 4 4 8" xfId="26649" xr:uid="{ABF06B26-E1B1-4711-9F9D-74D3FF0DA0E2}"/>
    <cellStyle name="20% - Accent5 4 4_Exh G" xfId="2503" xr:uid="{00000000-0005-0000-0000-000053200000}"/>
    <cellStyle name="20% - Accent5 4 5" xfId="1279" xr:uid="{00000000-0005-0000-0000-000054200000}"/>
    <cellStyle name="20% - Accent5 4 5 2" xfId="4806" xr:uid="{00000000-0005-0000-0000-000055200000}"/>
    <cellStyle name="20% - Accent5 4 5 2 2" xfId="8397" xr:uid="{00000000-0005-0000-0000-000056200000}"/>
    <cellStyle name="20% - Accent5 4 5 2 2 2" xfId="16367" xr:uid="{00000000-0005-0000-0000-000057200000}"/>
    <cellStyle name="20% - Accent5 4 5 2 2 2 2" xfId="40209" xr:uid="{43A8BA15-8B69-4E59-A246-6B7D185B4CB3}"/>
    <cellStyle name="20% - Accent5 4 5 2 2 3" xfId="24313" xr:uid="{00000000-0005-0000-0000-000058200000}"/>
    <cellStyle name="20% - Accent5 4 5 2 2 3 2" xfId="48145" xr:uid="{723AF4C5-6515-42D9-9853-17BE40D9C16B}"/>
    <cellStyle name="20% - Accent5 4 5 2 2 4" xfId="32268" xr:uid="{31915D40-BA38-4603-A989-2B8C0037061B}"/>
    <cellStyle name="20% - Accent5 4 5 2 3" xfId="12829" xr:uid="{00000000-0005-0000-0000-000059200000}"/>
    <cellStyle name="20% - Accent5 4 5 2 3 2" xfId="36678" xr:uid="{264E7B32-B1EC-4C28-B867-96CB5F1F6125}"/>
    <cellStyle name="20% - Accent5 4 5 2 4" xfId="20784" xr:uid="{00000000-0005-0000-0000-00005A200000}"/>
    <cellStyle name="20% - Accent5 4 5 2 4 2" xfId="44616" xr:uid="{E2C04153-425B-42D2-A098-757223E4D7C7}"/>
    <cellStyle name="20% - Accent5 4 5 2 5" xfId="28737" xr:uid="{0D6D8CB1-42D7-4842-81B4-510E2459E5C3}"/>
    <cellStyle name="20% - Accent5 4 5 3" xfId="6638" xr:uid="{00000000-0005-0000-0000-00005B200000}"/>
    <cellStyle name="20% - Accent5 4 5 3 2" xfId="14609" xr:uid="{00000000-0005-0000-0000-00005C200000}"/>
    <cellStyle name="20% - Accent5 4 5 3 2 2" xfId="38451" xr:uid="{B8291D91-FEB8-486D-A089-6EE7C3BEC590}"/>
    <cellStyle name="20% - Accent5 4 5 3 3" xfId="22556" xr:uid="{00000000-0005-0000-0000-00005D200000}"/>
    <cellStyle name="20% - Accent5 4 5 3 3 2" xfId="46388" xr:uid="{ECCC9C95-022B-456A-B1C7-FCC63D764B18}"/>
    <cellStyle name="20% - Accent5 4 5 3 4" xfId="30510" xr:uid="{9041C327-6A2B-4592-8F0F-D2652CEA01CB}"/>
    <cellStyle name="20% - Accent5 4 5 4" xfId="11073" xr:uid="{00000000-0005-0000-0000-00005E200000}"/>
    <cellStyle name="20% - Accent5 4 5 4 2" xfId="34922" xr:uid="{49029897-5C1B-431F-9204-5BC7DC68D643}"/>
    <cellStyle name="20% - Accent5 4 5 5" xfId="19028" xr:uid="{00000000-0005-0000-0000-00005F200000}"/>
    <cellStyle name="20% - Accent5 4 5 5 2" xfId="42860" xr:uid="{AAB43B8F-10E5-4F4E-A628-3BC2AF5E9EA9}"/>
    <cellStyle name="20% - Accent5 4 5 6" xfId="26980" xr:uid="{C685572F-E74F-444D-973E-3239EE6A4DF3}"/>
    <cellStyle name="20% - Accent5 4 5_Exh G" xfId="2505" xr:uid="{00000000-0005-0000-0000-000060200000}"/>
    <cellStyle name="20% - Accent5 4 6" xfId="3927" xr:uid="{00000000-0005-0000-0000-000061200000}"/>
    <cellStyle name="20% - Accent5 4 6 2" xfId="7519" xr:uid="{00000000-0005-0000-0000-000062200000}"/>
    <cellStyle name="20% - Accent5 4 6 2 2" xfId="15489" xr:uid="{00000000-0005-0000-0000-000063200000}"/>
    <cellStyle name="20% - Accent5 4 6 2 2 2" xfId="39331" xr:uid="{B854EB7A-281F-4A4D-AE1A-B645CC22AD52}"/>
    <cellStyle name="20% - Accent5 4 6 2 3" xfId="23435" xr:uid="{00000000-0005-0000-0000-000064200000}"/>
    <cellStyle name="20% - Accent5 4 6 2 3 2" xfId="47267" xr:uid="{AAF46EBD-DB3D-4592-BC15-A582E70A0CEC}"/>
    <cellStyle name="20% - Accent5 4 6 2 4" xfId="31390" xr:uid="{BE682D37-BCB6-42D9-8062-C44C14BE1C10}"/>
    <cellStyle name="20% - Accent5 4 6 3" xfId="11951" xr:uid="{00000000-0005-0000-0000-000065200000}"/>
    <cellStyle name="20% - Accent5 4 6 3 2" xfId="35800" xr:uid="{16BC4DAC-62EA-4328-9782-DDCADFEF876C}"/>
    <cellStyle name="20% - Accent5 4 6 4" xfId="19906" xr:uid="{00000000-0005-0000-0000-000066200000}"/>
    <cellStyle name="20% - Accent5 4 6 4 2" xfId="43738" xr:uid="{74EBD2F4-9ABE-4D65-A9C2-87A510344C38}"/>
    <cellStyle name="20% - Accent5 4 6 5" xfId="27859" xr:uid="{6437BED7-5302-4613-9479-8751BD83578C}"/>
    <cellStyle name="20% - Accent5 4 7" xfId="5747" xr:uid="{00000000-0005-0000-0000-000067200000}"/>
    <cellStyle name="20% - Accent5 4 7 2" xfId="13730" xr:uid="{00000000-0005-0000-0000-000068200000}"/>
    <cellStyle name="20% - Accent5 4 7 2 2" xfId="37573" xr:uid="{B81691DB-273B-42D3-81A1-B17B4F6F3B2C}"/>
    <cellStyle name="20% - Accent5 4 7 3" xfId="21678" xr:uid="{00000000-0005-0000-0000-000069200000}"/>
    <cellStyle name="20% - Accent5 4 7 3 2" xfId="45510" xr:uid="{3D68496E-B1FE-4E8F-B5AE-4E2E6C859190}"/>
    <cellStyle name="20% - Accent5 4 7 4" xfId="29632" xr:uid="{CD35AD24-5353-47C1-86A4-6C1F5D6824A1}"/>
    <cellStyle name="20% - Accent5 4 8" xfId="9299" xr:uid="{00000000-0005-0000-0000-00006A200000}"/>
    <cellStyle name="20% - Accent5 4 8 2" xfId="17257" xr:uid="{00000000-0005-0000-0000-00006B200000}"/>
    <cellStyle name="20% - Accent5 4 8 2 2" xfId="41097" xr:uid="{BE541FD3-A131-49E1-B1FC-E0FF94691430}"/>
    <cellStyle name="20% - Accent5 4 8 3" xfId="25201" xr:uid="{00000000-0005-0000-0000-00006C200000}"/>
    <cellStyle name="20% - Accent5 4 8 3 2" xfId="49033" xr:uid="{B828C99B-F258-46EC-9599-FE6953E81B84}"/>
    <cellStyle name="20% - Accent5 4 8 4" xfId="33156" xr:uid="{415DBF4A-A8A6-4363-A790-EBE83723B034}"/>
    <cellStyle name="20% - Accent5 4 9" xfId="10195" xr:uid="{00000000-0005-0000-0000-00006D200000}"/>
    <cellStyle name="20% - Accent5 4 9 2" xfId="34044" xr:uid="{0A988DBC-BAA7-4564-9B62-E6A639A600F9}"/>
    <cellStyle name="20% - Accent5 4_Exh G" xfId="2494" xr:uid="{00000000-0005-0000-0000-00006E200000}"/>
    <cellStyle name="20% - Accent5 5" xfId="257" xr:uid="{00000000-0005-0000-0000-00006F200000}"/>
    <cellStyle name="20% - Accent5 5 10" xfId="18154" xr:uid="{00000000-0005-0000-0000-000070200000}"/>
    <cellStyle name="20% - Accent5 5 10 2" xfId="41986" xr:uid="{B139BC75-4F09-4E6D-8601-F0BE7FB9283E}"/>
    <cellStyle name="20% - Accent5 5 11" xfId="26106" xr:uid="{F647F6EE-9B61-46CC-A002-470B22CBDABD}"/>
    <cellStyle name="20% - Accent5 5 2" xfId="258" xr:uid="{00000000-0005-0000-0000-000071200000}"/>
    <cellStyle name="20% - Accent5 5 2 2" xfId="259" xr:uid="{00000000-0005-0000-0000-000072200000}"/>
    <cellStyle name="20% - Accent5 5 2 2 2" xfId="1285" xr:uid="{00000000-0005-0000-0000-000073200000}"/>
    <cellStyle name="20% - Accent5 5 2 2 2 2" xfId="4812" xr:uid="{00000000-0005-0000-0000-000074200000}"/>
    <cellStyle name="20% - Accent5 5 2 2 2 2 2" xfId="8403" xr:uid="{00000000-0005-0000-0000-000075200000}"/>
    <cellStyle name="20% - Accent5 5 2 2 2 2 2 2" xfId="16373" xr:uid="{00000000-0005-0000-0000-000076200000}"/>
    <cellStyle name="20% - Accent5 5 2 2 2 2 2 2 2" xfId="40215" xr:uid="{ACCBB967-3611-4557-A108-CDCC7D05D2EF}"/>
    <cellStyle name="20% - Accent5 5 2 2 2 2 2 3" xfId="24319" xr:uid="{00000000-0005-0000-0000-000077200000}"/>
    <cellStyle name="20% - Accent5 5 2 2 2 2 2 3 2" xfId="48151" xr:uid="{9B83A733-B533-474B-B443-35D6E18624E9}"/>
    <cellStyle name="20% - Accent5 5 2 2 2 2 2 4" xfId="32274" xr:uid="{8CB332F9-421E-41E4-BE76-95D9557C9F9F}"/>
    <cellStyle name="20% - Accent5 5 2 2 2 2 3" xfId="12835" xr:uid="{00000000-0005-0000-0000-000078200000}"/>
    <cellStyle name="20% - Accent5 5 2 2 2 2 3 2" xfId="36684" xr:uid="{C2303B8F-E88D-4BD9-9DC3-12C994A5A2DD}"/>
    <cellStyle name="20% - Accent5 5 2 2 2 2 4" xfId="20790" xr:uid="{00000000-0005-0000-0000-000079200000}"/>
    <cellStyle name="20% - Accent5 5 2 2 2 2 4 2" xfId="44622" xr:uid="{1F8468FA-6823-4178-913E-3E5EC0DD3371}"/>
    <cellStyle name="20% - Accent5 5 2 2 2 2 5" xfId="28743" xr:uid="{8E59A3C0-407E-4FD4-B06C-704E7D0E01F5}"/>
    <cellStyle name="20% - Accent5 5 2 2 2 3" xfId="6644" xr:uid="{00000000-0005-0000-0000-00007A200000}"/>
    <cellStyle name="20% - Accent5 5 2 2 2 3 2" xfId="14615" xr:uid="{00000000-0005-0000-0000-00007B200000}"/>
    <cellStyle name="20% - Accent5 5 2 2 2 3 2 2" xfId="38457" xr:uid="{327A7974-4A62-4D9E-8893-031D26583420}"/>
    <cellStyle name="20% - Accent5 5 2 2 2 3 3" xfId="22562" xr:uid="{00000000-0005-0000-0000-00007C200000}"/>
    <cellStyle name="20% - Accent5 5 2 2 2 3 3 2" xfId="46394" xr:uid="{79716659-5A20-4BEA-A137-6C3F4A8EF1F3}"/>
    <cellStyle name="20% - Accent5 5 2 2 2 3 4" xfId="30516" xr:uid="{122BF087-C5F8-4884-B079-32AEA0BDE75D}"/>
    <cellStyle name="20% - Accent5 5 2 2 2 4" xfId="11079" xr:uid="{00000000-0005-0000-0000-00007D200000}"/>
    <cellStyle name="20% - Accent5 5 2 2 2 4 2" xfId="34928" xr:uid="{4D40CBD5-8739-4DEA-862A-CDD1A65CEB56}"/>
    <cellStyle name="20% - Accent5 5 2 2 2 5" xfId="19034" xr:uid="{00000000-0005-0000-0000-00007E200000}"/>
    <cellStyle name="20% - Accent5 5 2 2 2 5 2" xfId="42866" xr:uid="{A298EC45-8562-4E39-AB5E-33A8B0BB57F3}"/>
    <cellStyle name="20% - Accent5 5 2 2 2 6" xfId="26986" xr:uid="{6A420048-53B4-44A6-A25E-ECB777C33CA0}"/>
    <cellStyle name="20% - Accent5 5 2 2 2_Exh G" xfId="2509" xr:uid="{00000000-0005-0000-0000-00007F200000}"/>
    <cellStyle name="20% - Accent5 5 2 2 3" xfId="3933" xr:uid="{00000000-0005-0000-0000-000080200000}"/>
    <cellStyle name="20% - Accent5 5 2 2 3 2" xfId="7525" xr:uid="{00000000-0005-0000-0000-000081200000}"/>
    <cellStyle name="20% - Accent5 5 2 2 3 2 2" xfId="15495" xr:uid="{00000000-0005-0000-0000-000082200000}"/>
    <cellStyle name="20% - Accent5 5 2 2 3 2 2 2" xfId="39337" xr:uid="{E5BA176C-0397-471F-8555-D016AA40E3BB}"/>
    <cellStyle name="20% - Accent5 5 2 2 3 2 3" xfId="23441" xr:uid="{00000000-0005-0000-0000-000083200000}"/>
    <cellStyle name="20% - Accent5 5 2 2 3 2 3 2" xfId="47273" xr:uid="{6B78A036-2F63-497A-95B6-B592F1CEC0BD}"/>
    <cellStyle name="20% - Accent5 5 2 2 3 2 4" xfId="31396" xr:uid="{91A38C3F-C71C-4457-B23D-0155C46750E1}"/>
    <cellStyle name="20% - Accent5 5 2 2 3 3" xfId="11957" xr:uid="{00000000-0005-0000-0000-000084200000}"/>
    <cellStyle name="20% - Accent5 5 2 2 3 3 2" xfId="35806" xr:uid="{B3967786-599F-432C-9547-0412E8552507}"/>
    <cellStyle name="20% - Accent5 5 2 2 3 4" xfId="19912" xr:uid="{00000000-0005-0000-0000-000085200000}"/>
    <cellStyle name="20% - Accent5 5 2 2 3 4 2" xfId="43744" xr:uid="{4AB1F24F-7982-4000-B7AF-6250A1A98F47}"/>
    <cellStyle name="20% - Accent5 5 2 2 3 5" xfId="27865" xr:uid="{FEC45B54-F6C9-4BA9-9360-7C9AA8DAE41E}"/>
    <cellStyle name="20% - Accent5 5 2 2 4" xfId="5753" xr:uid="{00000000-0005-0000-0000-000086200000}"/>
    <cellStyle name="20% - Accent5 5 2 2 4 2" xfId="13736" xr:uid="{00000000-0005-0000-0000-000087200000}"/>
    <cellStyle name="20% - Accent5 5 2 2 4 2 2" xfId="37579" xr:uid="{4E870773-6EEE-426A-B85D-7226A44AD637}"/>
    <cellStyle name="20% - Accent5 5 2 2 4 3" xfId="21684" xr:uid="{00000000-0005-0000-0000-000088200000}"/>
    <cellStyle name="20% - Accent5 5 2 2 4 3 2" xfId="45516" xr:uid="{04B6F5FC-3B6A-4984-A046-04F7C41A7D0D}"/>
    <cellStyle name="20% - Accent5 5 2 2 4 4" xfId="29638" xr:uid="{3D0003C1-ED92-44AB-8B96-B8BA2C7EC5DB}"/>
    <cellStyle name="20% - Accent5 5 2 2 5" xfId="9305" xr:uid="{00000000-0005-0000-0000-000089200000}"/>
    <cellStyle name="20% - Accent5 5 2 2 5 2" xfId="17263" xr:uid="{00000000-0005-0000-0000-00008A200000}"/>
    <cellStyle name="20% - Accent5 5 2 2 5 2 2" xfId="41103" xr:uid="{6EE81A89-FC7B-416F-A494-6789CA514670}"/>
    <cellStyle name="20% - Accent5 5 2 2 5 3" xfId="25207" xr:uid="{00000000-0005-0000-0000-00008B200000}"/>
    <cellStyle name="20% - Accent5 5 2 2 5 3 2" xfId="49039" xr:uid="{EF522BAB-B994-4DE3-9EF0-8DF6ABA1D94A}"/>
    <cellStyle name="20% - Accent5 5 2 2 5 4" xfId="33162" xr:uid="{9C931507-7785-4B89-B5C9-A60E57B10098}"/>
    <cellStyle name="20% - Accent5 5 2 2 6" xfId="10201" xr:uid="{00000000-0005-0000-0000-00008C200000}"/>
    <cellStyle name="20% - Accent5 5 2 2 6 2" xfId="34050" xr:uid="{C77458F1-EAD9-4918-9CFF-3F8AC6188ECF}"/>
    <cellStyle name="20% - Accent5 5 2 2 7" xfId="18156" xr:uid="{00000000-0005-0000-0000-00008D200000}"/>
    <cellStyle name="20% - Accent5 5 2 2 7 2" xfId="41988" xr:uid="{95D17CE5-4961-4EFF-AC7C-A27652BC4595}"/>
    <cellStyle name="20% - Accent5 5 2 2 8" xfId="26108" xr:uid="{E5EDB607-2F45-40DD-87FA-8CE7D237FE44}"/>
    <cellStyle name="20% - Accent5 5 2 2_Exh G" xfId="2508" xr:uid="{00000000-0005-0000-0000-00008E200000}"/>
    <cellStyle name="20% - Accent5 5 2 3" xfId="1284" xr:uid="{00000000-0005-0000-0000-00008F200000}"/>
    <cellStyle name="20% - Accent5 5 2 3 2" xfId="4811" xr:uid="{00000000-0005-0000-0000-000090200000}"/>
    <cellStyle name="20% - Accent5 5 2 3 2 2" xfId="8402" xr:uid="{00000000-0005-0000-0000-000091200000}"/>
    <cellStyle name="20% - Accent5 5 2 3 2 2 2" xfId="16372" xr:uid="{00000000-0005-0000-0000-000092200000}"/>
    <cellStyle name="20% - Accent5 5 2 3 2 2 2 2" xfId="40214" xr:uid="{734F4E97-99A6-4AEA-A7B2-F9E77F7AE4E4}"/>
    <cellStyle name="20% - Accent5 5 2 3 2 2 3" xfId="24318" xr:uid="{00000000-0005-0000-0000-000093200000}"/>
    <cellStyle name="20% - Accent5 5 2 3 2 2 3 2" xfId="48150" xr:uid="{0BF4DE5A-4DEA-46C0-929A-75FFA95E531F}"/>
    <cellStyle name="20% - Accent5 5 2 3 2 2 4" xfId="32273" xr:uid="{3202C69C-FA7A-481B-BAAA-CE2022CB47A3}"/>
    <cellStyle name="20% - Accent5 5 2 3 2 3" xfId="12834" xr:uid="{00000000-0005-0000-0000-000094200000}"/>
    <cellStyle name="20% - Accent5 5 2 3 2 3 2" xfId="36683" xr:uid="{6302B64E-2D49-4DD6-ADF9-78827D2F798D}"/>
    <cellStyle name="20% - Accent5 5 2 3 2 4" xfId="20789" xr:uid="{00000000-0005-0000-0000-000095200000}"/>
    <cellStyle name="20% - Accent5 5 2 3 2 4 2" xfId="44621" xr:uid="{229AF3A1-11F9-4FDE-B4E1-875E47CE9F7E}"/>
    <cellStyle name="20% - Accent5 5 2 3 2 5" xfId="28742" xr:uid="{1D126D56-E05E-4526-9697-A03DA25926E9}"/>
    <cellStyle name="20% - Accent5 5 2 3 3" xfId="6643" xr:uid="{00000000-0005-0000-0000-000096200000}"/>
    <cellStyle name="20% - Accent5 5 2 3 3 2" xfId="14614" xr:uid="{00000000-0005-0000-0000-000097200000}"/>
    <cellStyle name="20% - Accent5 5 2 3 3 2 2" xfId="38456" xr:uid="{E48CC96D-8511-468E-8DD8-B58D6B337BCA}"/>
    <cellStyle name="20% - Accent5 5 2 3 3 3" xfId="22561" xr:uid="{00000000-0005-0000-0000-000098200000}"/>
    <cellStyle name="20% - Accent5 5 2 3 3 3 2" xfId="46393" xr:uid="{C4A13650-ADF5-43FC-A9B6-AEA7981E7222}"/>
    <cellStyle name="20% - Accent5 5 2 3 3 4" xfId="30515" xr:uid="{033D17A8-BB6D-476D-A82C-B4CF8DACC405}"/>
    <cellStyle name="20% - Accent5 5 2 3 4" xfId="11078" xr:uid="{00000000-0005-0000-0000-000099200000}"/>
    <cellStyle name="20% - Accent5 5 2 3 4 2" xfId="34927" xr:uid="{34A7AA82-47D4-43B6-ABAA-7F44F0E6BF4A}"/>
    <cellStyle name="20% - Accent5 5 2 3 5" xfId="19033" xr:uid="{00000000-0005-0000-0000-00009A200000}"/>
    <cellStyle name="20% - Accent5 5 2 3 5 2" xfId="42865" xr:uid="{CF39D2CB-F076-4067-9A57-AF13910A8488}"/>
    <cellStyle name="20% - Accent5 5 2 3 6" xfId="26985" xr:uid="{9878AB13-00E3-4501-837D-87208103B224}"/>
    <cellStyle name="20% - Accent5 5 2 3_Exh G" xfId="2510" xr:uid="{00000000-0005-0000-0000-00009B200000}"/>
    <cellStyle name="20% - Accent5 5 2 4" xfId="3932" xr:uid="{00000000-0005-0000-0000-00009C200000}"/>
    <cellStyle name="20% - Accent5 5 2 4 2" xfId="7524" xr:uid="{00000000-0005-0000-0000-00009D200000}"/>
    <cellStyle name="20% - Accent5 5 2 4 2 2" xfId="15494" xr:uid="{00000000-0005-0000-0000-00009E200000}"/>
    <cellStyle name="20% - Accent5 5 2 4 2 2 2" xfId="39336" xr:uid="{14564047-9644-4ED5-ABCC-CD5C569390A5}"/>
    <cellStyle name="20% - Accent5 5 2 4 2 3" xfId="23440" xr:uid="{00000000-0005-0000-0000-00009F200000}"/>
    <cellStyle name="20% - Accent5 5 2 4 2 3 2" xfId="47272" xr:uid="{BA1810C5-F3E8-4EAA-8092-008DD4F90BCC}"/>
    <cellStyle name="20% - Accent5 5 2 4 2 4" xfId="31395" xr:uid="{89F3B7C6-5E4B-4D2C-A218-CF71A0BD7FF5}"/>
    <cellStyle name="20% - Accent5 5 2 4 3" xfId="11956" xr:uid="{00000000-0005-0000-0000-0000A0200000}"/>
    <cellStyle name="20% - Accent5 5 2 4 3 2" xfId="35805" xr:uid="{8C083370-2698-4798-8A40-73B8598398D8}"/>
    <cellStyle name="20% - Accent5 5 2 4 4" xfId="19911" xr:uid="{00000000-0005-0000-0000-0000A1200000}"/>
    <cellStyle name="20% - Accent5 5 2 4 4 2" xfId="43743" xr:uid="{58C3A66B-4BE7-4BA1-B5AE-0B06AA7174B0}"/>
    <cellStyle name="20% - Accent5 5 2 4 5" xfId="27864" xr:uid="{E9C2A95E-26FA-4E2C-9AAF-F8FCF678C44C}"/>
    <cellStyle name="20% - Accent5 5 2 5" xfId="5752" xr:uid="{00000000-0005-0000-0000-0000A2200000}"/>
    <cellStyle name="20% - Accent5 5 2 5 2" xfId="13735" xr:uid="{00000000-0005-0000-0000-0000A3200000}"/>
    <cellStyle name="20% - Accent5 5 2 5 2 2" xfId="37578" xr:uid="{3BC45725-BD2D-46CA-B14F-C22DE4FF4DD3}"/>
    <cellStyle name="20% - Accent5 5 2 5 3" xfId="21683" xr:uid="{00000000-0005-0000-0000-0000A4200000}"/>
    <cellStyle name="20% - Accent5 5 2 5 3 2" xfId="45515" xr:uid="{83AF8F55-9F85-488C-B124-68C111B969D1}"/>
    <cellStyle name="20% - Accent5 5 2 5 4" xfId="29637" xr:uid="{B0C24940-5190-4CCF-B887-00617D6DD7C8}"/>
    <cellStyle name="20% - Accent5 5 2 6" xfId="9304" xr:uid="{00000000-0005-0000-0000-0000A5200000}"/>
    <cellStyle name="20% - Accent5 5 2 6 2" xfId="17262" xr:uid="{00000000-0005-0000-0000-0000A6200000}"/>
    <cellStyle name="20% - Accent5 5 2 6 2 2" xfId="41102" xr:uid="{FFEF2511-59F6-4165-9C7C-235CDC9F5770}"/>
    <cellStyle name="20% - Accent5 5 2 6 3" xfId="25206" xr:uid="{00000000-0005-0000-0000-0000A7200000}"/>
    <cellStyle name="20% - Accent5 5 2 6 3 2" xfId="49038" xr:uid="{C5A404E4-FC68-49EA-8D77-E86985146915}"/>
    <cellStyle name="20% - Accent5 5 2 6 4" xfId="33161" xr:uid="{45C093F2-0AEE-4CD7-BECE-4BCA66E7BD1F}"/>
    <cellStyle name="20% - Accent5 5 2 7" xfId="10200" xr:uid="{00000000-0005-0000-0000-0000A8200000}"/>
    <cellStyle name="20% - Accent5 5 2 7 2" xfId="34049" xr:uid="{19F1B287-6ADA-49FB-9692-8CA280DCF41A}"/>
    <cellStyle name="20% - Accent5 5 2 8" xfId="18155" xr:uid="{00000000-0005-0000-0000-0000A9200000}"/>
    <cellStyle name="20% - Accent5 5 2 8 2" xfId="41987" xr:uid="{B95AD40F-35F5-417A-B10A-5E3E78284C00}"/>
    <cellStyle name="20% - Accent5 5 2 9" xfId="26107" xr:uid="{6F534E49-5503-4A78-8274-2C17473B5B22}"/>
    <cellStyle name="20% - Accent5 5 2_Exh G" xfId="2507" xr:uid="{00000000-0005-0000-0000-0000AA200000}"/>
    <cellStyle name="20% - Accent5 5 3" xfId="260" xr:uid="{00000000-0005-0000-0000-0000AB200000}"/>
    <cellStyle name="20% - Accent5 5 3 2" xfId="1286" xr:uid="{00000000-0005-0000-0000-0000AC200000}"/>
    <cellStyle name="20% - Accent5 5 3 2 2" xfId="4813" xr:uid="{00000000-0005-0000-0000-0000AD200000}"/>
    <cellStyle name="20% - Accent5 5 3 2 2 2" xfId="8404" xr:uid="{00000000-0005-0000-0000-0000AE200000}"/>
    <cellStyle name="20% - Accent5 5 3 2 2 2 2" xfId="16374" xr:uid="{00000000-0005-0000-0000-0000AF200000}"/>
    <cellStyle name="20% - Accent5 5 3 2 2 2 2 2" xfId="40216" xr:uid="{D34847BC-6947-4F95-B4B9-86C6A3F04C92}"/>
    <cellStyle name="20% - Accent5 5 3 2 2 2 3" xfId="24320" xr:uid="{00000000-0005-0000-0000-0000B0200000}"/>
    <cellStyle name="20% - Accent5 5 3 2 2 2 3 2" xfId="48152" xr:uid="{F9B1FE69-DDEF-4A3F-BB83-31726ADE0A1A}"/>
    <cellStyle name="20% - Accent5 5 3 2 2 2 4" xfId="32275" xr:uid="{32DDDC68-6382-4B78-9222-A394B767C2ED}"/>
    <cellStyle name="20% - Accent5 5 3 2 2 3" xfId="12836" xr:uid="{00000000-0005-0000-0000-0000B1200000}"/>
    <cellStyle name="20% - Accent5 5 3 2 2 3 2" xfId="36685" xr:uid="{4BCB8ABE-0F23-4E34-9443-D4E64323073C}"/>
    <cellStyle name="20% - Accent5 5 3 2 2 4" xfId="20791" xr:uid="{00000000-0005-0000-0000-0000B2200000}"/>
    <cellStyle name="20% - Accent5 5 3 2 2 4 2" xfId="44623" xr:uid="{9DB8836E-23E3-4624-8CA9-2A216864C05D}"/>
    <cellStyle name="20% - Accent5 5 3 2 2 5" xfId="28744" xr:uid="{324636E3-9086-47BA-A4FF-D045B7E05BE9}"/>
    <cellStyle name="20% - Accent5 5 3 2 3" xfId="6645" xr:uid="{00000000-0005-0000-0000-0000B3200000}"/>
    <cellStyle name="20% - Accent5 5 3 2 3 2" xfId="14616" xr:uid="{00000000-0005-0000-0000-0000B4200000}"/>
    <cellStyle name="20% - Accent5 5 3 2 3 2 2" xfId="38458" xr:uid="{A2063037-EB08-4347-BB9E-713385247E3C}"/>
    <cellStyle name="20% - Accent5 5 3 2 3 3" xfId="22563" xr:uid="{00000000-0005-0000-0000-0000B5200000}"/>
    <cellStyle name="20% - Accent5 5 3 2 3 3 2" xfId="46395" xr:uid="{7CCD8AD1-B5EB-490E-A4D4-DE829D717F4C}"/>
    <cellStyle name="20% - Accent5 5 3 2 3 4" xfId="30517" xr:uid="{88E16930-C548-49DA-8D55-F903C67DC8C9}"/>
    <cellStyle name="20% - Accent5 5 3 2 4" xfId="11080" xr:uid="{00000000-0005-0000-0000-0000B6200000}"/>
    <cellStyle name="20% - Accent5 5 3 2 4 2" xfId="34929" xr:uid="{17E71795-7A39-4FDF-B0FF-2ED9000D466B}"/>
    <cellStyle name="20% - Accent5 5 3 2 5" xfId="19035" xr:uid="{00000000-0005-0000-0000-0000B7200000}"/>
    <cellStyle name="20% - Accent5 5 3 2 5 2" xfId="42867" xr:uid="{4D361D4E-4BD7-460F-A74B-AA7B019C834D}"/>
    <cellStyle name="20% - Accent5 5 3 2 6" xfId="26987" xr:uid="{204E6021-6A6B-4195-814F-509306E794DC}"/>
    <cellStyle name="20% - Accent5 5 3 2_Exh G" xfId="2512" xr:uid="{00000000-0005-0000-0000-0000B8200000}"/>
    <cellStyle name="20% - Accent5 5 3 3" xfId="3934" xr:uid="{00000000-0005-0000-0000-0000B9200000}"/>
    <cellStyle name="20% - Accent5 5 3 3 2" xfId="7526" xr:uid="{00000000-0005-0000-0000-0000BA200000}"/>
    <cellStyle name="20% - Accent5 5 3 3 2 2" xfId="15496" xr:uid="{00000000-0005-0000-0000-0000BB200000}"/>
    <cellStyle name="20% - Accent5 5 3 3 2 2 2" xfId="39338" xr:uid="{334C6369-98D2-4DB4-B7A7-96119714F7C9}"/>
    <cellStyle name="20% - Accent5 5 3 3 2 3" xfId="23442" xr:uid="{00000000-0005-0000-0000-0000BC200000}"/>
    <cellStyle name="20% - Accent5 5 3 3 2 3 2" xfId="47274" xr:uid="{27255BE6-BAFB-4584-AAEC-8A2A0EB7977A}"/>
    <cellStyle name="20% - Accent5 5 3 3 2 4" xfId="31397" xr:uid="{6F633941-2CDC-470F-88C9-C26366F986B5}"/>
    <cellStyle name="20% - Accent5 5 3 3 3" xfId="11958" xr:uid="{00000000-0005-0000-0000-0000BD200000}"/>
    <cellStyle name="20% - Accent5 5 3 3 3 2" xfId="35807" xr:uid="{9E8FA58C-D3A6-4D7D-AD4D-355AA182EBE5}"/>
    <cellStyle name="20% - Accent5 5 3 3 4" xfId="19913" xr:uid="{00000000-0005-0000-0000-0000BE200000}"/>
    <cellStyle name="20% - Accent5 5 3 3 4 2" xfId="43745" xr:uid="{B375606D-2C59-48C3-BBC4-67DDD032FAF0}"/>
    <cellStyle name="20% - Accent5 5 3 3 5" xfId="27866" xr:uid="{DDF2D075-47F9-4FB7-8883-4F4B5569E56F}"/>
    <cellStyle name="20% - Accent5 5 3 4" xfId="5754" xr:uid="{00000000-0005-0000-0000-0000BF200000}"/>
    <cellStyle name="20% - Accent5 5 3 4 2" xfId="13737" xr:uid="{00000000-0005-0000-0000-0000C0200000}"/>
    <cellStyle name="20% - Accent5 5 3 4 2 2" xfId="37580" xr:uid="{998E74CB-11AA-4830-BD21-4F315A00B643}"/>
    <cellStyle name="20% - Accent5 5 3 4 3" xfId="21685" xr:uid="{00000000-0005-0000-0000-0000C1200000}"/>
    <cellStyle name="20% - Accent5 5 3 4 3 2" xfId="45517" xr:uid="{68DEE266-46B2-491A-9314-18D87BF99E8D}"/>
    <cellStyle name="20% - Accent5 5 3 4 4" xfId="29639" xr:uid="{CF571918-48A9-4212-974B-26F4E367ED7C}"/>
    <cellStyle name="20% - Accent5 5 3 5" xfId="9306" xr:uid="{00000000-0005-0000-0000-0000C2200000}"/>
    <cellStyle name="20% - Accent5 5 3 5 2" xfId="17264" xr:uid="{00000000-0005-0000-0000-0000C3200000}"/>
    <cellStyle name="20% - Accent5 5 3 5 2 2" xfId="41104" xr:uid="{8F75FB7D-EDCC-460A-B904-335866710440}"/>
    <cellStyle name="20% - Accent5 5 3 5 3" xfId="25208" xr:uid="{00000000-0005-0000-0000-0000C4200000}"/>
    <cellStyle name="20% - Accent5 5 3 5 3 2" xfId="49040" xr:uid="{732331E7-F98C-4C18-B6CA-EFC56665250C}"/>
    <cellStyle name="20% - Accent5 5 3 5 4" xfId="33163" xr:uid="{8C1E00B0-9C29-44A7-926C-FEC0D392F9F4}"/>
    <cellStyle name="20% - Accent5 5 3 6" xfId="10202" xr:uid="{00000000-0005-0000-0000-0000C5200000}"/>
    <cellStyle name="20% - Accent5 5 3 6 2" xfId="34051" xr:uid="{09258E78-DA13-4A97-B4B5-2E8CB363694D}"/>
    <cellStyle name="20% - Accent5 5 3 7" xfId="18157" xr:uid="{00000000-0005-0000-0000-0000C6200000}"/>
    <cellStyle name="20% - Accent5 5 3 7 2" xfId="41989" xr:uid="{7AE78F75-4C0E-4A18-9069-CE36FF604A7B}"/>
    <cellStyle name="20% - Accent5 5 3 8" xfId="26109" xr:uid="{42C96C6D-47AF-43F4-8D31-A17C7D40FA34}"/>
    <cellStyle name="20% - Accent5 5 3_Exh G" xfId="2511" xr:uid="{00000000-0005-0000-0000-0000C7200000}"/>
    <cellStyle name="20% - Accent5 5 4" xfId="914" xr:uid="{00000000-0005-0000-0000-0000C8200000}"/>
    <cellStyle name="20% - Accent5 5 5" xfId="1283" xr:uid="{00000000-0005-0000-0000-0000C9200000}"/>
    <cellStyle name="20% - Accent5 5 5 2" xfId="4810" xr:uid="{00000000-0005-0000-0000-0000CA200000}"/>
    <cellStyle name="20% - Accent5 5 5 2 2" xfId="8401" xr:uid="{00000000-0005-0000-0000-0000CB200000}"/>
    <cellStyle name="20% - Accent5 5 5 2 2 2" xfId="16371" xr:uid="{00000000-0005-0000-0000-0000CC200000}"/>
    <cellStyle name="20% - Accent5 5 5 2 2 2 2" xfId="40213" xr:uid="{9F6F1EB7-A6EB-48BF-A545-CF4F83D85101}"/>
    <cellStyle name="20% - Accent5 5 5 2 2 3" xfId="24317" xr:uid="{00000000-0005-0000-0000-0000CD200000}"/>
    <cellStyle name="20% - Accent5 5 5 2 2 3 2" xfId="48149" xr:uid="{F7A8C2B8-2FE1-4E95-81CA-1F1712D56837}"/>
    <cellStyle name="20% - Accent5 5 5 2 2 4" xfId="32272" xr:uid="{C2258E8C-208F-4315-B767-715E91A714C0}"/>
    <cellStyle name="20% - Accent5 5 5 2 3" xfId="12833" xr:uid="{00000000-0005-0000-0000-0000CE200000}"/>
    <cellStyle name="20% - Accent5 5 5 2 3 2" xfId="36682" xr:uid="{DB000C44-7C1A-4290-8020-2FA03AA001D0}"/>
    <cellStyle name="20% - Accent5 5 5 2 4" xfId="20788" xr:uid="{00000000-0005-0000-0000-0000CF200000}"/>
    <cellStyle name="20% - Accent5 5 5 2 4 2" xfId="44620" xr:uid="{1585373D-10B4-4918-AD1B-B5D4B31D110C}"/>
    <cellStyle name="20% - Accent5 5 5 2 5" xfId="28741" xr:uid="{C3BAD3B9-4A39-4D2B-BE7D-401D88D20A32}"/>
    <cellStyle name="20% - Accent5 5 5 3" xfId="6642" xr:uid="{00000000-0005-0000-0000-0000D0200000}"/>
    <cellStyle name="20% - Accent5 5 5 3 2" xfId="14613" xr:uid="{00000000-0005-0000-0000-0000D1200000}"/>
    <cellStyle name="20% - Accent5 5 5 3 2 2" xfId="38455" xr:uid="{F0C1CEB5-02A4-4BDC-81AF-492FF36CF71D}"/>
    <cellStyle name="20% - Accent5 5 5 3 3" xfId="22560" xr:uid="{00000000-0005-0000-0000-0000D2200000}"/>
    <cellStyle name="20% - Accent5 5 5 3 3 2" xfId="46392" xr:uid="{70F58A1C-A273-4150-8143-C5F32AFF3966}"/>
    <cellStyle name="20% - Accent5 5 5 3 4" xfId="30514" xr:uid="{6CA0CBDE-D600-45C4-A5E7-A4E06693CF8F}"/>
    <cellStyle name="20% - Accent5 5 5 4" xfId="11077" xr:uid="{00000000-0005-0000-0000-0000D3200000}"/>
    <cellStyle name="20% - Accent5 5 5 4 2" xfId="34926" xr:uid="{FC5109D1-ED86-4305-9CEC-FC53A91366B0}"/>
    <cellStyle name="20% - Accent5 5 5 5" xfId="19032" xr:uid="{00000000-0005-0000-0000-0000D4200000}"/>
    <cellStyle name="20% - Accent5 5 5 5 2" xfId="42864" xr:uid="{E0DF1038-0E7F-4794-8CF8-DA1E1723291E}"/>
    <cellStyle name="20% - Accent5 5 5 6" xfId="26984" xr:uid="{6340CAD5-BC5B-4550-83BF-891FC9A74D57}"/>
    <cellStyle name="20% - Accent5 5 5_Exh G" xfId="2513" xr:uid="{00000000-0005-0000-0000-0000D5200000}"/>
    <cellStyle name="20% - Accent5 5 6" xfId="3931" xr:uid="{00000000-0005-0000-0000-0000D6200000}"/>
    <cellStyle name="20% - Accent5 5 6 2" xfId="7523" xr:uid="{00000000-0005-0000-0000-0000D7200000}"/>
    <cellStyle name="20% - Accent5 5 6 2 2" xfId="15493" xr:uid="{00000000-0005-0000-0000-0000D8200000}"/>
    <cellStyle name="20% - Accent5 5 6 2 2 2" xfId="39335" xr:uid="{A2D9574E-4B8E-4E3D-9E56-A48B56101BE8}"/>
    <cellStyle name="20% - Accent5 5 6 2 3" xfId="23439" xr:uid="{00000000-0005-0000-0000-0000D9200000}"/>
    <cellStyle name="20% - Accent5 5 6 2 3 2" xfId="47271" xr:uid="{DCC3E615-25E3-4C9C-B20D-D856FA8E6E03}"/>
    <cellStyle name="20% - Accent5 5 6 2 4" xfId="31394" xr:uid="{5FAA740C-5353-428D-86F0-9BB68C9CF586}"/>
    <cellStyle name="20% - Accent5 5 6 3" xfId="11955" xr:uid="{00000000-0005-0000-0000-0000DA200000}"/>
    <cellStyle name="20% - Accent5 5 6 3 2" xfId="35804" xr:uid="{C2691A3F-1D89-4A4B-B7AD-AB2F38DBF56D}"/>
    <cellStyle name="20% - Accent5 5 6 4" xfId="19910" xr:uid="{00000000-0005-0000-0000-0000DB200000}"/>
    <cellStyle name="20% - Accent5 5 6 4 2" xfId="43742" xr:uid="{CA80DBEB-48D3-490E-9D81-15280D768488}"/>
    <cellStyle name="20% - Accent5 5 6 5" xfId="27863" xr:uid="{3FE83CC9-C1B1-4DFE-B319-A7B4A589FC36}"/>
    <cellStyle name="20% - Accent5 5 7" xfId="5751" xr:uid="{00000000-0005-0000-0000-0000DC200000}"/>
    <cellStyle name="20% - Accent5 5 7 2" xfId="13734" xr:uid="{00000000-0005-0000-0000-0000DD200000}"/>
    <cellStyle name="20% - Accent5 5 7 2 2" xfId="37577" xr:uid="{AF23B8A3-8A59-4158-A4B4-3F7CB639355C}"/>
    <cellStyle name="20% - Accent5 5 7 3" xfId="21682" xr:uid="{00000000-0005-0000-0000-0000DE200000}"/>
    <cellStyle name="20% - Accent5 5 7 3 2" xfId="45514" xr:uid="{798C2FCF-A205-47A0-83ED-66FF5F9BD9C6}"/>
    <cellStyle name="20% - Accent5 5 7 4" xfId="29636" xr:uid="{D19ECD34-5642-4355-9EC2-F712B99EFCF4}"/>
    <cellStyle name="20% - Accent5 5 8" xfId="9303" xr:uid="{00000000-0005-0000-0000-0000DF200000}"/>
    <cellStyle name="20% - Accent5 5 8 2" xfId="17261" xr:uid="{00000000-0005-0000-0000-0000E0200000}"/>
    <cellStyle name="20% - Accent5 5 8 2 2" xfId="41101" xr:uid="{F32993A6-D9BB-4698-986F-3AF8C94BFA9E}"/>
    <cellStyle name="20% - Accent5 5 8 3" xfId="25205" xr:uid="{00000000-0005-0000-0000-0000E1200000}"/>
    <cellStyle name="20% - Accent5 5 8 3 2" xfId="49037" xr:uid="{6E60E385-FC0B-4569-99A6-42E6ABA9C91A}"/>
    <cellStyle name="20% - Accent5 5 8 4" xfId="33160" xr:uid="{2712594D-68F7-4066-B3BB-96CAC5BFEBA9}"/>
    <cellStyle name="20% - Accent5 5 9" xfId="10199" xr:uid="{00000000-0005-0000-0000-0000E2200000}"/>
    <cellStyle name="20% - Accent5 5 9 2" xfId="34048" xr:uid="{5468E28D-9A83-4AD3-BA34-83D2C62518A5}"/>
    <cellStyle name="20% - Accent5 5_Exh G" xfId="2506" xr:uid="{00000000-0005-0000-0000-0000E3200000}"/>
    <cellStyle name="20% - Accent5 6" xfId="261" xr:uid="{00000000-0005-0000-0000-0000E4200000}"/>
    <cellStyle name="20% - Accent5 6 10" xfId="18158" xr:uid="{00000000-0005-0000-0000-0000E5200000}"/>
    <cellStyle name="20% - Accent5 6 10 2" xfId="41990" xr:uid="{E1F67FDB-4680-42FA-AD56-DA88722F2C76}"/>
    <cellStyle name="20% - Accent5 6 11" xfId="26110" xr:uid="{234D8714-A779-4462-AAE1-74D6FFE28358}"/>
    <cellStyle name="20% - Accent5 6 2" xfId="262" xr:uid="{00000000-0005-0000-0000-0000E6200000}"/>
    <cellStyle name="20% - Accent5 6 2 2" xfId="263" xr:uid="{00000000-0005-0000-0000-0000E7200000}"/>
    <cellStyle name="20% - Accent5 6 2 2 2" xfId="1289" xr:uid="{00000000-0005-0000-0000-0000E8200000}"/>
    <cellStyle name="20% - Accent5 6 2 2 2 2" xfId="4816" xr:uid="{00000000-0005-0000-0000-0000E9200000}"/>
    <cellStyle name="20% - Accent5 6 2 2 2 2 2" xfId="8407" xr:uid="{00000000-0005-0000-0000-0000EA200000}"/>
    <cellStyle name="20% - Accent5 6 2 2 2 2 2 2" xfId="16377" xr:uid="{00000000-0005-0000-0000-0000EB200000}"/>
    <cellStyle name="20% - Accent5 6 2 2 2 2 2 2 2" xfId="40219" xr:uid="{C50531EB-2F2F-4C46-9FEF-DB75CF4055A7}"/>
    <cellStyle name="20% - Accent5 6 2 2 2 2 2 3" xfId="24323" xr:uid="{00000000-0005-0000-0000-0000EC200000}"/>
    <cellStyle name="20% - Accent5 6 2 2 2 2 2 3 2" xfId="48155" xr:uid="{8CD91905-3E0E-488A-B7A3-79099B57459D}"/>
    <cellStyle name="20% - Accent5 6 2 2 2 2 2 4" xfId="32278" xr:uid="{2844DC13-6DDE-4FEC-B385-E82693B0DAA0}"/>
    <cellStyle name="20% - Accent5 6 2 2 2 2 3" xfId="12839" xr:uid="{00000000-0005-0000-0000-0000ED200000}"/>
    <cellStyle name="20% - Accent5 6 2 2 2 2 3 2" xfId="36688" xr:uid="{F7153050-597B-40A7-91A6-4BDDD3185706}"/>
    <cellStyle name="20% - Accent5 6 2 2 2 2 4" xfId="20794" xr:uid="{00000000-0005-0000-0000-0000EE200000}"/>
    <cellStyle name="20% - Accent5 6 2 2 2 2 4 2" xfId="44626" xr:uid="{807321D4-7E52-4964-8F34-7035975AC672}"/>
    <cellStyle name="20% - Accent5 6 2 2 2 2 5" xfId="28747" xr:uid="{D2C150C8-7E19-4870-A1F3-2A698D57599A}"/>
    <cellStyle name="20% - Accent5 6 2 2 2 3" xfId="6648" xr:uid="{00000000-0005-0000-0000-0000EF200000}"/>
    <cellStyle name="20% - Accent5 6 2 2 2 3 2" xfId="14619" xr:uid="{00000000-0005-0000-0000-0000F0200000}"/>
    <cellStyle name="20% - Accent5 6 2 2 2 3 2 2" xfId="38461" xr:uid="{57C6C7F8-A674-4F34-98AB-2CDB1062404B}"/>
    <cellStyle name="20% - Accent5 6 2 2 2 3 3" xfId="22566" xr:uid="{00000000-0005-0000-0000-0000F1200000}"/>
    <cellStyle name="20% - Accent5 6 2 2 2 3 3 2" xfId="46398" xr:uid="{D7C3ED92-CE56-4532-86AE-073BF8BF8DDB}"/>
    <cellStyle name="20% - Accent5 6 2 2 2 3 4" xfId="30520" xr:uid="{76136EEC-AE29-47BF-8104-BA4753866D11}"/>
    <cellStyle name="20% - Accent5 6 2 2 2 4" xfId="11083" xr:uid="{00000000-0005-0000-0000-0000F2200000}"/>
    <cellStyle name="20% - Accent5 6 2 2 2 4 2" xfId="34932" xr:uid="{F2839372-245A-4203-B14E-844AE799CD5C}"/>
    <cellStyle name="20% - Accent5 6 2 2 2 5" xfId="19038" xr:uid="{00000000-0005-0000-0000-0000F3200000}"/>
    <cellStyle name="20% - Accent5 6 2 2 2 5 2" xfId="42870" xr:uid="{0081BA15-143A-43EC-997D-7CE99CB9CDE8}"/>
    <cellStyle name="20% - Accent5 6 2 2 2 6" xfId="26990" xr:uid="{578012B7-6A5E-40BC-B44C-84C6FCCE6D48}"/>
    <cellStyle name="20% - Accent5 6 2 2 2_Exh G" xfId="2517" xr:uid="{00000000-0005-0000-0000-0000F4200000}"/>
    <cellStyle name="20% - Accent5 6 2 2 3" xfId="3937" xr:uid="{00000000-0005-0000-0000-0000F5200000}"/>
    <cellStyle name="20% - Accent5 6 2 2 3 2" xfId="7529" xr:uid="{00000000-0005-0000-0000-0000F6200000}"/>
    <cellStyle name="20% - Accent5 6 2 2 3 2 2" xfId="15499" xr:uid="{00000000-0005-0000-0000-0000F7200000}"/>
    <cellStyle name="20% - Accent5 6 2 2 3 2 2 2" xfId="39341" xr:uid="{C8766B7D-B03B-4158-BB59-BAEC8D8D1967}"/>
    <cellStyle name="20% - Accent5 6 2 2 3 2 3" xfId="23445" xr:uid="{00000000-0005-0000-0000-0000F8200000}"/>
    <cellStyle name="20% - Accent5 6 2 2 3 2 3 2" xfId="47277" xr:uid="{C78D89D0-5C39-4E8F-AD1D-C950E077C4EE}"/>
    <cellStyle name="20% - Accent5 6 2 2 3 2 4" xfId="31400" xr:uid="{FD23F13E-1720-45B6-98CD-4926A7A3DED5}"/>
    <cellStyle name="20% - Accent5 6 2 2 3 3" xfId="11961" xr:uid="{00000000-0005-0000-0000-0000F9200000}"/>
    <cellStyle name="20% - Accent5 6 2 2 3 3 2" xfId="35810" xr:uid="{806FDB63-3E5D-48C4-9C40-71D7C1B82411}"/>
    <cellStyle name="20% - Accent5 6 2 2 3 4" xfId="19916" xr:uid="{00000000-0005-0000-0000-0000FA200000}"/>
    <cellStyle name="20% - Accent5 6 2 2 3 4 2" xfId="43748" xr:uid="{8866A14C-ED48-457A-B0E0-4DDCF5B0330C}"/>
    <cellStyle name="20% - Accent5 6 2 2 3 5" xfId="27869" xr:uid="{669EA78B-67ED-46EF-A571-58E05D58F0A5}"/>
    <cellStyle name="20% - Accent5 6 2 2 4" xfId="5757" xr:uid="{00000000-0005-0000-0000-0000FB200000}"/>
    <cellStyle name="20% - Accent5 6 2 2 4 2" xfId="13740" xr:uid="{00000000-0005-0000-0000-0000FC200000}"/>
    <cellStyle name="20% - Accent5 6 2 2 4 2 2" xfId="37583" xr:uid="{DC0E7798-0A9D-42D2-BBDC-5165C3D77FAC}"/>
    <cellStyle name="20% - Accent5 6 2 2 4 3" xfId="21688" xr:uid="{00000000-0005-0000-0000-0000FD200000}"/>
    <cellStyle name="20% - Accent5 6 2 2 4 3 2" xfId="45520" xr:uid="{8351AEED-129B-406D-A45C-DCA5DF498FB3}"/>
    <cellStyle name="20% - Accent5 6 2 2 4 4" xfId="29642" xr:uid="{707E14C6-F631-4418-8650-250C92666460}"/>
    <cellStyle name="20% - Accent5 6 2 2 5" xfId="9309" xr:uid="{00000000-0005-0000-0000-0000FE200000}"/>
    <cellStyle name="20% - Accent5 6 2 2 5 2" xfId="17267" xr:uid="{00000000-0005-0000-0000-0000FF200000}"/>
    <cellStyle name="20% - Accent5 6 2 2 5 2 2" xfId="41107" xr:uid="{28301008-BEB6-4979-9F4D-DDC8D3F72915}"/>
    <cellStyle name="20% - Accent5 6 2 2 5 3" xfId="25211" xr:uid="{00000000-0005-0000-0000-000000210000}"/>
    <cellStyle name="20% - Accent5 6 2 2 5 3 2" xfId="49043" xr:uid="{B0BCD381-7ACF-40C6-97A7-CB6EF3891C37}"/>
    <cellStyle name="20% - Accent5 6 2 2 5 4" xfId="33166" xr:uid="{E49D2CDF-1E45-49B4-9C6C-6299F1C0D210}"/>
    <cellStyle name="20% - Accent5 6 2 2 6" xfId="10205" xr:uid="{00000000-0005-0000-0000-000001210000}"/>
    <cellStyle name="20% - Accent5 6 2 2 6 2" xfId="34054" xr:uid="{0506E64A-A3A8-461E-AABD-C1AC155C063A}"/>
    <cellStyle name="20% - Accent5 6 2 2 7" xfId="18160" xr:uid="{00000000-0005-0000-0000-000002210000}"/>
    <cellStyle name="20% - Accent5 6 2 2 7 2" xfId="41992" xr:uid="{6E823E11-C678-41FF-AA55-4B9570BD83D0}"/>
    <cellStyle name="20% - Accent5 6 2 2 8" xfId="26112" xr:uid="{61BBE158-1BBC-4C90-A2F4-37DEA2578AAD}"/>
    <cellStyle name="20% - Accent5 6 2 2_Exh G" xfId="2516" xr:uid="{00000000-0005-0000-0000-000003210000}"/>
    <cellStyle name="20% - Accent5 6 2 3" xfId="1288" xr:uid="{00000000-0005-0000-0000-000004210000}"/>
    <cellStyle name="20% - Accent5 6 2 3 2" xfId="4815" xr:uid="{00000000-0005-0000-0000-000005210000}"/>
    <cellStyle name="20% - Accent5 6 2 3 2 2" xfId="8406" xr:uid="{00000000-0005-0000-0000-000006210000}"/>
    <cellStyle name="20% - Accent5 6 2 3 2 2 2" xfId="16376" xr:uid="{00000000-0005-0000-0000-000007210000}"/>
    <cellStyle name="20% - Accent5 6 2 3 2 2 2 2" xfId="40218" xr:uid="{30F76D4F-55CD-43DE-B016-CB218DB1C7D7}"/>
    <cellStyle name="20% - Accent5 6 2 3 2 2 3" xfId="24322" xr:uid="{00000000-0005-0000-0000-000008210000}"/>
    <cellStyle name="20% - Accent5 6 2 3 2 2 3 2" xfId="48154" xr:uid="{FAA34B8A-FA48-470C-A2CC-D81662D435D4}"/>
    <cellStyle name="20% - Accent5 6 2 3 2 2 4" xfId="32277" xr:uid="{C9B750D2-FB30-482F-B131-1220BF6E4362}"/>
    <cellStyle name="20% - Accent5 6 2 3 2 3" xfId="12838" xr:uid="{00000000-0005-0000-0000-000009210000}"/>
    <cellStyle name="20% - Accent5 6 2 3 2 3 2" xfId="36687" xr:uid="{0FD6A5F1-9E01-4E57-9D03-62A24CA854EB}"/>
    <cellStyle name="20% - Accent5 6 2 3 2 4" xfId="20793" xr:uid="{00000000-0005-0000-0000-00000A210000}"/>
    <cellStyle name="20% - Accent5 6 2 3 2 4 2" xfId="44625" xr:uid="{8D39AA63-7347-4771-92C5-33615DA4D1D2}"/>
    <cellStyle name="20% - Accent5 6 2 3 2 5" xfId="28746" xr:uid="{868E8960-F192-4316-AA02-F82BA8F9DFEA}"/>
    <cellStyle name="20% - Accent5 6 2 3 3" xfId="6647" xr:uid="{00000000-0005-0000-0000-00000B210000}"/>
    <cellStyle name="20% - Accent5 6 2 3 3 2" xfId="14618" xr:uid="{00000000-0005-0000-0000-00000C210000}"/>
    <cellStyle name="20% - Accent5 6 2 3 3 2 2" xfId="38460" xr:uid="{5C80647A-8282-4429-B07D-3D3AF6A7029C}"/>
    <cellStyle name="20% - Accent5 6 2 3 3 3" xfId="22565" xr:uid="{00000000-0005-0000-0000-00000D210000}"/>
    <cellStyle name="20% - Accent5 6 2 3 3 3 2" xfId="46397" xr:uid="{90BCCB37-9F35-46F7-A681-BA3A59E4D666}"/>
    <cellStyle name="20% - Accent5 6 2 3 3 4" xfId="30519" xr:uid="{E17021F5-4DF9-4F51-8EEE-FB0F46D449A8}"/>
    <cellStyle name="20% - Accent5 6 2 3 4" xfId="11082" xr:uid="{00000000-0005-0000-0000-00000E210000}"/>
    <cellStyle name="20% - Accent5 6 2 3 4 2" xfId="34931" xr:uid="{5B7AB6F1-B28E-41DB-A0D8-245A3C3ABEC4}"/>
    <cellStyle name="20% - Accent5 6 2 3 5" xfId="19037" xr:uid="{00000000-0005-0000-0000-00000F210000}"/>
    <cellStyle name="20% - Accent5 6 2 3 5 2" xfId="42869" xr:uid="{D171D137-89B2-42CD-B4D0-5719B45CDFE7}"/>
    <cellStyle name="20% - Accent5 6 2 3 6" xfId="26989" xr:uid="{6EC48712-857C-4606-9837-B14055A23715}"/>
    <cellStyle name="20% - Accent5 6 2 3_Exh G" xfId="2518" xr:uid="{00000000-0005-0000-0000-000010210000}"/>
    <cellStyle name="20% - Accent5 6 2 4" xfId="3936" xr:uid="{00000000-0005-0000-0000-000011210000}"/>
    <cellStyle name="20% - Accent5 6 2 4 2" xfId="7528" xr:uid="{00000000-0005-0000-0000-000012210000}"/>
    <cellStyle name="20% - Accent5 6 2 4 2 2" xfId="15498" xr:uid="{00000000-0005-0000-0000-000013210000}"/>
    <cellStyle name="20% - Accent5 6 2 4 2 2 2" xfId="39340" xr:uid="{B59F0BE6-017F-40EB-BE89-1535B4205881}"/>
    <cellStyle name="20% - Accent5 6 2 4 2 3" xfId="23444" xr:uid="{00000000-0005-0000-0000-000014210000}"/>
    <cellStyle name="20% - Accent5 6 2 4 2 3 2" xfId="47276" xr:uid="{DA412E8F-FA57-434D-BC46-DAF40439327F}"/>
    <cellStyle name="20% - Accent5 6 2 4 2 4" xfId="31399" xr:uid="{C29919BF-3E5B-420D-ABA2-2F73BA7599ED}"/>
    <cellStyle name="20% - Accent5 6 2 4 3" xfId="11960" xr:uid="{00000000-0005-0000-0000-000015210000}"/>
    <cellStyle name="20% - Accent5 6 2 4 3 2" xfId="35809" xr:uid="{6C6BD6A2-3106-4891-BF2D-6819D670A1E8}"/>
    <cellStyle name="20% - Accent5 6 2 4 4" xfId="19915" xr:uid="{00000000-0005-0000-0000-000016210000}"/>
    <cellStyle name="20% - Accent5 6 2 4 4 2" xfId="43747" xr:uid="{48518C83-15F0-481E-8481-F3ED646C32C3}"/>
    <cellStyle name="20% - Accent5 6 2 4 5" xfId="27868" xr:uid="{6C070C71-447F-4569-9051-D9D1CEE44794}"/>
    <cellStyle name="20% - Accent5 6 2 5" xfId="5756" xr:uid="{00000000-0005-0000-0000-000017210000}"/>
    <cellStyle name="20% - Accent5 6 2 5 2" xfId="13739" xr:uid="{00000000-0005-0000-0000-000018210000}"/>
    <cellStyle name="20% - Accent5 6 2 5 2 2" xfId="37582" xr:uid="{D2AB670E-64AE-4994-A728-95C46E801376}"/>
    <cellStyle name="20% - Accent5 6 2 5 3" xfId="21687" xr:uid="{00000000-0005-0000-0000-000019210000}"/>
    <cellStyle name="20% - Accent5 6 2 5 3 2" xfId="45519" xr:uid="{11281CE5-FE90-4AC9-B2ED-F31B8F1ECD07}"/>
    <cellStyle name="20% - Accent5 6 2 5 4" xfId="29641" xr:uid="{3E5096C8-EB59-436B-8BC1-E7A83A123F4E}"/>
    <cellStyle name="20% - Accent5 6 2 6" xfId="9308" xr:uid="{00000000-0005-0000-0000-00001A210000}"/>
    <cellStyle name="20% - Accent5 6 2 6 2" xfId="17266" xr:uid="{00000000-0005-0000-0000-00001B210000}"/>
    <cellStyle name="20% - Accent5 6 2 6 2 2" xfId="41106" xr:uid="{EFBD5ECB-DA74-4664-9BCA-38C612FD91AB}"/>
    <cellStyle name="20% - Accent5 6 2 6 3" xfId="25210" xr:uid="{00000000-0005-0000-0000-00001C210000}"/>
    <cellStyle name="20% - Accent5 6 2 6 3 2" xfId="49042" xr:uid="{11464979-666D-4632-A591-F0901BE968E3}"/>
    <cellStyle name="20% - Accent5 6 2 6 4" xfId="33165" xr:uid="{DB171F40-2BAF-4949-A429-8204D0723460}"/>
    <cellStyle name="20% - Accent5 6 2 7" xfId="10204" xr:uid="{00000000-0005-0000-0000-00001D210000}"/>
    <cellStyle name="20% - Accent5 6 2 7 2" xfId="34053" xr:uid="{0730C491-D3B0-4DB1-A82D-DF4C4094E670}"/>
    <cellStyle name="20% - Accent5 6 2 8" xfId="18159" xr:uid="{00000000-0005-0000-0000-00001E210000}"/>
    <cellStyle name="20% - Accent5 6 2 8 2" xfId="41991" xr:uid="{F6424C8D-FF8D-453F-ACD8-7CBF96B6A51F}"/>
    <cellStyle name="20% - Accent5 6 2 9" xfId="26111" xr:uid="{C3564A83-726E-4807-A039-3CE83107EEE6}"/>
    <cellStyle name="20% - Accent5 6 2_Exh G" xfId="2515" xr:uid="{00000000-0005-0000-0000-00001F210000}"/>
    <cellStyle name="20% - Accent5 6 3" xfId="264" xr:uid="{00000000-0005-0000-0000-000020210000}"/>
    <cellStyle name="20% - Accent5 6 3 2" xfId="1290" xr:uid="{00000000-0005-0000-0000-000021210000}"/>
    <cellStyle name="20% - Accent5 6 3 2 2" xfId="4817" xr:uid="{00000000-0005-0000-0000-000022210000}"/>
    <cellStyle name="20% - Accent5 6 3 2 2 2" xfId="8408" xr:uid="{00000000-0005-0000-0000-000023210000}"/>
    <cellStyle name="20% - Accent5 6 3 2 2 2 2" xfId="16378" xr:uid="{00000000-0005-0000-0000-000024210000}"/>
    <cellStyle name="20% - Accent5 6 3 2 2 2 2 2" xfId="40220" xr:uid="{563BC9BF-3B55-4A17-A8FA-2F09630B821D}"/>
    <cellStyle name="20% - Accent5 6 3 2 2 2 3" xfId="24324" xr:uid="{00000000-0005-0000-0000-000025210000}"/>
    <cellStyle name="20% - Accent5 6 3 2 2 2 3 2" xfId="48156" xr:uid="{F141EAB6-C569-4F2F-969B-858B33D55205}"/>
    <cellStyle name="20% - Accent5 6 3 2 2 2 4" xfId="32279" xr:uid="{BF9FC4A5-E32B-42D3-B6FB-83AFD6BCD2A2}"/>
    <cellStyle name="20% - Accent5 6 3 2 2 3" xfId="12840" xr:uid="{00000000-0005-0000-0000-000026210000}"/>
    <cellStyle name="20% - Accent5 6 3 2 2 3 2" xfId="36689" xr:uid="{097B0477-E303-4350-ACCD-CE4698C919F2}"/>
    <cellStyle name="20% - Accent5 6 3 2 2 4" xfId="20795" xr:uid="{00000000-0005-0000-0000-000027210000}"/>
    <cellStyle name="20% - Accent5 6 3 2 2 4 2" xfId="44627" xr:uid="{EE64E1BB-8828-47D1-B706-EB0AEDC321C0}"/>
    <cellStyle name="20% - Accent5 6 3 2 2 5" xfId="28748" xr:uid="{362CB722-4E0D-4621-9DF2-AE970AF64B6F}"/>
    <cellStyle name="20% - Accent5 6 3 2 3" xfId="6649" xr:uid="{00000000-0005-0000-0000-000028210000}"/>
    <cellStyle name="20% - Accent5 6 3 2 3 2" xfId="14620" xr:uid="{00000000-0005-0000-0000-000029210000}"/>
    <cellStyle name="20% - Accent5 6 3 2 3 2 2" xfId="38462" xr:uid="{95C88FE1-FBFC-4097-A736-98BF0060C8EC}"/>
    <cellStyle name="20% - Accent5 6 3 2 3 3" xfId="22567" xr:uid="{00000000-0005-0000-0000-00002A210000}"/>
    <cellStyle name="20% - Accent5 6 3 2 3 3 2" xfId="46399" xr:uid="{19624230-4130-4FDE-8025-FA7E9E0EE51C}"/>
    <cellStyle name="20% - Accent5 6 3 2 3 4" xfId="30521" xr:uid="{A7DA2BC5-878A-4030-8FDF-5289C9F39A3D}"/>
    <cellStyle name="20% - Accent5 6 3 2 4" xfId="11084" xr:uid="{00000000-0005-0000-0000-00002B210000}"/>
    <cellStyle name="20% - Accent5 6 3 2 4 2" xfId="34933" xr:uid="{935A8777-4A62-4D8C-87E8-4ADBE6AB259F}"/>
    <cellStyle name="20% - Accent5 6 3 2 5" xfId="19039" xr:uid="{00000000-0005-0000-0000-00002C210000}"/>
    <cellStyle name="20% - Accent5 6 3 2 5 2" xfId="42871" xr:uid="{4FABE15D-5FDE-4338-9E60-D1B8147AFC9F}"/>
    <cellStyle name="20% - Accent5 6 3 2 6" xfId="26991" xr:uid="{C4EE07C5-CEED-42DA-BF2D-18E3A75070B8}"/>
    <cellStyle name="20% - Accent5 6 3 2_Exh G" xfId="2520" xr:uid="{00000000-0005-0000-0000-00002D210000}"/>
    <cellStyle name="20% - Accent5 6 3 3" xfId="3938" xr:uid="{00000000-0005-0000-0000-00002E210000}"/>
    <cellStyle name="20% - Accent5 6 3 3 2" xfId="7530" xr:uid="{00000000-0005-0000-0000-00002F210000}"/>
    <cellStyle name="20% - Accent5 6 3 3 2 2" xfId="15500" xr:uid="{00000000-0005-0000-0000-000030210000}"/>
    <cellStyle name="20% - Accent5 6 3 3 2 2 2" xfId="39342" xr:uid="{E0D12349-C682-464E-A490-393720FB8B0E}"/>
    <cellStyle name="20% - Accent5 6 3 3 2 3" xfId="23446" xr:uid="{00000000-0005-0000-0000-000031210000}"/>
    <cellStyle name="20% - Accent5 6 3 3 2 3 2" xfId="47278" xr:uid="{A9A021E8-7E93-4C07-B8EB-5C8902ECCA2A}"/>
    <cellStyle name="20% - Accent5 6 3 3 2 4" xfId="31401" xr:uid="{50BF3462-89D1-4846-A2A9-25B74A6FF5D7}"/>
    <cellStyle name="20% - Accent5 6 3 3 3" xfId="11962" xr:uid="{00000000-0005-0000-0000-000032210000}"/>
    <cellStyle name="20% - Accent5 6 3 3 3 2" xfId="35811" xr:uid="{93C602A4-FB4D-42E7-A3A2-9FE65941A825}"/>
    <cellStyle name="20% - Accent5 6 3 3 4" xfId="19917" xr:uid="{00000000-0005-0000-0000-000033210000}"/>
    <cellStyle name="20% - Accent5 6 3 3 4 2" xfId="43749" xr:uid="{93F73FD1-8BC8-438C-996F-66DD5C8DC09D}"/>
    <cellStyle name="20% - Accent5 6 3 3 5" xfId="27870" xr:uid="{1FDD264C-590C-498A-8F53-0F083CF4550D}"/>
    <cellStyle name="20% - Accent5 6 3 4" xfId="5758" xr:uid="{00000000-0005-0000-0000-000034210000}"/>
    <cellStyle name="20% - Accent5 6 3 4 2" xfId="13741" xr:uid="{00000000-0005-0000-0000-000035210000}"/>
    <cellStyle name="20% - Accent5 6 3 4 2 2" xfId="37584" xr:uid="{0DC5C54D-D7FD-4A6A-B259-5414D5399961}"/>
    <cellStyle name="20% - Accent5 6 3 4 3" xfId="21689" xr:uid="{00000000-0005-0000-0000-000036210000}"/>
    <cellStyle name="20% - Accent5 6 3 4 3 2" xfId="45521" xr:uid="{4013B3A7-3618-4D6D-987F-66F07AE8136E}"/>
    <cellStyle name="20% - Accent5 6 3 4 4" xfId="29643" xr:uid="{B056EC6C-1A6B-46EB-B6FB-E3CB9E67C998}"/>
    <cellStyle name="20% - Accent5 6 3 5" xfId="9310" xr:uid="{00000000-0005-0000-0000-000037210000}"/>
    <cellStyle name="20% - Accent5 6 3 5 2" xfId="17268" xr:uid="{00000000-0005-0000-0000-000038210000}"/>
    <cellStyle name="20% - Accent5 6 3 5 2 2" xfId="41108" xr:uid="{B53CEB91-8F32-4599-8CCA-56B41672F524}"/>
    <cellStyle name="20% - Accent5 6 3 5 3" xfId="25212" xr:uid="{00000000-0005-0000-0000-000039210000}"/>
    <cellStyle name="20% - Accent5 6 3 5 3 2" xfId="49044" xr:uid="{B7FD14A7-C4B2-4B6B-A3EC-EF4AFA827E6D}"/>
    <cellStyle name="20% - Accent5 6 3 5 4" xfId="33167" xr:uid="{65E29026-3649-4F39-A519-3D48B461B42A}"/>
    <cellStyle name="20% - Accent5 6 3 6" xfId="10206" xr:uid="{00000000-0005-0000-0000-00003A210000}"/>
    <cellStyle name="20% - Accent5 6 3 6 2" xfId="34055" xr:uid="{C1743AE3-B010-463A-A156-2A23D4E194B3}"/>
    <cellStyle name="20% - Accent5 6 3 7" xfId="18161" xr:uid="{00000000-0005-0000-0000-00003B210000}"/>
    <cellStyle name="20% - Accent5 6 3 7 2" xfId="41993" xr:uid="{9AF8E2A6-AB59-4E19-BB26-DC610DF77AAC}"/>
    <cellStyle name="20% - Accent5 6 3 8" xfId="26113" xr:uid="{4004002A-E69C-430A-BD37-6EDD4F26A86E}"/>
    <cellStyle name="20% - Accent5 6 3_Exh G" xfId="2519" xr:uid="{00000000-0005-0000-0000-00003C210000}"/>
    <cellStyle name="20% - Accent5 6 4" xfId="915" xr:uid="{00000000-0005-0000-0000-00003D210000}"/>
    <cellStyle name="20% - Accent5 6 4 2" xfId="1838" xr:uid="{00000000-0005-0000-0000-00003E210000}"/>
    <cellStyle name="20% - Accent5 6 4 2 2" xfId="5355" xr:uid="{00000000-0005-0000-0000-00003F210000}"/>
    <cellStyle name="20% - Accent5 6 4 2 2 2" xfId="8946" xr:uid="{00000000-0005-0000-0000-000040210000}"/>
    <cellStyle name="20% - Accent5 6 4 2 2 2 2" xfId="16916" xr:uid="{00000000-0005-0000-0000-000041210000}"/>
    <cellStyle name="20% - Accent5 6 4 2 2 2 2 2" xfId="40758" xr:uid="{D9C6DA18-050A-4364-A2E6-69940CDC8FA6}"/>
    <cellStyle name="20% - Accent5 6 4 2 2 2 3" xfId="24862" xr:uid="{00000000-0005-0000-0000-000042210000}"/>
    <cellStyle name="20% - Accent5 6 4 2 2 2 3 2" xfId="48694" xr:uid="{9A8F0C1C-45C0-426A-849D-68C0578428C8}"/>
    <cellStyle name="20% - Accent5 6 4 2 2 2 4" xfId="32817" xr:uid="{39B1B4E6-2E7D-464A-ADB5-83AE4D584C58}"/>
    <cellStyle name="20% - Accent5 6 4 2 2 3" xfId="13378" xr:uid="{00000000-0005-0000-0000-000043210000}"/>
    <cellStyle name="20% - Accent5 6 4 2 2 3 2" xfId="37227" xr:uid="{AA0EE12E-A292-42C9-B8DA-0333C6AA487F}"/>
    <cellStyle name="20% - Accent5 6 4 2 2 4" xfId="21333" xr:uid="{00000000-0005-0000-0000-000044210000}"/>
    <cellStyle name="20% - Accent5 6 4 2 2 4 2" xfId="45165" xr:uid="{34EFB3C2-1A91-426F-8F02-42E1EAA2960F}"/>
    <cellStyle name="20% - Accent5 6 4 2 2 5" xfId="29286" xr:uid="{9B0B9C58-362D-409E-A24E-356C429A70EC}"/>
    <cellStyle name="20% - Accent5 6 4 2 3" xfId="7187" xr:uid="{00000000-0005-0000-0000-000045210000}"/>
    <cellStyle name="20% - Accent5 6 4 2 3 2" xfId="15158" xr:uid="{00000000-0005-0000-0000-000046210000}"/>
    <cellStyle name="20% - Accent5 6 4 2 3 2 2" xfId="39000" xr:uid="{5F12E5BD-77BC-49D4-9CAD-82D9E5629729}"/>
    <cellStyle name="20% - Accent5 6 4 2 3 3" xfId="23105" xr:uid="{00000000-0005-0000-0000-000047210000}"/>
    <cellStyle name="20% - Accent5 6 4 2 3 3 2" xfId="46937" xr:uid="{C95159BA-F42B-42CE-8AD4-711485384FB3}"/>
    <cellStyle name="20% - Accent5 6 4 2 3 4" xfId="31059" xr:uid="{71E88E62-BAEE-46B7-87B8-92C2885D6C85}"/>
    <cellStyle name="20% - Accent5 6 4 2 4" xfId="11622" xr:uid="{00000000-0005-0000-0000-000048210000}"/>
    <cellStyle name="20% - Accent5 6 4 2 4 2" xfId="35471" xr:uid="{54ED8290-93B5-476C-A7AA-F9AF0D9502D8}"/>
    <cellStyle name="20% - Accent5 6 4 2 5" xfId="19577" xr:uid="{00000000-0005-0000-0000-000049210000}"/>
    <cellStyle name="20% - Accent5 6 4 2 5 2" xfId="43409" xr:uid="{95E3A3ED-D003-4F34-A9DA-310D7CED6C20}"/>
    <cellStyle name="20% - Accent5 6 4 2 6" xfId="27529" xr:uid="{81CAB153-AD75-4FF7-B769-2B0A24BC0E14}"/>
    <cellStyle name="20% - Accent5 6 4 2_Exh G" xfId="2522" xr:uid="{00000000-0005-0000-0000-00004A210000}"/>
    <cellStyle name="20% - Accent5 6 4 3" xfId="4476" xr:uid="{00000000-0005-0000-0000-00004B210000}"/>
    <cellStyle name="20% - Accent5 6 4 3 2" xfId="8068" xr:uid="{00000000-0005-0000-0000-00004C210000}"/>
    <cellStyle name="20% - Accent5 6 4 3 2 2" xfId="16038" xr:uid="{00000000-0005-0000-0000-00004D210000}"/>
    <cellStyle name="20% - Accent5 6 4 3 2 2 2" xfId="39880" xr:uid="{9163BF24-9C05-497E-BA5A-FFBB0C116C2F}"/>
    <cellStyle name="20% - Accent5 6 4 3 2 3" xfId="23984" xr:uid="{00000000-0005-0000-0000-00004E210000}"/>
    <cellStyle name="20% - Accent5 6 4 3 2 3 2" xfId="47816" xr:uid="{28320AF7-172B-4605-8740-46362F57644A}"/>
    <cellStyle name="20% - Accent5 6 4 3 2 4" xfId="31939" xr:uid="{51CB531E-CB1B-4C40-AB4C-2AA4DA7C4F36}"/>
    <cellStyle name="20% - Accent5 6 4 3 3" xfId="12500" xr:uid="{00000000-0005-0000-0000-00004F210000}"/>
    <cellStyle name="20% - Accent5 6 4 3 3 2" xfId="36349" xr:uid="{4F358885-5C78-4F39-8FA6-D247506E6E15}"/>
    <cellStyle name="20% - Accent5 6 4 3 4" xfId="20455" xr:uid="{00000000-0005-0000-0000-000050210000}"/>
    <cellStyle name="20% - Accent5 6 4 3 4 2" xfId="44287" xr:uid="{E2F5C24A-502C-41FF-A61B-08449FE1D305}"/>
    <cellStyle name="20% - Accent5 6 4 3 5" xfId="28408" xr:uid="{2F75A5A5-CA15-4C39-B450-768C2874D730}"/>
    <cellStyle name="20% - Accent5 6 4 4" xfId="6306" xr:uid="{00000000-0005-0000-0000-000051210000}"/>
    <cellStyle name="20% - Accent5 6 4 4 2" xfId="14280" xr:uid="{00000000-0005-0000-0000-000052210000}"/>
    <cellStyle name="20% - Accent5 6 4 4 2 2" xfId="38122" xr:uid="{D1E22575-A6A4-47B7-80A1-FAAF72F8C7E8}"/>
    <cellStyle name="20% - Accent5 6 4 4 3" xfId="22227" xr:uid="{00000000-0005-0000-0000-000053210000}"/>
    <cellStyle name="20% - Accent5 6 4 4 3 2" xfId="46059" xr:uid="{DBE71960-AE47-47D3-97F8-E70D0AE51907}"/>
    <cellStyle name="20% - Accent5 6 4 4 4" xfId="30181" xr:uid="{E673979B-038E-4D06-B1FE-FA6E51136D64}"/>
    <cellStyle name="20% - Accent5 6 4 5" xfId="9848" xr:uid="{00000000-0005-0000-0000-000054210000}"/>
    <cellStyle name="20% - Accent5 6 4 5 2" xfId="17806" xr:uid="{00000000-0005-0000-0000-000055210000}"/>
    <cellStyle name="20% - Accent5 6 4 5 2 2" xfId="41646" xr:uid="{94BC32AD-5517-4EEE-99DF-ED2C804A9B93}"/>
    <cellStyle name="20% - Accent5 6 4 5 3" xfId="25750" xr:uid="{00000000-0005-0000-0000-000056210000}"/>
    <cellStyle name="20% - Accent5 6 4 5 3 2" xfId="49582" xr:uid="{BC6E5780-D893-4D00-B1E9-E42B8CA33321}"/>
    <cellStyle name="20% - Accent5 6 4 5 4" xfId="33705" xr:uid="{8C62B5A5-BA31-442B-AAEB-0ACC361EE129}"/>
    <cellStyle name="20% - Accent5 6 4 6" xfId="10744" xr:uid="{00000000-0005-0000-0000-000057210000}"/>
    <cellStyle name="20% - Accent5 6 4 6 2" xfId="34593" xr:uid="{38FDB78A-1032-41E8-871B-778225DB9566}"/>
    <cellStyle name="20% - Accent5 6 4 7" xfId="18699" xr:uid="{00000000-0005-0000-0000-000058210000}"/>
    <cellStyle name="20% - Accent5 6 4 7 2" xfId="42531" xr:uid="{BD33AF91-6F6B-4A12-ABDB-E06D1ECA713D}"/>
    <cellStyle name="20% - Accent5 6 4 8" xfId="26651" xr:uid="{79600A10-22C3-44C9-AEB6-12BE8D9FA85B}"/>
    <cellStyle name="20% - Accent5 6 4_Exh G" xfId="2521" xr:uid="{00000000-0005-0000-0000-000059210000}"/>
    <cellStyle name="20% - Accent5 6 5" xfId="1287" xr:uid="{00000000-0005-0000-0000-00005A210000}"/>
    <cellStyle name="20% - Accent5 6 5 2" xfId="4814" xr:uid="{00000000-0005-0000-0000-00005B210000}"/>
    <cellStyle name="20% - Accent5 6 5 2 2" xfId="8405" xr:uid="{00000000-0005-0000-0000-00005C210000}"/>
    <cellStyle name="20% - Accent5 6 5 2 2 2" xfId="16375" xr:uid="{00000000-0005-0000-0000-00005D210000}"/>
    <cellStyle name="20% - Accent5 6 5 2 2 2 2" xfId="40217" xr:uid="{15C5F8F7-F960-4E64-98CE-AB07033E84C9}"/>
    <cellStyle name="20% - Accent5 6 5 2 2 3" xfId="24321" xr:uid="{00000000-0005-0000-0000-00005E210000}"/>
    <cellStyle name="20% - Accent5 6 5 2 2 3 2" xfId="48153" xr:uid="{3AA925FE-21CE-43CF-8750-FDE5B85A8B3B}"/>
    <cellStyle name="20% - Accent5 6 5 2 2 4" xfId="32276" xr:uid="{567A3DB3-F519-4FE3-A258-6EC6E7A5CC1D}"/>
    <cellStyle name="20% - Accent5 6 5 2 3" xfId="12837" xr:uid="{00000000-0005-0000-0000-00005F210000}"/>
    <cellStyle name="20% - Accent5 6 5 2 3 2" xfId="36686" xr:uid="{F6EF9C2C-303C-41A9-AE80-A235ADA3EEB5}"/>
    <cellStyle name="20% - Accent5 6 5 2 4" xfId="20792" xr:uid="{00000000-0005-0000-0000-000060210000}"/>
    <cellStyle name="20% - Accent5 6 5 2 4 2" xfId="44624" xr:uid="{1F64C233-8556-4C03-A0A4-D549CF85F564}"/>
    <cellStyle name="20% - Accent5 6 5 2 5" xfId="28745" xr:uid="{171A2231-15E6-404C-A07D-964459C3D3B4}"/>
    <cellStyle name="20% - Accent5 6 5 3" xfId="6646" xr:uid="{00000000-0005-0000-0000-000061210000}"/>
    <cellStyle name="20% - Accent5 6 5 3 2" xfId="14617" xr:uid="{00000000-0005-0000-0000-000062210000}"/>
    <cellStyle name="20% - Accent5 6 5 3 2 2" xfId="38459" xr:uid="{486BD08C-013D-44AA-BF20-6124BCAF683D}"/>
    <cellStyle name="20% - Accent5 6 5 3 3" xfId="22564" xr:uid="{00000000-0005-0000-0000-000063210000}"/>
    <cellStyle name="20% - Accent5 6 5 3 3 2" xfId="46396" xr:uid="{0DA436B4-ECAA-4305-952E-8B0E3B125E08}"/>
    <cellStyle name="20% - Accent5 6 5 3 4" xfId="30518" xr:uid="{9CCE49AF-A22F-4E13-B54D-1B4E069CEDFF}"/>
    <cellStyle name="20% - Accent5 6 5 4" xfId="11081" xr:uid="{00000000-0005-0000-0000-000064210000}"/>
    <cellStyle name="20% - Accent5 6 5 4 2" xfId="34930" xr:uid="{CC755830-6319-4AF6-815F-714E0B737ACF}"/>
    <cellStyle name="20% - Accent5 6 5 5" xfId="19036" xr:uid="{00000000-0005-0000-0000-000065210000}"/>
    <cellStyle name="20% - Accent5 6 5 5 2" xfId="42868" xr:uid="{9505FC64-C224-449F-B4C4-51236E5C026C}"/>
    <cellStyle name="20% - Accent5 6 5 6" xfId="26988" xr:uid="{27406B6F-A3E1-4B12-B737-CB1B49CE1174}"/>
    <cellStyle name="20% - Accent5 6 5_Exh G" xfId="2523" xr:uid="{00000000-0005-0000-0000-000066210000}"/>
    <cellStyle name="20% - Accent5 6 6" xfId="3935" xr:uid="{00000000-0005-0000-0000-000067210000}"/>
    <cellStyle name="20% - Accent5 6 6 2" xfId="7527" xr:uid="{00000000-0005-0000-0000-000068210000}"/>
    <cellStyle name="20% - Accent5 6 6 2 2" xfId="15497" xr:uid="{00000000-0005-0000-0000-000069210000}"/>
    <cellStyle name="20% - Accent5 6 6 2 2 2" xfId="39339" xr:uid="{A8EBB828-5195-4A3F-8F32-08CC06D08B52}"/>
    <cellStyle name="20% - Accent5 6 6 2 3" xfId="23443" xr:uid="{00000000-0005-0000-0000-00006A210000}"/>
    <cellStyle name="20% - Accent5 6 6 2 3 2" xfId="47275" xr:uid="{665B5859-5E2D-4DA6-88C4-13599AC081A2}"/>
    <cellStyle name="20% - Accent5 6 6 2 4" xfId="31398" xr:uid="{F6EE0D69-A53F-48DB-B51B-3EB566E1C422}"/>
    <cellStyle name="20% - Accent5 6 6 3" xfId="11959" xr:uid="{00000000-0005-0000-0000-00006B210000}"/>
    <cellStyle name="20% - Accent5 6 6 3 2" xfId="35808" xr:uid="{E61BB20D-5128-4D24-953E-615F60494F5F}"/>
    <cellStyle name="20% - Accent5 6 6 4" xfId="19914" xr:uid="{00000000-0005-0000-0000-00006C210000}"/>
    <cellStyle name="20% - Accent5 6 6 4 2" xfId="43746" xr:uid="{F4EDADF6-E9F2-4654-BE16-6DE81EBD6654}"/>
    <cellStyle name="20% - Accent5 6 6 5" xfId="27867" xr:uid="{2D8AE66D-0FAE-4663-93B4-776E988AD131}"/>
    <cellStyle name="20% - Accent5 6 7" xfId="5755" xr:uid="{00000000-0005-0000-0000-00006D210000}"/>
    <cellStyle name="20% - Accent5 6 7 2" xfId="13738" xr:uid="{00000000-0005-0000-0000-00006E210000}"/>
    <cellStyle name="20% - Accent5 6 7 2 2" xfId="37581" xr:uid="{B77A53B4-6080-4B10-9BE5-F4C6938713E6}"/>
    <cellStyle name="20% - Accent5 6 7 3" xfId="21686" xr:uid="{00000000-0005-0000-0000-00006F210000}"/>
    <cellStyle name="20% - Accent5 6 7 3 2" xfId="45518" xr:uid="{5A77C169-B444-4518-BC5E-1F133503F0F1}"/>
    <cellStyle name="20% - Accent5 6 7 4" xfId="29640" xr:uid="{0F3EBC81-A8E7-4ABD-B4EC-90F5524F7446}"/>
    <cellStyle name="20% - Accent5 6 8" xfId="9307" xr:uid="{00000000-0005-0000-0000-000070210000}"/>
    <cellStyle name="20% - Accent5 6 8 2" xfId="17265" xr:uid="{00000000-0005-0000-0000-000071210000}"/>
    <cellStyle name="20% - Accent5 6 8 2 2" xfId="41105" xr:uid="{C6F81F35-EFB2-4B26-9213-A6D1B0E0BEFD}"/>
    <cellStyle name="20% - Accent5 6 8 3" xfId="25209" xr:uid="{00000000-0005-0000-0000-000072210000}"/>
    <cellStyle name="20% - Accent5 6 8 3 2" xfId="49041" xr:uid="{68D43A82-4B1B-4BD4-9613-3F64DBB9D95F}"/>
    <cellStyle name="20% - Accent5 6 8 4" xfId="33164" xr:uid="{EA5EE787-A216-4E11-867C-7C2D4F663529}"/>
    <cellStyle name="20% - Accent5 6 9" xfId="10203" xr:uid="{00000000-0005-0000-0000-000073210000}"/>
    <cellStyle name="20% - Accent5 6 9 2" xfId="34052" xr:uid="{99514F0D-2E82-450F-879E-D97F7A5918A0}"/>
    <cellStyle name="20% - Accent5 6_Exh G" xfId="2514" xr:uid="{00000000-0005-0000-0000-000074210000}"/>
    <cellStyle name="20% - Accent5 7" xfId="265" xr:uid="{00000000-0005-0000-0000-000075210000}"/>
    <cellStyle name="20% - Accent5 7 10" xfId="18162" xr:uid="{00000000-0005-0000-0000-000076210000}"/>
    <cellStyle name="20% - Accent5 7 10 2" xfId="41994" xr:uid="{3D831311-8BA7-4DA8-B719-902ADE6B7CD4}"/>
    <cellStyle name="20% - Accent5 7 11" xfId="26114" xr:uid="{54433DA2-6599-4A7C-AFC5-EF27C0CE521F}"/>
    <cellStyle name="20% - Accent5 7 2" xfId="266" xr:uid="{00000000-0005-0000-0000-000077210000}"/>
    <cellStyle name="20% - Accent5 7 2 2" xfId="267" xr:uid="{00000000-0005-0000-0000-000078210000}"/>
    <cellStyle name="20% - Accent5 7 2 2 2" xfId="1293" xr:uid="{00000000-0005-0000-0000-000079210000}"/>
    <cellStyle name="20% - Accent5 7 2 2 2 2" xfId="4820" xr:uid="{00000000-0005-0000-0000-00007A210000}"/>
    <cellStyle name="20% - Accent5 7 2 2 2 2 2" xfId="8411" xr:uid="{00000000-0005-0000-0000-00007B210000}"/>
    <cellStyle name="20% - Accent5 7 2 2 2 2 2 2" xfId="16381" xr:uid="{00000000-0005-0000-0000-00007C210000}"/>
    <cellStyle name="20% - Accent5 7 2 2 2 2 2 2 2" xfId="40223" xr:uid="{81A60DB1-00D5-4614-BE34-6646965E03D7}"/>
    <cellStyle name="20% - Accent5 7 2 2 2 2 2 3" xfId="24327" xr:uid="{00000000-0005-0000-0000-00007D210000}"/>
    <cellStyle name="20% - Accent5 7 2 2 2 2 2 3 2" xfId="48159" xr:uid="{50F4EB30-AA0A-4783-83CA-96C6B3EF6982}"/>
    <cellStyle name="20% - Accent5 7 2 2 2 2 2 4" xfId="32282" xr:uid="{BEE170D4-3A23-405F-8EF2-3A1D5E9BD96B}"/>
    <cellStyle name="20% - Accent5 7 2 2 2 2 3" xfId="12843" xr:uid="{00000000-0005-0000-0000-00007E210000}"/>
    <cellStyle name="20% - Accent5 7 2 2 2 2 3 2" xfId="36692" xr:uid="{CCD96D6B-0268-4DF1-BD21-CCFAE98A9D7D}"/>
    <cellStyle name="20% - Accent5 7 2 2 2 2 4" xfId="20798" xr:uid="{00000000-0005-0000-0000-00007F210000}"/>
    <cellStyle name="20% - Accent5 7 2 2 2 2 4 2" xfId="44630" xr:uid="{087E1CFE-C258-45DA-A079-904FEDD034BA}"/>
    <cellStyle name="20% - Accent5 7 2 2 2 2 5" xfId="28751" xr:uid="{231567D9-C0C1-4E83-86C8-27F1F474C0B7}"/>
    <cellStyle name="20% - Accent5 7 2 2 2 3" xfId="6652" xr:uid="{00000000-0005-0000-0000-000080210000}"/>
    <cellStyle name="20% - Accent5 7 2 2 2 3 2" xfId="14623" xr:uid="{00000000-0005-0000-0000-000081210000}"/>
    <cellStyle name="20% - Accent5 7 2 2 2 3 2 2" xfId="38465" xr:uid="{FB700B06-A92A-40EF-8544-3F8B3A196B69}"/>
    <cellStyle name="20% - Accent5 7 2 2 2 3 3" xfId="22570" xr:uid="{00000000-0005-0000-0000-000082210000}"/>
    <cellStyle name="20% - Accent5 7 2 2 2 3 3 2" xfId="46402" xr:uid="{A1D5573D-18F3-46A0-BCB4-9FD8DDB3402F}"/>
    <cellStyle name="20% - Accent5 7 2 2 2 3 4" xfId="30524" xr:uid="{E347D21E-BAD5-4C1B-A0FF-B8726630A362}"/>
    <cellStyle name="20% - Accent5 7 2 2 2 4" xfId="11087" xr:uid="{00000000-0005-0000-0000-000083210000}"/>
    <cellStyle name="20% - Accent5 7 2 2 2 4 2" xfId="34936" xr:uid="{4CC5B6CD-A6F3-4C4C-AF09-DA96BD378765}"/>
    <cellStyle name="20% - Accent5 7 2 2 2 5" xfId="19042" xr:uid="{00000000-0005-0000-0000-000084210000}"/>
    <cellStyle name="20% - Accent5 7 2 2 2 5 2" xfId="42874" xr:uid="{A62F3ED5-9073-4126-8ABB-477B91C26361}"/>
    <cellStyle name="20% - Accent5 7 2 2 2 6" xfId="26994" xr:uid="{9810B203-3324-46FA-969C-B6E8E4CE8606}"/>
    <cellStyle name="20% - Accent5 7 2 2 2_Exh G" xfId="2527" xr:uid="{00000000-0005-0000-0000-000085210000}"/>
    <cellStyle name="20% - Accent5 7 2 2 3" xfId="3941" xr:uid="{00000000-0005-0000-0000-000086210000}"/>
    <cellStyle name="20% - Accent5 7 2 2 3 2" xfId="7533" xr:uid="{00000000-0005-0000-0000-000087210000}"/>
    <cellStyle name="20% - Accent5 7 2 2 3 2 2" xfId="15503" xr:uid="{00000000-0005-0000-0000-000088210000}"/>
    <cellStyle name="20% - Accent5 7 2 2 3 2 2 2" xfId="39345" xr:uid="{0BC76E65-CC52-4BB6-ADCC-20AB966D3584}"/>
    <cellStyle name="20% - Accent5 7 2 2 3 2 3" xfId="23449" xr:uid="{00000000-0005-0000-0000-000089210000}"/>
    <cellStyle name="20% - Accent5 7 2 2 3 2 3 2" xfId="47281" xr:uid="{304756F0-3E0B-4D48-9207-0623E6D2C878}"/>
    <cellStyle name="20% - Accent5 7 2 2 3 2 4" xfId="31404" xr:uid="{FD99252F-5C17-456E-BC84-4044C38637EE}"/>
    <cellStyle name="20% - Accent5 7 2 2 3 3" xfId="11965" xr:uid="{00000000-0005-0000-0000-00008A210000}"/>
    <cellStyle name="20% - Accent5 7 2 2 3 3 2" xfId="35814" xr:uid="{C0A5E614-AFE8-466F-8634-CCAD97B6E9A3}"/>
    <cellStyle name="20% - Accent5 7 2 2 3 4" xfId="19920" xr:uid="{00000000-0005-0000-0000-00008B210000}"/>
    <cellStyle name="20% - Accent5 7 2 2 3 4 2" xfId="43752" xr:uid="{E155297E-D580-4396-A021-AE24F1C35B04}"/>
    <cellStyle name="20% - Accent5 7 2 2 3 5" xfId="27873" xr:uid="{14BC9731-F179-4DCB-9F30-D9E7C52C75DB}"/>
    <cellStyle name="20% - Accent5 7 2 2 4" xfId="5761" xr:uid="{00000000-0005-0000-0000-00008C210000}"/>
    <cellStyle name="20% - Accent5 7 2 2 4 2" xfId="13744" xr:uid="{00000000-0005-0000-0000-00008D210000}"/>
    <cellStyle name="20% - Accent5 7 2 2 4 2 2" xfId="37587" xr:uid="{DCCDE2E4-3D1E-4685-A9FE-6F2BA8EA6B56}"/>
    <cellStyle name="20% - Accent5 7 2 2 4 3" xfId="21692" xr:uid="{00000000-0005-0000-0000-00008E210000}"/>
    <cellStyle name="20% - Accent5 7 2 2 4 3 2" xfId="45524" xr:uid="{19A9F290-6CFB-4A3C-84EE-E4AC03513089}"/>
    <cellStyle name="20% - Accent5 7 2 2 4 4" xfId="29646" xr:uid="{4AFF4531-57B2-4486-B640-9FD3EEC9FDF7}"/>
    <cellStyle name="20% - Accent5 7 2 2 5" xfId="9313" xr:uid="{00000000-0005-0000-0000-00008F210000}"/>
    <cellStyle name="20% - Accent5 7 2 2 5 2" xfId="17271" xr:uid="{00000000-0005-0000-0000-000090210000}"/>
    <cellStyle name="20% - Accent5 7 2 2 5 2 2" xfId="41111" xr:uid="{93CAC180-FF4D-41CF-B83C-2884C4FA01B1}"/>
    <cellStyle name="20% - Accent5 7 2 2 5 3" xfId="25215" xr:uid="{00000000-0005-0000-0000-000091210000}"/>
    <cellStyle name="20% - Accent5 7 2 2 5 3 2" xfId="49047" xr:uid="{0E20931D-38BE-423D-A0F2-46E201C4E7BF}"/>
    <cellStyle name="20% - Accent5 7 2 2 5 4" xfId="33170" xr:uid="{38E84821-B06F-4674-822E-4497803B0193}"/>
    <cellStyle name="20% - Accent5 7 2 2 6" xfId="10209" xr:uid="{00000000-0005-0000-0000-000092210000}"/>
    <cellStyle name="20% - Accent5 7 2 2 6 2" xfId="34058" xr:uid="{F537F183-52C1-487F-B591-3038CC77E2F5}"/>
    <cellStyle name="20% - Accent5 7 2 2 7" xfId="18164" xr:uid="{00000000-0005-0000-0000-000093210000}"/>
    <cellStyle name="20% - Accent5 7 2 2 7 2" xfId="41996" xr:uid="{8612CD7D-92A1-447F-9CEB-F56CD214775B}"/>
    <cellStyle name="20% - Accent5 7 2 2 8" xfId="26116" xr:uid="{326E1099-656C-4D2A-A8E5-70EEB3469FEB}"/>
    <cellStyle name="20% - Accent5 7 2 2_Exh G" xfId="2526" xr:uid="{00000000-0005-0000-0000-000094210000}"/>
    <cellStyle name="20% - Accent5 7 2 3" xfId="1292" xr:uid="{00000000-0005-0000-0000-000095210000}"/>
    <cellStyle name="20% - Accent5 7 2 3 2" xfId="4819" xr:uid="{00000000-0005-0000-0000-000096210000}"/>
    <cellStyle name="20% - Accent5 7 2 3 2 2" xfId="8410" xr:uid="{00000000-0005-0000-0000-000097210000}"/>
    <cellStyle name="20% - Accent5 7 2 3 2 2 2" xfId="16380" xr:uid="{00000000-0005-0000-0000-000098210000}"/>
    <cellStyle name="20% - Accent5 7 2 3 2 2 2 2" xfId="40222" xr:uid="{FA7E1944-C14C-42F7-84D1-6FC9DAD0006A}"/>
    <cellStyle name="20% - Accent5 7 2 3 2 2 3" xfId="24326" xr:uid="{00000000-0005-0000-0000-000099210000}"/>
    <cellStyle name="20% - Accent5 7 2 3 2 2 3 2" xfId="48158" xr:uid="{69E47BE7-7244-478A-970E-6951C2920594}"/>
    <cellStyle name="20% - Accent5 7 2 3 2 2 4" xfId="32281" xr:uid="{FBBEB3B0-9E13-4594-BA65-242AF423CA6E}"/>
    <cellStyle name="20% - Accent5 7 2 3 2 3" xfId="12842" xr:uid="{00000000-0005-0000-0000-00009A210000}"/>
    <cellStyle name="20% - Accent5 7 2 3 2 3 2" xfId="36691" xr:uid="{05E95D2E-A94F-4F45-8D97-D32E602BA26B}"/>
    <cellStyle name="20% - Accent5 7 2 3 2 4" xfId="20797" xr:uid="{00000000-0005-0000-0000-00009B210000}"/>
    <cellStyle name="20% - Accent5 7 2 3 2 4 2" xfId="44629" xr:uid="{90E33BAE-D62D-4FCD-A81D-D1C52EDA3EA4}"/>
    <cellStyle name="20% - Accent5 7 2 3 2 5" xfId="28750" xr:uid="{3397974B-29A3-489C-B42C-A65096AE766C}"/>
    <cellStyle name="20% - Accent5 7 2 3 3" xfId="6651" xr:uid="{00000000-0005-0000-0000-00009C210000}"/>
    <cellStyle name="20% - Accent5 7 2 3 3 2" xfId="14622" xr:uid="{00000000-0005-0000-0000-00009D210000}"/>
    <cellStyle name="20% - Accent5 7 2 3 3 2 2" xfId="38464" xr:uid="{45F015D1-E583-4BF5-A887-FBC96F4B94A8}"/>
    <cellStyle name="20% - Accent5 7 2 3 3 3" xfId="22569" xr:uid="{00000000-0005-0000-0000-00009E210000}"/>
    <cellStyle name="20% - Accent5 7 2 3 3 3 2" xfId="46401" xr:uid="{CB7F9F32-383F-4F57-976A-D5AA79BBC069}"/>
    <cellStyle name="20% - Accent5 7 2 3 3 4" xfId="30523" xr:uid="{B900865C-2C89-4FF9-8AAF-0F8F51AE0749}"/>
    <cellStyle name="20% - Accent5 7 2 3 4" xfId="11086" xr:uid="{00000000-0005-0000-0000-00009F210000}"/>
    <cellStyle name="20% - Accent5 7 2 3 4 2" xfId="34935" xr:uid="{D23420C1-1A11-423C-B0D3-2EF1AB25ADAB}"/>
    <cellStyle name="20% - Accent5 7 2 3 5" xfId="19041" xr:uid="{00000000-0005-0000-0000-0000A0210000}"/>
    <cellStyle name="20% - Accent5 7 2 3 5 2" xfId="42873" xr:uid="{5475771E-B7AA-4EFA-98A2-50E533428800}"/>
    <cellStyle name="20% - Accent5 7 2 3 6" xfId="26993" xr:uid="{A46CE553-5207-4111-A605-1C99C3320027}"/>
    <cellStyle name="20% - Accent5 7 2 3_Exh G" xfId="2528" xr:uid="{00000000-0005-0000-0000-0000A1210000}"/>
    <cellStyle name="20% - Accent5 7 2 4" xfId="3940" xr:uid="{00000000-0005-0000-0000-0000A2210000}"/>
    <cellStyle name="20% - Accent5 7 2 4 2" xfId="7532" xr:uid="{00000000-0005-0000-0000-0000A3210000}"/>
    <cellStyle name="20% - Accent5 7 2 4 2 2" xfId="15502" xr:uid="{00000000-0005-0000-0000-0000A4210000}"/>
    <cellStyle name="20% - Accent5 7 2 4 2 2 2" xfId="39344" xr:uid="{9448B5EA-3386-4118-AD8F-18981524155D}"/>
    <cellStyle name="20% - Accent5 7 2 4 2 3" xfId="23448" xr:uid="{00000000-0005-0000-0000-0000A5210000}"/>
    <cellStyle name="20% - Accent5 7 2 4 2 3 2" xfId="47280" xr:uid="{A8193D11-8DFF-4676-AE2E-D052A666B909}"/>
    <cellStyle name="20% - Accent5 7 2 4 2 4" xfId="31403" xr:uid="{CFEBEA20-DF7D-4926-817F-DBCDE7989E63}"/>
    <cellStyle name="20% - Accent5 7 2 4 3" xfId="11964" xr:uid="{00000000-0005-0000-0000-0000A6210000}"/>
    <cellStyle name="20% - Accent5 7 2 4 3 2" xfId="35813" xr:uid="{922F5352-E465-494C-837D-C748782F50A1}"/>
    <cellStyle name="20% - Accent5 7 2 4 4" xfId="19919" xr:uid="{00000000-0005-0000-0000-0000A7210000}"/>
    <cellStyle name="20% - Accent5 7 2 4 4 2" xfId="43751" xr:uid="{7D8B106C-B844-4995-B67E-85ADF81BCC85}"/>
    <cellStyle name="20% - Accent5 7 2 4 5" xfId="27872" xr:uid="{8C7E3606-B700-4EC9-981E-0C7F36A6F1A3}"/>
    <cellStyle name="20% - Accent5 7 2 5" xfId="5760" xr:uid="{00000000-0005-0000-0000-0000A8210000}"/>
    <cellStyle name="20% - Accent5 7 2 5 2" xfId="13743" xr:uid="{00000000-0005-0000-0000-0000A9210000}"/>
    <cellStyle name="20% - Accent5 7 2 5 2 2" xfId="37586" xr:uid="{6D37D221-7772-47DB-B360-78F89A01BA7B}"/>
    <cellStyle name="20% - Accent5 7 2 5 3" xfId="21691" xr:uid="{00000000-0005-0000-0000-0000AA210000}"/>
    <cellStyle name="20% - Accent5 7 2 5 3 2" xfId="45523" xr:uid="{AD474158-369A-4F38-8D73-ED819DD69681}"/>
    <cellStyle name="20% - Accent5 7 2 5 4" xfId="29645" xr:uid="{537D024D-C39F-492C-B22A-7EB0E67F1A7A}"/>
    <cellStyle name="20% - Accent5 7 2 6" xfId="9312" xr:uid="{00000000-0005-0000-0000-0000AB210000}"/>
    <cellStyle name="20% - Accent5 7 2 6 2" xfId="17270" xr:uid="{00000000-0005-0000-0000-0000AC210000}"/>
    <cellStyle name="20% - Accent5 7 2 6 2 2" xfId="41110" xr:uid="{EF50F8BB-DBD2-4B68-B04F-183B31FBE717}"/>
    <cellStyle name="20% - Accent5 7 2 6 3" xfId="25214" xr:uid="{00000000-0005-0000-0000-0000AD210000}"/>
    <cellStyle name="20% - Accent5 7 2 6 3 2" xfId="49046" xr:uid="{E7D0AED5-06BC-45FF-BCD2-67EAD0C3FE11}"/>
    <cellStyle name="20% - Accent5 7 2 6 4" xfId="33169" xr:uid="{E0999E3C-98DC-4BF1-85C3-A895F2E018C9}"/>
    <cellStyle name="20% - Accent5 7 2 7" xfId="10208" xr:uid="{00000000-0005-0000-0000-0000AE210000}"/>
    <cellStyle name="20% - Accent5 7 2 7 2" xfId="34057" xr:uid="{E2F90FB5-A902-4CFD-94FC-64EE6A3164D6}"/>
    <cellStyle name="20% - Accent5 7 2 8" xfId="18163" xr:uid="{00000000-0005-0000-0000-0000AF210000}"/>
    <cellStyle name="20% - Accent5 7 2 8 2" xfId="41995" xr:uid="{25DC9076-DE41-475D-B123-E81B223871B9}"/>
    <cellStyle name="20% - Accent5 7 2 9" xfId="26115" xr:uid="{5D094402-4B4E-4912-9580-1914570B942C}"/>
    <cellStyle name="20% - Accent5 7 2_Exh G" xfId="2525" xr:uid="{00000000-0005-0000-0000-0000B0210000}"/>
    <cellStyle name="20% - Accent5 7 3" xfId="268" xr:uid="{00000000-0005-0000-0000-0000B1210000}"/>
    <cellStyle name="20% - Accent5 7 3 2" xfId="1294" xr:uid="{00000000-0005-0000-0000-0000B2210000}"/>
    <cellStyle name="20% - Accent5 7 3 2 2" xfId="4821" xr:uid="{00000000-0005-0000-0000-0000B3210000}"/>
    <cellStyle name="20% - Accent5 7 3 2 2 2" xfId="8412" xr:uid="{00000000-0005-0000-0000-0000B4210000}"/>
    <cellStyle name="20% - Accent5 7 3 2 2 2 2" xfId="16382" xr:uid="{00000000-0005-0000-0000-0000B5210000}"/>
    <cellStyle name="20% - Accent5 7 3 2 2 2 2 2" xfId="40224" xr:uid="{2A31D934-2E52-4462-8A40-C87327566F67}"/>
    <cellStyle name="20% - Accent5 7 3 2 2 2 3" xfId="24328" xr:uid="{00000000-0005-0000-0000-0000B6210000}"/>
    <cellStyle name="20% - Accent5 7 3 2 2 2 3 2" xfId="48160" xr:uid="{3106D403-F265-42B3-93B4-5C47B04C0F7C}"/>
    <cellStyle name="20% - Accent5 7 3 2 2 2 4" xfId="32283" xr:uid="{6306324A-AC29-4141-A1B9-C4FCD34A7790}"/>
    <cellStyle name="20% - Accent5 7 3 2 2 3" xfId="12844" xr:uid="{00000000-0005-0000-0000-0000B7210000}"/>
    <cellStyle name="20% - Accent5 7 3 2 2 3 2" xfId="36693" xr:uid="{001DE1F9-4AAD-49DD-9BCF-6E11342344A5}"/>
    <cellStyle name="20% - Accent5 7 3 2 2 4" xfId="20799" xr:uid="{00000000-0005-0000-0000-0000B8210000}"/>
    <cellStyle name="20% - Accent5 7 3 2 2 4 2" xfId="44631" xr:uid="{B6587D28-B643-4821-A8D7-540F3F7D081C}"/>
    <cellStyle name="20% - Accent5 7 3 2 2 5" xfId="28752" xr:uid="{750F979F-54E6-4CB0-BD62-192278F438C8}"/>
    <cellStyle name="20% - Accent5 7 3 2 3" xfId="6653" xr:uid="{00000000-0005-0000-0000-0000B9210000}"/>
    <cellStyle name="20% - Accent5 7 3 2 3 2" xfId="14624" xr:uid="{00000000-0005-0000-0000-0000BA210000}"/>
    <cellStyle name="20% - Accent5 7 3 2 3 2 2" xfId="38466" xr:uid="{9D03761F-4D7C-4060-A8C7-EE53A2B54B8E}"/>
    <cellStyle name="20% - Accent5 7 3 2 3 3" xfId="22571" xr:uid="{00000000-0005-0000-0000-0000BB210000}"/>
    <cellStyle name="20% - Accent5 7 3 2 3 3 2" xfId="46403" xr:uid="{2E3DD49C-C22B-4924-BF31-F0D3B1029626}"/>
    <cellStyle name="20% - Accent5 7 3 2 3 4" xfId="30525" xr:uid="{5D23A0FA-652F-4D70-B367-BA5D0D2BAECC}"/>
    <cellStyle name="20% - Accent5 7 3 2 4" xfId="11088" xr:uid="{00000000-0005-0000-0000-0000BC210000}"/>
    <cellStyle name="20% - Accent5 7 3 2 4 2" xfId="34937" xr:uid="{9994062B-133C-4200-8269-FDFA30751376}"/>
    <cellStyle name="20% - Accent5 7 3 2 5" xfId="19043" xr:uid="{00000000-0005-0000-0000-0000BD210000}"/>
    <cellStyle name="20% - Accent5 7 3 2 5 2" xfId="42875" xr:uid="{8B26474D-6D15-4055-B535-77699EC205DC}"/>
    <cellStyle name="20% - Accent5 7 3 2 6" xfId="26995" xr:uid="{05CFC4D0-4ACF-4549-AC16-DEF12A4C4BA6}"/>
    <cellStyle name="20% - Accent5 7 3 2_Exh G" xfId="2530" xr:uid="{00000000-0005-0000-0000-0000BE210000}"/>
    <cellStyle name="20% - Accent5 7 3 3" xfId="3942" xr:uid="{00000000-0005-0000-0000-0000BF210000}"/>
    <cellStyle name="20% - Accent5 7 3 3 2" xfId="7534" xr:uid="{00000000-0005-0000-0000-0000C0210000}"/>
    <cellStyle name="20% - Accent5 7 3 3 2 2" xfId="15504" xr:uid="{00000000-0005-0000-0000-0000C1210000}"/>
    <cellStyle name="20% - Accent5 7 3 3 2 2 2" xfId="39346" xr:uid="{220CADF6-9072-446D-9560-31BA3653D7BA}"/>
    <cellStyle name="20% - Accent5 7 3 3 2 3" xfId="23450" xr:uid="{00000000-0005-0000-0000-0000C2210000}"/>
    <cellStyle name="20% - Accent5 7 3 3 2 3 2" xfId="47282" xr:uid="{3BD6CB44-8B48-4CBC-9132-4839E0A0D882}"/>
    <cellStyle name="20% - Accent5 7 3 3 2 4" xfId="31405" xr:uid="{16CCE4CD-CC12-43A2-B5E9-468CE65F8F51}"/>
    <cellStyle name="20% - Accent5 7 3 3 3" xfId="11966" xr:uid="{00000000-0005-0000-0000-0000C3210000}"/>
    <cellStyle name="20% - Accent5 7 3 3 3 2" xfId="35815" xr:uid="{5A6C2957-9C8F-4B0B-B877-6339B65977E5}"/>
    <cellStyle name="20% - Accent5 7 3 3 4" xfId="19921" xr:uid="{00000000-0005-0000-0000-0000C4210000}"/>
    <cellStyle name="20% - Accent5 7 3 3 4 2" xfId="43753" xr:uid="{897BD714-4227-4267-B7A2-382B9C676252}"/>
    <cellStyle name="20% - Accent5 7 3 3 5" xfId="27874" xr:uid="{54D7A381-F9A3-4943-92D5-A04D948A2275}"/>
    <cellStyle name="20% - Accent5 7 3 4" xfId="5762" xr:uid="{00000000-0005-0000-0000-0000C5210000}"/>
    <cellStyle name="20% - Accent5 7 3 4 2" xfId="13745" xr:uid="{00000000-0005-0000-0000-0000C6210000}"/>
    <cellStyle name="20% - Accent5 7 3 4 2 2" xfId="37588" xr:uid="{71502BC9-E3C3-45F7-B517-A4694396A877}"/>
    <cellStyle name="20% - Accent5 7 3 4 3" xfId="21693" xr:uid="{00000000-0005-0000-0000-0000C7210000}"/>
    <cellStyle name="20% - Accent5 7 3 4 3 2" xfId="45525" xr:uid="{EA19BEE1-D2C2-45F3-B0BD-0678A85E39A3}"/>
    <cellStyle name="20% - Accent5 7 3 4 4" xfId="29647" xr:uid="{06AF7229-5685-4EAE-946F-F252692CBB67}"/>
    <cellStyle name="20% - Accent5 7 3 5" xfId="9314" xr:uid="{00000000-0005-0000-0000-0000C8210000}"/>
    <cellStyle name="20% - Accent5 7 3 5 2" xfId="17272" xr:uid="{00000000-0005-0000-0000-0000C9210000}"/>
    <cellStyle name="20% - Accent5 7 3 5 2 2" xfId="41112" xr:uid="{159B8B44-552D-4E83-8133-511ADC997724}"/>
    <cellStyle name="20% - Accent5 7 3 5 3" xfId="25216" xr:uid="{00000000-0005-0000-0000-0000CA210000}"/>
    <cellStyle name="20% - Accent5 7 3 5 3 2" xfId="49048" xr:uid="{62B66780-FCF5-4221-A68E-6EA97C894FB5}"/>
    <cellStyle name="20% - Accent5 7 3 5 4" xfId="33171" xr:uid="{CF2B118B-B2F9-46B3-BB42-C9188E186B72}"/>
    <cellStyle name="20% - Accent5 7 3 6" xfId="10210" xr:uid="{00000000-0005-0000-0000-0000CB210000}"/>
    <cellStyle name="20% - Accent5 7 3 6 2" xfId="34059" xr:uid="{0CCD2BCB-2828-4FA6-88B8-F9459F16B630}"/>
    <cellStyle name="20% - Accent5 7 3 7" xfId="18165" xr:uid="{00000000-0005-0000-0000-0000CC210000}"/>
    <cellStyle name="20% - Accent5 7 3 7 2" xfId="41997" xr:uid="{11E78093-D540-4EF7-805E-21EF792559D1}"/>
    <cellStyle name="20% - Accent5 7 3 8" xfId="26117" xr:uid="{50DD67ED-30C6-489C-9DEC-926737B5C4F5}"/>
    <cellStyle name="20% - Accent5 7 3_Exh G" xfId="2529" xr:uid="{00000000-0005-0000-0000-0000CD210000}"/>
    <cellStyle name="20% - Accent5 7 4" xfId="916" xr:uid="{00000000-0005-0000-0000-0000CE210000}"/>
    <cellStyle name="20% - Accent5 7 4 2" xfId="1839" xr:uid="{00000000-0005-0000-0000-0000CF210000}"/>
    <cellStyle name="20% - Accent5 7 4 2 2" xfId="5356" xr:uid="{00000000-0005-0000-0000-0000D0210000}"/>
    <cellStyle name="20% - Accent5 7 4 2 2 2" xfId="8947" xr:uid="{00000000-0005-0000-0000-0000D1210000}"/>
    <cellStyle name="20% - Accent5 7 4 2 2 2 2" xfId="16917" xr:uid="{00000000-0005-0000-0000-0000D2210000}"/>
    <cellStyle name="20% - Accent5 7 4 2 2 2 2 2" xfId="40759" xr:uid="{30D3CA0E-6949-4DE1-A155-004ED04E18E0}"/>
    <cellStyle name="20% - Accent5 7 4 2 2 2 3" xfId="24863" xr:uid="{00000000-0005-0000-0000-0000D3210000}"/>
    <cellStyle name="20% - Accent5 7 4 2 2 2 3 2" xfId="48695" xr:uid="{3896291B-628E-44DF-82D1-756E8B7F0E1E}"/>
    <cellStyle name="20% - Accent5 7 4 2 2 2 4" xfId="32818" xr:uid="{C8D7B984-BD92-479F-AC3E-22ACBA95CCB5}"/>
    <cellStyle name="20% - Accent5 7 4 2 2 3" xfId="13379" xr:uid="{00000000-0005-0000-0000-0000D4210000}"/>
    <cellStyle name="20% - Accent5 7 4 2 2 3 2" xfId="37228" xr:uid="{469585AF-DA60-41F6-8514-833DA5B2F1EB}"/>
    <cellStyle name="20% - Accent5 7 4 2 2 4" xfId="21334" xr:uid="{00000000-0005-0000-0000-0000D5210000}"/>
    <cellStyle name="20% - Accent5 7 4 2 2 4 2" xfId="45166" xr:uid="{A0323CDA-BEE3-4156-B2DC-F85B6F113943}"/>
    <cellStyle name="20% - Accent5 7 4 2 2 5" xfId="29287" xr:uid="{158BC628-7023-4144-87DE-211E39BA0844}"/>
    <cellStyle name="20% - Accent5 7 4 2 3" xfId="7188" xr:uid="{00000000-0005-0000-0000-0000D6210000}"/>
    <cellStyle name="20% - Accent5 7 4 2 3 2" xfId="15159" xr:uid="{00000000-0005-0000-0000-0000D7210000}"/>
    <cellStyle name="20% - Accent5 7 4 2 3 2 2" xfId="39001" xr:uid="{C5E579BF-FA28-4652-9CE4-03AEECF61E98}"/>
    <cellStyle name="20% - Accent5 7 4 2 3 3" xfId="23106" xr:uid="{00000000-0005-0000-0000-0000D8210000}"/>
    <cellStyle name="20% - Accent5 7 4 2 3 3 2" xfId="46938" xr:uid="{5A4EC2C4-3FA8-4302-B97A-E7E134516921}"/>
    <cellStyle name="20% - Accent5 7 4 2 3 4" xfId="31060" xr:uid="{91155B51-10F7-44C9-BA94-61190947F411}"/>
    <cellStyle name="20% - Accent5 7 4 2 4" xfId="11623" xr:uid="{00000000-0005-0000-0000-0000D9210000}"/>
    <cellStyle name="20% - Accent5 7 4 2 4 2" xfId="35472" xr:uid="{A4C8DEE2-405C-4779-97D9-A1A710F371C7}"/>
    <cellStyle name="20% - Accent5 7 4 2 5" xfId="19578" xr:uid="{00000000-0005-0000-0000-0000DA210000}"/>
    <cellStyle name="20% - Accent5 7 4 2 5 2" xfId="43410" xr:uid="{6BFDF06B-7ED4-4747-8835-EBB36BFBB365}"/>
    <cellStyle name="20% - Accent5 7 4 2 6" xfId="27530" xr:uid="{121574A3-60D0-42CE-8CA3-C7DA5654A749}"/>
    <cellStyle name="20% - Accent5 7 4 2_Exh G" xfId="2532" xr:uid="{00000000-0005-0000-0000-0000DB210000}"/>
    <cellStyle name="20% - Accent5 7 4 3" xfId="4477" xr:uid="{00000000-0005-0000-0000-0000DC210000}"/>
    <cellStyle name="20% - Accent5 7 4 3 2" xfId="8069" xr:uid="{00000000-0005-0000-0000-0000DD210000}"/>
    <cellStyle name="20% - Accent5 7 4 3 2 2" xfId="16039" xr:uid="{00000000-0005-0000-0000-0000DE210000}"/>
    <cellStyle name="20% - Accent5 7 4 3 2 2 2" xfId="39881" xr:uid="{1F7CB607-91A1-4334-BF91-275AE1725258}"/>
    <cellStyle name="20% - Accent5 7 4 3 2 3" xfId="23985" xr:uid="{00000000-0005-0000-0000-0000DF210000}"/>
    <cellStyle name="20% - Accent5 7 4 3 2 3 2" xfId="47817" xr:uid="{01EAA549-F69F-4678-AD0C-7BDDD833AE96}"/>
    <cellStyle name="20% - Accent5 7 4 3 2 4" xfId="31940" xr:uid="{8E5CA590-214E-4BF0-AF1C-D08137E17FCF}"/>
    <cellStyle name="20% - Accent5 7 4 3 3" xfId="12501" xr:uid="{00000000-0005-0000-0000-0000E0210000}"/>
    <cellStyle name="20% - Accent5 7 4 3 3 2" xfId="36350" xr:uid="{769F5E44-0D74-4014-9C8C-65BA5BB92080}"/>
    <cellStyle name="20% - Accent5 7 4 3 4" xfId="20456" xr:uid="{00000000-0005-0000-0000-0000E1210000}"/>
    <cellStyle name="20% - Accent5 7 4 3 4 2" xfId="44288" xr:uid="{86D82E1A-3369-4359-8B07-0CD9843AF406}"/>
    <cellStyle name="20% - Accent5 7 4 3 5" xfId="28409" xr:uid="{B80817D2-6728-4268-8151-EE6B62D0BF55}"/>
    <cellStyle name="20% - Accent5 7 4 4" xfId="6307" xr:uid="{00000000-0005-0000-0000-0000E2210000}"/>
    <cellStyle name="20% - Accent5 7 4 4 2" xfId="14281" xr:uid="{00000000-0005-0000-0000-0000E3210000}"/>
    <cellStyle name="20% - Accent5 7 4 4 2 2" xfId="38123" xr:uid="{5AC4D4E2-2A5F-4C1E-85BC-96258585EA2D}"/>
    <cellStyle name="20% - Accent5 7 4 4 3" xfId="22228" xr:uid="{00000000-0005-0000-0000-0000E4210000}"/>
    <cellStyle name="20% - Accent5 7 4 4 3 2" xfId="46060" xr:uid="{5CCFA934-B670-443E-8568-82CA1E8C04E2}"/>
    <cellStyle name="20% - Accent5 7 4 4 4" xfId="30182" xr:uid="{B39F2AEB-2ACF-42E2-B61E-15A9291F8A3E}"/>
    <cellStyle name="20% - Accent5 7 4 5" xfId="9849" xr:uid="{00000000-0005-0000-0000-0000E5210000}"/>
    <cellStyle name="20% - Accent5 7 4 5 2" xfId="17807" xr:uid="{00000000-0005-0000-0000-0000E6210000}"/>
    <cellStyle name="20% - Accent5 7 4 5 2 2" xfId="41647" xr:uid="{14129B8E-5989-4D2B-A5E1-8DFA9A6572CA}"/>
    <cellStyle name="20% - Accent5 7 4 5 3" xfId="25751" xr:uid="{00000000-0005-0000-0000-0000E7210000}"/>
    <cellStyle name="20% - Accent5 7 4 5 3 2" xfId="49583" xr:uid="{F8BE88AB-AAE0-4E14-8230-5AE5FD5065AA}"/>
    <cellStyle name="20% - Accent5 7 4 5 4" xfId="33706" xr:uid="{DFA6DDBC-73B4-4DB7-8484-A70375CE4829}"/>
    <cellStyle name="20% - Accent5 7 4 6" xfId="10745" xr:uid="{00000000-0005-0000-0000-0000E8210000}"/>
    <cellStyle name="20% - Accent5 7 4 6 2" xfId="34594" xr:uid="{90D093E9-6731-4DE5-B1FD-B7D1815D38C1}"/>
    <cellStyle name="20% - Accent5 7 4 7" xfId="18700" xr:uid="{00000000-0005-0000-0000-0000E9210000}"/>
    <cellStyle name="20% - Accent5 7 4 7 2" xfId="42532" xr:uid="{825ADD41-4578-4C25-A861-44F823C2FA02}"/>
    <cellStyle name="20% - Accent5 7 4 8" xfId="26652" xr:uid="{495B9B0B-395B-4E8D-9F7C-08832164381E}"/>
    <cellStyle name="20% - Accent5 7 4_Exh G" xfId="2531" xr:uid="{00000000-0005-0000-0000-0000EA210000}"/>
    <cellStyle name="20% - Accent5 7 5" xfId="1291" xr:uid="{00000000-0005-0000-0000-0000EB210000}"/>
    <cellStyle name="20% - Accent5 7 5 2" xfId="4818" xr:uid="{00000000-0005-0000-0000-0000EC210000}"/>
    <cellStyle name="20% - Accent5 7 5 2 2" xfId="8409" xr:uid="{00000000-0005-0000-0000-0000ED210000}"/>
    <cellStyle name="20% - Accent5 7 5 2 2 2" xfId="16379" xr:uid="{00000000-0005-0000-0000-0000EE210000}"/>
    <cellStyle name="20% - Accent5 7 5 2 2 2 2" xfId="40221" xr:uid="{62FD9236-FADF-4E68-9502-2309B2BC8A6B}"/>
    <cellStyle name="20% - Accent5 7 5 2 2 3" xfId="24325" xr:uid="{00000000-0005-0000-0000-0000EF210000}"/>
    <cellStyle name="20% - Accent5 7 5 2 2 3 2" xfId="48157" xr:uid="{390A98DC-CE20-4002-A1E9-EF5D3D6D83A4}"/>
    <cellStyle name="20% - Accent5 7 5 2 2 4" xfId="32280" xr:uid="{94178483-2AD8-406B-BA00-6EF37C9B3AAC}"/>
    <cellStyle name="20% - Accent5 7 5 2 3" xfId="12841" xr:uid="{00000000-0005-0000-0000-0000F0210000}"/>
    <cellStyle name="20% - Accent5 7 5 2 3 2" xfId="36690" xr:uid="{80FD2FE8-E071-4757-BE57-BCFB52CB7238}"/>
    <cellStyle name="20% - Accent5 7 5 2 4" xfId="20796" xr:uid="{00000000-0005-0000-0000-0000F1210000}"/>
    <cellStyle name="20% - Accent5 7 5 2 4 2" xfId="44628" xr:uid="{2DB7AC0F-1001-4EE3-B56E-976EA9281C29}"/>
    <cellStyle name="20% - Accent5 7 5 2 5" xfId="28749" xr:uid="{358E0C20-D010-4B47-AD56-32427853FEA4}"/>
    <cellStyle name="20% - Accent5 7 5 3" xfId="6650" xr:uid="{00000000-0005-0000-0000-0000F2210000}"/>
    <cellStyle name="20% - Accent5 7 5 3 2" xfId="14621" xr:uid="{00000000-0005-0000-0000-0000F3210000}"/>
    <cellStyle name="20% - Accent5 7 5 3 2 2" xfId="38463" xr:uid="{FCA1DF59-FFAF-4BD5-AAEC-DB3111FE6F47}"/>
    <cellStyle name="20% - Accent5 7 5 3 3" xfId="22568" xr:uid="{00000000-0005-0000-0000-0000F4210000}"/>
    <cellStyle name="20% - Accent5 7 5 3 3 2" xfId="46400" xr:uid="{203AEEAB-B2B7-4884-83DC-37DA4B5624FB}"/>
    <cellStyle name="20% - Accent5 7 5 3 4" xfId="30522" xr:uid="{6A0299C7-4106-4EF0-A155-AA8313DFC191}"/>
    <cellStyle name="20% - Accent5 7 5 4" xfId="11085" xr:uid="{00000000-0005-0000-0000-0000F5210000}"/>
    <cellStyle name="20% - Accent5 7 5 4 2" xfId="34934" xr:uid="{E6FA2D95-5E8A-490F-AB0D-8FC55798688B}"/>
    <cellStyle name="20% - Accent5 7 5 5" xfId="19040" xr:uid="{00000000-0005-0000-0000-0000F6210000}"/>
    <cellStyle name="20% - Accent5 7 5 5 2" xfId="42872" xr:uid="{95BAA16C-E300-4839-8C2E-0552B4EAF322}"/>
    <cellStyle name="20% - Accent5 7 5 6" xfId="26992" xr:uid="{94BA9003-24BF-4A5A-9EB4-FC497082B3D1}"/>
    <cellStyle name="20% - Accent5 7 5_Exh G" xfId="2533" xr:uid="{00000000-0005-0000-0000-0000F7210000}"/>
    <cellStyle name="20% - Accent5 7 6" xfId="3939" xr:uid="{00000000-0005-0000-0000-0000F8210000}"/>
    <cellStyle name="20% - Accent5 7 6 2" xfId="7531" xr:uid="{00000000-0005-0000-0000-0000F9210000}"/>
    <cellStyle name="20% - Accent5 7 6 2 2" xfId="15501" xr:uid="{00000000-0005-0000-0000-0000FA210000}"/>
    <cellStyle name="20% - Accent5 7 6 2 2 2" xfId="39343" xr:uid="{4D8D70A8-4CCB-4B39-B6D3-1DBCA3AD9C7F}"/>
    <cellStyle name="20% - Accent5 7 6 2 3" xfId="23447" xr:uid="{00000000-0005-0000-0000-0000FB210000}"/>
    <cellStyle name="20% - Accent5 7 6 2 3 2" xfId="47279" xr:uid="{363A1822-2FB2-421A-B8B1-ACB4B811439D}"/>
    <cellStyle name="20% - Accent5 7 6 2 4" xfId="31402" xr:uid="{E67382F1-A6D3-4496-B0AA-4A180885FC98}"/>
    <cellStyle name="20% - Accent5 7 6 3" xfId="11963" xr:uid="{00000000-0005-0000-0000-0000FC210000}"/>
    <cellStyle name="20% - Accent5 7 6 3 2" xfId="35812" xr:uid="{9A5B494C-5A2D-4D94-8395-C40B8D51C168}"/>
    <cellStyle name="20% - Accent5 7 6 4" xfId="19918" xr:uid="{00000000-0005-0000-0000-0000FD210000}"/>
    <cellStyle name="20% - Accent5 7 6 4 2" xfId="43750" xr:uid="{9E513B30-21DC-4B6A-B91F-516B123EE73D}"/>
    <cellStyle name="20% - Accent5 7 6 5" xfId="27871" xr:uid="{3116F5F3-A19A-466D-A84D-6A07D7F8A2BF}"/>
    <cellStyle name="20% - Accent5 7 7" xfId="5759" xr:uid="{00000000-0005-0000-0000-0000FE210000}"/>
    <cellStyle name="20% - Accent5 7 7 2" xfId="13742" xr:uid="{00000000-0005-0000-0000-0000FF210000}"/>
    <cellStyle name="20% - Accent5 7 7 2 2" xfId="37585" xr:uid="{40428144-4914-401B-BFA6-EEBE56DD9334}"/>
    <cellStyle name="20% - Accent5 7 7 3" xfId="21690" xr:uid="{00000000-0005-0000-0000-000000220000}"/>
    <cellStyle name="20% - Accent5 7 7 3 2" xfId="45522" xr:uid="{D52410AC-E7BC-4F38-936E-C672D21E2A07}"/>
    <cellStyle name="20% - Accent5 7 7 4" xfId="29644" xr:uid="{8176D73E-D569-4D89-B291-C382F31D2EBD}"/>
    <cellStyle name="20% - Accent5 7 8" xfId="9311" xr:uid="{00000000-0005-0000-0000-000001220000}"/>
    <cellStyle name="20% - Accent5 7 8 2" xfId="17269" xr:uid="{00000000-0005-0000-0000-000002220000}"/>
    <cellStyle name="20% - Accent5 7 8 2 2" xfId="41109" xr:uid="{AFEA9C7B-E6BD-4D1D-8B88-DC3DAD8F7B63}"/>
    <cellStyle name="20% - Accent5 7 8 3" xfId="25213" xr:uid="{00000000-0005-0000-0000-000003220000}"/>
    <cellStyle name="20% - Accent5 7 8 3 2" xfId="49045" xr:uid="{982D73E6-58C2-4CDB-AE59-152715973399}"/>
    <cellStyle name="20% - Accent5 7 8 4" xfId="33168" xr:uid="{907A34D8-3EF2-41C0-B649-E9A95632D141}"/>
    <cellStyle name="20% - Accent5 7 9" xfId="10207" xr:uid="{00000000-0005-0000-0000-000004220000}"/>
    <cellStyle name="20% - Accent5 7 9 2" xfId="34056" xr:uid="{61A3330C-E8C8-42D4-A02D-D2A5F7A04412}"/>
    <cellStyle name="20% - Accent5 7_Exh G" xfId="2524" xr:uid="{00000000-0005-0000-0000-000005220000}"/>
    <cellStyle name="20% - Accent5 8" xfId="269" xr:uid="{00000000-0005-0000-0000-000006220000}"/>
    <cellStyle name="20% - Accent5 8 10" xfId="18166" xr:uid="{00000000-0005-0000-0000-000007220000}"/>
    <cellStyle name="20% - Accent5 8 10 2" xfId="41998" xr:uid="{253C5708-88EA-431B-8E7F-132A1BEFF592}"/>
    <cellStyle name="20% - Accent5 8 11" xfId="26118" xr:uid="{55997DD7-C049-4C76-98EF-6D4263C69047}"/>
    <cellStyle name="20% - Accent5 8 2" xfId="270" xr:uid="{00000000-0005-0000-0000-000008220000}"/>
    <cellStyle name="20% - Accent5 8 2 2" xfId="271" xr:uid="{00000000-0005-0000-0000-000009220000}"/>
    <cellStyle name="20% - Accent5 8 2 2 2" xfId="1297" xr:uid="{00000000-0005-0000-0000-00000A220000}"/>
    <cellStyle name="20% - Accent5 8 2 2 2 2" xfId="4824" xr:uid="{00000000-0005-0000-0000-00000B220000}"/>
    <cellStyle name="20% - Accent5 8 2 2 2 2 2" xfId="8415" xr:uid="{00000000-0005-0000-0000-00000C220000}"/>
    <cellStyle name="20% - Accent5 8 2 2 2 2 2 2" xfId="16385" xr:uid="{00000000-0005-0000-0000-00000D220000}"/>
    <cellStyle name="20% - Accent5 8 2 2 2 2 2 2 2" xfId="40227" xr:uid="{895F3518-782C-4285-A61D-00DD7633DA72}"/>
    <cellStyle name="20% - Accent5 8 2 2 2 2 2 3" xfId="24331" xr:uid="{00000000-0005-0000-0000-00000E220000}"/>
    <cellStyle name="20% - Accent5 8 2 2 2 2 2 3 2" xfId="48163" xr:uid="{A0438942-8A1A-49FD-BDA2-9330FD35AD52}"/>
    <cellStyle name="20% - Accent5 8 2 2 2 2 2 4" xfId="32286" xr:uid="{0E4EB623-F6AB-4E4D-AE86-BA85C6DB873C}"/>
    <cellStyle name="20% - Accent5 8 2 2 2 2 3" xfId="12847" xr:uid="{00000000-0005-0000-0000-00000F220000}"/>
    <cellStyle name="20% - Accent5 8 2 2 2 2 3 2" xfId="36696" xr:uid="{63C32027-CEB2-4EA7-8B18-5E7A8E61DDBA}"/>
    <cellStyle name="20% - Accent5 8 2 2 2 2 4" xfId="20802" xr:uid="{00000000-0005-0000-0000-000010220000}"/>
    <cellStyle name="20% - Accent5 8 2 2 2 2 4 2" xfId="44634" xr:uid="{71A8B3D1-3F71-4D3A-ABB1-13DAE12C2B22}"/>
    <cellStyle name="20% - Accent5 8 2 2 2 2 5" xfId="28755" xr:uid="{32131B81-3269-4BD0-BE1D-1E842262C6E3}"/>
    <cellStyle name="20% - Accent5 8 2 2 2 3" xfId="6656" xr:uid="{00000000-0005-0000-0000-000011220000}"/>
    <cellStyle name="20% - Accent5 8 2 2 2 3 2" xfId="14627" xr:uid="{00000000-0005-0000-0000-000012220000}"/>
    <cellStyle name="20% - Accent5 8 2 2 2 3 2 2" xfId="38469" xr:uid="{DE4AA83E-653B-4F75-80E0-B9821293DAE8}"/>
    <cellStyle name="20% - Accent5 8 2 2 2 3 3" xfId="22574" xr:uid="{00000000-0005-0000-0000-000013220000}"/>
    <cellStyle name="20% - Accent5 8 2 2 2 3 3 2" xfId="46406" xr:uid="{5446014D-EE56-40E9-A807-1D5D6705F3DA}"/>
    <cellStyle name="20% - Accent5 8 2 2 2 3 4" xfId="30528" xr:uid="{7F817295-5EDE-4A8B-B35B-2CDF81713EBE}"/>
    <cellStyle name="20% - Accent5 8 2 2 2 4" xfId="11091" xr:uid="{00000000-0005-0000-0000-000014220000}"/>
    <cellStyle name="20% - Accent5 8 2 2 2 4 2" xfId="34940" xr:uid="{8005A3FB-81C0-4DE8-B711-3A4CB88A7FF7}"/>
    <cellStyle name="20% - Accent5 8 2 2 2 5" xfId="19046" xr:uid="{00000000-0005-0000-0000-000015220000}"/>
    <cellStyle name="20% - Accent5 8 2 2 2 5 2" xfId="42878" xr:uid="{ED194A76-B359-421F-B1E1-13BAA3652FFE}"/>
    <cellStyle name="20% - Accent5 8 2 2 2 6" xfId="26998" xr:uid="{D48EBC11-9C2E-4D77-94D8-CA1ECAC46783}"/>
    <cellStyle name="20% - Accent5 8 2 2 2_Exh G" xfId="2537" xr:uid="{00000000-0005-0000-0000-000016220000}"/>
    <cellStyle name="20% - Accent5 8 2 2 3" xfId="3945" xr:uid="{00000000-0005-0000-0000-000017220000}"/>
    <cellStyle name="20% - Accent5 8 2 2 3 2" xfId="7537" xr:uid="{00000000-0005-0000-0000-000018220000}"/>
    <cellStyle name="20% - Accent5 8 2 2 3 2 2" xfId="15507" xr:uid="{00000000-0005-0000-0000-000019220000}"/>
    <cellStyle name="20% - Accent5 8 2 2 3 2 2 2" xfId="39349" xr:uid="{9FC90ECC-B8EE-4F8C-8034-E6A0E77D75E3}"/>
    <cellStyle name="20% - Accent5 8 2 2 3 2 3" xfId="23453" xr:uid="{00000000-0005-0000-0000-00001A220000}"/>
    <cellStyle name="20% - Accent5 8 2 2 3 2 3 2" xfId="47285" xr:uid="{0548BDC0-A5C6-44A8-88DC-8E7021AB6010}"/>
    <cellStyle name="20% - Accent5 8 2 2 3 2 4" xfId="31408" xr:uid="{1457E95D-D5C3-4399-9E12-7CF27C5C2613}"/>
    <cellStyle name="20% - Accent5 8 2 2 3 3" xfId="11969" xr:uid="{00000000-0005-0000-0000-00001B220000}"/>
    <cellStyle name="20% - Accent5 8 2 2 3 3 2" xfId="35818" xr:uid="{7476AA8E-8D45-498E-A96C-97F75AEE84CF}"/>
    <cellStyle name="20% - Accent5 8 2 2 3 4" xfId="19924" xr:uid="{00000000-0005-0000-0000-00001C220000}"/>
    <cellStyle name="20% - Accent5 8 2 2 3 4 2" xfId="43756" xr:uid="{291CAB15-A0BC-432D-B309-631AF6F7B6EF}"/>
    <cellStyle name="20% - Accent5 8 2 2 3 5" xfId="27877" xr:uid="{8C23C07E-9011-4500-AB4B-1A8EC8290525}"/>
    <cellStyle name="20% - Accent5 8 2 2 4" xfId="5765" xr:uid="{00000000-0005-0000-0000-00001D220000}"/>
    <cellStyle name="20% - Accent5 8 2 2 4 2" xfId="13748" xr:uid="{00000000-0005-0000-0000-00001E220000}"/>
    <cellStyle name="20% - Accent5 8 2 2 4 2 2" xfId="37591" xr:uid="{9E0CB392-8A56-4919-B014-033C72335F4D}"/>
    <cellStyle name="20% - Accent5 8 2 2 4 3" xfId="21696" xr:uid="{00000000-0005-0000-0000-00001F220000}"/>
    <cellStyle name="20% - Accent5 8 2 2 4 3 2" xfId="45528" xr:uid="{D467A1BD-A02C-4A59-A996-8BD064AFD76B}"/>
    <cellStyle name="20% - Accent5 8 2 2 4 4" xfId="29650" xr:uid="{26E8AB19-9BE0-454D-A56D-14775999ECC3}"/>
    <cellStyle name="20% - Accent5 8 2 2 5" xfId="9317" xr:uid="{00000000-0005-0000-0000-000020220000}"/>
    <cellStyle name="20% - Accent5 8 2 2 5 2" xfId="17275" xr:uid="{00000000-0005-0000-0000-000021220000}"/>
    <cellStyle name="20% - Accent5 8 2 2 5 2 2" xfId="41115" xr:uid="{4113B236-134C-4CA5-8B63-2598D3598199}"/>
    <cellStyle name="20% - Accent5 8 2 2 5 3" xfId="25219" xr:uid="{00000000-0005-0000-0000-000022220000}"/>
    <cellStyle name="20% - Accent5 8 2 2 5 3 2" xfId="49051" xr:uid="{89D64FA7-DA87-414D-A3C4-86DF6E13ECDC}"/>
    <cellStyle name="20% - Accent5 8 2 2 5 4" xfId="33174" xr:uid="{A2D7256F-7857-466D-81F2-2E2B1629BAC7}"/>
    <cellStyle name="20% - Accent5 8 2 2 6" xfId="10213" xr:uid="{00000000-0005-0000-0000-000023220000}"/>
    <cellStyle name="20% - Accent5 8 2 2 6 2" xfId="34062" xr:uid="{8F9CDA06-4138-476D-95D9-F0E89A57A4BF}"/>
    <cellStyle name="20% - Accent5 8 2 2 7" xfId="18168" xr:uid="{00000000-0005-0000-0000-000024220000}"/>
    <cellStyle name="20% - Accent5 8 2 2 7 2" xfId="42000" xr:uid="{A16C2EC4-941C-41F9-88E4-99DE4C8491E3}"/>
    <cellStyle name="20% - Accent5 8 2 2 8" xfId="26120" xr:uid="{4A54825D-B573-49B3-AA8A-85C7AF8DA9BE}"/>
    <cellStyle name="20% - Accent5 8 2 2_Exh G" xfId="2536" xr:uid="{00000000-0005-0000-0000-000025220000}"/>
    <cellStyle name="20% - Accent5 8 2 3" xfId="1296" xr:uid="{00000000-0005-0000-0000-000026220000}"/>
    <cellStyle name="20% - Accent5 8 2 3 2" xfId="4823" xr:uid="{00000000-0005-0000-0000-000027220000}"/>
    <cellStyle name="20% - Accent5 8 2 3 2 2" xfId="8414" xr:uid="{00000000-0005-0000-0000-000028220000}"/>
    <cellStyle name="20% - Accent5 8 2 3 2 2 2" xfId="16384" xr:uid="{00000000-0005-0000-0000-000029220000}"/>
    <cellStyle name="20% - Accent5 8 2 3 2 2 2 2" xfId="40226" xr:uid="{BB7489B5-DBCE-4DF8-8E3C-E7464E91047E}"/>
    <cellStyle name="20% - Accent5 8 2 3 2 2 3" xfId="24330" xr:uid="{00000000-0005-0000-0000-00002A220000}"/>
    <cellStyle name="20% - Accent5 8 2 3 2 2 3 2" xfId="48162" xr:uid="{997DB208-54FC-47CC-B891-7E288B7BADA6}"/>
    <cellStyle name="20% - Accent5 8 2 3 2 2 4" xfId="32285" xr:uid="{CA78C8F4-709B-4792-84D8-50FA2CC09364}"/>
    <cellStyle name="20% - Accent5 8 2 3 2 3" xfId="12846" xr:uid="{00000000-0005-0000-0000-00002B220000}"/>
    <cellStyle name="20% - Accent5 8 2 3 2 3 2" xfId="36695" xr:uid="{286C45E4-9B9A-48FD-B17C-4C6D4400DDD0}"/>
    <cellStyle name="20% - Accent5 8 2 3 2 4" xfId="20801" xr:uid="{00000000-0005-0000-0000-00002C220000}"/>
    <cellStyle name="20% - Accent5 8 2 3 2 4 2" xfId="44633" xr:uid="{6B143EB3-F996-4C0E-BC49-AF190C441AB4}"/>
    <cellStyle name="20% - Accent5 8 2 3 2 5" xfId="28754" xr:uid="{65630AE6-6BCB-44AF-822D-6F3A6E66BC90}"/>
    <cellStyle name="20% - Accent5 8 2 3 3" xfId="6655" xr:uid="{00000000-0005-0000-0000-00002D220000}"/>
    <cellStyle name="20% - Accent5 8 2 3 3 2" xfId="14626" xr:uid="{00000000-0005-0000-0000-00002E220000}"/>
    <cellStyle name="20% - Accent5 8 2 3 3 2 2" xfId="38468" xr:uid="{C130B7E6-50F3-4C1C-91B8-DCEF19AB3BF9}"/>
    <cellStyle name="20% - Accent5 8 2 3 3 3" xfId="22573" xr:uid="{00000000-0005-0000-0000-00002F220000}"/>
    <cellStyle name="20% - Accent5 8 2 3 3 3 2" xfId="46405" xr:uid="{D01E373F-F436-4250-9B0C-AE9AF3D40C0B}"/>
    <cellStyle name="20% - Accent5 8 2 3 3 4" xfId="30527" xr:uid="{68D67DB6-72CC-43ED-A09C-838786BE7BF2}"/>
    <cellStyle name="20% - Accent5 8 2 3 4" xfId="11090" xr:uid="{00000000-0005-0000-0000-000030220000}"/>
    <cellStyle name="20% - Accent5 8 2 3 4 2" xfId="34939" xr:uid="{CC92DB1C-C4BB-47A5-BE42-F39DCD2CBFE7}"/>
    <cellStyle name="20% - Accent5 8 2 3 5" xfId="19045" xr:uid="{00000000-0005-0000-0000-000031220000}"/>
    <cellStyle name="20% - Accent5 8 2 3 5 2" xfId="42877" xr:uid="{9FAC2BE2-CE80-46B4-AE07-8A17EA020212}"/>
    <cellStyle name="20% - Accent5 8 2 3 6" xfId="26997" xr:uid="{72CE80DC-28AC-443E-B4AB-DA893CEA2B11}"/>
    <cellStyle name="20% - Accent5 8 2 3_Exh G" xfId="2538" xr:uid="{00000000-0005-0000-0000-000032220000}"/>
    <cellStyle name="20% - Accent5 8 2 4" xfId="3944" xr:uid="{00000000-0005-0000-0000-000033220000}"/>
    <cellStyle name="20% - Accent5 8 2 4 2" xfId="7536" xr:uid="{00000000-0005-0000-0000-000034220000}"/>
    <cellStyle name="20% - Accent5 8 2 4 2 2" xfId="15506" xr:uid="{00000000-0005-0000-0000-000035220000}"/>
    <cellStyle name="20% - Accent5 8 2 4 2 2 2" xfId="39348" xr:uid="{0D84040D-82F8-452F-B53C-EE8DD04C4F0A}"/>
    <cellStyle name="20% - Accent5 8 2 4 2 3" xfId="23452" xr:uid="{00000000-0005-0000-0000-000036220000}"/>
    <cellStyle name="20% - Accent5 8 2 4 2 3 2" xfId="47284" xr:uid="{92244ACF-9747-45F4-B5F0-709080516362}"/>
    <cellStyle name="20% - Accent5 8 2 4 2 4" xfId="31407" xr:uid="{3C0CA1B0-3038-4334-B65C-6EF5F4F42140}"/>
    <cellStyle name="20% - Accent5 8 2 4 3" xfId="11968" xr:uid="{00000000-0005-0000-0000-000037220000}"/>
    <cellStyle name="20% - Accent5 8 2 4 3 2" xfId="35817" xr:uid="{01C4EB73-41D4-450F-91E7-8D932E880DF5}"/>
    <cellStyle name="20% - Accent5 8 2 4 4" xfId="19923" xr:uid="{00000000-0005-0000-0000-000038220000}"/>
    <cellStyle name="20% - Accent5 8 2 4 4 2" xfId="43755" xr:uid="{FD511594-04A7-476C-986E-27784B5C8140}"/>
    <cellStyle name="20% - Accent5 8 2 4 5" xfId="27876" xr:uid="{5DE665FA-E0D7-441B-9AE8-EAA6B95F0B40}"/>
    <cellStyle name="20% - Accent5 8 2 5" xfId="5764" xr:uid="{00000000-0005-0000-0000-000039220000}"/>
    <cellStyle name="20% - Accent5 8 2 5 2" xfId="13747" xr:uid="{00000000-0005-0000-0000-00003A220000}"/>
    <cellStyle name="20% - Accent5 8 2 5 2 2" xfId="37590" xr:uid="{FCE7F6D3-B487-4DDB-B3FA-B60177903D3F}"/>
    <cellStyle name="20% - Accent5 8 2 5 3" xfId="21695" xr:uid="{00000000-0005-0000-0000-00003B220000}"/>
    <cellStyle name="20% - Accent5 8 2 5 3 2" xfId="45527" xr:uid="{550FD1F3-F759-4EE4-A0C6-4BDE3897DA55}"/>
    <cellStyle name="20% - Accent5 8 2 5 4" xfId="29649" xr:uid="{9C3B1D5C-692C-4E43-B345-7699C6516333}"/>
    <cellStyle name="20% - Accent5 8 2 6" xfId="9316" xr:uid="{00000000-0005-0000-0000-00003C220000}"/>
    <cellStyle name="20% - Accent5 8 2 6 2" xfId="17274" xr:uid="{00000000-0005-0000-0000-00003D220000}"/>
    <cellStyle name="20% - Accent5 8 2 6 2 2" xfId="41114" xr:uid="{3601721A-A836-4589-9357-CBC1975D24C4}"/>
    <cellStyle name="20% - Accent5 8 2 6 3" xfId="25218" xr:uid="{00000000-0005-0000-0000-00003E220000}"/>
    <cellStyle name="20% - Accent5 8 2 6 3 2" xfId="49050" xr:uid="{C54DD34A-5D82-4B3B-858C-6D8F4ADDE54B}"/>
    <cellStyle name="20% - Accent5 8 2 6 4" xfId="33173" xr:uid="{667633C3-8659-4F84-B73C-271AA7FEFB3A}"/>
    <cellStyle name="20% - Accent5 8 2 7" xfId="10212" xr:uid="{00000000-0005-0000-0000-00003F220000}"/>
    <cellStyle name="20% - Accent5 8 2 7 2" xfId="34061" xr:uid="{F427A605-0957-42DD-BC65-D3A3CBB278B1}"/>
    <cellStyle name="20% - Accent5 8 2 8" xfId="18167" xr:uid="{00000000-0005-0000-0000-000040220000}"/>
    <cellStyle name="20% - Accent5 8 2 8 2" xfId="41999" xr:uid="{E8DDDA23-F40F-4565-A7E6-8C83017D578D}"/>
    <cellStyle name="20% - Accent5 8 2 9" xfId="26119" xr:uid="{ACEC0E3F-E771-4E58-9E7E-1BACCA2E78FB}"/>
    <cellStyle name="20% - Accent5 8 2_Exh G" xfId="2535" xr:uid="{00000000-0005-0000-0000-000041220000}"/>
    <cellStyle name="20% - Accent5 8 3" xfId="272" xr:uid="{00000000-0005-0000-0000-000042220000}"/>
    <cellStyle name="20% - Accent5 8 3 2" xfId="1298" xr:uid="{00000000-0005-0000-0000-000043220000}"/>
    <cellStyle name="20% - Accent5 8 3 2 2" xfId="4825" xr:uid="{00000000-0005-0000-0000-000044220000}"/>
    <cellStyle name="20% - Accent5 8 3 2 2 2" xfId="8416" xr:uid="{00000000-0005-0000-0000-000045220000}"/>
    <cellStyle name="20% - Accent5 8 3 2 2 2 2" xfId="16386" xr:uid="{00000000-0005-0000-0000-000046220000}"/>
    <cellStyle name="20% - Accent5 8 3 2 2 2 2 2" xfId="40228" xr:uid="{5D5DCD1E-2AF8-4641-8465-5EBCE4C19941}"/>
    <cellStyle name="20% - Accent5 8 3 2 2 2 3" xfId="24332" xr:uid="{00000000-0005-0000-0000-000047220000}"/>
    <cellStyle name="20% - Accent5 8 3 2 2 2 3 2" xfId="48164" xr:uid="{5FF10DA2-D151-4BC2-B182-51B2BDCE9B1B}"/>
    <cellStyle name="20% - Accent5 8 3 2 2 2 4" xfId="32287" xr:uid="{02AD6E79-D5A0-4ED1-B206-0F5BCB2315A2}"/>
    <cellStyle name="20% - Accent5 8 3 2 2 3" xfId="12848" xr:uid="{00000000-0005-0000-0000-000048220000}"/>
    <cellStyle name="20% - Accent5 8 3 2 2 3 2" xfId="36697" xr:uid="{E4F9409F-43E4-43A4-B8D4-6187D8C7F070}"/>
    <cellStyle name="20% - Accent5 8 3 2 2 4" xfId="20803" xr:uid="{00000000-0005-0000-0000-000049220000}"/>
    <cellStyle name="20% - Accent5 8 3 2 2 4 2" xfId="44635" xr:uid="{4A1289E8-7B8C-45E9-900F-6EBD1DD31E1B}"/>
    <cellStyle name="20% - Accent5 8 3 2 2 5" xfId="28756" xr:uid="{35C471C5-2CB5-402B-BEE7-C7436675A1F5}"/>
    <cellStyle name="20% - Accent5 8 3 2 3" xfId="6657" xr:uid="{00000000-0005-0000-0000-00004A220000}"/>
    <cellStyle name="20% - Accent5 8 3 2 3 2" xfId="14628" xr:uid="{00000000-0005-0000-0000-00004B220000}"/>
    <cellStyle name="20% - Accent5 8 3 2 3 2 2" xfId="38470" xr:uid="{4AAEB860-8BAD-4617-A3F4-0B3267B82081}"/>
    <cellStyle name="20% - Accent5 8 3 2 3 3" xfId="22575" xr:uid="{00000000-0005-0000-0000-00004C220000}"/>
    <cellStyle name="20% - Accent5 8 3 2 3 3 2" xfId="46407" xr:uid="{D35DEF8D-818F-442F-92A3-D2F4DD05538F}"/>
    <cellStyle name="20% - Accent5 8 3 2 3 4" xfId="30529" xr:uid="{F4094A99-6D41-4CF2-A42E-34A3F077B4E9}"/>
    <cellStyle name="20% - Accent5 8 3 2 4" xfId="11092" xr:uid="{00000000-0005-0000-0000-00004D220000}"/>
    <cellStyle name="20% - Accent5 8 3 2 4 2" xfId="34941" xr:uid="{7930120F-F69C-4C41-B0E3-EB6770D398D3}"/>
    <cellStyle name="20% - Accent5 8 3 2 5" xfId="19047" xr:uid="{00000000-0005-0000-0000-00004E220000}"/>
    <cellStyle name="20% - Accent5 8 3 2 5 2" xfId="42879" xr:uid="{D236091D-9737-4F6A-9F7F-057CB5CCA5DC}"/>
    <cellStyle name="20% - Accent5 8 3 2 6" xfId="26999" xr:uid="{98A436AD-6056-41EA-AC8F-F53F09B1483D}"/>
    <cellStyle name="20% - Accent5 8 3 2_Exh G" xfId="2540" xr:uid="{00000000-0005-0000-0000-00004F220000}"/>
    <cellStyle name="20% - Accent5 8 3 3" xfId="3946" xr:uid="{00000000-0005-0000-0000-000050220000}"/>
    <cellStyle name="20% - Accent5 8 3 3 2" xfId="7538" xr:uid="{00000000-0005-0000-0000-000051220000}"/>
    <cellStyle name="20% - Accent5 8 3 3 2 2" xfId="15508" xr:uid="{00000000-0005-0000-0000-000052220000}"/>
    <cellStyle name="20% - Accent5 8 3 3 2 2 2" xfId="39350" xr:uid="{2DD55995-1AA8-422C-A784-452F66B4F972}"/>
    <cellStyle name="20% - Accent5 8 3 3 2 3" xfId="23454" xr:uid="{00000000-0005-0000-0000-000053220000}"/>
    <cellStyle name="20% - Accent5 8 3 3 2 3 2" xfId="47286" xr:uid="{14A10D24-FC2F-48A6-88E1-BDC9B691FDF5}"/>
    <cellStyle name="20% - Accent5 8 3 3 2 4" xfId="31409" xr:uid="{C855FB0B-0E0C-46C9-9D08-D3CC23499F92}"/>
    <cellStyle name="20% - Accent5 8 3 3 3" xfId="11970" xr:uid="{00000000-0005-0000-0000-000054220000}"/>
    <cellStyle name="20% - Accent5 8 3 3 3 2" xfId="35819" xr:uid="{D300D2F2-5DEC-47E4-9754-77DD23CDC544}"/>
    <cellStyle name="20% - Accent5 8 3 3 4" xfId="19925" xr:uid="{00000000-0005-0000-0000-000055220000}"/>
    <cellStyle name="20% - Accent5 8 3 3 4 2" xfId="43757" xr:uid="{7899EDFD-44B0-40F1-95CF-92106CD2041C}"/>
    <cellStyle name="20% - Accent5 8 3 3 5" xfId="27878" xr:uid="{E8E434E7-9745-4619-9E2C-826BA3D14726}"/>
    <cellStyle name="20% - Accent5 8 3 4" xfId="5766" xr:uid="{00000000-0005-0000-0000-000056220000}"/>
    <cellStyle name="20% - Accent5 8 3 4 2" xfId="13749" xr:uid="{00000000-0005-0000-0000-000057220000}"/>
    <cellStyle name="20% - Accent5 8 3 4 2 2" xfId="37592" xr:uid="{FDF7547E-D54D-4C97-AFFA-C16F401C680E}"/>
    <cellStyle name="20% - Accent5 8 3 4 3" xfId="21697" xr:uid="{00000000-0005-0000-0000-000058220000}"/>
    <cellStyle name="20% - Accent5 8 3 4 3 2" xfId="45529" xr:uid="{F154EEA7-51F9-421E-A585-C9A699B10F8D}"/>
    <cellStyle name="20% - Accent5 8 3 4 4" xfId="29651" xr:uid="{7D7B1F12-C3F8-40DE-A374-5AEBE23BF299}"/>
    <cellStyle name="20% - Accent5 8 3 5" xfId="9318" xr:uid="{00000000-0005-0000-0000-000059220000}"/>
    <cellStyle name="20% - Accent5 8 3 5 2" xfId="17276" xr:uid="{00000000-0005-0000-0000-00005A220000}"/>
    <cellStyle name="20% - Accent5 8 3 5 2 2" xfId="41116" xr:uid="{35492D37-1882-4BCD-9741-815A0D78D18D}"/>
    <cellStyle name="20% - Accent5 8 3 5 3" xfId="25220" xr:uid="{00000000-0005-0000-0000-00005B220000}"/>
    <cellStyle name="20% - Accent5 8 3 5 3 2" xfId="49052" xr:uid="{15286BA8-F674-422E-B276-F3A2620C7481}"/>
    <cellStyle name="20% - Accent5 8 3 5 4" xfId="33175" xr:uid="{3D7F4566-7816-4943-904C-9DDC70AE6862}"/>
    <cellStyle name="20% - Accent5 8 3 6" xfId="10214" xr:uid="{00000000-0005-0000-0000-00005C220000}"/>
    <cellStyle name="20% - Accent5 8 3 6 2" xfId="34063" xr:uid="{A27CDFF5-68DB-4879-BA6E-556AE899ACA8}"/>
    <cellStyle name="20% - Accent5 8 3 7" xfId="18169" xr:uid="{00000000-0005-0000-0000-00005D220000}"/>
    <cellStyle name="20% - Accent5 8 3 7 2" xfId="42001" xr:uid="{A1EA433A-4C9A-42E4-B35F-E945CB70AA58}"/>
    <cellStyle name="20% - Accent5 8 3 8" xfId="26121" xr:uid="{376D9A50-5B18-452E-8F48-1890675926D4}"/>
    <cellStyle name="20% - Accent5 8 3_Exh G" xfId="2539" xr:uid="{00000000-0005-0000-0000-00005E220000}"/>
    <cellStyle name="20% - Accent5 8 4" xfId="917" xr:uid="{00000000-0005-0000-0000-00005F220000}"/>
    <cellStyle name="20% - Accent5 8 4 2" xfId="1840" xr:uid="{00000000-0005-0000-0000-000060220000}"/>
    <cellStyle name="20% - Accent5 8 4 2 2" xfId="5357" xr:uid="{00000000-0005-0000-0000-000061220000}"/>
    <cellStyle name="20% - Accent5 8 4 2 2 2" xfId="8948" xr:uid="{00000000-0005-0000-0000-000062220000}"/>
    <cellStyle name="20% - Accent5 8 4 2 2 2 2" xfId="16918" xr:uid="{00000000-0005-0000-0000-000063220000}"/>
    <cellStyle name="20% - Accent5 8 4 2 2 2 2 2" xfId="40760" xr:uid="{9F65D5E5-D18C-4AC4-A6FF-F3CE8A329A02}"/>
    <cellStyle name="20% - Accent5 8 4 2 2 2 3" xfId="24864" xr:uid="{00000000-0005-0000-0000-000064220000}"/>
    <cellStyle name="20% - Accent5 8 4 2 2 2 3 2" xfId="48696" xr:uid="{38AEE89D-3DC6-4CF1-8BFD-297373992D9A}"/>
    <cellStyle name="20% - Accent5 8 4 2 2 2 4" xfId="32819" xr:uid="{DFD4221E-0027-4134-9581-6664E88B9BCE}"/>
    <cellStyle name="20% - Accent5 8 4 2 2 3" xfId="13380" xr:uid="{00000000-0005-0000-0000-000065220000}"/>
    <cellStyle name="20% - Accent5 8 4 2 2 3 2" xfId="37229" xr:uid="{9EA936DC-2F70-44F2-80A7-1EE49EADA64D}"/>
    <cellStyle name="20% - Accent5 8 4 2 2 4" xfId="21335" xr:uid="{00000000-0005-0000-0000-000066220000}"/>
    <cellStyle name="20% - Accent5 8 4 2 2 4 2" xfId="45167" xr:uid="{E8614CA9-3F32-40C4-9BBD-31B7A4C4CA56}"/>
    <cellStyle name="20% - Accent5 8 4 2 2 5" xfId="29288" xr:uid="{59ED7A7C-6398-401C-A133-01B36F2A8EF8}"/>
    <cellStyle name="20% - Accent5 8 4 2 3" xfId="7189" xr:uid="{00000000-0005-0000-0000-000067220000}"/>
    <cellStyle name="20% - Accent5 8 4 2 3 2" xfId="15160" xr:uid="{00000000-0005-0000-0000-000068220000}"/>
    <cellStyle name="20% - Accent5 8 4 2 3 2 2" xfId="39002" xr:uid="{0B835287-CD27-454C-B27F-1C06D5EE795A}"/>
    <cellStyle name="20% - Accent5 8 4 2 3 3" xfId="23107" xr:uid="{00000000-0005-0000-0000-000069220000}"/>
    <cellStyle name="20% - Accent5 8 4 2 3 3 2" xfId="46939" xr:uid="{369DB548-5F7C-48D4-A268-9A450E40DC02}"/>
    <cellStyle name="20% - Accent5 8 4 2 3 4" xfId="31061" xr:uid="{980F2AFA-0195-4B0C-AA7E-70F1ECCF6B6A}"/>
    <cellStyle name="20% - Accent5 8 4 2 4" xfId="11624" xr:uid="{00000000-0005-0000-0000-00006A220000}"/>
    <cellStyle name="20% - Accent5 8 4 2 4 2" xfId="35473" xr:uid="{7D831F5B-3ED2-48F5-A0AE-3C938A70C01B}"/>
    <cellStyle name="20% - Accent5 8 4 2 5" xfId="19579" xr:uid="{00000000-0005-0000-0000-00006B220000}"/>
    <cellStyle name="20% - Accent5 8 4 2 5 2" xfId="43411" xr:uid="{894CB68E-1416-4A04-B13F-F04C856EAB30}"/>
    <cellStyle name="20% - Accent5 8 4 2 6" xfId="27531" xr:uid="{884199B6-DFF1-4B7E-BD16-3A02351CC67F}"/>
    <cellStyle name="20% - Accent5 8 4 2_Exh G" xfId="2542" xr:uid="{00000000-0005-0000-0000-00006C220000}"/>
    <cellStyle name="20% - Accent5 8 4 3" xfId="4478" xr:uid="{00000000-0005-0000-0000-00006D220000}"/>
    <cellStyle name="20% - Accent5 8 4 3 2" xfId="8070" xr:uid="{00000000-0005-0000-0000-00006E220000}"/>
    <cellStyle name="20% - Accent5 8 4 3 2 2" xfId="16040" xr:uid="{00000000-0005-0000-0000-00006F220000}"/>
    <cellStyle name="20% - Accent5 8 4 3 2 2 2" xfId="39882" xr:uid="{D5EA8939-CB40-4593-B66B-0F688C06D851}"/>
    <cellStyle name="20% - Accent5 8 4 3 2 3" xfId="23986" xr:uid="{00000000-0005-0000-0000-000070220000}"/>
    <cellStyle name="20% - Accent5 8 4 3 2 3 2" xfId="47818" xr:uid="{5C0018DC-0509-4CAE-B2D7-8B594020D257}"/>
    <cellStyle name="20% - Accent5 8 4 3 2 4" xfId="31941" xr:uid="{D6E3ACE9-F5FE-43C0-B3AA-147F6803C6BD}"/>
    <cellStyle name="20% - Accent5 8 4 3 3" xfId="12502" xr:uid="{00000000-0005-0000-0000-000071220000}"/>
    <cellStyle name="20% - Accent5 8 4 3 3 2" xfId="36351" xr:uid="{5DCE5E57-F9D1-453F-867F-F8041CBA67A7}"/>
    <cellStyle name="20% - Accent5 8 4 3 4" xfId="20457" xr:uid="{00000000-0005-0000-0000-000072220000}"/>
    <cellStyle name="20% - Accent5 8 4 3 4 2" xfId="44289" xr:uid="{BE128D19-21FE-43DC-B935-1BE959AC9F10}"/>
    <cellStyle name="20% - Accent5 8 4 3 5" xfId="28410" xr:uid="{4E232CD9-09D5-4854-8534-2A5B78A39F4D}"/>
    <cellStyle name="20% - Accent5 8 4 4" xfId="6308" xr:uid="{00000000-0005-0000-0000-000073220000}"/>
    <cellStyle name="20% - Accent5 8 4 4 2" xfId="14282" xr:uid="{00000000-0005-0000-0000-000074220000}"/>
    <cellStyle name="20% - Accent5 8 4 4 2 2" xfId="38124" xr:uid="{D3925FA9-4F35-4A7F-96A8-EF5BC75BAF7B}"/>
    <cellStyle name="20% - Accent5 8 4 4 3" xfId="22229" xr:uid="{00000000-0005-0000-0000-000075220000}"/>
    <cellStyle name="20% - Accent5 8 4 4 3 2" xfId="46061" xr:uid="{A8EEEB21-BD97-41B5-9E35-4091E0BF3DBB}"/>
    <cellStyle name="20% - Accent5 8 4 4 4" xfId="30183" xr:uid="{809B1A88-D331-403A-A414-9C4026AA6DBB}"/>
    <cellStyle name="20% - Accent5 8 4 5" xfId="9850" xr:uid="{00000000-0005-0000-0000-000076220000}"/>
    <cellStyle name="20% - Accent5 8 4 5 2" xfId="17808" xr:uid="{00000000-0005-0000-0000-000077220000}"/>
    <cellStyle name="20% - Accent5 8 4 5 2 2" xfId="41648" xr:uid="{8B754BCA-7B3A-4323-9600-B33C6EE5F447}"/>
    <cellStyle name="20% - Accent5 8 4 5 3" xfId="25752" xr:uid="{00000000-0005-0000-0000-000078220000}"/>
    <cellStyle name="20% - Accent5 8 4 5 3 2" xfId="49584" xr:uid="{69AB5C4B-020C-467F-B843-898A7F557D62}"/>
    <cellStyle name="20% - Accent5 8 4 5 4" xfId="33707" xr:uid="{AD47A51C-6174-4DB6-B482-11B06BEE99B1}"/>
    <cellStyle name="20% - Accent5 8 4 6" xfId="10746" xr:uid="{00000000-0005-0000-0000-000079220000}"/>
    <cellStyle name="20% - Accent5 8 4 6 2" xfId="34595" xr:uid="{097ACADD-ECC6-4644-843F-1E86C6EAF4E3}"/>
    <cellStyle name="20% - Accent5 8 4 7" xfId="18701" xr:uid="{00000000-0005-0000-0000-00007A220000}"/>
    <cellStyle name="20% - Accent5 8 4 7 2" xfId="42533" xr:uid="{EA720097-5159-4429-A67D-A85CCE23F089}"/>
    <cellStyle name="20% - Accent5 8 4 8" xfId="26653" xr:uid="{CC6DC358-5775-48B4-8A49-3D83BC4834D2}"/>
    <cellStyle name="20% - Accent5 8 4_Exh G" xfId="2541" xr:uid="{00000000-0005-0000-0000-00007B220000}"/>
    <cellStyle name="20% - Accent5 8 5" xfId="1295" xr:uid="{00000000-0005-0000-0000-00007C220000}"/>
    <cellStyle name="20% - Accent5 8 5 2" xfId="4822" xr:uid="{00000000-0005-0000-0000-00007D220000}"/>
    <cellStyle name="20% - Accent5 8 5 2 2" xfId="8413" xr:uid="{00000000-0005-0000-0000-00007E220000}"/>
    <cellStyle name="20% - Accent5 8 5 2 2 2" xfId="16383" xr:uid="{00000000-0005-0000-0000-00007F220000}"/>
    <cellStyle name="20% - Accent5 8 5 2 2 2 2" xfId="40225" xr:uid="{3A0ACE9F-CA5A-4793-9E43-B3EC7928CA01}"/>
    <cellStyle name="20% - Accent5 8 5 2 2 3" xfId="24329" xr:uid="{00000000-0005-0000-0000-000080220000}"/>
    <cellStyle name="20% - Accent5 8 5 2 2 3 2" xfId="48161" xr:uid="{1D914BA4-A6C8-4481-BB54-6FD6D05A7F9E}"/>
    <cellStyle name="20% - Accent5 8 5 2 2 4" xfId="32284" xr:uid="{AD4A05BA-6AE2-40D1-B11E-F7FD5CCAA3CF}"/>
    <cellStyle name="20% - Accent5 8 5 2 3" xfId="12845" xr:uid="{00000000-0005-0000-0000-000081220000}"/>
    <cellStyle name="20% - Accent5 8 5 2 3 2" xfId="36694" xr:uid="{3908EAC3-07A2-4E94-9B5C-CFCFB8523DB6}"/>
    <cellStyle name="20% - Accent5 8 5 2 4" xfId="20800" xr:uid="{00000000-0005-0000-0000-000082220000}"/>
    <cellStyle name="20% - Accent5 8 5 2 4 2" xfId="44632" xr:uid="{511F3EC0-C12A-42E3-A6F6-F1424BA38348}"/>
    <cellStyle name="20% - Accent5 8 5 2 5" xfId="28753" xr:uid="{1A17CA89-6109-488E-BF20-6EBCC157813A}"/>
    <cellStyle name="20% - Accent5 8 5 3" xfId="6654" xr:uid="{00000000-0005-0000-0000-000083220000}"/>
    <cellStyle name="20% - Accent5 8 5 3 2" xfId="14625" xr:uid="{00000000-0005-0000-0000-000084220000}"/>
    <cellStyle name="20% - Accent5 8 5 3 2 2" xfId="38467" xr:uid="{A99A7B5C-48D5-4454-A842-E856DEFE2455}"/>
    <cellStyle name="20% - Accent5 8 5 3 3" xfId="22572" xr:uid="{00000000-0005-0000-0000-000085220000}"/>
    <cellStyle name="20% - Accent5 8 5 3 3 2" xfId="46404" xr:uid="{D506478A-9F75-4FA0-92E6-2EF81153728F}"/>
    <cellStyle name="20% - Accent5 8 5 3 4" xfId="30526" xr:uid="{43A92EA4-1697-4DA3-99DD-F677E2EB16BB}"/>
    <cellStyle name="20% - Accent5 8 5 4" xfId="11089" xr:uid="{00000000-0005-0000-0000-000086220000}"/>
    <cellStyle name="20% - Accent5 8 5 4 2" xfId="34938" xr:uid="{6A356AAA-8725-41CD-9E22-A8E680CA4C0B}"/>
    <cellStyle name="20% - Accent5 8 5 5" xfId="19044" xr:uid="{00000000-0005-0000-0000-000087220000}"/>
    <cellStyle name="20% - Accent5 8 5 5 2" xfId="42876" xr:uid="{37EED30A-C6EB-4D5F-9B76-4C79714B5D7A}"/>
    <cellStyle name="20% - Accent5 8 5 6" xfId="26996" xr:uid="{5850F554-95CC-4FDA-93CB-7A79F150AE70}"/>
    <cellStyle name="20% - Accent5 8 5_Exh G" xfId="2543" xr:uid="{00000000-0005-0000-0000-000088220000}"/>
    <cellStyle name="20% - Accent5 8 6" xfId="3943" xr:uid="{00000000-0005-0000-0000-000089220000}"/>
    <cellStyle name="20% - Accent5 8 6 2" xfId="7535" xr:uid="{00000000-0005-0000-0000-00008A220000}"/>
    <cellStyle name="20% - Accent5 8 6 2 2" xfId="15505" xr:uid="{00000000-0005-0000-0000-00008B220000}"/>
    <cellStyle name="20% - Accent5 8 6 2 2 2" xfId="39347" xr:uid="{23316631-FE71-42F7-9E7F-F7B580304442}"/>
    <cellStyle name="20% - Accent5 8 6 2 3" xfId="23451" xr:uid="{00000000-0005-0000-0000-00008C220000}"/>
    <cellStyle name="20% - Accent5 8 6 2 3 2" xfId="47283" xr:uid="{3CA10832-B27E-40A7-BE6B-E71F216F7B21}"/>
    <cellStyle name="20% - Accent5 8 6 2 4" xfId="31406" xr:uid="{CC361ED6-A53B-404C-BA45-1B0ACE7B9920}"/>
    <cellStyle name="20% - Accent5 8 6 3" xfId="11967" xr:uid="{00000000-0005-0000-0000-00008D220000}"/>
    <cellStyle name="20% - Accent5 8 6 3 2" xfId="35816" xr:uid="{10B212CB-8456-47C7-9682-3A8BACC607C2}"/>
    <cellStyle name="20% - Accent5 8 6 4" xfId="19922" xr:uid="{00000000-0005-0000-0000-00008E220000}"/>
    <cellStyle name="20% - Accent5 8 6 4 2" xfId="43754" xr:uid="{A8F9AEC2-DB34-48FD-B708-8D9960C7A3FC}"/>
    <cellStyle name="20% - Accent5 8 6 5" xfId="27875" xr:uid="{960EA93A-150E-4DFE-9D0D-8DDC9952BFDE}"/>
    <cellStyle name="20% - Accent5 8 7" xfId="5763" xr:uid="{00000000-0005-0000-0000-00008F220000}"/>
    <cellStyle name="20% - Accent5 8 7 2" xfId="13746" xr:uid="{00000000-0005-0000-0000-000090220000}"/>
    <cellStyle name="20% - Accent5 8 7 2 2" xfId="37589" xr:uid="{30738EAD-99C7-4DBB-9298-879F73594F69}"/>
    <cellStyle name="20% - Accent5 8 7 3" xfId="21694" xr:uid="{00000000-0005-0000-0000-000091220000}"/>
    <cellStyle name="20% - Accent5 8 7 3 2" xfId="45526" xr:uid="{FE0947BE-11CC-4A1C-9424-31745C08B914}"/>
    <cellStyle name="20% - Accent5 8 7 4" xfId="29648" xr:uid="{AADA467A-241D-41E7-8395-7659B15473D1}"/>
    <cellStyle name="20% - Accent5 8 8" xfId="9315" xr:uid="{00000000-0005-0000-0000-000092220000}"/>
    <cellStyle name="20% - Accent5 8 8 2" xfId="17273" xr:uid="{00000000-0005-0000-0000-000093220000}"/>
    <cellStyle name="20% - Accent5 8 8 2 2" xfId="41113" xr:uid="{40C9C35C-5E6D-41F1-B71B-B02B9C608886}"/>
    <cellStyle name="20% - Accent5 8 8 3" xfId="25217" xr:uid="{00000000-0005-0000-0000-000094220000}"/>
    <cellStyle name="20% - Accent5 8 8 3 2" xfId="49049" xr:uid="{83AB1AAF-94DB-4C73-AA1C-2A3A842ECBD0}"/>
    <cellStyle name="20% - Accent5 8 8 4" xfId="33172" xr:uid="{4C275948-2577-4281-9B00-FE17879DDD70}"/>
    <cellStyle name="20% - Accent5 8 9" xfId="10211" xr:uid="{00000000-0005-0000-0000-000095220000}"/>
    <cellStyle name="20% - Accent5 8 9 2" xfId="34060" xr:uid="{DB417B7F-4783-49A9-B0E1-0E81F402BC24}"/>
    <cellStyle name="20% - Accent5 8_Exh G" xfId="2534" xr:uid="{00000000-0005-0000-0000-000096220000}"/>
    <cellStyle name="20% - Accent5 9" xfId="273" xr:uid="{00000000-0005-0000-0000-000097220000}"/>
    <cellStyle name="20% - Accent5 9 10" xfId="18170" xr:uid="{00000000-0005-0000-0000-000098220000}"/>
    <cellStyle name="20% - Accent5 9 10 2" xfId="42002" xr:uid="{98FBA05F-B290-4A3B-A798-491955AFDAE3}"/>
    <cellStyle name="20% - Accent5 9 11" xfId="26122" xr:uid="{9AC2321D-1879-4258-B3A5-65BBAAFE7DE8}"/>
    <cellStyle name="20% - Accent5 9 2" xfId="274" xr:uid="{00000000-0005-0000-0000-000099220000}"/>
    <cellStyle name="20% - Accent5 9 2 2" xfId="275" xr:uid="{00000000-0005-0000-0000-00009A220000}"/>
    <cellStyle name="20% - Accent5 9 2 2 2" xfId="1301" xr:uid="{00000000-0005-0000-0000-00009B220000}"/>
    <cellStyle name="20% - Accent5 9 2 2 2 2" xfId="4828" xr:uid="{00000000-0005-0000-0000-00009C220000}"/>
    <cellStyle name="20% - Accent5 9 2 2 2 2 2" xfId="8419" xr:uid="{00000000-0005-0000-0000-00009D220000}"/>
    <cellStyle name="20% - Accent5 9 2 2 2 2 2 2" xfId="16389" xr:uid="{00000000-0005-0000-0000-00009E220000}"/>
    <cellStyle name="20% - Accent5 9 2 2 2 2 2 2 2" xfId="40231" xr:uid="{2307BFFD-D258-4A87-82C5-7E1D293627E9}"/>
    <cellStyle name="20% - Accent5 9 2 2 2 2 2 3" xfId="24335" xr:uid="{00000000-0005-0000-0000-00009F220000}"/>
    <cellStyle name="20% - Accent5 9 2 2 2 2 2 3 2" xfId="48167" xr:uid="{17B0FDDE-6377-4938-9A1E-702111EE094D}"/>
    <cellStyle name="20% - Accent5 9 2 2 2 2 2 4" xfId="32290" xr:uid="{8DB9EB2F-8A89-418F-99C1-A66555B99468}"/>
    <cellStyle name="20% - Accent5 9 2 2 2 2 3" xfId="12851" xr:uid="{00000000-0005-0000-0000-0000A0220000}"/>
    <cellStyle name="20% - Accent5 9 2 2 2 2 3 2" xfId="36700" xr:uid="{2A2C4E47-1D1E-472C-88E0-D21036D565E9}"/>
    <cellStyle name="20% - Accent5 9 2 2 2 2 4" xfId="20806" xr:uid="{00000000-0005-0000-0000-0000A1220000}"/>
    <cellStyle name="20% - Accent5 9 2 2 2 2 4 2" xfId="44638" xr:uid="{7C8BA33E-0C6A-4A6A-8E59-2A713C2B82A8}"/>
    <cellStyle name="20% - Accent5 9 2 2 2 2 5" xfId="28759" xr:uid="{BD858F86-C536-4234-8841-FA3DD0A5994E}"/>
    <cellStyle name="20% - Accent5 9 2 2 2 3" xfId="6660" xr:uid="{00000000-0005-0000-0000-0000A2220000}"/>
    <cellStyle name="20% - Accent5 9 2 2 2 3 2" xfId="14631" xr:uid="{00000000-0005-0000-0000-0000A3220000}"/>
    <cellStyle name="20% - Accent5 9 2 2 2 3 2 2" xfId="38473" xr:uid="{D74CEBBD-423C-4C29-8020-FE7EB55849C1}"/>
    <cellStyle name="20% - Accent5 9 2 2 2 3 3" xfId="22578" xr:uid="{00000000-0005-0000-0000-0000A4220000}"/>
    <cellStyle name="20% - Accent5 9 2 2 2 3 3 2" xfId="46410" xr:uid="{F10A96BB-256C-4903-A85D-F6678C7EA04D}"/>
    <cellStyle name="20% - Accent5 9 2 2 2 3 4" xfId="30532" xr:uid="{2E264A4D-4D90-463B-AAA1-CC428DC962B8}"/>
    <cellStyle name="20% - Accent5 9 2 2 2 4" xfId="11095" xr:uid="{00000000-0005-0000-0000-0000A5220000}"/>
    <cellStyle name="20% - Accent5 9 2 2 2 4 2" xfId="34944" xr:uid="{CB485CCE-6B2F-4AEC-9EDA-CA0B3BD4CDA6}"/>
    <cellStyle name="20% - Accent5 9 2 2 2 5" xfId="19050" xr:uid="{00000000-0005-0000-0000-0000A6220000}"/>
    <cellStyle name="20% - Accent5 9 2 2 2 5 2" xfId="42882" xr:uid="{45967D9A-1045-4F2A-99EB-1C89D704912A}"/>
    <cellStyle name="20% - Accent5 9 2 2 2 6" xfId="27002" xr:uid="{D4429CB0-5CEF-4FA2-BC16-FB1E6ED14673}"/>
    <cellStyle name="20% - Accent5 9 2 2 2_Exh G" xfId="2547" xr:uid="{00000000-0005-0000-0000-0000A7220000}"/>
    <cellStyle name="20% - Accent5 9 2 2 3" xfId="3949" xr:uid="{00000000-0005-0000-0000-0000A8220000}"/>
    <cellStyle name="20% - Accent5 9 2 2 3 2" xfId="7541" xr:uid="{00000000-0005-0000-0000-0000A9220000}"/>
    <cellStyle name="20% - Accent5 9 2 2 3 2 2" xfId="15511" xr:uid="{00000000-0005-0000-0000-0000AA220000}"/>
    <cellStyle name="20% - Accent5 9 2 2 3 2 2 2" xfId="39353" xr:uid="{010A7E68-0684-4875-8107-A32150A0F693}"/>
    <cellStyle name="20% - Accent5 9 2 2 3 2 3" xfId="23457" xr:uid="{00000000-0005-0000-0000-0000AB220000}"/>
    <cellStyle name="20% - Accent5 9 2 2 3 2 3 2" xfId="47289" xr:uid="{30906A37-73CF-495C-8134-07AF56815584}"/>
    <cellStyle name="20% - Accent5 9 2 2 3 2 4" xfId="31412" xr:uid="{53355D2B-86F3-4896-AF3A-686752B8570F}"/>
    <cellStyle name="20% - Accent5 9 2 2 3 3" xfId="11973" xr:uid="{00000000-0005-0000-0000-0000AC220000}"/>
    <cellStyle name="20% - Accent5 9 2 2 3 3 2" xfId="35822" xr:uid="{705C193B-478B-4DB4-82B0-D1C4FA369E25}"/>
    <cellStyle name="20% - Accent5 9 2 2 3 4" xfId="19928" xr:uid="{00000000-0005-0000-0000-0000AD220000}"/>
    <cellStyle name="20% - Accent5 9 2 2 3 4 2" xfId="43760" xr:uid="{08EAED64-70BD-4E95-8A51-2AED633C0705}"/>
    <cellStyle name="20% - Accent5 9 2 2 3 5" xfId="27881" xr:uid="{D392E094-3EBD-49B5-A9B5-A1B46357C290}"/>
    <cellStyle name="20% - Accent5 9 2 2 4" xfId="5769" xr:uid="{00000000-0005-0000-0000-0000AE220000}"/>
    <cellStyle name="20% - Accent5 9 2 2 4 2" xfId="13752" xr:uid="{00000000-0005-0000-0000-0000AF220000}"/>
    <cellStyle name="20% - Accent5 9 2 2 4 2 2" xfId="37595" xr:uid="{7E268909-2333-4A90-955A-E7F73D23775D}"/>
    <cellStyle name="20% - Accent5 9 2 2 4 3" xfId="21700" xr:uid="{00000000-0005-0000-0000-0000B0220000}"/>
    <cellStyle name="20% - Accent5 9 2 2 4 3 2" xfId="45532" xr:uid="{F337D1C5-541E-4198-A14E-5E7A4A1E5D18}"/>
    <cellStyle name="20% - Accent5 9 2 2 4 4" xfId="29654" xr:uid="{DD5AB24A-B0AA-45AC-9218-0370B73C1711}"/>
    <cellStyle name="20% - Accent5 9 2 2 5" xfId="9321" xr:uid="{00000000-0005-0000-0000-0000B1220000}"/>
    <cellStyle name="20% - Accent5 9 2 2 5 2" xfId="17279" xr:uid="{00000000-0005-0000-0000-0000B2220000}"/>
    <cellStyle name="20% - Accent5 9 2 2 5 2 2" xfId="41119" xr:uid="{1B379ADC-E77D-4E0A-884C-705EF75E1202}"/>
    <cellStyle name="20% - Accent5 9 2 2 5 3" xfId="25223" xr:uid="{00000000-0005-0000-0000-0000B3220000}"/>
    <cellStyle name="20% - Accent5 9 2 2 5 3 2" xfId="49055" xr:uid="{77A7538D-94A6-41AB-94DD-DB32D02CAFD8}"/>
    <cellStyle name="20% - Accent5 9 2 2 5 4" xfId="33178" xr:uid="{AE8AB90C-A9A5-47DB-9342-9AD2434D1E92}"/>
    <cellStyle name="20% - Accent5 9 2 2 6" xfId="10217" xr:uid="{00000000-0005-0000-0000-0000B4220000}"/>
    <cellStyle name="20% - Accent5 9 2 2 6 2" xfId="34066" xr:uid="{980C365F-BCDD-4D18-B0F7-C14F7702FD64}"/>
    <cellStyle name="20% - Accent5 9 2 2 7" xfId="18172" xr:uid="{00000000-0005-0000-0000-0000B5220000}"/>
    <cellStyle name="20% - Accent5 9 2 2 7 2" xfId="42004" xr:uid="{B9841ED5-E9DA-4188-AD0C-EA99961F4479}"/>
    <cellStyle name="20% - Accent5 9 2 2 8" xfId="26124" xr:uid="{69224C78-5275-4A8E-BE23-878FF853C8DF}"/>
    <cellStyle name="20% - Accent5 9 2 2_Exh G" xfId="2546" xr:uid="{00000000-0005-0000-0000-0000B6220000}"/>
    <cellStyle name="20% - Accent5 9 2 3" xfId="1300" xr:uid="{00000000-0005-0000-0000-0000B7220000}"/>
    <cellStyle name="20% - Accent5 9 2 3 2" xfId="4827" xr:uid="{00000000-0005-0000-0000-0000B8220000}"/>
    <cellStyle name="20% - Accent5 9 2 3 2 2" xfId="8418" xr:uid="{00000000-0005-0000-0000-0000B9220000}"/>
    <cellStyle name="20% - Accent5 9 2 3 2 2 2" xfId="16388" xr:uid="{00000000-0005-0000-0000-0000BA220000}"/>
    <cellStyle name="20% - Accent5 9 2 3 2 2 2 2" xfId="40230" xr:uid="{16934F37-5A3F-4965-AA09-8AAC48E6721D}"/>
    <cellStyle name="20% - Accent5 9 2 3 2 2 3" xfId="24334" xr:uid="{00000000-0005-0000-0000-0000BB220000}"/>
    <cellStyle name="20% - Accent5 9 2 3 2 2 3 2" xfId="48166" xr:uid="{7FC19EE1-B367-4C30-B00A-BEFD64B65D0D}"/>
    <cellStyle name="20% - Accent5 9 2 3 2 2 4" xfId="32289" xr:uid="{2A984F25-2FBC-4B08-8914-A3B1F973BDA6}"/>
    <cellStyle name="20% - Accent5 9 2 3 2 3" xfId="12850" xr:uid="{00000000-0005-0000-0000-0000BC220000}"/>
    <cellStyle name="20% - Accent5 9 2 3 2 3 2" xfId="36699" xr:uid="{2BFBD82C-0C08-433B-9291-BA2E71FD0ADB}"/>
    <cellStyle name="20% - Accent5 9 2 3 2 4" xfId="20805" xr:uid="{00000000-0005-0000-0000-0000BD220000}"/>
    <cellStyle name="20% - Accent5 9 2 3 2 4 2" xfId="44637" xr:uid="{7A5509F6-9B08-49BA-8940-4AA7024AA427}"/>
    <cellStyle name="20% - Accent5 9 2 3 2 5" xfId="28758" xr:uid="{81D33AD7-9296-4C44-965E-61A366E67890}"/>
    <cellStyle name="20% - Accent5 9 2 3 3" xfId="6659" xr:uid="{00000000-0005-0000-0000-0000BE220000}"/>
    <cellStyle name="20% - Accent5 9 2 3 3 2" xfId="14630" xr:uid="{00000000-0005-0000-0000-0000BF220000}"/>
    <cellStyle name="20% - Accent5 9 2 3 3 2 2" xfId="38472" xr:uid="{C9CFAD95-773A-462E-BB60-E5CE3B7C6740}"/>
    <cellStyle name="20% - Accent5 9 2 3 3 3" xfId="22577" xr:uid="{00000000-0005-0000-0000-0000C0220000}"/>
    <cellStyle name="20% - Accent5 9 2 3 3 3 2" xfId="46409" xr:uid="{0471CF12-B439-4C6F-A927-93D62A510AD5}"/>
    <cellStyle name="20% - Accent5 9 2 3 3 4" xfId="30531" xr:uid="{6E4AC495-11B0-48DD-88C5-BCC7FC9B9C53}"/>
    <cellStyle name="20% - Accent5 9 2 3 4" xfId="11094" xr:uid="{00000000-0005-0000-0000-0000C1220000}"/>
    <cellStyle name="20% - Accent5 9 2 3 4 2" xfId="34943" xr:uid="{2846CC58-4E62-4DBF-923A-70F185983C89}"/>
    <cellStyle name="20% - Accent5 9 2 3 5" xfId="19049" xr:uid="{00000000-0005-0000-0000-0000C2220000}"/>
    <cellStyle name="20% - Accent5 9 2 3 5 2" xfId="42881" xr:uid="{D83B3AAC-C324-46AD-ABDE-FD7FE51E12F2}"/>
    <cellStyle name="20% - Accent5 9 2 3 6" xfId="27001" xr:uid="{BD2DAA01-A682-424B-8754-F39EB92D701A}"/>
    <cellStyle name="20% - Accent5 9 2 3_Exh G" xfId="2548" xr:uid="{00000000-0005-0000-0000-0000C3220000}"/>
    <cellStyle name="20% - Accent5 9 2 4" xfId="3948" xr:uid="{00000000-0005-0000-0000-0000C4220000}"/>
    <cellStyle name="20% - Accent5 9 2 4 2" xfId="7540" xr:uid="{00000000-0005-0000-0000-0000C5220000}"/>
    <cellStyle name="20% - Accent5 9 2 4 2 2" xfId="15510" xr:uid="{00000000-0005-0000-0000-0000C6220000}"/>
    <cellStyle name="20% - Accent5 9 2 4 2 2 2" xfId="39352" xr:uid="{63DD07CF-4615-4731-947B-9838F452AC33}"/>
    <cellStyle name="20% - Accent5 9 2 4 2 3" xfId="23456" xr:uid="{00000000-0005-0000-0000-0000C7220000}"/>
    <cellStyle name="20% - Accent5 9 2 4 2 3 2" xfId="47288" xr:uid="{DF7B2AF0-254B-4A7A-A641-6092238F16AA}"/>
    <cellStyle name="20% - Accent5 9 2 4 2 4" xfId="31411" xr:uid="{907162BD-EC95-429B-927D-154D988D28A9}"/>
    <cellStyle name="20% - Accent5 9 2 4 3" xfId="11972" xr:uid="{00000000-0005-0000-0000-0000C8220000}"/>
    <cellStyle name="20% - Accent5 9 2 4 3 2" xfId="35821" xr:uid="{0AD652A1-EE9E-47DA-A43E-F6B525ED700E}"/>
    <cellStyle name="20% - Accent5 9 2 4 4" xfId="19927" xr:uid="{00000000-0005-0000-0000-0000C9220000}"/>
    <cellStyle name="20% - Accent5 9 2 4 4 2" xfId="43759" xr:uid="{A050FAC5-A535-436B-A209-5A7CBDEB2829}"/>
    <cellStyle name="20% - Accent5 9 2 4 5" xfId="27880" xr:uid="{178A3946-0CD9-41D2-8F0C-1D594F818991}"/>
    <cellStyle name="20% - Accent5 9 2 5" xfId="5768" xr:uid="{00000000-0005-0000-0000-0000CA220000}"/>
    <cellStyle name="20% - Accent5 9 2 5 2" xfId="13751" xr:uid="{00000000-0005-0000-0000-0000CB220000}"/>
    <cellStyle name="20% - Accent5 9 2 5 2 2" xfId="37594" xr:uid="{25A9C7EC-CA85-49B6-8082-2E4E11D48AF8}"/>
    <cellStyle name="20% - Accent5 9 2 5 3" xfId="21699" xr:uid="{00000000-0005-0000-0000-0000CC220000}"/>
    <cellStyle name="20% - Accent5 9 2 5 3 2" xfId="45531" xr:uid="{ADB3C452-529F-42DA-B7EE-C1BA2C088703}"/>
    <cellStyle name="20% - Accent5 9 2 5 4" xfId="29653" xr:uid="{197354D8-2F06-4C61-A809-AF7EC48606EB}"/>
    <cellStyle name="20% - Accent5 9 2 6" xfId="9320" xr:uid="{00000000-0005-0000-0000-0000CD220000}"/>
    <cellStyle name="20% - Accent5 9 2 6 2" xfId="17278" xr:uid="{00000000-0005-0000-0000-0000CE220000}"/>
    <cellStyle name="20% - Accent5 9 2 6 2 2" xfId="41118" xr:uid="{3C19BD57-C468-442D-9568-B23B0D7136EB}"/>
    <cellStyle name="20% - Accent5 9 2 6 3" xfId="25222" xr:uid="{00000000-0005-0000-0000-0000CF220000}"/>
    <cellStyle name="20% - Accent5 9 2 6 3 2" xfId="49054" xr:uid="{25EC6E05-B85C-47A5-8CC4-121BF018242E}"/>
    <cellStyle name="20% - Accent5 9 2 6 4" xfId="33177" xr:uid="{A08EA3CF-D889-4981-AA55-48B2A522C315}"/>
    <cellStyle name="20% - Accent5 9 2 7" xfId="10216" xr:uid="{00000000-0005-0000-0000-0000D0220000}"/>
    <cellStyle name="20% - Accent5 9 2 7 2" xfId="34065" xr:uid="{EF7C2667-9176-4690-A391-CDCF59F5D296}"/>
    <cellStyle name="20% - Accent5 9 2 8" xfId="18171" xr:uid="{00000000-0005-0000-0000-0000D1220000}"/>
    <cellStyle name="20% - Accent5 9 2 8 2" xfId="42003" xr:uid="{D018ABC1-522B-4D65-B0F1-44AE98C23241}"/>
    <cellStyle name="20% - Accent5 9 2 9" xfId="26123" xr:uid="{D5DE4921-76C3-45C0-9489-9E3DF48AB553}"/>
    <cellStyle name="20% - Accent5 9 2_Exh G" xfId="2545" xr:uid="{00000000-0005-0000-0000-0000D2220000}"/>
    <cellStyle name="20% - Accent5 9 3" xfId="276" xr:uid="{00000000-0005-0000-0000-0000D3220000}"/>
    <cellStyle name="20% - Accent5 9 3 2" xfId="1302" xr:uid="{00000000-0005-0000-0000-0000D4220000}"/>
    <cellStyle name="20% - Accent5 9 3 2 2" xfId="4829" xr:uid="{00000000-0005-0000-0000-0000D5220000}"/>
    <cellStyle name="20% - Accent5 9 3 2 2 2" xfId="8420" xr:uid="{00000000-0005-0000-0000-0000D6220000}"/>
    <cellStyle name="20% - Accent5 9 3 2 2 2 2" xfId="16390" xr:uid="{00000000-0005-0000-0000-0000D7220000}"/>
    <cellStyle name="20% - Accent5 9 3 2 2 2 2 2" xfId="40232" xr:uid="{0E68C135-C4A0-4A2A-A30E-92377A712D1C}"/>
    <cellStyle name="20% - Accent5 9 3 2 2 2 3" xfId="24336" xr:uid="{00000000-0005-0000-0000-0000D8220000}"/>
    <cellStyle name="20% - Accent5 9 3 2 2 2 3 2" xfId="48168" xr:uid="{C0C68FEE-747B-4DC6-A7E3-990EA20E5ACB}"/>
    <cellStyle name="20% - Accent5 9 3 2 2 2 4" xfId="32291" xr:uid="{CC81962B-C6C6-4883-8538-C57B4613C362}"/>
    <cellStyle name="20% - Accent5 9 3 2 2 3" xfId="12852" xr:uid="{00000000-0005-0000-0000-0000D9220000}"/>
    <cellStyle name="20% - Accent5 9 3 2 2 3 2" xfId="36701" xr:uid="{26E998CE-F70F-4C8D-A9EA-087AFAC3C347}"/>
    <cellStyle name="20% - Accent5 9 3 2 2 4" xfId="20807" xr:uid="{00000000-0005-0000-0000-0000DA220000}"/>
    <cellStyle name="20% - Accent5 9 3 2 2 4 2" xfId="44639" xr:uid="{9D447A08-0CC8-4279-BF76-A099CF1CEE7F}"/>
    <cellStyle name="20% - Accent5 9 3 2 2 5" xfId="28760" xr:uid="{32DC1524-ED6A-4F8E-960B-F08719D4ACC4}"/>
    <cellStyle name="20% - Accent5 9 3 2 3" xfId="6661" xr:uid="{00000000-0005-0000-0000-0000DB220000}"/>
    <cellStyle name="20% - Accent5 9 3 2 3 2" xfId="14632" xr:uid="{00000000-0005-0000-0000-0000DC220000}"/>
    <cellStyle name="20% - Accent5 9 3 2 3 2 2" xfId="38474" xr:uid="{A95E24A4-BE86-4F0A-A163-A3DCED01656F}"/>
    <cellStyle name="20% - Accent5 9 3 2 3 3" xfId="22579" xr:uid="{00000000-0005-0000-0000-0000DD220000}"/>
    <cellStyle name="20% - Accent5 9 3 2 3 3 2" xfId="46411" xr:uid="{C066E0F6-6C3F-4EFA-AE65-8530A8759320}"/>
    <cellStyle name="20% - Accent5 9 3 2 3 4" xfId="30533" xr:uid="{AFDB811E-A11C-400D-B726-8CDDFC4721FB}"/>
    <cellStyle name="20% - Accent5 9 3 2 4" xfId="11096" xr:uid="{00000000-0005-0000-0000-0000DE220000}"/>
    <cellStyle name="20% - Accent5 9 3 2 4 2" xfId="34945" xr:uid="{76E2C77B-7878-4F6E-82BD-F502C53B930A}"/>
    <cellStyle name="20% - Accent5 9 3 2 5" xfId="19051" xr:uid="{00000000-0005-0000-0000-0000DF220000}"/>
    <cellStyle name="20% - Accent5 9 3 2 5 2" xfId="42883" xr:uid="{A8757FA2-C7EB-433C-A346-2020CA36C661}"/>
    <cellStyle name="20% - Accent5 9 3 2 6" xfId="27003" xr:uid="{DE04C215-5A6C-47D3-B21F-CAF409D21A3E}"/>
    <cellStyle name="20% - Accent5 9 3 2_Exh G" xfId="2550" xr:uid="{00000000-0005-0000-0000-0000E0220000}"/>
    <cellStyle name="20% - Accent5 9 3 3" xfId="3950" xr:uid="{00000000-0005-0000-0000-0000E1220000}"/>
    <cellStyle name="20% - Accent5 9 3 3 2" xfId="7542" xr:uid="{00000000-0005-0000-0000-0000E2220000}"/>
    <cellStyle name="20% - Accent5 9 3 3 2 2" xfId="15512" xr:uid="{00000000-0005-0000-0000-0000E3220000}"/>
    <cellStyle name="20% - Accent5 9 3 3 2 2 2" xfId="39354" xr:uid="{5AF12A76-A8E2-42EB-91ED-014AF53A673A}"/>
    <cellStyle name="20% - Accent5 9 3 3 2 3" xfId="23458" xr:uid="{00000000-0005-0000-0000-0000E4220000}"/>
    <cellStyle name="20% - Accent5 9 3 3 2 3 2" xfId="47290" xr:uid="{28A44C97-AA36-4C32-9B4E-17E2F694EE94}"/>
    <cellStyle name="20% - Accent5 9 3 3 2 4" xfId="31413" xr:uid="{280F9DDC-8EA9-44A0-9B37-104F7AA2D757}"/>
    <cellStyle name="20% - Accent5 9 3 3 3" xfId="11974" xr:uid="{00000000-0005-0000-0000-0000E5220000}"/>
    <cellStyle name="20% - Accent5 9 3 3 3 2" xfId="35823" xr:uid="{38BD2511-2CE6-44F5-B502-0DBE6BB337CD}"/>
    <cellStyle name="20% - Accent5 9 3 3 4" xfId="19929" xr:uid="{00000000-0005-0000-0000-0000E6220000}"/>
    <cellStyle name="20% - Accent5 9 3 3 4 2" xfId="43761" xr:uid="{5B1309FA-7938-4906-B865-E90AF2FA3DF8}"/>
    <cellStyle name="20% - Accent5 9 3 3 5" xfId="27882" xr:uid="{21228421-4C61-4358-A456-620E1DEB77C4}"/>
    <cellStyle name="20% - Accent5 9 3 4" xfId="5770" xr:uid="{00000000-0005-0000-0000-0000E7220000}"/>
    <cellStyle name="20% - Accent5 9 3 4 2" xfId="13753" xr:uid="{00000000-0005-0000-0000-0000E8220000}"/>
    <cellStyle name="20% - Accent5 9 3 4 2 2" xfId="37596" xr:uid="{D000D49A-9774-463B-AE3F-DB711E3FF2A0}"/>
    <cellStyle name="20% - Accent5 9 3 4 3" xfId="21701" xr:uid="{00000000-0005-0000-0000-0000E9220000}"/>
    <cellStyle name="20% - Accent5 9 3 4 3 2" xfId="45533" xr:uid="{0A10D04B-6EAE-463C-BBF0-00C84CE7E801}"/>
    <cellStyle name="20% - Accent5 9 3 4 4" xfId="29655" xr:uid="{44B2376A-6C9F-445F-8A5A-68E3005BEEFB}"/>
    <cellStyle name="20% - Accent5 9 3 5" xfId="9322" xr:uid="{00000000-0005-0000-0000-0000EA220000}"/>
    <cellStyle name="20% - Accent5 9 3 5 2" xfId="17280" xr:uid="{00000000-0005-0000-0000-0000EB220000}"/>
    <cellStyle name="20% - Accent5 9 3 5 2 2" xfId="41120" xr:uid="{DE5D69EF-3A98-4C27-8D33-8C6D8AF897D1}"/>
    <cellStyle name="20% - Accent5 9 3 5 3" xfId="25224" xr:uid="{00000000-0005-0000-0000-0000EC220000}"/>
    <cellStyle name="20% - Accent5 9 3 5 3 2" xfId="49056" xr:uid="{F5E7A6E4-45E8-4B1B-99F4-08DB9A51EBC0}"/>
    <cellStyle name="20% - Accent5 9 3 5 4" xfId="33179" xr:uid="{D04872BA-A0C8-4F0F-8F34-4AE4F132C431}"/>
    <cellStyle name="20% - Accent5 9 3 6" xfId="10218" xr:uid="{00000000-0005-0000-0000-0000ED220000}"/>
    <cellStyle name="20% - Accent5 9 3 6 2" xfId="34067" xr:uid="{99E7509B-349E-43E7-A638-2389BF35A9CE}"/>
    <cellStyle name="20% - Accent5 9 3 7" xfId="18173" xr:uid="{00000000-0005-0000-0000-0000EE220000}"/>
    <cellStyle name="20% - Accent5 9 3 7 2" xfId="42005" xr:uid="{04ACC226-9D6E-4DED-B0E9-C817705214AC}"/>
    <cellStyle name="20% - Accent5 9 3 8" xfId="26125" xr:uid="{4F49805A-A0AD-4F1F-8C5E-668BF7B745A9}"/>
    <cellStyle name="20% - Accent5 9 3_Exh G" xfId="2549" xr:uid="{00000000-0005-0000-0000-0000EF220000}"/>
    <cellStyle name="20% - Accent5 9 4" xfId="918" xr:uid="{00000000-0005-0000-0000-0000F0220000}"/>
    <cellStyle name="20% - Accent5 9 4 2" xfId="1841" xr:uid="{00000000-0005-0000-0000-0000F1220000}"/>
    <cellStyle name="20% - Accent5 9 4 2 2" xfId="5358" xr:uid="{00000000-0005-0000-0000-0000F2220000}"/>
    <cellStyle name="20% - Accent5 9 4 2 2 2" xfId="8949" xr:uid="{00000000-0005-0000-0000-0000F3220000}"/>
    <cellStyle name="20% - Accent5 9 4 2 2 2 2" xfId="16919" xr:uid="{00000000-0005-0000-0000-0000F4220000}"/>
    <cellStyle name="20% - Accent5 9 4 2 2 2 2 2" xfId="40761" xr:uid="{C7478482-B21A-4FB7-82E7-0DE45ED4102E}"/>
    <cellStyle name="20% - Accent5 9 4 2 2 2 3" xfId="24865" xr:uid="{00000000-0005-0000-0000-0000F5220000}"/>
    <cellStyle name="20% - Accent5 9 4 2 2 2 3 2" xfId="48697" xr:uid="{00A71566-A126-4385-AA7B-1C84FA9D279F}"/>
    <cellStyle name="20% - Accent5 9 4 2 2 2 4" xfId="32820" xr:uid="{7F3B076B-71AD-48B0-B774-9402A0B18F0E}"/>
    <cellStyle name="20% - Accent5 9 4 2 2 3" xfId="13381" xr:uid="{00000000-0005-0000-0000-0000F6220000}"/>
    <cellStyle name="20% - Accent5 9 4 2 2 3 2" xfId="37230" xr:uid="{C2CF800B-A5C5-4711-B6C7-513644A73C9F}"/>
    <cellStyle name="20% - Accent5 9 4 2 2 4" xfId="21336" xr:uid="{00000000-0005-0000-0000-0000F7220000}"/>
    <cellStyle name="20% - Accent5 9 4 2 2 4 2" xfId="45168" xr:uid="{7DC0E1F8-E89F-4567-8F15-A33201116581}"/>
    <cellStyle name="20% - Accent5 9 4 2 2 5" xfId="29289" xr:uid="{FD90A527-A0F8-4E26-A461-A151AF586B6A}"/>
    <cellStyle name="20% - Accent5 9 4 2 3" xfId="7190" xr:uid="{00000000-0005-0000-0000-0000F8220000}"/>
    <cellStyle name="20% - Accent5 9 4 2 3 2" xfId="15161" xr:uid="{00000000-0005-0000-0000-0000F9220000}"/>
    <cellStyle name="20% - Accent5 9 4 2 3 2 2" xfId="39003" xr:uid="{68F4FE0B-0177-416E-8E94-9E09BFF78849}"/>
    <cellStyle name="20% - Accent5 9 4 2 3 3" xfId="23108" xr:uid="{00000000-0005-0000-0000-0000FA220000}"/>
    <cellStyle name="20% - Accent5 9 4 2 3 3 2" xfId="46940" xr:uid="{843912C8-E3D5-4715-9C4C-10F2733BBAF7}"/>
    <cellStyle name="20% - Accent5 9 4 2 3 4" xfId="31062" xr:uid="{7218A352-EA21-45A6-BF88-DB614B7A28B9}"/>
    <cellStyle name="20% - Accent5 9 4 2 4" xfId="11625" xr:uid="{00000000-0005-0000-0000-0000FB220000}"/>
    <cellStyle name="20% - Accent5 9 4 2 4 2" xfId="35474" xr:uid="{D4CDF124-9FBD-4F9E-A5D8-B7FEA3CF6353}"/>
    <cellStyle name="20% - Accent5 9 4 2 5" xfId="19580" xr:uid="{00000000-0005-0000-0000-0000FC220000}"/>
    <cellStyle name="20% - Accent5 9 4 2 5 2" xfId="43412" xr:uid="{75732D31-DE50-4854-A627-38E7F34DFC1F}"/>
    <cellStyle name="20% - Accent5 9 4 2 6" xfId="27532" xr:uid="{6508D2AE-9C96-4328-BB15-D796A6B249E5}"/>
    <cellStyle name="20% - Accent5 9 4 2_Exh G" xfId="2552" xr:uid="{00000000-0005-0000-0000-0000FD220000}"/>
    <cellStyle name="20% - Accent5 9 4 3" xfId="4479" xr:uid="{00000000-0005-0000-0000-0000FE220000}"/>
    <cellStyle name="20% - Accent5 9 4 3 2" xfId="8071" xr:uid="{00000000-0005-0000-0000-0000FF220000}"/>
    <cellStyle name="20% - Accent5 9 4 3 2 2" xfId="16041" xr:uid="{00000000-0005-0000-0000-000000230000}"/>
    <cellStyle name="20% - Accent5 9 4 3 2 2 2" xfId="39883" xr:uid="{EB60D08F-87C7-4028-9A53-2B3A34914411}"/>
    <cellStyle name="20% - Accent5 9 4 3 2 3" xfId="23987" xr:uid="{00000000-0005-0000-0000-000001230000}"/>
    <cellStyle name="20% - Accent5 9 4 3 2 3 2" xfId="47819" xr:uid="{3226992E-073D-4FF7-9FB5-C76BF12351F2}"/>
    <cellStyle name="20% - Accent5 9 4 3 2 4" xfId="31942" xr:uid="{D988C668-0EDC-4FD0-9B1E-CF362A780255}"/>
    <cellStyle name="20% - Accent5 9 4 3 3" xfId="12503" xr:uid="{00000000-0005-0000-0000-000002230000}"/>
    <cellStyle name="20% - Accent5 9 4 3 3 2" xfId="36352" xr:uid="{02759ECC-69AA-4520-AE9F-CE5041A1A077}"/>
    <cellStyle name="20% - Accent5 9 4 3 4" xfId="20458" xr:uid="{00000000-0005-0000-0000-000003230000}"/>
    <cellStyle name="20% - Accent5 9 4 3 4 2" xfId="44290" xr:uid="{3D1994B9-3C45-49AA-AC93-DEEB9C4B1765}"/>
    <cellStyle name="20% - Accent5 9 4 3 5" xfId="28411" xr:uid="{61413BD1-78E4-458E-BC92-8BA74F8382C7}"/>
    <cellStyle name="20% - Accent5 9 4 4" xfId="6309" xr:uid="{00000000-0005-0000-0000-000004230000}"/>
    <cellStyle name="20% - Accent5 9 4 4 2" xfId="14283" xr:uid="{00000000-0005-0000-0000-000005230000}"/>
    <cellStyle name="20% - Accent5 9 4 4 2 2" xfId="38125" xr:uid="{D5D1EFAF-3BD1-4395-84B8-DE0CE2692ED1}"/>
    <cellStyle name="20% - Accent5 9 4 4 3" xfId="22230" xr:uid="{00000000-0005-0000-0000-000006230000}"/>
    <cellStyle name="20% - Accent5 9 4 4 3 2" xfId="46062" xr:uid="{8750230A-7D88-4DCF-984F-54D37D72A417}"/>
    <cellStyle name="20% - Accent5 9 4 4 4" xfId="30184" xr:uid="{CF36CE6C-97C5-46C1-A26D-1F54CD78A299}"/>
    <cellStyle name="20% - Accent5 9 4 5" xfId="9851" xr:uid="{00000000-0005-0000-0000-000007230000}"/>
    <cellStyle name="20% - Accent5 9 4 5 2" xfId="17809" xr:uid="{00000000-0005-0000-0000-000008230000}"/>
    <cellStyle name="20% - Accent5 9 4 5 2 2" xfId="41649" xr:uid="{43FC0EA8-302B-4052-B447-42B2C7A91661}"/>
    <cellStyle name="20% - Accent5 9 4 5 3" xfId="25753" xr:uid="{00000000-0005-0000-0000-000009230000}"/>
    <cellStyle name="20% - Accent5 9 4 5 3 2" xfId="49585" xr:uid="{3139FBD3-9A8B-4ED0-ACA9-5AF8C3FB6E65}"/>
    <cellStyle name="20% - Accent5 9 4 5 4" xfId="33708" xr:uid="{254CD19F-9452-4583-BFFA-51D03D6AC8BC}"/>
    <cellStyle name="20% - Accent5 9 4 6" xfId="10747" xr:uid="{00000000-0005-0000-0000-00000A230000}"/>
    <cellStyle name="20% - Accent5 9 4 6 2" xfId="34596" xr:uid="{40A06AE9-E5B6-4FA5-95D8-E84C90180EA0}"/>
    <cellStyle name="20% - Accent5 9 4 7" xfId="18702" xr:uid="{00000000-0005-0000-0000-00000B230000}"/>
    <cellStyle name="20% - Accent5 9 4 7 2" xfId="42534" xr:uid="{120CB8E0-7772-42A2-BFC2-2AC4CB6461E4}"/>
    <cellStyle name="20% - Accent5 9 4 8" xfId="26654" xr:uid="{A087975C-E47D-4880-9E7D-F81CC79AC8A4}"/>
    <cellStyle name="20% - Accent5 9 4_Exh G" xfId="2551" xr:uid="{00000000-0005-0000-0000-00000C230000}"/>
    <cellStyle name="20% - Accent5 9 5" xfId="1299" xr:uid="{00000000-0005-0000-0000-00000D230000}"/>
    <cellStyle name="20% - Accent5 9 5 2" xfId="4826" xr:uid="{00000000-0005-0000-0000-00000E230000}"/>
    <cellStyle name="20% - Accent5 9 5 2 2" xfId="8417" xr:uid="{00000000-0005-0000-0000-00000F230000}"/>
    <cellStyle name="20% - Accent5 9 5 2 2 2" xfId="16387" xr:uid="{00000000-0005-0000-0000-000010230000}"/>
    <cellStyle name="20% - Accent5 9 5 2 2 2 2" xfId="40229" xr:uid="{62360ECD-133E-45F2-97FC-D845B8B39351}"/>
    <cellStyle name="20% - Accent5 9 5 2 2 3" xfId="24333" xr:uid="{00000000-0005-0000-0000-000011230000}"/>
    <cellStyle name="20% - Accent5 9 5 2 2 3 2" xfId="48165" xr:uid="{4241F24B-5D30-4E1F-9F88-0D97CE6D472A}"/>
    <cellStyle name="20% - Accent5 9 5 2 2 4" xfId="32288" xr:uid="{FF3F7220-C1B7-4FD1-9242-8F6D2B93C2D0}"/>
    <cellStyle name="20% - Accent5 9 5 2 3" xfId="12849" xr:uid="{00000000-0005-0000-0000-000012230000}"/>
    <cellStyle name="20% - Accent5 9 5 2 3 2" xfId="36698" xr:uid="{E89BB603-E766-4A47-974A-58BFDCE2EB83}"/>
    <cellStyle name="20% - Accent5 9 5 2 4" xfId="20804" xr:uid="{00000000-0005-0000-0000-000013230000}"/>
    <cellStyle name="20% - Accent5 9 5 2 4 2" xfId="44636" xr:uid="{D7883CA2-B346-423D-8FE3-1B9EAE1BD151}"/>
    <cellStyle name="20% - Accent5 9 5 2 5" xfId="28757" xr:uid="{3086B9D9-723C-4021-A7F0-8606853A97EA}"/>
    <cellStyle name="20% - Accent5 9 5 3" xfId="6658" xr:uid="{00000000-0005-0000-0000-000014230000}"/>
    <cellStyle name="20% - Accent5 9 5 3 2" xfId="14629" xr:uid="{00000000-0005-0000-0000-000015230000}"/>
    <cellStyle name="20% - Accent5 9 5 3 2 2" xfId="38471" xr:uid="{124B769A-60B5-411C-B56D-6D51F42A58A1}"/>
    <cellStyle name="20% - Accent5 9 5 3 3" xfId="22576" xr:uid="{00000000-0005-0000-0000-000016230000}"/>
    <cellStyle name="20% - Accent5 9 5 3 3 2" xfId="46408" xr:uid="{39F0FF75-B046-4612-AA54-FEE3E505EF10}"/>
    <cellStyle name="20% - Accent5 9 5 3 4" xfId="30530" xr:uid="{AB84C3A6-B0BF-406A-B9BC-F40C1915B169}"/>
    <cellStyle name="20% - Accent5 9 5 4" xfId="11093" xr:uid="{00000000-0005-0000-0000-000017230000}"/>
    <cellStyle name="20% - Accent5 9 5 4 2" xfId="34942" xr:uid="{289C6866-1E06-4F2A-BE8F-5BB20800F141}"/>
    <cellStyle name="20% - Accent5 9 5 5" xfId="19048" xr:uid="{00000000-0005-0000-0000-000018230000}"/>
    <cellStyle name="20% - Accent5 9 5 5 2" xfId="42880" xr:uid="{F7B8E422-3EC0-45A4-B0E9-61C5786B5E5A}"/>
    <cellStyle name="20% - Accent5 9 5 6" xfId="27000" xr:uid="{7F8CA333-920D-4C42-8590-5416C6D12C55}"/>
    <cellStyle name="20% - Accent5 9 5_Exh G" xfId="2553" xr:uid="{00000000-0005-0000-0000-000019230000}"/>
    <cellStyle name="20% - Accent5 9 6" xfId="3947" xr:uid="{00000000-0005-0000-0000-00001A230000}"/>
    <cellStyle name="20% - Accent5 9 6 2" xfId="7539" xr:uid="{00000000-0005-0000-0000-00001B230000}"/>
    <cellStyle name="20% - Accent5 9 6 2 2" xfId="15509" xr:uid="{00000000-0005-0000-0000-00001C230000}"/>
    <cellStyle name="20% - Accent5 9 6 2 2 2" xfId="39351" xr:uid="{C9BF4BE6-65BF-4FEA-9ED5-0A54A86AD6A0}"/>
    <cellStyle name="20% - Accent5 9 6 2 3" xfId="23455" xr:uid="{00000000-0005-0000-0000-00001D230000}"/>
    <cellStyle name="20% - Accent5 9 6 2 3 2" xfId="47287" xr:uid="{5BEB78F0-A732-4098-8F7D-7E3CE89181D0}"/>
    <cellStyle name="20% - Accent5 9 6 2 4" xfId="31410" xr:uid="{E5F35E77-E5BD-4CF4-87D2-88353D770DDE}"/>
    <cellStyle name="20% - Accent5 9 6 3" xfId="11971" xr:uid="{00000000-0005-0000-0000-00001E230000}"/>
    <cellStyle name="20% - Accent5 9 6 3 2" xfId="35820" xr:uid="{8585A7B2-C6FB-4EFF-A078-89B11D758C5B}"/>
    <cellStyle name="20% - Accent5 9 6 4" xfId="19926" xr:uid="{00000000-0005-0000-0000-00001F230000}"/>
    <cellStyle name="20% - Accent5 9 6 4 2" xfId="43758" xr:uid="{13057AF1-81C4-413D-8B87-7C843B998DA6}"/>
    <cellStyle name="20% - Accent5 9 6 5" xfId="27879" xr:uid="{831E2F64-C4FB-4504-910B-8085FC13C6F9}"/>
    <cellStyle name="20% - Accent5 9 7" xfId="5767" xr:uid="{00000000-0005-0000-0000-000020230000}"/>
    <cellStyle name="20% - Accent5 9 7 2" xfId="13750" xr:uid="{00000000-0005-0000-0000-000021230000}"/>
    <cellStyle name="20% - Accent5 9 7 2 2" xfId="37593" xr:uid="{E503BC5D-4F80-42CC-8D39-15C11E260514}"/>
    <cellStyle name="20% - Accent5 9 7 3" xfId="21698" xr:uid="{00000000-0005-0000-0000-000022230000}"/>
    <cellStyle name="20% - Accent5 9 7 3 2" xfId="45530" xr:uid="{0590283C-CFF5-4BCF-A6BF-6AFF39C3EAA0}"/>
    <cellStyle name="20% - Accent5 9 7 4" xfId="29652" xr:uid="{4E6CECF1-68F4-4A2C-A2AC-AF97A9AC3827}"/>
    <cellStyle name="20% - Accent5 9 8" xfId="9319" xr:uid="{00000000-0005-0000-0000-000023230000}"/>
    <cellStyle name="20% - Accent5 9 8 2" xfId="17277" xr:uid="{00000000-0005-0000-0000-000024230000}"/>
    <cellStyle name="20% - Accent5 9 8 2 2" xfId="41117" xr:uid="{11CB5479-8DAC-4FA5-BA80-F2761FA04F46}"/>
    <cellStyle name="20% - Accent5 9 8 3" xfId="25221" xr:uid="{00000000-0005-0000-0000-000025230000}"/>
    <cellStyle name="20% - Accent5 9 8 3 2" xfId="49053" xr:uid="{97EA5E93-C548-4AC4-845A-B2A346E2B4B8}"/>
    <cellStyle name="20% - Accent5 9 8 4" xfId="33176" xr:uid="{0DDF44E7-F717-494F-9875-7B3BCDDB99C7}"/>
    <cellStyle name="20% - Accent5 9 9" xfId="10215" xr:uid="{00000000-0005-0000-0000-000026230000}"/>
    <cellStyle name="20% - Accent5 9 9 2" xfId="34064" xr:uid="{CC40BB96-1B2B-4895-8A46-B7BD69BAE238}"/>
    <cellStyle name="20% - Accent5 9_Exh G" xfId="2544" xr:uid="{00000000-0005-0000-0000-000027230000}"/>
    <cellStyle name="20% - Accent6" xfId="49695" builtinId="50" customBuiltin="1"/>
    <cellStyle name="20% - Accent6 10" xfId="277" xr:uid="{00000000-0005-0000-0000-000028230000}"/>
    <cellStyle name="20% - Accent6 10 10" xfId="18174" xr:uid="{00000000-0005-0000-0000-000029230000}"/>
    <cellStyle name="20% - Accent6 10 10 2" xfId="42006" xr:uid="{0915E317-8710-4E97-A460-DB7048DABB30}"/>
    <cellStyle name="20% - Accent6 10 11" xfId="26126" xr:uid="{82873D75-37B7-471B-B3CC-6F7C00C19315}"/>
    <cellStyle name="20% - Accent6 10 2" xfId="278" xr:uid="{00000000-0005-0000-0000-00002A230000}"/>
    <cellStyle name="20% - Accent6 10 2 2" xfId="279" xr:uid="{00000000-0005-0000-0000-00002B230000}"/>
    <cellStyle name="20% - Accent6 10 2 2 2" xfId="1305" xr:uid="{00000000-0005-0000-0000-00002C230000}"/>
    <cellStyle name="20% - Accent6 10 2 2 2 2" xfId="4832" xr:uid="{00000000-0005-0000-0000-00002D230000}"/>
    <cellStyle name="20% - Accent6 10 2 2 2 2 2" xfId="8423" xr:uid="{00000000-0005-0000-0000-00002E230000}"/>
    <cellStyle name="20% - Accent6 10 2 2 2 2 2 2" xfId="16393" xr:uid="{00000000-0005-0000-0000-00002F230000}"/>
    <cellStyle name="20% - Accent6 10 2 2 2 2 2 2 2" xfId="40235" xr:uid="{B64CE5BE-6798-4035-9F1D-7DA614EB9A1B}"/>
    <cellStyle name="20% - Accent6 10 2 2 2 2 2 3" xfId="24339" xr:uid="{00000000-0005-0000-0000-000030230000}"/>
    <cellStyle name="20% - Accent6 10 2 2 2 2 2 3 2" xfId="48171" xr:uid="{A946765E-7C52-437D-B1BF-7077B5B69C67}"/>
    <cellStyle name="20% - Accent6 10 2 2 2 2 2 4" xfId="32294" xr:uid="{A755B1DD-9BF4-4E4D-818E-061D6630CC2C}"/>
    <cellStyle name="20% - Accent6 10 2 2 2 2 3" xfId="12855" xr:uid="{00000000-0005-0000-0000-000031230000}"/>
    <cellStyle name="20% - Accent6 10 2 2 2 2 3 2" xfId="36704" xr:uid="{077CD47D-3159-4FFA-B761-678EE431A979}"/>
    <cellStyle name="20% - Accent6 10 2 2 2 2 4" xfId="20810" xr:uid="{00000000-0005-0000-0000-000032230000}"/>
    <cellStyle name="20% - Accent6 10 2 2 2 2 4 2" xfId="44642" xr:uid="{FCA1AE93-2163-4238-9F7D-FACF4B03E8C8}"/>
    <cellStyle name="20% - Accent6 10 2 2 2 2 5" xfId="28763" xr:uid="{ABC9CB60-1C3F-4502-8274-4EBF4E48DAA8}"/>
    <cellStyle name="20% - Accent6 10 2 2 2 3" xfId="6664" xr:uid="{00000000-0005-0000-0000-000033230000}"/>
    <cellStyle name="20% - Accent6 10 2 2 2 3 2" xfId="14635" xr:uid="{00000000-0005-0000-0000-000034230000}"/>
    <cellStyle name="20% - Accent6 10 2 2 2 3 2 2" xfId="38477" xr:uid="{684306A9-5987-4699-97A0-E458623FF1AA}"/>
    <cellStyle name="20% - Accent6 10 2 2 2 3 3" xfId="22582" xr:uid="{00000000-0005-0000-0000-000035230000}"/>
    <cellStyle name="20% - Accent6 10 2 2 2 3 3 2" xfId="46414" xr:uid="{B7CD0C2B-2CAD-45A2-9F50-B4A29F0E8CD1}"/>
    <cellStyle name="20% - Accent6 10 2 2 2 3 4" xfId="30536" xr:uid="{5886E00A-1ABC-45E7-92AB-F991263FA1A0}"/>
    <cellStyle name="20% - Accent6 10 2 2 2 4" xfId="11099" xr:uid="{00000000-0005-0000-0000-000036230000}"/>
    <cellStyle name="20% - Accent6 10 2 2 2 4 2" xfId="34948" xr:uid="{F5ED78DF-7452-4D9A-9050-C1EE43BBFDCC}"/>
    <cellStyle name="20% - Accent6 10 2 2 2 5" xfId="19054" xr:uid="{00000000-0005-0000-0000-000037230000}"/>
    <cellStyle name="20% - Accent6 10 2 2 2 5 2" xfId="42886" xr:uid="{0A3AFF94-1B6D-422B-BF48-312C085C90FB}"/>
    <cellStyle name="20% - Accent6 10 2 2 2 6" xfId="27006" xr:uid="{972974FD-C496-4F4C-A926-45CCF20FEEF7}"/>
    <cellStyle name="20% - Accent6 10 2 2 2_Exh G" xfId="2557" xr:uid="{00000000-0005-0000-0000-000038230000}"/>
    <cellStyle name="20% - Accent6 10 2 2 3" xfId="3953" xr:uid="{00000000-0005-0000-0000-000039230000}"/>
    <cellStyle name="20% - Accent6 10 2 2 3 2" xfId="7545" xr:uid="{00000000-0005-0000-0000-00003A230000}"/>
    <cellStyle name="20% - Accent6 10 2 2 3 2 2" xfId="15515" xr:uid="{00000000-0005-0000-0000-00003B230000}"/>
    <cellStyle name="20% - Accent6 10 2 2 3 2 2 2" xfId="39357" xr:uid="{CFED0CDD-0B67-4EDA-9419-8A4B88BD2F9C}"/>
    <cellStyle name="20% - Accent6 10 2 2 3 2 3" xfId="23461" xr:uid="{00000000-0005-0000-0000-00003C230000}"/>
    <cellStyle name="20% - Accent6 10 2 2 3 2 3 2" xfId="47293" xr:uid="{49F3F1CC-F442-4213-AD81-6E2AB5699D49}"/>
    <cellStyle name="20% - Accent6 10 2 2 3 2 4" xfId="31416" xr:uid="{96D9EF8C-8367-4984-89F1-3D2EDE15DDB8}"/>
    <cellStyle name="20% - Accent6 10 2 2 3 3" xfId="11977" xr:uid="{00000000-0005-0000-0000-00003D230000}"/>
    <cellStyle name="20% - Accent6 10 2 2 3 3 2" xfId="35826" xr:uid="{9C1513C9-E158-4D38-8647-576797CE7EDA}"/>
    <cellStyle name="20% - Accent6 10 2 2 3 4" xfId="19932" xr:uid="{00000000-0005-0000-0000-00003E230000}"/>
    <cellStyle name="20% - Accent6 10 2 2 3 4 2" xfId="43764" xr:uid="{8C142EAA-DA9D-43A3-92A5-D6BDC12F5845}"/>
    <cellStyle name="20% - Accent6 10 2 2 3 5" xfId="27885" xr:uid="{742FC227-33EE-4FE6-A567-9A9F72CFA79E}"/>
    <cellStyle name="20% - Accent6 10 2 2 4" xfId="5773" xr:uid="{00000000-0005-0000-0000-00003F230000}"/>
    <cellStyle name="20% - Accent6 10 2 2 4 2" xfId="13756" xr:uid="{00000000-0005-0000-0000-000040230000}"/>
    <cellStyle name="20% - Accent6 10 2 2 4 2 2" xfId="37599" xr:uid="{0FB96AD9-52B3-420A-A5BA-826D0D52C8E5}"/>
    <cellStyle name="20% - Accent6 10 2 2 4 3" xfId="21704" xr:uid="{00000000-0005-0000-0000-000041230000}"/>
    <cellStyle name="20% - Accent6 10 2 2 4 3 2" xfId="45536" xr:uid="{0D511A9C-B467-400E-831C-3E1A9996EC35}"/>
    <cellStyle name="20% - Accent6 10 2 2 4 4" xfId="29658" xr:uid="{804577CF-BC7F-43A1-9CBD-C84776C11855}"/>
    <cellStyle name="20% - Accent6 10 2 2 5" xfId="9325" xr:uid="{00000000-0005-0000-0000-000042230000}"/>
    <cellStyle name="20% - Accent6 10 2 2 5 2" xfId="17283" xr:uid="{00000000-0005-0000-0000-000043230000}"/>
    <cellStyle name="20% - Accent6 10 2 2 5 2 2" xfId="41123" xr:uid="{C2F7F253-FDC3-4893-8C04-71686ADAAF53}"/>
    <cellStyle name="20% - Accent6 10 2 2 5 3" xfId="25227" xr:uid="{00000000-0005-0000-0000-000044230000}"/>
    <cellStyle name="20% - Accent6 10 2 2 5 3 2" xfId="49059" xr:uid="{FCB1489F-5CB4-4339-AC10-EDF8C769B29F}"/>
    <cellStyle name="20% - Accent6 10 2 2 5 4" xfId="33182" xr:uid="{61DF236A-EF67-4005-B1DA-DE546988DFA5}"/>
    <cellStyle name="20% - Accent6 10 2 2 6" xfId="10221" xr:uid="{00000000-0005-0000-0000-000045230000}"/>
    <cellStyle name="20% - Accent6 10 2 2 6 2" xfId="34070" xr:uid="{7FE9ECF2-6C7E-42CA-B2E6-0592B6FB1538}"/>
    <cellStyle name="20% - Accent6 10 2 2 7" xfId="18176" xr:uid="{00000000-0005-0000-0000-000046230000}"/>
    <cellStyle name="20% - Accent6 10 2 2 7 2" xfId="42008" xr:uid="{85AEF670-D9CA-485A-8273-86FB322AEBAC}"/>
    <cellStyle name="20% - Accent6 10 2 2 8" xfId="26128" xr:uid="{E0605D09-A31B-4656-8051-E4BD08DF3736}"/>
    <cellStyle name="20% - Accent6 10 2 2_Exh G" xfId="2556" xr:uid="{00000000-0005-0000-0000-000047230000}"/>
    <cellStyle name="20% - Accent6 10 2 3" xfId="1304" xr:uid="{00000000-0005-0000-0000-000048230000}"/>
    <cellStyle name="20% - Accent6 10 2 3 2" xfId="4831" xr:uid="{00000000-0005-0000-0000-000049230000}"/>
    <cellStyle name="20% - Accent6 10 2 3 2 2" xfId="8422" xr:uid="{00000000-0005-0000-0000-00004A230000}"/>
    <cellStyle name="20% - Accent6 10 2 3 2 2 2" xfId="16392" xr:uid="{00000000-0005-0000-0000-00004B230000}"/>
    <cellStyle name="20% - Accent6 10 2 3 2 2 2 2" xfId="40234" xr:uid="{7AB0E97D-FE4F-4BEA-912A-93D0D0043F4F}"/>
    <cellStyle name="20% - Accent6 10 2 3 2 2 3" xfId="24338" xr:uid="{00000000-0005-0000-0000-00004C230000}"/>
    <cellStyle name="20% - Accent6 10 2 3 2 2 3 2" xfId="48170" xr:uid="{EC9D04E9-1067-41B4-8B1E-C806DC2FE2DC}"/>
    <cellStyle name="20% - Accent6 10 2 3 2 2 4" xfId="32293" xr:uid="{15631D7E-D3AA-46F9-B127-F0B4139EB6AE}"/>
    <cellStyle name="20% - Accent6 10 2 3 2 3" xfId="12854" xr:uid="{00000000-0005-0000-0000-00004D230000}"/>
    <cellStyle name="20% - Accent6 10 2 3 2 3 2" xfId="36703" xr:uid="{40B8B933-8525-498E-867D-C6C15DE674BA}"/>
    <cellStyle name="20% - Accent6 10 2 3 2 4" xfId="20809" xr:uid="{00000000-0005-0000-0000-00004E230000}"/>
    <cellStyle name="20% - Accent6 10 2 3 2 4 2" xfId="44641" xr:uid="{464A4F4B-3331-4F0A-957A-D107CC89D6EE}"/>
    <cellStyle name="20% - Accent6 10 2 3 2 5" xfId="28762" xr:uid="{3A8DA7CC-C7D7-42CB-BCFF-7CED0BB13829}"/>
    <cellStyle name="20% - Accent6 10 2 3 3" xfId="6663" xr:uid="{00000000-0005-0000-0000-00004F230000}"/>
    <cellStyle name="20% - Accent6 10 2 3 3 2" xfId="14634" xr:uid="{00000000-0005-0000-0000-000050230000}"/>
    <cellStyle name="20% - Accent6 10 2 3 3 2 2" xfId="38476" xr:uid="{6274EC91-03E5-4576-B040-666EF4511201}"/>
    <cellStyle name="20% - Accent6 10 2 3 3 3" xfId="22581" xr:uid="{00000000-0005-0000-0000-000051230000}"/>
    <cellStyle name="20% - Accent6 10 2 3 3 3 2" xfId="46413" xr:uid="{6A139CFF-6586-4768-A6F0-ECFA49FE0D59}"/>
    <cellStyle name="20% - Accent6 10 2 3 3 4" xfId="30535" xr:uid="{EFC4AFB2-23EC-43B7-B130-94373B384E50}"/>
    <cellStyle name="20% - Accent6 10 2 3 4" xfId="11098" xr:uid="{00000000-0005-0000-0000-000052230000}"/>
    <cellStyle name="20% - Accent6 10 2 3 4 2" xfId="34947" xr:uid="{2F3024A3-15D1-4106-AA8A-EC639C9DD9AF}"/>
    <cellStyle name="20% - Accent6 10 2 3 5" xfId="19053" xr:uid="{00000000-0005-0000-0000-000053230000}"/>
    <cellStyle name="20% - Accent6 10 2 3 5 2" xfId="42885" xr:uid="{8542E6E9-2836-48D9-9145-283D9AF239B5}"/>
    <cellStyle name="20% - Accent6 10 2 3 6" xfId="27005" xr:uid="{BC797465-EBE5-41EF-8BBF-4C7488421C24}"/>
    <cellStyle name="20% - Accent6 10 2 3_Exh G" xfId="2558" xr:uid="{00000000-0005-0000-0000-000054230000}"/>
    <cellStyle name="20% - Accent6 10 2 4" xfId="3952" xr:uid="{00000000-0005-0000-0000-000055230000}"/>
    <cellStyle name="20% - Accent6 10 2 4 2" xfId="7544" xr:uid="{00000000-0005-0000-0000-000056230000}"/>
    <cellStyle name="20% - Accent6 10 2 4 2 2" xfId="15514" xr:uid="{00000000-0005-0000-0000-000057230000}"/>
    <cellStyle name="20% - Accent6 10 2 4 2 2 2" xfId="39356" xr:uid="{DF4F9112-839F-4326-8F71-2407A247B0AB}"/>
    <cellStyle name="20% - Accent6 10 2 4 2 3" xfId="23460" xr:uid="{00000000-0005-0000-0000-000058230000}"/>
    <cellStyle name="20% - Accent6 10 2 4 2 3 2" xfId="47292" xr:uid="{70CF2AF5-681C-4171-9F21-F3FD8AEC249E}"/>
    <cellStyle name="20% - Accent6 10 2 4 2 4" xfId="31415" xr:uid="{4EC0A9B7-7E05-41EB-B4A2-7A6CE24CCB81}"/>
    <cellStyle name="20% - Accent6 10 2 4 3" xfId="11976" xr:uid="{00000000-0005-0000-0000-000059230000}"/>
    <cellStyle name="20% - Accent6 10 2 4 3 2" xfId="35825" xr:uid="{0616C0A3-68BA-4CEE-9C57-2BE9DDD0CD27}"/>
    <cellStyle name="20% - Accent6 10 2 4 4" xfId="19931" xr:uid="{00000000-0005-0000-0000-00005A230000}"/>
    <cellStyle name="20% - Accent6 10 2 4 4 2" xfId="43763" xr:uid="{C357BA99-186E-44E9-AACD-C2DD2504B8B3}"/>
    <cellStyle name="20% - Accent6 10 2 4 5" xfId="27884" xr:uid="{47487C26-058E-4B66-8B42-783E3F29B3AE}"/>
    <cellStyle name="20% - Accent6 10 2 5" xfId="5772" xr:uid="{00000000-0005-0000-0000-00005B230000}"/>
    <cellStyle name="20% - Accent6 10 2 5 2" xfId="13755" xr:uid="{00000000-0005-0000-0000-00005C230000}"/>
    <cellStyle name="20% - Accent6 10 2 5 2 2" xfId="37598" xr:uid="{D5655E10-67F3-47E0-8AFD-8DF69E3E4C7C}"/>
    <cellStyle name="20% - Accent6 10 2 5 3" xfId="21703" xr:uid="{00000000-0005-0000-0000-00005D230000}"/>
    <cellStyle name="20% - Accent6 10 2 5 3 2" xfId="45535" xr:uid="{B822AB94-3997-4257-828C-BBC2BD22778C}"/>
    <cellStyle name="20% - Accent6 10 2 5 4" xfId="29657" xr:uid="{E8C97751-12C7-4470-9891-E98B88F6712F}"/>
    <cellStyle name="20% - Accent6 10 2 6" xfId="9324" xr:uid="{00000000-0005-0000-0000-00005E230000}"/>
    <cellStyle name="20% - Accent6 10 2 6 2" xfId="17282" xr:uid="{00000000-0005-0000-0000-00005F230000}"/>
    <cellStyle name="20% - Accent6 10 2 6 2 2" xfId="41122" xr:uid="{A98738E6-E87E-4888-9054-49129CE2D14A}"/>
    <cellStyle name="20% - Accent6 10 2 6 3" xfId="25226" xr:uid="{00000000-0005-0000-0000-000060230000}"/>
    <cellStyle name="20% - Accent6 10 2 6 3 2" xfId="49058" xr:uid="{319FCE9C-55FF-4EF1-AFFA-BD857272D4CC}"/>
    <cellStyle name="20% - Accent6 10 2 6 4" xfId="33181" xr:uid="{99A54E09-0ED0-447C-8EBD-157DC4D459B4}"/>
    <cellStyle name="20% - Accent6 10 2 7" xfId="10220" xr:uid="{00000000-0005-0000-0000-000061230000}"/>
    <cellStyle name="20% - Accent6 10 2 7 2" xfId="34069" xr:uid="{0CFA27EA-F0B5-4213-896C-B526F425F9A4}"/>
    <cellStyle name="20% - Accent6 10 2 8" xfId="18175" xr:uid="{00000000-0005-0000-0000-000062230000}"/>
    <cellStyle name="20% - Accent6 10 2 8 2" xfId="42007" xr:uid="{8EA350C5-8D93-4844-BD2B-F086D7889E29}"/>
    <cellStyle name="20% - Accent6 10 2 9" xfId="26127" xr:uid="{D08312A6-AE47-47C5-A3C0-6992DACD45D2}"/>
    <cellStyle name="20% - Accent6 10 2_Exh G" xfId="2555" xr:uid="{00000000-0005-0000-0000-000063230000}"/>
    <cellStyle name="20% - Accent6 10 3" xfId="280" xr:uid="{00000000-0005-0000-0000-000064230000}"/>
    <cellStyle name="20% - Accent6 10 3 2" xfId="1306" xr:uid="{00000000-0005-0000-0000-000065230000}"/>
    <cellStyle name="20% - Accent6 10 3 2 2" xfId="4833" xr:uid="{00000000-0005-0000-0000-000066230000}"/>
    <cellStyle name="20% - Accent6 10 3 2 2 2" xfId="8424" xr:uid="{00000000-0005-0000-0000-000067230000}"/>
    <cellStyle name="20% - Accent6 10 3 2 2 2 2" xfId="16394" xr:uid="{00000000-0005-0000-0000-000068230000}"/>
    <cellStyle name="20% - Accent6 10 3 2 2 2 2 2" xfId="40236" xr:uid="{37A7B57C-AB5D-4EF9-BBB4-277889BD3031}"/>
    <cellStyle name="20% - Accent6 10 3 2 2 2 3" xfId="24340" xr:uid="{00000000-0005-0000-0000-000069230000}"/>
    <cellStyle name="20% - Accent6 10 3 2 2 2 3 2" xfId="48172" xr:uid="{3A9314DF-0AA6-4BF5-AC16-E9808AD82853}"/>
    <cellStyle name="20% - Accent6 10 3 2 2 2 4" xfId="32295" xr:uid="{CDE0F255-0864-4E98-BC52-B6C8B241C10D}"/>
    <cellStyle name="20% - Accent6 10 3 2 2 3" xfId="12856" xr:uid="{00000000-0005-0000-0000-00006A230000}"/>
    <cellStyle name="20% - Accent6 10 3 2 2 3 2" xfId="36705" xr:uid="{B3FEF05C-BFAD-4E89-B66D-0CDC9A2A628E}"/>
    <cellStyle name="20% - Accent6 10 3 2 2 4" xfId="20811" xr:uid="{00000000-0005-0000-0000-00006B230000}"/>
    <cellStyle name="20% - Accent6 10 3 2 2 4 2" xfId="44643" xr:uid="{E179FB02-CA1B-4360-A354-4FADA99FB49B}"/>
    <cellStyle name="20% - Accent6 10 3 2 2 5" xfId="28764" xr:uid="{DB32282B-FEDE-4720-815C-47D467894343}"/>
    <cellStyle name="20% - Accent6 10 3 2 3" xfId="6665" xr:uid="{00000000-0005-0000-0000-00006C230000}"/>
    <cellStyle name="20% - Accent6 10 3 2 3 2" xfId="14636" xr:uid="{00000000-0005-0000-0000-00006D230000}"/>
    <cellStyle name="20% - Accent6 10 3 2 3 2 2" xfId="38478" xr:uid="{D464229D-1DC5-4B94-9A02-45DCF04B3000}"/>
    <cellStyle name="20% - Accent6 10 3 2 3 3" xfId="22583" xr:uid="{00000000-0005-0000-0000-00006E230000}"/>
    <cellStyle name="20% - Accent6 10 3 2 3 3 2" xfId="46415" xr:uid="{07886144-ED0F-4F85-9108-7E8DEE02B4C0}"/>
    <cellStyle name="20% - Accent6 10 3 2 3 4" xfId="30537" xr:uid="{F5CC4192-1BEE-4F97-9195-B2D1423A4B8A}"/>
    <cellStyle name="20% - Accent6 10 3 2 4" xfId="11100" xr:uid="{00000000-0005-0000-0000-00006F230000}"/>
    <cellStyle name="20% - Accent6 10 3 2 4 2" xfId="34949" xr:uid="{A188D8F8-A918-4BEA-9C9A-C866CFC01B3F}"/>
    <cellStyle name="20% - Accent6 10 3 2 5" xfId="19055" xr:uid="{00000000-0005-0000-0000-000070230000}"/>
    <cellStyle name="20% - Accent6 10 3 2 5 2" xfId="42887" xr:uid="{DCD1E525-DFA3-4594-93E0-6C4B7E699CB4}"/>
    <cellStyle name="20% - Accent6 10 3 2 6" xfId="27007" xr:uid="{2CB411C1-E134-4902-A9F9-127B3AB50C72}"/>
    <cellStyle name="20% - Accent6 10 3 2_Exh G" xfId="2560" xr:uid="{00000000-0005-0000-0000-000071230000}"/>
    <cellStyle name="20% - Accent6 10 3 3" xfId="3954" xr:uid="{00000000-0005-0000-0000-000072230000}"/>
    <cellStyle name="20% - Accent6 10 3 3 2" xfId="7546" xr:uid="{00000000-0005-0000-0000-000073230000}"/>
    <cellStyle name="20% - Accent6 10 3 3 2 2" xfId="15516" xr:uid="{00000000-0005-0000-0000-000074230000}"/>
    <cellStyle name="20% - Accent6 10 3 3 2 2 2" xfId="39358" xr:uid="{A40E730E-1EDB-4B5B-94D6-3AE158E92D05}"/>
    <cellStyle name="20% - Accent6 10 3 3 2 3" xfId="23462" xr:uid="{00000000-0005-0000-0000-000075230000}"/>
    <cellStyle name="20% - Accent6 10 3 3 2 3 2" xfId="47294" xr:uid="{68B70453-E745-47EC-9D20-9D8104FBB8D8}"/>
    <cellStyle name="20% - Accent6 10 3 3 2 4" xfId="31417" xr:uid="{0A3F745B-1B5D-417B-868C-B8D573BDDEE9}"/>
    <cellStyle name="20% - Accent6 10 3 3 3" xfId="11978" xr:uid="{00000000-0005-0000-0000-000076230000}"/>
    <cellStyle name="20% - Accent6 10 3 3 3 2" xfId="35827" xr:uid="{690D74D4-90F8-443B-8A95-6C2135D01BFE}"/>
    <cellStyle name="20% - Accent6 10 3 3 4" xfId="19933" xr:uid="{00000000-0005-0000-0000-000077230000}"/>
    <cellStyle name="20% - Accent6 10 3 3 4 2" xfId="43765" xr:uid="{D682069B-7FAF-495C-A14A-33D8206DA184}"/>
    <cellStyle name="20% - Accent6 10 3 3 5" xfId="27886" xr:uid="{02C1ABDC-5A9D-4654-88E7-55B04E9F36ED}"/>
    <cellStyle name="20% - Accent6 10 3 4" xfId="5774" xr:uid="{00000000-0005-0000-0000-000078230000}"/>
    <cellStyle name="20% - Accent6 10 3 4 2" xfId="13757" xr:uid="{00000000-0005-0000-0000-000079230000}"/>
    <cellStyle name="20% - Accent6 10 3 4 2 2" xfId="37600" xr:uid="{33729036-1DFE-44D5-A55F-02B5C2AA35AD}"/>
    <cellStyle name="20% - Accent6 10 3 4 3" xfId="21705" xr:uid="{00000000-0005-0000-0000-00007A230000}"/>
    <cellStyle name="20% - Accent6 10 3 4 3 2" xfId="45537" xr:uid="{F1E972C1-D616-494F-B36B-0E9B7FAE0ABC}"/>
    <cellStyle name="20% - Accent6 10 3 4 4" xfId="29659" xr:uid="{0BF66711-2EC1-4BBC-B366-88C28C6FCC65}"/>
    <cellStyle name="20% - Accent6 10 3 5" xfId="9326" xr:uid="{00000000-0005-0000-0000-00007B230000}"/>
    <cellStyle name="20% - Accent6 10 3 5 2" xfId="17284" xr:uid="{00000000-0005-0000-0000-00007C230000}"/>
    <cellStyle name="20% - Accent6 10 3 5 2 2" xfId="41124" xr:uid="{48A06585-DFE1-4D19-98BD-A6066A3020FA}"/>
    <cellStyle name="20% - Accent6 10 3 5 3" xfId="25228" xr:uid="{00000000-0005-0000-0000-00007D230000}"/>
    <cellStyle name="20% - Accent6 10 3 5 3 2" xfId="49060" xr:uid="{7D097631-43BF-49A4-A932-33F261DB856A}"/>
    <cellStyle name="20% - Accent6 10 3 5 4" xfId="33183" xr:uid="{899CB8B6-9E3D-4106-A0D5-18425CCA9803}"/>
    <cellStyle name="20% - Accent6 10 3 6" xfId="10222" xr:uid="{00000000-0005-0000-0000-00007E230000}"/>
    <cellStyle name="20% - Accent6 10 3 6 2" xfId="34071" xr:uid="{E3169D0E-E677-4A8D-897F-591A39BC1D4C}"/>
    <cellStyle name="20% - Accent6 10 3 7" xfId="18177" xr:uid="{00000000-0005-0000-0000-00007F230000}"/>
    <cellStyle name="20% - Accent6 10 3 7 2" xfId="42009" xr:uid="{C3A8941F-272A-40D9-A305-0A52C7CE0BC8}"/>
    <cellStyle name="20% - Accent6 10 3 8" xfId="26129" xr:uid="{7D25D10A-BEEC-4B64-A3A0-68E6852E9A5A}"/>
    <cellStyle name="20% - Accent6 10 3_Exh G" xfId="2559" xr:uid="{00000000-0005-0000-0000-000080230000}"/>
    <cellStyle name="20% - Accent6 10 4" xfId="919" xr:uid="{00000000-0005-0000-0000-000081230000}"/>
    <cellStyle name="20% - Accent6 10 5" xfId="1303" xr:uid="{00000000-0005-0000-0000-000082230000}"/>
    <cellStyle name="20% - Accent6 10 5 2" xfId="4830" xr:uid="{00000000-0005-0000-0000-000083230000}"/>
    <cellStyle name="20% - Accent6 10 5 2 2" xfId="8421" xr:uid="{00000000-0005-0000-0000-000084230000}"/>
    <cellStyle name="20% - Accent6 10 5 2 2 2" xfId="16391" xr:uid="{00000000-0005-0000-0000-000085230000}"/>
    <cellStyle name="20% - Accent6 10 5 2 2 2 2" xfId="40233" xr:uid="{6E1148D3-C14B-4AC2-878D-8B1413B35026}"/>
    <cellStyle name="20% - Accent6 10 5 2 2 3" xfId="24337" xr:uid="{00000000-0005-0000-0000-000086230000}"/>
    <cellStyle name="20% - Accent6 10 5 2 2 3 2" xfId="48169" xr:uid="{4DCDE5F1-8047-40AC-80D7-784EAF7703D3}"/>
    <cellStyle name="20% - Accent6 10 5 2 2 4" xfId="32292" xr:uid="{65F6111A-AAEA-4C54-B704-768741BE264B}"/>
    <cellStyle name="20% - Accent6 10 5 2 3" xfId="12853" xr:uid="{00000000-0005-0000-0000-000087230000}"/>
    <cellStyle name="20% - Accent6 10 5 2 3 2" xfId="36702" xr:uid="{E98236EE-D5C0-4BFA-8F65-B8CDD97D65A4}"/>
    <cellStyle name="20% - Accent6 10 5 2 4" xfId="20808" xr:uid="{00000000-0005-0000-0000-000088230000}"/>
    <cellStyle name="20% - Accent6 10 5 2 4 2" xfId="44640" xr:uid="{54413366-8521-42D3-AB52-CF9E65DD509A}"/>
    <cellStyle name="20% - Accent6 10 5 2 5" xfId="28761" xr:uid="{2F772D13-6F7A-4113-AFA0-C8B85DC89F9F}"/>
    <cellStyle name="20% - Accent6 10 5 3" xfId="6662" xr:uid="{00000000-0005-0000-0000-000089230000}"/>
    <cellStyle name="20% - Accent6 10 5 3 2" xfId="14633" xr:uid="{00000000-0005-0000-0000-00008A230000}"/>
    <cellStyle name="20% - Accent6 10 5 3 2 2" xfId="38475" xr:uid="{044EE1BE-0FCA-4803-A817-CB93B1E9FE46}"/>
    <cellStyle name="20% - Accent6 10 5 3 3" xfId="22580" xr:uid="{00000000-0005-0000-0000-00008B230000}"/>
    <cellStyle name="20% - Accent6 10 5 3 3 2" xfId="46412" xr:uid="{C6DE88F3-1E7F-45D4-BAEF-7C4714A9CF14}"/>
    <cellStyle name="20% - Accent6 10 5 3 4" xfId="30534" xr:uid="{9C0B2EAD-2273-4E2C-917B-63A004D396D7}"/>
    <cellStyle name="20% - Accent6 10 5 4" xfId="11097" xr:uid="{00000000-0005-0000-0000-00008C230000}"/>
    <cellStyle name="20% - Accent6 10 5 4 2" xfId="34946" xr:uid="{4026AE94-3778-40B6-84B9-56B8325F33AC}"/>
    <cellStyle name="20% - Accent6 10 5 5" xfId="19052" xr:uid="{00000000-0005-0000-0000-00008D230000}"/>
    <cellStyle name="20% - Accent6 10 5 5 2" xfId="42884" xr:uid="{8AA0271A-470E-497C-B240-26FB42ED1AFF}"/>
    <cellStyle name="20% - Accent6 10 5 6" xfId="27004" xr:uid="{98E80C14-70F2-4979-A7D5-98904FDA1BC7}"/>
    <cellStyle name="20% - Accent6 10 5_Exh G" xfId="2561" xr:uid="{00000000-0005-0000-0000-00008E230000}"/>
    <cellStyle name="20% - Accent6 10 6" xfId="3951" xr:uid="{00000000-0005-0000-0000-00008F230000}"/>
    <cellStyle name="20% - Accent6 10 6 2" xfId="7543" xr:uid="{00000000-0005-0000-0000-000090230000}"/>
    <cellStyle name="20% - Accent6 10 6 2 2" xfId="15513" xr:uid="{00000000-0005-0000-0000-000091230000}"/>
    <cellStyle name="20% - Accent6 10 6 2 2 2" xfId="39355" xr:uid="{31CC2243-1733-4C44-AF9E-33986793B512}"/>
    <cellStyle name="20% - Accent6 10 6 2 3" xfId="23459" xr:uid="{00000000-0005-0000-0000-000092230000}"/>
    <cellStyle name="20% - Accent6 10 6 2 3 2" xfId="47291" xr:uid="{674D292B-1FD3-4970-97C0-7390DD675868}"/>
    <cellStyle name="20% - Accent6 10 6 2 4" xfId="31414" xr:uid="{1DF085C1-1A86-49A3-A69B-0F3B83A1030C}"/>
    <cellStyle name="20% - Accent6 10 6 3" xfId="11975" xr:uid="{00000000-0005-0000-0000-000093230000}"/>
    <cellStyle name="20% - Accent6 10 6 3 2" xfId="35824" xr:uid="{6248A2DA-439A-4A86-AEC7-535B7A3B8750}"/>
    <cellStyle name="20% - Accent6 10 6 4" xfId="19930" xr:uid="{00000000-0005-0000-0000-000094230000}"/>
    <cellStyle name="20% - Accent6 10 6 4 2" xfId="43762" xr:uid="{1956117D-6784-4F08-B61E-6C87A6AE2BA7}"/>
    <cellStyle name="20% - Accent6 10 6 5" xfId="27883" xr:uid="{3EC76C43-4325-4352-B79D-067079EFF169}"/>
    <cellStyle name="20% - Accent6 10 7" xfId="5771" xr:uid="{00000000-0005-0000-0000-000095230000}"/>
    <cellStyle name="20% - Accent6 10 7 2" xfId="13754" xr:uid="{00000000-0005-0000-0000-000096230000}"/>
    <cellStyle name="20% - Accent6 10 7 2 2" xfId="37597" xr:uid="{B3D2E588-C7D5-417A-BB0F-B854803D3734}"/>
    <cellStyle name="20% - Accent6 10 7 3" xfId="21702" xr:uid="{00000000-0005-0000-0000-000097230000}"/>
    <cellStyle name="20% - Accent6 10 7 3 2" xfId="45534" xr:uid="{541F662F-BBF6-4401-A35A-382C5F8AC348}"/>
    <cellStyle name="20% - Accent6 10 7 4" xfId="29656" xr:uid="{4F2D7DFE-3332-4EA4-B4A7-B779751C1CA1}"/>
    <cellStyle name="20% - Accent6 10 8" xfId="9323" xr:uid="{00000000-0005-0000-0000-000098230000}"/>
    <cellStyle name="20% - Accent6 10 8 2" xfId="17281" xr:uid="{00000000-0005-0000-0000-000099230000}"/>
    <cellStyle name="20% - Accent6 10 8 2 2" xfId="41121" xr:uid="{34AECF19-1BA8-44D7-AF8F-C59C4FFF02C4}"/>
    <cellStyle name="20% - Accent6 10 8 3" xfId="25225" xr:uid="{00000000-0005-0000-0000-00009A230000}"/>
    <cellStyle name="20% - Accent6 10 8 3 2" xfId="49057" xr:uid="{EDE07AA3-84E8-440C-80DE-20A06882A5E9}"/>
    <cellStyle name="20% - Accent6 10 8 4" xfId="33180" xr:uid="{F7EAFA8D-2233-451D-9F50-70233D3B674A}"/>
    <cellStyle name="20% - Accent6 10 9" xfId="10219" xr:uid="{00000000-0005-0000-0000-00009B230000}"/>
    <cellStyle name="20% - Accent6 10 9 2" xfId="34068" xr:uid="{DAA42B10-4CC6-41E6-B168-7C162BB7AE33}"/>
    <cellStyle name="20% - Accent6 10_Exh G" xfId="2554" xr:uid="{00000000-0005-0000-0000-00009C230000}"/>
    <cellStyle name="20% - Accent6 11" xfId="281" xr:uid="{00000000-0005-0000-0000-00009D230000}"/>
    <cellStyle name="20% - Accent6 11 10" xfId="26130" xr:uid="{0989A706-ED46-4887-A451-312322E63DBD}"/>
    <cellStyle name="20% - Accent6 11 2" xfId="282" xr:uid="{00000000-0005-0000-0000-00009E230000}"/>
    <cellStyle name="20% - Accent6 11 2 2" xfId="283" xr:uid="{00000000-0005-0000-0000-00009F230000}"/>
    <cellStyle name="20% - Accent6 11 2 2 2" xfId="1309" xr:uid="{00000000-0005-0000-0000-0000A0230000}"/>
    <cellStyle name="20% - Accent6 11 2 2 2 2" xfId="4836" xr:uid="{00000000-0005-0000-0000-0000A1230000}"/>
    <cellStyle name="20% - Accent6 11 2 2 2 2 2" xfId="8427" xr:uid="{00000000-0005-0000-0000-0000A2230000}"/>
    <cellStyle name="20% - Accent6 11 2 2 2 2 2 2" xfId="16397" xr:uid="{00000000-0005-0000-0000-0000A3230000}"/>
    <cellStyle name="20% - Accent6 11 2 2 2 2 2 2 2" xfId="40239" xr:uid="{EC8709CA-9081-4FEC-A0D8-DA4EF0E4BD5D}"/>
    <cellStyle name="20% - Accent6 11 2 2 2 2 2 3" xfId="24343" xr:uid="{00000000-0005-0000-0000-0000A4230000}"/>
    <cellStyle name="20% - Accent6 11 2 2 2 2 2 3 2" xfId="48175" xr:uid="{5E992D7A-BF77-470D-96EA-1E62279076EF}"/>
    <cellStyle name="20% - Accent6 11 2 2 2 2 2 4" xfId="32298" xr:uid="{2E33F2FF-D971-412C-AB3F-F9A2A6D5F611}"/>
    <cellStyle name="20% - Accent6 11 2 2 2 2 3" xfId="12859" xr:uid="{00000000-0005-0000-0000-0000A5230000}"/>
    <cellStyle name="20% - Accent6 11 2 2 2 2 3 2" xfId="36708" xr:uid="{F46D8099-B591-4609-891A-BBDD1B664E1B}"/>
    <cellStyle name="20% - Accent6 11 2 2 2 2 4" xfId="20814" xr:uid="{00000000-0005-0000-0000-0000A6230000}"/>
    <cellStyle name="20% - Accent6 11 2 2 2 2 4 2" xfId="44646" xr:uid="{107D6B6A-4925-42E0-942B-C9999A5F0863}"/>
    <cellStyle name="20% - Accent6 11 2 2 2 2 5" xfId="28767" xr:uid="{BE486266-B090-490C-99FD-453E9E77C01D}"/>
    <cellStyle name="20% - Accent6 11 2 2 2 3" xfId="6668" xr:uid="{00000000-0005-0000-0000-0000A7230000}"/>
    <cellStyle name="20% - Accent6 11 2 2 2 3 2" xfId="14639" xr:uid="{00000000-0005-0000-0000-0000A8230000}"/>
    <cellStyle name="20% - Accent6 11 2 2 2 3 2 2" xfId="38481" xr:uid="{89B2D091-65AD-461E-9896-A60D5C3DF482}"/>
    <cellStyle name="20% - Accent6 11 2 2 2 3 3" xfId="22586" xr:uid="{00000000-0005-0000-0000-0000A9230000}"/>
    <cellStyle name="20% - Accent6 11 2 2 2 3 3 2" xfId="46418" xr:uid="{DD7FAF16-636B-49A6-8011-28E08F496389}"/>
    <cellStyle name="20% - Accent6 11 2 2 2 3 4" xfId="30540" xr:uid="{B638B63F-49F5-497E-93D3-4BB62CEB756F}"/>
    <cellStyle name="20% - Accent6 11 2 2 2 4" xfId="11103" xr:uid="{00000000-0005-0000-0000-0000AA230000}"/>
    <cellStyle name="20% - Accent6 11 2 2 2 4 2" xfId="34952" xr:uid="{CC3C3031-09CC-4784-8252-946DD6605978}"/>
    <cellStyle name="20% - Accent6 11 2 2 2 5" xfId="19058" xr:uid="{00000000-0005-0000-0000-0000AB230000}"/>
    <cellStyle name="20% - Accent6 11 2 2 2 5 2" xfId="42890" xr:uid="{7411CE61-BB5F-466A-9C72-12AAEB3D458B}"/>
    <cellStyle name="20% - Accent6 11 2 2 2 6" xfId="27010" xr:uid="{ABF8FC62-08D7-451D-9642-B2808AA91AAE}"/>
    <cellStyle name="20% - Accent6 11 2 2 2_Exh G" xfId="2565" xr:uid="{00000000-0005-0000-0000-0000AC230000}"/>
    <cellStyle name="20% - Accent6 11 2 2 3" xfId="3957" xr:uid="{00000000-0005-0000-0000-0000AD230000}"/>
    <cellStyle name="20% - Accent6 11 2 2 3 2" xfId="7549" xr:uid="{00000000-0005-0000-0000-0000AE230000}"/>
    <cellStyle name="20% - Accent6 11 2 2 3 2 2" xfId="15519" xr:uid="{00000000-0005-0000-0000-0000AF230000}"/>
    <cellStyle name="20% - Accent6 11 2 2 3 2 2 2" xfId="39361" xr:uid="{E0A4BD4F-B404-467C-AEB2-E59ABDC82070}"/>
    <cellStyle name="20% - Accent6 11 2 2 3 2 3" xfId="23465" xr:uid="{00000000-0005-0000-0000-0000B0230000}"/>
    <cellStyle name="20% - Accent6 11 2 2 3 2 3 2" xfId="47297" xr:uid="{F6348EE5-3870-4CE8-9910-04B0B4F79F03}"/>
    <cellStyle name="20% - Accent6 11 2 2 3 2 4" xfId="31420" xr:uid="{6C9471D4-A2FC-4CA3-906D-BE16A72FDD78}"/>
    <cellStyle name="20% - Accent6 11 2 2 3 3" xfId="11981" xr:uid="{00000000-0005-0000-0000-0000B1230000}"/>
    <cellStyle name="20% - Accent6 11 2 2 3 3 2" xfId="35830" xr:uid="{448A5F65-B1FA-45A4-BFDD-DC449AAB7AF2}"/>
    <cellStyle name="20% - Accent6 11 2 2 3 4" xfId="19936" xr:uid="{00000000-0005-0000-0000-0000B2230000}"/>
    <cellStyle name="20% - Accent6 11 2 2 3 4 2" xfId="43768" xr:uid="{A026143F-0265-4E3B-BF35-A331FA961E0F}"/>
    <cellStyle name="20% - Accent6 11 2 2 3 5" xfId="27889" xr:uid="{45193EE5-2E26-426B-96DC-759E17150788}"/>
    <cellStyle name="20% - Accent6 11 2 2 4" xfId="5777" xr:uid="{00000000-0005-0000-0000-0000B3230000}"/>
    <cellStyle name="20% - Accent6 11 2 2 4 2" xfId="13760" xr:uid="{00000000-0005-0000-0000-0000B4230000}"/>
    <cellStyle name="20% - Accent6 11 2 2 4 2 2" xfId="37603" xr:uid="{422C4166-FEED-494D-A131-D3273BCE4A3D}"/>
    <cellStyle name="20% - Accent6 11 2 2 4 3" xfId="21708" xr:uid="{00000000-0005-0000-0000-0000B5230000}"/>
    <cellStyle name="20% - Accent6 11 2 2 4 3 2" xfId="45540" xr:uid="{890B0A02-E22E-4A53-9839-B230FBC0E8CC}"/>
    <cellStyle name="20% - Accent6 11 2 2 4 4" xfId="29662" xr:uid="{76286059-5172-43D2-98AE-E7F2F05E86B0}"/>
    <cellStyle name="20% - Accent6 11 2 2 5" xfId="9329" xr:uid="{00000000-0005-0000-0000-0000B6230000}"/>
    <cellStyle name="20% - Accent6 11 2 2 5 2" xfId="17287" xr:uid="{00000000-0005-0000-0000-0000B7230000}"/>
    <cellStyle name="20% - Accent6 11 2 2 5 2 2" xfId="41127" xr:uid="{DBA3CFB2-4D12-4711-9D41-30CC726E6371}"/>
    <cellStyle name="20% - Accent6 11 2 2 5 3" xfId="25231" xr:uid="{00000000-0005-0000-0000-0000B8230000}"/>
    <cellStyle name="20% - Accent6 11 2 2 5 3 2" xfId="49063" xr:uid="{5A765D35-E7D5-424A-B544-5605521CC80F}"/>
    <cellStyle name="20% - Accent6 11 2 2 5 4" xfId="33186" xr:uid="{17D57FE7-D8D4-4FCB-9BAE-1EB12BE9BABA}"/>
    <cellStyle name="20% - Accent6 11 2 2 6" xfId="10225" xr:uid="{00000000-0005-0000-0000-0000B9230000}"/>
    <cellStyle name="20% - Accent6 11 2 2 6 2" xfId="34074" xr:uid="{7FAF01CB-CDA4-4194-8AF8-14B4C98DBB91}"/>
    <cellStyle name="20% - Accent6 11 2 2 7" xfId="18180" xr:uid="{00000000-0005-0000-0000-0000BA230000}"/>
    <cellStyle name="20% - Accent6 11 2 2 7 2" xfId="42012" xr:uid="{7BAE5CF3-1F52-4FC4-8472-21349635DE4C}"/>
    <cellStyle name="20% - Accent6 11 2 2 8" xfId="26132" xr:uid="{6EF2EBF6-ED97-4E5A-9D8A-9E56BBF4BC84}"/>
    <cellStyle name="20% - Accent6 11 2 2_Exh G" xfId="2564" xr:uid="{00000000-0005-0000-0000-0000BB230000}"/>
    <cellStyle name="20% - Accent6 11 2 3" xfId="1308" xr:uid="{00000000-0005-0000-0000-0000BC230000}"/>
    <cellStyle name="20% - Accent6 11 2 3 2" xfId="4835" xr:uid="{00000000-0005-0000-0000-0000BD230000}"/>
    <cellStyle name="20% - Accent6 11 2 3 2 2" xfId="8426" xr:uid="{00000000-0005-0000-0000-0000BE230000}"/>
    <cellStyle name="20% - Accent6 11 2 3 2 2 2" xfId="16396" xr:uid="{00000000-0005-0000-0000-0000BF230000}"/>
    <cellStyle name="20% - Accent6 11 2 3 2 2 2 2" xfId="40238" xr:uid="{D28274E9-6A78-4E07-A3E0-29780A91211B}"/>
    <cellStyle name="20% - Accent6 11 2 3 2 2 3" xfId="24342" xr:uid="{00000000-0005-0000-0000-0000C0230000}"/>
    <cellStyle name="20% - Accent6 11 2 3 2 2 3 2" xfId="48174" xr:uid="{8212EE10-80CC-4B1B-8D5F-B72BA8806747}"/>
    <cellStyle name="20% - Accent6 11 2 3 2 2 4" xfId="32297" xr:uid="{57373FA7-1A47-42E7-97ED-281C7BB3CEF1}"/>
    <cellStyle name="20% - Accent6 11 2 3 2 3" xfId="12858" xr:uid="{00000000-0005-0000-0000-0000C1230000}"/>
    <cellStyle name="20% - Accent6 11 2 3 2 3 2" xfId="36707" xr:uid="{14009359-0BE5-4CBB-A5AB-51022E23D37E}"/>
    <cellStyle name="20% - Accent6 11 2 3 2 4" xfId="20813" xr:uid="{00000000-0005-0000-0000-0000C2230000}"/>
    <cellStyle name="20% - Accent6 11 2 3 2 4 2" xfId="44645" xr:uid="{B4E934C2-D9E0-4CAB-BC22-B66553F1B992}"/>
    <cellStyle name="20% - Accent6 11 2 3 2 5" xfId="28766" xr:uid="{D3A9C455-16DD-4756-A24B-93C99EA49088}"/>
    <cellStyle name="20% - Accent6 11 2 3 3" xfId="6667" xr:uid="{00000000-0005-0000-0000-0000C3230000}"/>
    <cellStyle name="20% - Accent6 11 2 3 3 2" xfId="14638" xr:uid="{00000000-0005-0000-0000-0000C4230000}"/>
    <cellStyle name="20% - Accent6 11 2 3 3 2 2" xfId="38480" xr:uid="{036DFA04-1191-4A99-9D44-44AD16141FD0}"/>
    <cellStyle name="20% - Accent6 11 2 3 3 3" xfId="22585" xr:uid="{00000000-0005-0000-0000-0000C5230000}"/>
    <cellStyle name="20% - Accent6 11 2 3 3 3 2" xfId="46417" xr:uid="{C0A6B8A1-C4FD-4D4D-B2D4-28C819F9E808}"/>
    <cellStyle name="20% - Accent6 11 2 3 3 4" xfId="30539" xr:uid="{4306D045-FDF9-4D31-B6E3-DCEA6B2DCBE9}"/>
    <cellStyle name="20% - Accent6 11 2 3 4" xfId="11102" xr:uid="{00000000-0005-0000-0000-0000C6230000}"/>
    <cellStyle name="20% - Accent6 11 2 3 4 2" xfId="34951" xr:uid="{F0B02716-D091-43C5-9E04-2AB9435CD77A}"/>
    <cellStyle name="20% - Accent6 11 2 3 5" xfId="19057" xr:uid="{00000000-0005-0000-0000-0000C7230000}"/>
    <cellStyle name="20% - Accent6 11 2 3 5 2" xfId="42889" xr:uid="{8D3D68B3-3AC8-4202-9EA8-AAD11355346A}"/>
    <cellStyle name="20% - Accent6 11 2 3 6" xfId="27009" xr:uid="{2483CAA9-883D-474D-93AA-8BACF22364B6}"/>
    <cellStyle name="20% - Accent6 11 2 3_Exh G" xfId="2566" xr:uid="{00000000-0005-0000-0000-0000C8230000}"/>
    <cellStyle name="20% - Accent6 11 2 4" xfId="3956" xr:uid="{00000000-0005-0000-0000-0000C9230000}"/>
    <cellStyle name="20% - Accent6 11 2 4 2" xfId="7548" xr:uid="{00000000-0005-0000-0000-0000CA230000}"/>
    <cellStyle name="20% - Accent6 11 2 4 2 2" xfId="15518" xr:uid="{00000000-0005-0000-0000-0000CB230000}"/>
    <cellStyle name="20% - Accent6 11 2 4 2 2 2" xfId="39360" xr:uid="{5D82AE3F-8057-464F-8F8B-D369CED71DA9}"/>
    <cellStyle name="20% - Accent6 11 2 4 2 3" xfId="23464" xr:uid="{00000000-0005-0000-0000-0000CC230000}"/>
    <cellStyle name="20% - Accent6 11 2 4 2 3 2" xfId="47296" xr:uid="{0821623D-A580-4A66-A57A-03A8C289CCAA}"/>
    <cellStyle name="20% - Accent6 11 2 4 2 4" xfId="31419" xr:uid="{AA084A2F-1A81-477C-A573-810C78098B1F}"/>
    <cellStyle name="20% - Accent6 11 2 4 3" xfId="11980" xr:uid="{00000000-0005-0000-0000-0000CD230000}"/>
    <cellStyle name="20% - Accent6 11 2 4 3 2" xfId="35829" xr:uid="{AC47710F-DD9C-4E23-AA18-1D0FB1A78B75}"/>
    <cellStyle name="20% - Accent6 11 2 4 4" xfId="19935" xr:uid="{00000000-0005-0000-0000-0000CE230000}"/>
    <cellStyle name="20% - Accent6 11 2 4 4 2" xfId="43767" xr:uid="{7FE7CD02-C354-48EA-A82A-2007FEB00AF0}"/>
    <cellStyle name="20% - Accent6 11 2 4 5" xfId="27888" xr:uid="{6FCF9AE1-65A3-4C47-A46E-8044E3BC3E16}"/>
    <cellStyle name="20% - Accent6 11 2 5" xfId="5776" xr:uid="{00000000-0005-0000-0000-0000CF230000}"/>
    <cellStyle name="20% - Accent6 11 2 5 2" xfId="13759" xr:uid="{00000000-0005-0000-0000-0000D0230000}"/>
    <cellStyle name="20% - Accent6 11 2 5 2 2" xfId="37602" xr:uid="{E21B129D-08EB-4163-8FDA-434EC3CBCBA8}"/>
    <cellStyle name="20% - Accent6 11 2 5 3" xfId="21707" xr:uid="{00000000-0005-0000-0000-0000D1230000}"/>
    <cellStyle name="20% - Accent6 11 2 5 3 2" xfId="45539" xr:uid="{E8ED4E51-8C90-40FF-BC83-A069E0C6CF31}"/>
    <cellStyle name="20% - Accent6 11 2 5 4" xfId="29661" xr:uid="{C2CA3204-03D5-4E41-8B9F-9C94A2A721F0}"/>
    <cellStyle name="20% - Accent6 11 2 6" xfId="9328" xr:uid="{00000000-0005-0000-0000-0000D2230000}"/>
    <cellStyle name="20% - Accent6 11 2 6 2" xfId="17286" xr:uid="{00000000-0005-0000-0000-0000D3230000}"/>
    <cellStyle name="20% - Accent6 11 2 6 2 2" xfId="41126" xr:uid="{40916A0C-324F-4D89-BD99-95509FA7E2B1}"/>
    <cellStyle name="20% - Accent6 11 2 6 3" xfId="25230" xr:uid="{00000000-0005-0000-0000-0000D4230000}"/>
    <cellStyle name="20% - Accent6 11 2 6 3 2" xfId="49062" xr:uid="{3EC941A1-B709-41E9-81F3-5101B8BA1D5D}"/>
    <cellStyle name="20% - Accent6 11 2 6 4" xfId="33185" xr:uid="{88A5004C-982A-41C6-BAF6-5B8C086A2CF4}"/>
    <cellStyle name="20% - Accent6 11 2 7" xfId="10224" xr:uid="{00000000-0005-0000-0000-0000D5230000}"/>
    <cellStyle name="20% - Accent6 11 2 7 2" xfId="34073" xr:uid="{26ADB891-4F27-41F8-ABEF-B12473DF60AA}"/>
    <cellStyle name="20% - Accent6 11 2 8" xfId="18179" xr:uid="{00000000-0005-0000-0000-0000D6230000}"/>
    <cellStyle name="20% - Accent6 11 2 8 2" xfId="42011" xr:uid="{5B5E43F7-C075-4870-8CF3-FE444426E8EA}"/>
    <cellStyle name="20% - Accent6 11 2 9" xfId="26131" xr:uid="{F2902DC4-853E-49B7-92CC-2B4AD0987794}"/>
    <cellStyle name="20% - Accent6 11 2_Exh G" xfId="2563" xr:uid="{00000000-0005-0000-0000-0000D7230000}"/>
    <cellStyle name="20% - Accent6 11 3" xfId="284" xr:uid="{00000000-0005-0000-0000-0000D8230000}"/>
    <cellStyle name="20% - Accent6 11 3 2" xfId="1310" xr:uid="{00000000-0005-0000-0000-0000D9230000}"/>
    <cellStyle name="20% - Accent6 11 3 2 2" xfId="4837" xr:uid="{00000000-0005-0000-0000-0000DA230000}"/>
    <cellStyle name="20% - Accent6 11 3 2 2 2" xfId="8428" xr:uid="{00000000-0005-0000-0000-0000DB230000}"/>
    <cellStyle name="20% - Accent6 11 3 2 2 2 2" xfId="16398" xr:uid="{00000000-0005-0000-0000-0000DC230000}"/>
    <cellStyle name="20% - Accent6 11 3 2 2 2 2 2" xfId="40240" xr:uid="{EEA3E15D-B8F0-4FA9-A25B-E03445D2BF2E}"/>
    <cellStyle name="20% - Accent6 11 3 2 2 2 3" xfId="24344" xr:uid="{00000000-0005-0000-0000-0000DD230000}"/>
    <cellStyle name="20% - Accent6 11 3 2 2 2 3 2" xfId="48176" xr:uid="{EEC54D76-5935-4934-A644-BC231CE6A52C}"/>
    <cellStyle name="20% - Accent6 11 3 2 2 2 4" xfId="32299" xr:uid="{6920C98A-50FA-4683-9D60-48A5812D0F24}"/>
    <cellStyle name="20% - Accent6 11 3 2 2 3" xfId="12860" xr:uid="{00000000-0005-0000-0000-0000DE230000}"/>
    <cellStyle name="20% - Accent6 11 3 2 2 3 2" xfId="36709" xr:uid="{125E500D-D2AE-4901-A59A-37F8C2D5FFA7}"/>
    <cellStyle name="20% - Accent6 11 3 2 2 4" xfId="20815" xr:uid="{00000000-0005-0000-0000-0000DF230000}"/>
    <cellStyle name="20% - Accent6 11 3 2 2 4 2" xfId="44647" xr:uid="{6D35AB9F-CFF6-467C-8128-8922D95D6350}"/>
    <cellStyle name="20% - Accent6 11 3 2 2 5" xfId="28768" xr:uid="{65C8FE91-36D8-422B-9280-7894EA8FC7F8}"/>
    <cellStyle name="20% - Accent6 11 3 2 3" xfId="6669" xr:uid="{00000000-0005-0000-0000-0000E0230000}"/>
    <cellStyle name="20% - Accent6 11 3 2 3 2" xfId="14640" xr:uid="{00000000-0005-0000-0000-0000E1230000}"/>
    <cellStyle name="20% - Accent6 11 3 2 3 2 2" xfId="38482" xr:uid="{0B08DC44-CD2A-4A60-A2B8-65A8BB27EB30}"/>
    <cellStyle name="20% - Accent6 11 3 2 3 3" xfId="22587" xr:uid="{00000000-0005-0000-0000-0000E2230000}"/>
    <cellStyle name="20% - Accent6 11 3 2 3 3 2" xfId="46419" xr:uid="{567CA810-FAA2-4E7F-9998-E34EA10D1DBA}"/>
    <cellStyle name="20% - Accent6 11 3 2 3 4" xfId="30541" xr:uid="{3FFB7542-127E-4799-8141-7094037C1B02}"/>
    <cellStyle name="20% - Accent6 11 3 2 4" xfId="11104" xr:uid="{00000000-0005-0000-0000-0000E3230000}"/>
    <cellStyle name="20% - Accent6 11 3 2 4 2" xfId="34953" xr:uid="{F6B6C910-FD72-4006-9903-A6770A390673}"/>
    <cellStyle name="20% - Accent6 11 3 2 5" xfId="19059" xr:uid="{00000000-0005-0000-0000-0000E4230000}"/>
    <cellStyle name="20% - Accent6 11 3 2 5 2" xfId="42891" xr:uid="{B53EF410-85EA-4B98-BCDB-E81480768639}"/>
    <cellStyle name="20% - Accent6 11 3 2 6" xfId="27011" xr:uid="{5FD35411-5400-476E-9ADA-89873F33A074}"/>
    <cellStyle name="20% - Accent6 11 3 2_Exh G" xfId="2568" xr:uid="{00000000-0005-0000-0000-0000E5230000}"/>
    <cellStyle name="20% - Accent6 11 3 3" xfId="3958" xr:uid="{00000000-0005-0000-0000-0000E6230000}"/>
    <cellStyle name="20% - Accent6 11 3 3 2" xfId="7550" xr:uid="{00000000-0005-0000-0000-0000E7230000}"/>
    <cellStyle name="20% - Accent6 11 3 3 2 2" xfId="15520" xr:uid="{00000000-0005-0000-0000-0000E8230000}"/>
    <cellStyle name="20% - Accent6 11 3 3 2 2 2" xfId="39362" xr:uid="{7B9B2268-0299-4860-A409-B548A62319AB}"/>
    <cellStyle name="20% - Accent6 11 3 3 2 3" xfId="23466" xr:uid="{00000000-0005-0000-0000-0000E9230000}"/>
    <cellStyle name="20% - Accent6 11 3 3 2 3 2" xfId="47298" xr:uid="{05DBF7D4-853C-470A-B76C-C298ED1F99E4}"/>
    <cellStyle name="20% - Accent6 11 3 3 2 4" xfId="31421" xr:uid="{A68DB827-BBD9-4FE3-BEC8-0612728D7A2A}"/>
    <cellStyle name="20% - Accent6 11 3 3 3" xfId="11982" xr:uid="{00000000-0005-0000-0000-0000EA230000}"/>
    <cellStyle name="20% - Accent6 11 3 3 3 2" xfId="35831" xr:uid="{3BE07746-0BA4-4715-AD76-D7482C692A17}"/>
    <cellStyle name="20% - Accent6 11 3 3 4" xfId="19937" xr:uid="{00000000-0005-0000-0000-0000EB230000}"/>
    <cellStyle name="20% - Accent6 11 3 3 4 2" xfId="43769" xr:uid="{0ED70531-7F3D-4635-96C5-DE0C79905228}"/>
    <cellStyle name="20% - Accent6 11 3 3 5" xfId="27890" xr:uid="{E6DDBD09-16E9-4312-9B60-6CAD087C6EB1}"/>
    <cellStyle name="20% - Accent6 11 3 4" xfId="5778" xr:uid="{00000000-0005-0000-0000-0000EC230000}"/>
    <cellStyle name="20% - Accent6 11 3 4 2" xfId="13761" xr:uid="{00000000-0005-0000-0000-0000ED230000}"/>
    <cellStyle name="20% - Accent6 11 3 4 2 2" xfId="37604" xr:uid="{06ACFE93-86E3-47A8-9A52-62F87887A8AD}"/>
    <cellStyle name="20% - Accent6 11 3 4 3" xfId="21709" xr:uid="{00000000-0005-0000-0000-0000EE230000}"/>
    <cellStyle name="20% - Accent6 11 3 4 3 2" xfId="45541" xr:uid="{B87D5E1D-BC9D-4B97-8DBB-5559D6595797}"/>
    <cellStyle name="20% - Accent6 11 3 4 4" xfId="29663" xr:uid="{1FCED29C-19A6-4FBB-AC59-3E7114302E6F}"/>
    <cellStyle name="20% - Accent6 11 3 5" xfId="9330" xr:uid="{00000000-0005-0000-0000-0000EF230000}"/>
    <cellStyle name="20% - Accent6 11 3 5 2" xfId="17288" xr:uid="{00000000-0005-0000-0000-0000F0230000}"/>
    <cellStyle name="20% - Accent6 11 3 5 2 2" xfId="41128" xr:uid="{A2130A1F-B204-4F69-A44C-15A4F64FD83F}"/>
    <cellStyle name="20% - Accent6 11 3 5 3" xfId="25232" xr:uid="{00000000-0005-0000-0000-0000F1230000}"/>
    <cellStyle name="20% - Accent6 11 3 5 3 2" xfId="49064" xr:uid="{CDA4E298-CA7B-4680-9C8F-95C1A3584308}"/>
    <cellStyle name="20% - Accent6 11 3 5 4" xfId="33187" xr:uid="{F6D4595E-075A-435E-8271-18BDAA7C5C20}"/>
    <cellStyle name="20% - Accent6 11 3 6" xfId="10226" xr:uid="{00000000-0005-0000-0000-0000F2230000}"/>
    <cellStyle name="20% - Accent6 11 3 6 2" xfId="34075" xr:uid="{A8B574D1-23A1-4184-9983-33605B33788A}"/>
    <cellStyle name="20% - Accent6 11 3 7" xfId="18181" xr:uid="{00000000-0005-0000-0000-0000F3230000}"/>
    <cellStyle name="20% - Accent6 11 3 7 2" xfId="42013" xr:uid="{7B4E3ED0-9F48-4A9C-86BB-DD78698F387F}"/>
    <cellStyle name="20% - Accent6 11 3 8" xfId="26133" xr:uid="{14F5699B-CE3F-4493-A4A9-49ECA2440E9B}"/>
    <cellStyle name="20% - Accent6 11 3_Exh G" xfId="2567" xr:uid="{00000000-0005-0000-0000-0000F4230000}"/>
    <cellStyle name="20% - Accent6 11 4" xfId="1307" xr:uid="{00000000-0005-0000-0000-0000F5230000}"/>
    <cellStyle name="20% - Accent6 11 4 2" xfId="4834" xr:uid="{00000000-0005-0000-0000-0000F6230000}"/>
    <cellStyle name="20% - Accent6 11 4 2 2" xfId="8425" xr:uid="{00000000-0005-0000-0000-0000F7230000}"/>
    <cellStyle name="20% - Accent6 11 4 2 2 2" xfId="16395" xr:uid="{00000000-0005-0000-0000-0000F8230000}"/>
    <cellStyle name="20% - Accent6 11 4 2 2 2 2" xfId="40237" xr:uid="{2B8F1A70-D4B3-4166-951E-751EECC4153C}"/>
    <cellStyle name="20% - Accent6 11 4 2 2 3" xfId="24341" xr:uid="{00000000-0005-0000-0000-0000F9230000}"/>
    <cellStyle name="20% - Accent6 11 4 2 2 3 2" xfId="48173" xr:uid="{706FAB24-9ED1-4093-98C6-1FBAACC42E71}"/>
    <cellStyle name="20% - Accent6 11 4 2 2 4" xfId="32296" xr:uid="{E95B45B8-B91A-43FA-B2D2-3A5BF112827B}"/>
    <cellStyle name="20% - Accent6 11 4 2 3" xfId="12857" xr:uid="{00000000-0005-0000-0000-0000FA230000}"/>
    <cellStyle name="20% - Accent6 11 4 2 3 2" xfId="36706" xr:uid="{CAF7BA9F-2AA1-479A-AE7C-DBCAD9BAA584}"/>
    <cellStyle name="20% - Accent6 11 4 2 4" xfId="20812" xr:uid="{00000000-0005-0000-0000-0000FB230000}"/>
    <cellStyle name="20% - Accent6 11 4 2 4 2" xfId="44644" xr:uid="{3A2F3A77-637A-4FFF-8A01-4C2CEA985D8D}"/>
    <cellStyle name="20% - Accent6 11 4 2 5" xfId="28765" xr:uid="{2CA3F443-C351-4C07-81D4-4B20C797AD8B}"/>
    <cellStyle name="20% - Accent6 11 4 3" xfId="6666" xr:uid="{00000000-0005-0000-0000-0000FC230000}"/>
    <cellStyle name="20% - Accent6 11 4 3 2" xfId="14637" xr:uid="{00000000-0005-0000-0000-0000FD230000}"/>
    <cellStyle name="20% - Accent6 11 4 3 2 2" xfId="38479" xr:uid="{C20B514C-9E7D-4D83-B4F4-81CEF90EEB53}"/>
    <cellStyle name="20% - Accent6 11 4 3 3" xfId="22584" xr:uid="{00000000-0005-0000-0000-0000FE230000}"/>
    <cellStyle name="20% - Accent6 11 4 3 3 2" xfId="46416" xr:uid="{EAB7FD3B-0536-4981-824C-2CFBE5386852}"/>
    <cellStyle name="20% - Accent6 11 4 3 4" xfId="30538" xr:uid="{026CA74C-FAC0-428C-9992-E33EA7EC30A1}"/>
    <cellStyle name="20% - Accent6 11 4 4" xfId="11101" xr:uid="{00000000-0005-0000-0000-0000FF230000}"/>
    <cellStyle name="20% - Accent6 11 4 4 2" xfId="34950" xr:uid="{B7E53629-8422-49CB-9AAD-9978378D23B7}"/>
    <cellStyle name="20% - Accent6 11 4 5" xfId="19056" xr:uid="{00000000-0005-0000-0000-000000240000}"/>
    <cellStyle name="20% - Accent6 11 4 5 2" xfId="42888" xr:uid="{68F99852-F159-468C-A451-47A379A7A7BD}"/>
    <cellStyle name="20% - Accent6 11 4 6" xfId="27008" xr:uid="{F39E79BA-C598-4BD2-9B80-3C915D9866C8}"/>
    <cellStyle name="20% - Accent6 11 4_Exh G" xfId="2569" xr:uid="{00000000-0005-0000-0000-000001240000}"/>
    <cellStyle name="20% - Accent6 11 5" xfId="3955" xr:uid="{00000000-0005-0000-0000-000002240000}"/>
    <cellStyle name="20% - Accent6 11 5 2" xfId="7547" xr:uid="{00000000-0005-0000-0000-000003240000}"/>
    <cellStyle name="20% - Accent6 11 5 2 2" xfId="15517" xr:uid="{00000000-0005-0000-0000-000004240000}"/>
    <cellStyle name="20% - Accent6 11 5 2 2 2" xfId="39359" xr:uid="{48AC5E8E-B7B7-4C09-AD92-7E0F37F45CE0}"/>
    <cellStyle name="20% - Accent6 11 5 2 3" xfId="23463" xr:uid="{00000000-0005-0000-0000-000005240000}"/>
    <cellStyle name="20% - Accent6 11 5 2 3 2" xfId="47295" xr:uid="{4D6A32A8-0751-4B59-A04C-53CD309717C7}"/>
    <cellStyle name="20% - Accent6 11 5 2 4" xfId="31418" xr:uid="{50943648-1FDC-4C07-989D-4BE969BAC6CF}"/>
    <cellStyle name="20% - Accent6 11 5 3" xfId="11979" xr:uid="{00000000-0005-0000-0000-000006240000}"/>
    <cellStyle name="20% - Accent6 11 5 3 2" xfId="35828" xr:uid="{05D7F561-3504-4756-810A-5CF27A9F8DB3}"/>
    <cellStyle name="20% - Accent6 11 5 4" xfId="19934" xr:uid="{00000000-0005-0000-0000-000007240000}"/>
    <cellStyle name="20% - Accent6 11 5 4 2" xfId="43766" xr:uid="{107C10E1-7FE6-4993-B07D-D94C19BD85D7}"/>
    <cellStyle name="20% - Accent6 11 5 5" xfId="27887" xr:uid="{2DDE16EF-DEB2-4D6E-9E18-C72A5E8E04E7}"/>
    <cellStyle name="20% - Accent6 11 6" xfId="5775" xr:uid="{00000000-0005-0000-0000-000008240000}"/>
    <cellStyle name="20% - Accent6 11 6 2" xfId="13758" xr:uid="{00000000-0005-0000-0000-000009240000}"/>
    <cellStyle name="20% - Accent6 11 6 2 2" xfId="37601" xr:uid="{A54DD65F-CCE9-4D3B-99FC-DF065D680D9E}"/>
    <cellStyle name="20% - Accent6 11 6 3" xfId="21706" xr:uid="{00000000-0005-0000-0000-00000A240000}"/>
    <cellStyle name="20% - Accent6 11 6 3 2" xfId="45538" xr:uid="{54E8C2E2-EF27-45A5-8238-572EE793F759}"/>
    <cellStyle name="20% - Accent6 11 6 4" xfId="29660" xr:uid="{C40FC6C2-576D-40AA-9EF0-423A7939576D}"/>
    <cellStyle name="20% - Accent6 11 7" xfId="9327" xr:uid="{00000000-0005-0000-0000-00000B240000}"/>
    <cellStyle name="20% - Accent6 11 7 2" xfId="17285" xr:uid="{00000000-0005-0000-0000-00000C240000}"/>
    <cellStyle name="20% - Accent6 11 7 2 2" xfId="41125" xr:uid="{41D368A5-5B58-40D5-9381-532B0B554AFC}"/>
    <cellStyle name="20% - Accent6 11 7 3" xfId="25229" xr:uid="{00000000-0005-0000-0000-00000D240000}"/>
    <cellStyle name="20% - Accent6 11 7 3 2" xfId="49061" xr:uid="{72A53DB3-92EB-47A0-AB91-BFDBC3B6C55C}"/>
    <cellStyle name="20% - Accent6 11 7 4" xfId="33184" xr:uid="{1D20A7E9-B653-4FD9-8640-B949EB1EFF84}"/>
    <cellStyle name="20% - Accent6 11 8" xfId="10223" xr:uid="{00000000-0005-0000-0000-00000E240000}"/>
    <cellStyle name="20% - Accent6 11 8 2" xfId="34072" xr:uid="{98570424-21E2-405C-B496-81ECCF87B0A7}"/>
    <cellStyle name="20% - Accent6 11 9" xfId="18178" xr:uid="{00000000-0005-0000-0000-00000F240000}"/>
    <cellStyle name="20% - Accent6 11 9 2" xfId="42010" xr:uid="{ADB677FE-8184-4066-96B8-2901B1787DB3}"/>
    <cellStyle name="20% - Accent6 11_Exh G" xfId="2562" xr:uid="{00000000-0005-0000-0000-000010240000}"/>
    <cellStyle name="20% - Accent6 12" xfId="285" xr:uid="{00000000-0005-0000-0000-000011240000}"/>
    <cellStyle name="20% - Accent6 12 10" xfId="26134" xr:uid="{8EC87A3A-1FCF-4146-932F-B895CF42C8E9}"/>
    <cellStyle name="20% - Accent6 12 2" xfId="286" xr:uid="{00000000-0005-0000-0000-000012240000}"/>
    <cellStyle name="20% - Accent6 12 2 2" xfId="287" xr:uid="{00000000-0005-0000-0000-000013240000}"/>
    <cellStyle name="20% - Accent6 12 2 2 2" xfId="1313" xr:uid="{00000000-0005-0000-0000-000014240000}"/>
    <cellStyle name="20% - Accent6 12 2 2 2 2" xfId="4840" xr:uid="{00000000-0005-0000-0000-000015240000}"/>
    <cellStyle name="20% - Accent6 12 2 2 2 2 2" xfId="8431" xr:uid="{00000000-0005-0000-0000-000016240000}"/>
    <cellStyle name="20% - Accent6 12 2 2 2 2 2 2" xfId="16401" xr:uid="{00000000-0005-0000-0000-000017240000}"/>
    <cellStyle name="20% - Accent6 12 2 2 2 2 2 2 2" xfId="40243" xr:uid="{50495562-6257-498B-9D3B-79E960D3C8EF}"/>
    <cellStyle name="20% - Accent6 12 2 2 2 2 2 3" xfId="24347" xr:uid="{00000000-0005-0000-0000-000018240000}"/>
    <cellStyle name="20% - Accent6 12 2 2 2 2 2 3 2" xfId="48179" xr:uid="{B972F7DD-2DC6-4905-BB8F-2B342A9044E7}"/>
    <cellStyle name="20% - Accent6 12 2 2 2 2 2 4" xfId="32302" xr:uid="{12AD059D-D522-4A70-AFD9-D0380615F205}"/>
    <cellStyle name="20% - Accent6 12 2 2 2 2 3" xfId="12863" xr:uid="{00000000-0005-0000-0000-000019240000}"/>
    <cellStyle name="20% - Accent6 12 2 2 2 2 3 2" xfId="36712" xr:uid="{7C5821D5-9A0C-45E2-9263-EBC305B2A0A1}"/>
    <cellStyle name="20% - Accent6 12 2 2 2 2 4" xfId="20818" xr:uid="{00000000-0005-0000-0000-00001A240000}"/>
    <cellStyle name="20% - Accent6 12 2 2 2 2 4 2" xfId="44650" xr:uid="{1EFFC95A-BF1C-4545-8CEC-39073089C0F3}"/>
    <cellStyle name="20% - Accent6 12 2 2 2 2 5" xfId="28771" xr:uid="{9F4B9C9D-BF85-4A24-B5B2-7E6CCADFC5F2}"/>
    <cellStyle name="20% - Accent6 12 2 2 2 3" xfId="6672" xr:uid="{00000000-0005-0000-0000-00001B240000}"/>
    <cellStyle name="20% - Accent6 12 2 2 2 3 2" xfId="14643" xr:uid="{00000000-0005-0000-0000-00001C240000}"/>
    <cellStyle name="20% - Accent6 12 2 2 2 3 2 2" xfId="38485" xr:uid="{2EE1418F-DDA3-4203-AF35-5B74D3960F47}"/>
    <cellStyle name="20% - Accent6 12 2 2 2 3 3" xfId="22590" xr:uid="{00000000-0005-0000-0000-00001D240000}"/>
    <cellStyle name="20% - Accent6 12 2 2 2 3 3 2" xfId="46422" xr:uid="{8693E007-110F-4AF1-94CC-EBBA2EC04460}"/>
    <cellStyle name="20% - Accent6 12 2 2 2 3 4" xfId="30544" xr:uid="{A96AF53C-8781-4EE7-B6A7-F23DBFC2E037}"/>
    <cellStyle name="20% - Accent6 12 2 2 2 4" xfId="11107" xr:uid="{00000000-0005-0000-0000-00001E240000}"/>
    <cellStyle name="20% - Accent6 12 2 2 2 4 2" xfId="34956" xr:uid="{0837299D-EF0D-43B1-A436-BFFB0F2CD870}"/>
    <cellStyle name="20% - Accent6 12 2 2 2 5" xfId="19062" xr:uid="{00000000-0005-0000-0000-00001F240000}"/>
    <cellStyle name="20% - Accent6 12 2 2 2 5 2" xfId="42894" xr:uid="{46FA62D4-C5CD-45C8-BC56-2A9B19EBF18C}"/>
    <cellStyle name="20% - Accent6 12 2 2 2 6" xfId="27014" xr:uid="{0AE0C34C-CE9C-495C-8A64-DCDF3E578CEA}"/>
    <cellStyle name="20% - Accent6 12 2 2 2_Exh G" xfId="2573" xr:uid="{00000000-0005-0000-0000-000020240000}"/>
    <cellStyle name="20% - Accent6 12 2 2 3" xfId="3961" xr:uid="{00000000-0005-0000-0000-000021240000}"/>
    <cellStyle name="20% - Accent6 12 2 2 3 2" xfId="7553" xr:uid="{00000000-0005-0000-0000-000022240000}"/>
    <cellStyle name="20% - Accent6 12 2 2 3 2 2" xfId="15523" xr:uid="{00000000-0005-0000-0000-000023240000}"/>
    <cellStyle name="20% - Accent6 12 2 2 3 2 2 2" xfId="39365" xr:uid="{3D808422-1103-477D-B5CE-F5BCF6EE585C}"/>
    <cellStyle name="20% - Accent6 12 2 2 3 2 3" xfId="23469" xr:uid="{00000000-0005-0000-0000-000024240000}"/>
    <cellStyle name="20% - Accent6 12 2 2 3 2 3 2" xfId="47301" xr:uid="{58D4B570-99C2-427F-B337-297A16FDDB22}"/>
    <cellStyle name="20% - Accent6 12 2 2 3 2 4" xfId="31424" xr:uid="{134BFF77-8EFA-400A-B11E-47277D5579AC}"/>
    <cellStyle name="20% - Accent6 12 2 2 3 3" xfId="11985" xr:uid="{00000000-0005-0000-0000-000025240000}"/>
    <cellStyle name="20% - Accent6 12 2 2 3 3 2" xfId="35834" xr:uid="{329A60C3-C2E7-407B-91B1-89FC5BD4E635}"/>
    <cellStyle name="20% - Accent6 12 2 2 3 4" xfId="19940" xr:uid="{00000000-0005-0000-0000-000026240000}"/>
    <cellStyle name="20% - Accent6 12 2 2 3 4 2" xfId="43772" xr:uid="{B3F8E908-EF49-406F-AFFC-848A012AB4E8}"/>
    <cellStyle name="20% - Accent6 12 2 2 3 5" xfId="27893" xr:uid="{ABA60406-17E5-45B5-8A43-2FF86C5C57B7}"/>
    <cellStyle name="20% - Accent6 12 2 2 4" xfId="5781" xr:uid="{00000000-0005-0000-0000-000027240000}"/>
    <cellStyle name="20% - Accent6 12 2 2 4 2" xfId="13764" xr:uid="{00000000-0005-0000-0000-000028240000}"/>
    <cellStyle name="20% - Accent6 12 2 2 4 2 2" xfId="37607" xr:uid="{C75B88C3-AA5D-4169-B9AF-0C7910DDDFEF}"/>
    <cellStyle name="20% - Accent6 12 2 2 4 3" xfId="21712" xr:uid="{00000000-0005-0000-0000-000029240000}"/>
    <cellStyle name="20% - Accent6 12 2 2 4 3 2" xfId="45544" xr:uid="{19733C38-A06F-4731-95E2-FA4E38D6C23B}"/>
    <cellStyle name="20% - Accent6 12 2 2 4 4" xfId="29666" xr:uid="{6B70B35B-AA1B-4F72-8F34-FA3DFB456656}"/>
    <cellStyle name="20% - Accent6 12 2 2 5" xfId="9333" xr:uid="{00000000-0005-0000-0000-00002A240000}"/>
    <cellStyle name="20% - Accent6 12 2 2 5 2" xfId="17291" xr:uid="{00000000-0005-0000-0000-00002B240000}"/>
    <cellStyle name="20% - Accent6 12 2 2 5 2 2" xfId="41131" xr:uid="{D3582E01-C490-450A-A3CE-52B86E3041CC}"/>
    <cellStyle name="20% - Accent6 12 2 2 5 3" xfId="25235" xr:uid="{00000000-0005-0000-0000-00002C240000}"/>
    <cellStyle name="20% - Accent6 12 2 2 5 3 2" xfId="49067" xr:uid="{78D0CFCC-0B98-45D4-8F81-1C9AC9370071}"/>
    <cellStyle name="20% - Accent6 12 2 2 5 4" xfId="33190" xr:uid="{58978295-D493-4F06-84AB-6C6A17ADDFEA}"/>
    <cellStyle name="20% - Accent6 12 2 2 6" xfId="10229" xr:uid="{00000000-0005-0000-0000-00002D240000}"/>
    <cellStyle name="20% - Accent6 12 2 2 6 2" xfId="34078" xr:uid="{6F9DD69F-8CF5-4BCA-AF02-FE2BAA91F0F1}"/>
    <cellStyle name="20% - Accent6 12 2 2 7" xfId="18184" xr:uid="{00000000-0005-0000-0000-00002E240000}"/>
    <cellStyle name="20% - Accent6 12 2 2 7 2" xfId="42016" xr:uid="{8990B59F-CEFA-4912-AC97-4F0FD1AF356E}"/>
    <cellStyle name="20% - Accent6 12 2 2 8" xfId="26136" xr:uid="{B637B9FE-E3AB-47C5-96E1-3C86782382FB}"/>
    <cellStyle name="20% - Accent6 12 2 2_Exh G" xfId="2572" xr:uid="{00000000-0005-0000-0000-00002F240000}"/>
    <cellStyle name="20% - Accent6 12 2 3" xfId="1312" xr:uid="{00000000-0005-0000-0000-000030240000}"/>
    <cellStyle name="20% - Accent6 12 2 3 2" xfId="4839" xr:uid="{00000000-0005-0000-0000-000031240000}"/>
    <cellStyle name="20% - Accent6 12 2 3 2 2" xfId="8430" xr:uid="{00000000-0005-0000-0000-000032240000}"/>
    <cellStyle name="20% - Accent6 12 2 3 2 2 2" xfId="16400" xr:uid="{00000000-0005-0000-0000-000033240000}"/>
    <cellStyle name="20% - Accent6 12 2 3 2 2 2 2" xfId="40242" xr:uid="{3F9F7EE9-7418-408B-9FDF-10976C7FC4BC}"/>
    <cellStyle name="20% - Accent6 12 2 3 2 2 3" xfId="24346" xr:uid="{00000000-0005-0000-0000-000034240000}"/>
    <cellStyle name="20% - Accent6 12 2 3 2 2 3 2" xfId="48178" xr:uid="{02A91B94-98B6-4DB3-95B0-B554AB9AE2E6}"/>
    <cellStyle name="20% - Accent6 12 2 3 2 2 4" xfId="32301" xr:uid="{2EBC8CEA-7724-4236-A36B-5EB430446718}"/>
    <cellStyle name="20% - Accent6 12 2 3 2 3" xfId="12862" xr:uid="{00000000-0005-0000-0000-000035240000}"/>
    <cellStyle name="20% - Accent6 12 2 3 2 3 2" xfId="36711" xr:uid="{10264039-A20B-4EA6-9DBA-C8F35244F39B}"/>
    <cellStyle name="20% - Accent6 12 2 3 2 4" xfId="20817" xr:uid="{00000000-0005-0000-0000-000036240000}"/>
    <cellStyle name="20% - Accent6 12 2 3 2 4 2" xfId="44649" xr:uid="{C9F1FF3F-24FE-4DD7-9E51-99373096E6AC}"/>
    <cellStyle name="20% - Accent6 12 2 3 2 5" xfId="28770" xr:uid="{63B6D284-6FD6-453F-9A6D-2407F11E1CD5}"/>
    <cellStyle name="20% - Accent6 12 2 3 3" xfId="6671" xr:uid="{00000000-0005-0000-0000-000037240000}"/>
    <cellStyle name="20% - Accent6 12 2 3 3 2" xfId="14642" xr:uid="{00000000-0005-0000-0000-000038240000}"/>
    <cellStyle name="20% - Accent6 12 2 3 3 2 2" xfId="38484" xr:uid="{4F76A80A-004B-4FF0-AD63-03168DFAE1D3}"/>
    <cellStyle name="20% - Accent6 12 2 3 3 3" xfId="22589" xr:uid="{00000000-0005-0000-0000-000039240000}"/>
    <cellStyle name="20% - Accent6 12 2 3 3 3 2" xfId="46421" xr:uid="{8EF525BF-DF81-49E0-A0B1-08F310501172}"/>
    <cellStyle name="20% - Accent6 12 2 3 3 4" xfId="30543" xr:uid="{F02EF114-2EBB-4476-A105-F2628E95FE3D}"/>
    <cellStyle name="20% - Accent6 12 2 3 4" xfId="11106" xr:uid="{00000000-0005-0000-0000-00003A240000}"/>
    <cellStyle name="20% - Accent6 12 2 3 4 2" xfId="34955" xr:uid="{62405DE2-E9BA-436D-9658-B85C0BBD26BF}"/>
    <cellStyle name="20% - Accent6 12 2 3 5" xfId="19061" xr:uid="{00000000-0005-0000-0000-00003B240000}"/>
    <cellStyle name="20% - Accent6 12 2 3 5 2" xfId="42893" xr:uid="{DA9D5451-3E83-4C66-ACA5-D50A1193CF16}"/>
    <cellStyle name="20% - Accent6 12 2 3 6" xfId="27013" xr:uid="{F4FC350F-8444-48FF-BD4E-4814716DFE24}"/>
    <cellStyle name="20% - Accent6 12 2 3_Exh G" xfId="2574" xr:uid="{00000000-0005-0000-0000-00003C240000}"/>
    <cellStyle name="20% - Accent6 12 2 4" xfId="3960" xr:uid="{00000000-0005-0000-0000-00003D240000}"/>
    <cellStyle name="20% - Accent6 12 2 4 2" xfId="7552" xr:uid="{00000000-0005-0000-0000-00003E240000}"/>
    <cellStyle name="20% - Accent6 12 2 4 2 2" xfId="15522" xr:uid="{00000000-0005-0000-0000-00003F240000}"/>
    <cellStyle name="20% - Accent6 12 2 4 2 2 2" xfId="39364" xr:uid="{6941C9AA-FFC9-476B-BF1A-2A78C7C99C18}"/>
    <cellStyle name="20% - Accent6 12 2 4 2 3" xfId="23468" xr:uid="{00000000-0005-0000-0000-000040240000}"/>
    <cellStyle name="20% - Accent6 12 2 4 2 3 2" xfId="47300" xr:uid="{187335CE-50CD-4B9D-8DA3-9E22287D3072}"/>
    <cellStyle name="20% - Accent6 12 2 4 2 4" xfId="31423" xr:uid="{3FB2A466-4610-4864-8E5E-3234B6F79401}"/>
    <cellStyle name="20% - Accent6 12 2 4 3" xfId="11984" xr:uid="{00000000-0005-0000-0000-000041240000}"/>
    <cellStyle name="20% - Accent6 12 2 4 3 2" xfId="35833" xr:uid="{4653E0D9-034D-42CC-9A16-8B829E657F48}"/>
    <cellStyle name="20% - Accent6 12 2 4 4" xfId="19939" xr:uid="{00000000-0005-0000-0000-000042240000}"/>
    <cellStyle name="20% - Accent6 12 2 4 4 2" xfId="43771" xr:uid="{FA48C67A-A0B0-48DF-BE9F-DF314C23CF13}"/>
    <cellStyle name="20% - Accent6 12 2 4 5" xfId="27892" xr:uid="{BF3B15E6-B6FA-42D4-AED3-9293889B2E61}"/>
    <cellStyle name="20% - Accent6 12 2 5" xfId="5780" xr:uid="{00000000-0005-0000-0000-000043240000}"/>
    <cellStyle name="20% - Accent6 12 2 5 2" xfId="13763" xr:uid="{00000000-0005-0000-0000-000044240000}"/>
    <cellStyle name="20% - Accent6 12 2 5 2 2" xfId="37606" xr:uid="{37849CF2-BCD1-4963-951D-FD74400C3155}"/>
    <cellStyle name="20% - Accent6 12 2 5 3" xfId="21711" xr:uid="{00000000-0005-0000-0000-000045240000}"/>
    <cellStyle name="20% - Accent6 12 2 5 3 2" xfId="45543" xr:uid="{1F8A98EF-1DD9-4323-8013-E086AC2A8764}"/>
    <cellStyle name="20% - Accent6 12 2 5 4" xfId="29665" xr:uid="{4B565F72-5D26-45AB-8ADD-BD3D91A7AC45}"/>
    <cellStyle name="20% - Accent6 12 2 6" xfId="9332" xr:uid="{00000000-0005-0000-0000-000046240000}"/>
    <cellStyle name="20% - Accent6 12 2 6 2" xfId="17290" xr:uid="{00000000-0005-0000-0000-000047240000}"/>
    <cellStyle name="20% - Accent6 12 2 6 2 2" xfId="41130" xr:uid="{343FDA53-23A6-4E48-B2D3-C9989B186568}"/>
    <cellStyle name="20% - Accent6 12 2 6 3" xfId="25234" xr:uid="{00000000-0005-0000-0000-000048240000}"/>
    <cellStyle name="20% - Accent6 12 2 6 3 2" xfId="49066" xr:uid="{236E0295-0961-4C00-B0E1-E0BC7D7D1E94}"/>
    <cellStyle name="20% - Accent6 12 2 6 4" xfId="33189" xr:uid="{2D18F12B-0198-4A91-B85A-969149E6E972}"/>
    <cellStyle name="20% - Accent6 12 2 7" xfId="10228" xr:uid="{00000000-0005-0000-0000-000049240000}"/>
    <cellStyle name="20% - Accent6 12 2 7 2" xfId="34077" xr:uid="{6ED8DED6-6E7B-4384-ADD5-6473EE515D07}"/>
    <cellStyle name="20% - Accent6 12 2 8" xfId="18183" xr:uid="{00000000-0005-0000-0000-00004A240000}"/>
    <cellStyle name="20% - Accent6 12 2 8 2" xfId="42015" xr:uid="{6703A4E0-3E9B-4EB3-A0DC-FF38F5E7451D}"/>
    <cellStyle name="20% - Accent6 12 2 9" xfId="26135" xr:uid="{26C27A84-FD7E-4BF5-9FA6-DB5DD20CD6DF}"/>
    <cellStyle name="20% - Accent6 12 2_Exh G" xfId="2571" xr:uid="{00000000-0005-0000-0000-00004B240000}"/>
    <cellStyle name="20% - Accent6 12 3" xfId="288" xr:uid="{00000000-0005-0000-0000-00004C240000}"/>
    <cellStyle name="20% - Accent6 12 3 2" xfId="1314" xr:uid="{00000000-0005-0000-0000-00004D240000}"/>
    <cellStyle name="20% - Accent6 12 3 2 2" xfId="4841" xr:uid="{00000000-0005-0000-0000-00004E240000}"/>
    <cellStyle name="20% - Accent6 12 3 2 2 2" xfId="8432" xr:uid="{00000000-0005-0000-0000-00004F240000}"/>
    <cellStyle name="20% - Accent6 12 3 2 2 2 2" xfId="16402" xr:uid="{00000000-0005-0000-0000-000050240000}"/>
    <cellStyle name="20% - Accent6 12 3 2 2 2 2 2" xfId="40244" xr:uid="{3620597C-E37D-481A-884B-FD0CC32E95C9}"/>
    <cellStyle name="20% - Accent6 12 3 2 2 2 3" xfId="24348" xr:uid="{00000000-0005-0000-0000-000051240000}"/>
    <cellStyle name="20% - Accent6 12 3 2 2 2 3 2" xfId="48180" xr:uid="{CB4E2CDE-4CBB-49FF-ACBD-4DD9D40E3F10}"/>
    <cellStyle name="20% - Accent6 12 3 2 2 2 4" xfId="32303" xr:uid="{72822256-F80B-4B67-82C6-E1369CCA65A9}"/>
    <cellStyle name="20% - Accent6 12 3 2 2 3" xfId="12864" xr:uid="{00000000-0005-0000-0000-000052240000}"/>
    <cellStyle name="20% - Accent6 12 3 2 2 3 2" xfId="36713" xr:uid="{CE380C1C-56CD-4001-BBDF-46FE528DCB62}"/>
    <cellStyle name="20% - Accent6 12 3 2 2 4" xfId="20819" xr:uid="{00000000-0005-0000-0000-000053240000}"/>
    <cellStyle name="20% - Accent6 12 3 2 2 4 2" xfId="44651" xr:uid="{D1B26870-3E08-406B-9F01-30AF5DD10CB9}"/>
    <cellStyle name="20% - Accent6 12 3 2 2 5" xfId="28772" xr:uid="{43E5F2A4-2DD9-4C9B-A126-6BF1C8DB48ED}"/>
    <cellStyle name="20% - Accent6 12 3 2 3" xfId="6673" xr:uid="{00000000-0005-0000-0000-000054240000}"/>
    <cellStyle name="20% - Accent6 12 3 2 3 2" xfId="14644" xr:uid="{00000000-0005-0000-0000-000055240000}"/>
    <cellStyle name="20% - Accent6 12 3 2 3 2 2" xfId="38486" xr:uid="{CAF435A0-A4CD-45A2-8E72-C58E4325521A}"/>
    <cellStyle name="20% - Accent6 12 3 2 3 3" xfId="22591" xr:uid="{00000000-0005-0000-0000-000056240000}"/>
    <cellStyle name="20% - Accent6 12 3 2 3 3 2" xfId="46423" xr:uid="{160BC98B-D49E-43A8-AEA4-C389AB98146C}"/>
    <cellStyle name="20% - Accent6 12 3 2 3 4" xfId="30545" xr:uid="{F9FD2BA8-B33B-4E3C-B310-D1AE7988524D}"/>
    <cellStyle name="20% - Accent6 12 3 2 4" xfId="11108" xr:uid="{00000000-0005-0000-0000-000057240000}"/>
    <cellStyle name="20% - Accent6 12 3 2 4 2" xfId="34957" xr:uid="{BFE97085-C1A4-494C-98B5-9130007D07DF}"/>
    <cellStyle name="20% - Accent6 12 3 2 5" xfId="19063" xr:uid="{00000000-0005-0000-0000-000058240000}"/>
    <cellStyle name="20% - Accent6 12 3 2 5 2" xfId="42895" xr:uid="{0D7E26DB-9BE3-4DFC-B7C4-8B548A87F5C9}"/>
    <cellStyle name="20% - Accent6 12 3 2 6" xfId="27015" xr:uid="{D3EC8E3D-4C55-44A2-9FD8-E1C12F6E5666}"/>
    <cellStyle name="20% - Accent6 12 3 2_Exh G" xfId="2576" xr:uid="{00000000-0005-0000-0000-000059240000}"/>
    <cellStyle name="20% - Accent6 12 3 3" xfId="3962" xr:uid="{00000000-0005-0000-0000-00005A240000}"/>
    <cellStyle name="20% - Accent6 12 3 3 2" xfId="7554" xr:uid="{00000000-0005-0000-0000-00005B240000}"/>
    <cellStyle name="20% - Accent6 12 3 3 2 2" xfId="15524" xr:uid="{00000000-0005-0000-0000-00005C240000}"/>
    <cellStyle name="20% - Accent6 12 3 3 2 2 2" xfId="39366" xr:uid="{1BF5C542-7D1C-41E5-A0DA-A7BA83525AF7}"/>
    <cellStyle name="20% - Accent6 12 3 3 2 3" xfId="23470" xr:uid="{00000000-0005-0000-0000-00005D240000}"/>
    <cellStyle name="20% - Accent6 12 3 3 2 3 2" xfId="47302" xr:uid="{2C67DF63-D853-4F62-ACB4-CF6FE00F0418}"/>
    <cellStyle name="20% - Accent6 12 3 3 2 4" xfId="31425" xr:uid="{73480544-7E42-421D-B986-91FB67A0110D}"/>
    <cellStyle name="20% - Accent6 12 3 3 3" xfId="11986" xr:uid="{00000000-0005-0000-0000-00005E240000}"/>
    <cellStyle name="20% - Accent6 12 3 3 3 2" xfId="35835" xr:uid="{1A223AF8-48F8-47D9-9AE9-F570AE9B8018}"/>
    <cellStyle name="20% - Accent6 12 3 3 4" xfId="19941" xr:uid="{00000000-0005-0000-0000-00005F240000}"/>
    <cellStyle name="20% - Accent6 12 3 3 4 2" xfId="43773" xr:uid="{2B7513BD-F10F-4FE5-86BA-BBC21782E279}"/>
    <cellStyle name="20% - Accent6 12 3 3 5" xfId="27894" xr:uid="{D61B5585-0035-4C2C-97B4-9E8CEB433762}"/>
    <cellStyle name="20% - Accent6 12 3 4" xfId="5782" xr:uid="{00000000-0005-0000-0000-000060240000}"/>
    <cellStyle name="20% - Accent6 12 3 4 2" xfId="13765" xr:uid="{00000000-0005-0000-0000-000061240000}"/>
    <cellStyle name="20% - Accent6 12 3 4 2 2" xfId="37608" xr:uid="{F458C058-AB13-4D9E-BBCD-CF94D770F319}"/>
    <cellStyle name="20% - Accent6 12 3 4 3" xfId="21713" xr:uid="{00000000-0005-0000-0000-000062240000}"/>
    <cellStyle name="20% - Accent6 12 3 4 3 2" xfId="45545" xr:uid="{C86F7A35-7DA6-481A-9227-3B4B5BA838C0}"/>
    <cellStyle name="20% - Accent6 12 3 4 4" xfId="29667" xr:uid="{7ECD867A-77EE-46FA-BF8A-EAE0D574B117}"/>
    <cellStyle name="20% - Accent6 12 3 5" xfId="9334" xr:uid="{00000000-0005-0000-0000-000063240000}"/>
    <cellStyle name="20% - Accent6 12 3 5 2" xfId="17292" xr:uid="{00000000-0005-0000-0000-000064240000}"/>
    <cellStyle name="20% - Accent6 12 3 5 2 2" xfId="41132" xr:uid="{698E9505-59E6-4C4E-81D7-E93DD4C043E9}"/>
    <cellStyle name="20% - Accent6 12 3 5 3" xfId="25236" xr:uid="{00000000-0005-0000-0000-000065240000}"/>
    <cellStyle name="20% - Accent6 12 3 5 3 2" xfId="49068" xr:uid="{D71EC025-3979-4640-9DC4-D1A50E5B4C48}"/>
    <cellStyle name="20% - Accent6 12 3 5 4" xfId="33191" xr:uid="{8059B9DD-BDB7-4CF6-8D61-3116E4FED597}"/>
    <cellStyle name="20% - Accent6 12 3 6" xfId="10230" xr:uid="{00000000-0005-0000-0000-000066240000}"/>
    <cellStyle name="20% - Accent6 12 3 6 2" xfId="34079" xr:uid="{14751C5C-A1F5-4750-BD17-DE7FFEF26E66}"/>
    <cellStyle name="20% - Accent6 12 3 7" xfId="18185" xr:uid="{00000000-0005-0000-0000-000067240000}"/>
    <cellStyle name="20% - Accent6 12 3 7 2" xfId="42017" xr:uid="{2B3FCCCB-8823-414E-BD60-F8CAAD9A9CA6}"/>
    <cellStyle name="20% - Accent6 12 3 8" xfId="26137" xr:uid="{787381E6-87F6-46C6-AED6-8C0C099D28AA}"/>
    <cellStyle name="20% - Accent6 12 3_Exh G" xfId="2575" xr:uid="{00000000-0005-0000-0000-000068240000}"/>
    <cellStyle name="20% - Accent6 12 4" xfId="1311" xr:uid="{00000000-0005-0000-0000-000069240000}"/>
    <cellStyle name="20% - Accent6 12 4 2" xfId="4838" xr:uid="{00000000-0005-0000-0000-00006A240000}"/>
    <cellStyle name="20% - Accent6 12 4 2 2" xfId="8429" xr:uid="{00000000-0005-0000-0000-00006B240000}"/>
    <cellStyle name="20% - Accent6 12 4 2 2 2" xfId="16399" xr:uid="{00000000-0005-0000-0000-00006C240000}"/>
    <cellStyle name="20% - Accent6 12 4 2 2 2 2" xfId="40241" xr:uid="{663651A8-D8E1-4DE9-AAA1-AD068A368832}"/>
    <cellStyle name="20% - Accent6 12 4 2 2 3" xfId="24345" xr:uid="{00000000-0005-0000-0000-00006D240000}"/>
    <cellStyle name="20% - Accent6 12 4 2 2 3 2" xfId="48177" xr:uid="{E8158A24-B5E1-403D-ACFF-B676E592C1B9}"/>
    <cellStyle name="20% - Accent6 12 4 2 2 4" xfId="32300" xr:uid="{1E144CC8-11B3-4135-B383-7B516A798CEB}"/>
    <cellStyle name="20% - Accent6 12 4 2 3" xfId="12861" xr:uid="{00000000-0005-0000-0000-00006E240000}"/>
    <cellStyle name="20% - Accent6 12 4 2 3 2" xfId="36710" xr:uid="{7D553BFF-EE32-4F3A-915E-7AB281D00983}"/>
    <cellStyle name="20% - Accent6 12 4 2 4" xfId="20816" xr:uid="{00000000-0005-0000-0000-00006F240000}"/>
    <cellStyle name="20% - Accent6 12 4 2 4 2" xfId="44648" xr:uid="{57639075-1878-4B36-B734-37268A5EDF89}"/>
    <cellStyle name="20% - Accent6 12 4 2 5" xfId="28769" xr:uid="{EB26C705-17FB-4FEE-9B55-736899A61414}"/>
    <cellStyle name="20% - Accent6 12 4 3" xfId="6670" xr:uid="{00000000-0005-0000-0000-000070240000}"/>
    <cellStyle name="20% - Accent6 12 4 3 2" xfId="14641" xr:uid="{00000000-0005-0000-0000-000071240000}"/>
    <cellStyle name="20% - Accent6 12 4 3 2 2" xfId="38483" xr:uid="{BA6AD2C5-D49A-4D57-935D-E4D745EE70E8}"/>
    <cellStyle name="20% - Accent6 12 4 3 3" xfId="22588" xr:uid="{00000000-0005-0000-0000-000072240000}"/>
    <cellStyle name="20% - Accent6 12 4 3 3 2" xfId="46420" xr:uid="{DB0992B9-A8A1-4F5B-8FF5-078F470444E6}"/>
    <cellStyle name="20% - Accent6 12 4 3 4" xfId="30542" xr:uid="{683E5479-4253-4926-8772-E3FD118EF1D8}"/>
    <cellStyle name="20% - Accent6 12 4 4" xfId="11105" xr:uid="{00000000-0005-0000-0000-000073240000}"/>
    <cellStyle name="20% - Accent6 12 4 4 2" xfId="34954" xr:uid="{6CD39D42-0C21-45C5-B3B8-511887E90F79}"/>
    <cellStyle name="20% - Accent6 12 4 5" xfId="19060" xr:uid="{00000000-0005-0000-0000-000074240000}"/>
    <cellStyle name="20% - Accent6 12 4 5 2" xfId="42892" xr:uid="{20CD884C-B2FD-4D1B-A476-86CAD6492ED1}"/>
    <cellStyle name="20% - Accent6 12 4 6" xfId="27012" xr:uid="{CDEA221C-37D2-4F65-9558-D5C1CAF1F08B}"/>
    <cellStyle name="20% - Accent6 12 4_Exh G" xfId="2577" xr:uid="{00000000-0005-0000-0000-000075240000}"/>
    <cellStyle name="20% - Accent6 12 5" xfId="3959" xr:uid="{00000000-0005-0000-0000-000076240000}"/>
    <cellStyle name="20% - Accent6 12 5 2" xfId="7551" xr:uid="{00000000-0005-0000-0000-000077240000}"/>
    <cellStyle name="20% - Accent6 12 5 2 2" xfId="15521" xr:uid="{00000000-0005-0000-0000-000078240000}"/>
    <cellStyle name="20% - Accent6 12 5 2 2 2" xfId="39363" xr:uid="{D7F41DF7-CF57-4F97-AD03-F7D0156A1CEE}"/>
    <cellStyle name="20% - Accent6 12 5 2 3" xfId="23467" xr:uid="{00000000-0005-0000-0000-000079240000}"/>
    <cellStyle name="20% - Accent6 12 5 2 3 2" xfId="47299" xr:uid="{AF6B6C44-011D-4AD8-9CC0-EFE44BDFF515}"/>
    <cellStyle name="20% - Accent6 12 5 2 4" xfId="31422" xr:uid="{BF8402CD-11EA-475E-94B7-5F5CA9F58D8A}"/>
    <cellStyle name="20% - Accent6 12 5 3" xfId="11983" xr:uid="{00000000-0005-0000-0000-00007A240000}"/>
    <cellStyle name="20% - Accent6 12 5 3 2" xfId="35832" xr:uid="{BDC1BF99-E5E6-4030-A81D-96F1010F5B31}"/>
    <cellStyle name="20% - Accent6 12 5 4" xfId="19938" xr:uid="{00000000-0005-0000-0000-00007B240000}"/>
    <cellStyle name="20% - Accent6 12 5 4 2" xfId="43770" xr:uid="{FBE7A0BD-BABA-45C3-8A12-03E947781030}"/>
    <cellStyle name="20% - Accent6 12 5 5" xfId="27891" xr:uid="{C308FABB-7709-4939-A64D-4E22AEC318C6}"/>
    <cellStyle name="20% - Accent6 12 6" xfId="5779" xr:uid="{00000000-0005-0000-0000-00007C240000}"/>
    <cellStyle name="20% - Accent6 12 6 2" xfId="13762" xr:uid="{00000000-0005-0000-0000-00007D240000}"/>
    <cellStyle name="20% - Accent6 12 6 2 2" xfId="37605" xr:uid="{BAC22811-1644-45D9-A52A-17EA3DCA1055}"/>
    <cellStyle name="20% - Accent6 12 6 3" xfId="21710" xr:uid="{00000000-0005-0000-0000-00007E240000}"/>
    <cellStyle name="20% - Accent6 12 6 3 2" xfId="45542" xr:uid="{4575A05B-C013-4457-A219-E521279ED16C}"/>
    <cellStyle name="20% - Accent6 12 6 4" xfId="29664" xr:uid="{6BEEAAAE-77C6-44D8-A9A1-0BCC9C6BEE68}"/>
    <cellStyle name="20% - Accent6 12 7" xfId="9331" xr:uid="{00000000-0005-0000-0000-00007F240000}"/>
    <cellStyle name="20% - Accent6 12 7 2" xfId="17289" xr:uid="{00000000-0005-0000-0000-000080240000}"/>
    <cellStyle name="20% - Accent6 12 7 2 2" xfId="41129" xr:uid="{AD962693-3F1D-442E-938B-61A973FE6C8E}"/>
    <cellStyle name="20% - Accent6 12 7 3" xfId="25233" xr:uid="{00000000-0005-0000-0000-000081240000}"/>
    <cellStyle name="20% - Accent6 12 7 3 2" xfId="49065" xr:uid="{D0A6B0CE-7736-4634-9B12-D23532876E1A}"/>
    <cellStyle name="20% - Accent6 12 7 4" xfId="33188" xr:uid="{A44FD793-0EBA-4D6F-8C3E-085FC512D1A2}"/>
    <cellStyle name="20% - Accent6 12 8" xfId="10227" xr:uid="{00000000-0005-0000-0000-000082240000}"/>
    <cellStyle name="20% - Accent6 12 8 2" xfId="34076" xr:uid="{C54ECBCA-36FA-4614-847F-A5D30D3D8686}"/>
    <cellStyle name="20% - Accent6 12 9" xfId="18182" xr:uid="{00000000-0005-0000-0000-000083240000}"/>
    <cellStyle name="20% - Accent6 12 9 2" xfId="42014" xr:uid="{6177B55A-97D8-47BB-A769-637FF419AF2A}"/>
    <cellStyle name="20% - Accent6 12_Exh G" xfId="2570" xr:uid="{00000000-0005-0000-0000-000084240000}"/>
    <cellStyle name="20% - Accent6 13" xfId="289" xr:uid="{00000000-0005-0000-0000-000085240000}"/>
    <cellStyle name="20% - Accent6 13 10" xfId="26138" xr:uid="{E284F063-9E28-48E1-9D69-A67E956E9A9D}"/>
    <cellStyle name="20% - Accent6 13 2" xfId="290" xr:uid="{00000000-0005-0000-0000-000086240000}"/>
    <cellStyle name="20% - Accent6 13 2 2" xfId="291" xr:uid="{00000000-0005-0000-0000-000087240000}"/>
    <cellStyle name="20% - Accent6 13 2 2 2" xfId="1317" xr:uid="{00000000-0005-0000-0000-000088240000}"/>
    <cellStyle name="20% - Accent6 13 2 2 2 2" xfId="4844" xr:uid="{00000000-0005-0000-0000-000089240000}"/>
    <cellStyle name="20% - Accent6 13 2 2 2 2 2" xfId="8435" xr:uid="{00000000-0005-0000-0000-00008A240000}"/>
    <cellStyle name="20% - Accent6 13 2 2 2 2 2 2" xfId="16405" xr:uid="{00000000-0005-0000-0000-00008B240000}"/>
    <cellStyle name="20% - Accent6 13 2 2 2 2 2 2 2" xfId="40247" xr:uid="{6B8869CE-9A04-43A3-BF34-A8E1EFA119E0}"/>
    <cellStyle name="20% - Accent6 13 2 2 2 2 2 3" xfId="24351" xr:uid="{00000000-0005-0000-0000-00008C240000}"/>
    <cellStyle name="20% - Accent6 13 2 2 2 2 2 3 2" xfId="48183" xr:uid="{98861071-37B9-4081-BB95-74B76FAA606A}"/>
    <cellStyle name="20% - Accent6 13 2 2 2 2 2 4" xfId="32306" xr:uid="{D22D2B9A-8C3C-4700-BEE5-3A1CE5DF1068}"/>
    <cellStyle name="20% - Accent6 13 2 2 2 2 3" xfId="12867" xr:uid="{00000000-0005-0000-0000-00008D240000}"/>
    <cellStyle name="20% - Accent6 13 2 2 2 2 3 2" xfId="36716" xr:uid="{DFD6D218-41CD-47BC-9457-A2BC8404DC9E}"/>
    <cellStyle name="20% - Accent6 13 2 2 2 2 4" xfId="20822" xr:uid="{00000000-0005-0000-0000-00008E240000}"/>
    <cellStyle name="20% - Accent6 13 2 2 2 2 4 2" xfId="44654" xr:uid="{69750877-3C73-4596-8134-240700802B3E}"/>
    <cellStyle name="20% - Accent6 13 2 2 2 2 5" xfId="28775" xr:uid="{1594D99A-17E6-410C-8D8E-59CB09006124}"/>
    <cellStyle name="20% - Accent6 13 2 2 2 3" xfId="6676" xr:uid="{00000000-0005-0000-0000-00008F240000}"/>
    <cellStyle name="20% - Accent6 13 2 2 2 3 2" xfId="14647" xr:uid="{00000000-0005-0000-0000-000090240000}"/>
    <cellStyle name="20% - Accent6 13 2 2 2 3 2 2" xfId="38489" xr:uid="{EE8278C6-1A50-465D-A758-C0A62AA6BCF8}"/>
    <cellStyle name="20% - Accent6 13 2 2 2 3 3" xfId="22594" xr:uid="{00000000-0005-0000-0000-000091240000}"/>
    <cellStyle name="20% - Accent6 13 2 2 2 3 3 2" xfId="46426" xr:uid="{92F8EEDE-5206-4033-B559-AC1C4145B82F}"/>
    <cellStyle name="20% - Accent6 13 2 2 2 3 4" xfId="30548" xr:uid="{4A439D9F-2B63-420F-B7CA-A6C83F226276}"/>
    <cellStyle name="20% - Accent6 13 2 2 2 4" xfId="11111" xr:uid="{00000000-0005-0000-0000-000092240000}"/>
    <cellStyle name="20% - Accent6 13 2 2 2 4 2" xfId="34960" xr:uid="{E34F5BD0-ADC3-418A-BDC9-6ADE8925F61B}"/>
    <cellStyle name="20% - Accent6 13 2 2 2 5" xfId="19066" xr:uid="{00000000-0005-0000-0000-000093240000}"/>
    <cellStyle name="20% - Accent6 13 2 2 2 5 2" xfId="42898" xr:uid="{9406748A-CEF9-4232-B9AA-F03C7DC98309}"/>
    <cellStyle name="20% - Accent6 13 2 2 2 6" xfId="27018" xr:uid="{A82CACE1-7F14-45B5-80A5-FA7DE56C532A}"/>
    <cellStyle name="20% - Accent6 13 2 2 2_Exh G" xfId="2581" xr:uid="{00000000-0005-0000-0000-000094240000}"/>
    <cellStyle name="20% - Accent6 13 2 2 3" xfId="3965" xr:uid="{00000000-0005-0000-0000-000095240000}"/>
    <cellStyle name="20% - Accent6 13 2 2 3 2" xfId="7557" xr:uid="{00000000-0005-0000-0000-000096240000}"/>
    <cellStyle name="20% - Accent6 13 2 2 3 2 2" xfId="15527" xr:uid="{00000000-0005-0000-0000-000097240000}"/>
    <cellStyle name="20% - Accent6 13 2 2 3 2 2 2" xfId="39369" xr:uid="{B7F10F42-17FB-425B-800F-211476541CAC}"/>
    <cellStyle name="20% - Accent6 13 2 2 3 2 3" xfId="23473" xr:uid="{00000000-0005-0000-0000-000098240000}"/>
    <cellStyle name="20% - Accent6 13 2 2 3 2 3 2" xfId="47305" xr:uid="{6D11E204-0E8B-47F5-AC31-36644324CD88}"/>
    <cellStyle name="20% - Accent6 13 2 2 3 2 4" xfId="31428" xr:uid="{61F953CE-1256-445C-92E5-F3DDD4F16190}"/>
    <cellStyle name="20% - Accent6 13 2 2 3 3" xfId="11989" xr:uid="{00000000-0005-0000-0000-000099240000}"/>
    <cellStyle name="20% - Accent6 13 2 2 3 3 2" xfId="35838" xr:uid="{019848D4-E31F-4EA3-9A4D-BA70B60F54F6}"/>
    <cellStyle name="20% - Accent6 13 2 2 3 4" xfId="19944" xr:uid="{00000000-0005-0000-0000-00009A240000}"/>
    <cellStyle name="20% - Accent6 13 2 2 3 4 2" xfId="43776" xr:uid="{4D52B501-6841-4344-8FC6-A9BCBD6D6F66}"/>
    <cellStyle name="20% - Accent6 13 2 2 3 5" xfId="27897" xr:uid="{4FBF34DF-2647-40F4-89B4-532FA662C1DC}"/>
    <cellStyle name="20% - Accent6 13 2 2 4" xfId="5785" xr:uid="{00000000-0005-0000-0000-00009B240000}"/>
    <cellStyle name="20% - Accent6 13 2 2 4 2" xfId="13768" xr:uid="{00000000-0005-0000-0000-00009C240000}"/>
    <cellStyle name="20% - Accent6 13 2 2 4 2 2" xfId="37611" xr:uid="{202C4FFF-EC22-4B9B-8B8F-4539BC10DA4A}"/>
    <cellStyle name="20% - Accent6 13 2 2 4 3" xfId="21716" xr:uid="{00000000-0005-0000-0000-00009D240000}"/>
    <cellStyle name="20% - Accent6 13 2 2 4 3 2" xfId="45548" xr:uid="{A91B710D-C639-4937-ABC4-168CCC5FB4C4}"/>
    <cellStyle name="20% - Accent6 13 2 2 4 4" xfId="29670" xr:uid="{161318BC-610F-4B7E-9CDE-51A47EC88F98}"/>
    <cellStyle name="20% - Accent6 13 2 2 5" xfId="9337" xr:uid="{00000000-0005-0000-0000-00009E240000}"/>
    <cellStyle name="20% - Accent6 13 2 2 5 2" xfId="17295" xr:uid="{00000000-0005-0000-0000-00009F240000}"/>
    <cellStyle name="20% - Accent6 13 2 2 5 2 2" xfId="41135" xr:uid="{EA758921-7E95-44F8-8C4E-E6561114E75A}"/>
    <cellStyle name="20% - Accent6 13 2 2 5 3" xfId="25239" xr:uid="{00000000-0005-0000-0000-0000A0240000}"/>
    <cellStyle name="20% - Accent6 13 2 2 5 3 2" xfId="49071" xr:uid="{37C7F1E1-E439-4F96-A868-715D46F5AD31}"/>
    <cellStyle name="20% - Accent6 13 2 2 5 4" xfId="33194" xr:uid="{71AD6CEE-469F-4686-A0FE-66D9506C9029}"/>
    <cellStyle name="20% - Accent6 13 2 2 6" xfId="10233" xr:uid="{00000000-0005-0000-0000-0000A1240000}"/>
    <cellStyle name="20% - Accent6 13 2 2 6 2" xfId="34082" xr:uid="{0B79D10D-24E2-4C75-BAE5-6C3DA1584B79}"/>
    <cellStyle name="20% - Accent6 13 2 2 7" xfId="18188" xr:uid="{00000000-0005-0000-0000-0000A2240000}"/>
    <cellStyle name="20% - Accent6 13 2 2 7 2" xfId="42020" xr:uid="{4D5FB7E8-C753-4B68-AA02-D31069BCFD0F}"/>
    <cellStyle name="20% - Accent6 13 2 2 8" xfId="26140" xr:uid="{D00A7E4E-D7A2-4FF0-B82D-5972CE25267F}"/>
    <cellStyle name="20% - Accent6 13 2 2_Exh G" xfId="2580" xr:uid="{00000000-0005-0000-0000-0000A3240000}"/>
    <cellStyle name="20% - Accent6 13 2 3" xfId="1316" xr:uid="{00000000-0005-0000-0000-0000A4240000}"/>
    <cellStyle name="20% - Accent6 13 2 3 2" xfId="4843" xr:uid="{00000000-0005-0000-0000-0000A5240000}"/>
    <cellStyle name="20% - Accent6 13 2 3 2 2" xfId="8434" xr:uid="{00000000-0005-0000-0000-0000A6240000}"/>
    <cellStyle name="20% - Accent6 13 2 3 2 2 2" xfId="16404" xr:uid="{00000000-0005-0000-0000-0000A7240000}"/>
    <cellStyle name="20% - Accent6 13 2 3 2 2 2 2" xfId="40246" xr:uid="{828D0F61-7A66-4812-B62A-C865E3984324}"/>
    <cellStyle name="20% - Accent6 13 2 3 2 2 3" xfId="24350" xr:uid="{00000000-0005-0000-0000-0000A8240000}"/>
    <cellStyle name="20% - Accent6 13 2 3 2 2 3 2" xfId="48182" xr:uid="{FEC39210-9BB3-48B4-91C1-668C07C251DB}"/>
    <cellStyle name="20% - Accent6 13 2 3 2 2 4" xfId="32305" xr:uid="{F058BEAB-55BE-49D2-975E-9566F110C0FB}"/>
    <cellStyle name="20% - Accent6 13 2 3 2 3" xfId="12866" xr:uid="{00000000-0005-0000-0000-0000A9240000}"/>
    <cellStyle name="20% - Accent6 13 2 3 2 3 2" xfId="36715" xr:uid="{29BE2245-639B-4881-9E1D-36DD6939270A}"/>
    <cellStyle name="20% - Accent6 13 2 3 2 4" xfId="20821" xr:uid="{00000000-0005-0000-0000-0000AA240000}"/>
    <cellStyle name="20% - Accent6 13 2 3 2 4 2" xfId="44653" xr:uid="{E81A2FB2-E835-478E-9F99-8BB41FDD6A82}"/>
    <cellStyle name="20% - Accent6 13 2 3 2 5" xfId="28774" xr:uid="{CF3B0B04-6460-4766-BFFE-21314F984607}"/>
    <cellStyle name="20% - Accent6 13 2 3 3" xfId="6675" xr:uid="{00000000-0005-0000-0000-0000AB240000}"/>
    <cellStyle name="20% - Accent6 13 2 3 3 2" xfId="14646" xr:uid="{00000000-0005-0000-0000-0000AC240000}"/>
    <cellStyle name="20% - Accent6 13 2 3 3 2 2" xfId="38488" xr:uid="{B10A399C-3888-4DB8-95C8-5BE2D143318A}"/>
    <cellStyle name="20% - Accent6 13 2 3 3 3" xfId="22593" xr:uid="{00000000-0005-0000-0000-0000AD240000}"/>
    <cellStyle name="20% - Accent6 13 2 3 3 3 2" xfId="46425" xr:uid="{03690EC3-FF5F-441D-AB4F-787C663CAB47}"/>
    <cellStyle name="20% - Accent6 13 2 3 3 4" xfId="30547" xr:uid="{DF73CF77-B33C-4FA0-92CE-D03AC8139163}"/>
    <cellStyle name="20% - Accent6 13 2 3 4" xfId="11110" xr:uid="{00000000-0005-0000-0000-0000AE240000}"/>
    <cellStyle name="20% - Accent6 13 2 3 4 2" xfId="34959" xr:uid="{2182AED5-004F-47D4-A11C-37370D40BFAB}"/>
    <cellStyle name="20% - Accent6 13 2 3 5" xfId="19065" xr:uid="{00000000-0005-0000-0000-0000AF240000}"/>
    <cellStyle name="20% - Accent6 13 2 3 5 2" xfId="42897" xr:uid="{900DC0DE-E65A-4852-9C7A-067DE54E1E3E}"/>
    <cellStyle name="20% - Accent6 13 2 3 6" xfId="27017" xr:uid="{38730742-5006-4DC7-BF3F-793743B7785D}"/>
    <cellStyle name="20% - Accent6 13 2 3_Exh G" xfId="2582" xr:uid="{00000000-0005-0000-0000-0000B0240000}"/>
    <cellStyle name="20% - Accent6 13 2 4" xfId="3964" xr:uid="{00000000-0005-0000-0000-0000B1240000}"/>
    <cellStyle name="20% - Accent6 13 2 4 2" xfId="7556" xr:uid="{00000000-0005-0000-0000-0000B2240000}"/>
    <cellStyle name="20% - Accent6 13 2 4 2 2" xfId="15526" xr:uid="{00000000-0005-0000-0000-0000B3240000}"/>
    <cellStyle name="20% - Accent6 13 2 4 2 2 2" xfId="39368" xr:uid="{21B199A1-87A9-4870-B058-88D49531F9B3}"/>
    <cellStyle name="20% - Accent6 13 2 4 2 3" xfId="23472" xr:uid="{00000000-0005-0000-0000-0000B4240000}"/>
    <cellStyle name="20% - Accent6 13 2 4 2 3 2" xfId="47304" xr:uid="{A3F257FE-DF9F-4A6C-8D39-1A6E179161CD}"/>
    <cellStyle name="20% - Accent6 13 2 4 2 4" xfId="31427" xr:uid="{D2386EFD-67FA-466B-95B9-0CF7C691CCF2}"/>
    <cellStyle name="20% - Accent6 13 2 4 3" xfId="11988" xr:uid="{00000000-0005-0000-0000-0000B5240000}"/>
    <cellStyle name="20% - Accent6 13 2 4 3 2" xfId="35837" xr:uid="{9BAC0A18-B3E2-44CB-8AA4-064CBB39586B}"/>
    <cellStyle name="20% - Accent6 13 2 4 4" xfId="19943" xr:uid="{00000000-0005-0000-0000-0000B6240000}"/>
    <cellStyle name="20% - Accent6 13 2 4 4 2" xfId="43775" xr:uid="{41806270-AD1C-4C1B-A435-51BBA8E1E6C8}"/>
    <cellStyle name="20% - Accent6 13 2 4 5" xfId="27896" xr:uid="{2DD61CA0-396E-4DAB-A650-6A937B891ACD}"/>
    <cellStyle name="20% - Accent6 13 2 5" xfId="5784" xr:uid="{00000000-0005-0000-0000-0000B7240000}"/>
    <cellStyle name="20% - Accent6 13 2 5 2" xfId="13767" xr:uid="{00000000-0005-0000-0000-0000B8240000}"/>
    <cellStyle name="20% - Accent6 13 2 5 2 2" xfId="37610" xr:uid="{DE2BB7B0-A309-4C99-9674-812181FFE705}"/>
    <cellStyle name="20% - Accent6 13 2 5 3" xfId="21715" xr:uid="{00000000-0005-0000-0000-0000B9240000}"/>
    <cellStyle name="20% - Accent6 13 2 5 3 2" xfId="45547" xr:uid="{207E64C7-EC15-4865-82B2-6A77EA784A25}"/>
    <cellStyle name="20% - Accent6 13 2 5 4" xfId="29669" xr:uid="{45331C80-36F5-4F13-B874-9DDF87EFFEC2}"/>
    <cellStyle name="20% - Accent6 13 2 6" xfId="9336" xr:uid="{00000000-0005-0000-0000-0000BA240000}"/>
    <cellStyle name="20% - Accent6 13 2 6 2" xfId="17294" xr:uid="{00000000-0005-0000-0000-0000BB240000}"/>
    <cellStyle name="20% - Accent6 13 2 6 2 2" xfId="41134" xr:uid="{FF32E576-8CE0-4848-AA38-3BA89CFCA5D6}"/>
    <cellStyle name="20% - Accent6 13 2 6 3" xfId="25238" xr:uid="{00000000-0005-0000-0000-0000BC240000}"/>
    <cellStyle name="20% - Accent6 13 2 6 3 2" xfId="49070" xr:uid="{CA8DCABC-3D9B-4D0D-9D33-FCFB70DA8DCE}"/>
    <cellStyle name="20% - Accent6 13 2 6 4" xfId="33193" xr:uid="{9A1E9A6C-CE88-4135-B276-D6831CA91E10}"/>
    <cellStyle name="20% - Accent6 13 2 7" xfId="10232" xr:uid="{00000000-0005-0000-0000-0000BD240000}"/>
    <cellStyle name="20% - Accent6 13 2 7 2" xfId="34081" xr:uid="{7FDBB7A0-F19F-4710-9761-A7E1E512FC64}"/>
    <cellStyle name="20% - Accent6 13 2 8" xfId="18187" xr:uid="{00000000-0005-0000-0000-0000BE240000}"/>
    <cellStyle name="20% - Accent6 13 2 8 2" xfId="42019" xr:uid="{55F9BBD1-5BDA-4F30-BDC3-35E1309EAA5D}"/>
    <cellStyle name="20% - Accent6 13 2 9" xfId="26139" xr:uid="{67275329-8064-4039-805D-F182C16342BE}"/>
    <cellStyle name="20% - Accent6 13 2_Exh G" xfId="2579" xr:uid="{00000000-0005-0000-0000-0000BF240000}"/>
    <cellStyle name="20% - Accent6 13 3" xfId="292" xr:uid="{00000000-0005-0000-0000-0000C0240000}"/>
    <cellStyle name="20% - Accent6 13 3 2" xfId="1318" xr:uid="{00000000-0005-0000-0000-0000C1240000}"/>
    <cellStyle name="20% - Accent6 13 3 2 2" xfId="4845" xr:uid="{00000000-0005-0000-0000-0000C2240000}"/>
    <cellStyle name="20% - Accent6 13 3 2 2 2" xfId="8436" xr:uid="{00000000-0005-0000-0000-0000C3240000}"/>
    <cellStyle name="20% - Accent6 13 3 2 2 2 2" xfId="16406" xr:uid="{00000000-0005-0000-0000-0000C4240000}"/>
    <cellStyle name="20% - Accent6 13 3 2 2 2 2 2" xfId="40248" xr:uid="{6469CBC4-73B0-4C03-964B-62702A52B842}"/>
    <cellStyle name="20% - Accent6 13 3 2 2 2 3" xfId="24352" xr:uid="{00000000-0005-0000-0000-0000C5240000}"/>
    <cellStyle name="20% - Accent6 13 3 2 2 2 3 2" xfId="48184" xr:uid="{36C170E6-7AC1-4575-A734-249FC743F702}"/>
    <cellStyle name="20% - Accent6 13 3 2 2 2 4" xfId="32307" xr:uid="{CCC17C12-2C74-442D-ADAE-3FB1440EFE17}"/>
    <cellStyle name="20% - Accent6 13 3 2 2 3" xfId="12868" xr:uid="{00000000-0005-0000-0000-0000C6240000}"/>
    <cellStyle name="20% - Accent6 13 3 2 2 3 2" xfId="36717" xr:uid="{6E9DA230-8BAD-415D-B3C3-53D94ECB2221}"/>
    <cellStyle name="20% - Accent6 13 3 2 2 4" xfId="20823" xr:uid="{00000000-0005-0000-0000-0000C7240000}"/>
    <cellStyle name="20% - Accent6 13 3 2 2 4 2" xfId="44655" xr:uid="{2A5B729C-C9AE-4EFF-8BD5-E8242A4AE91D}"/>
    <cellStyle name="20% - Accent6 13 3 2 2 5" xfId="28776" xr:uid="{24F29100-A5C8-47B8-8BB7-066895CB6008}"/>
    <cellStyle name="20% - Accent6 13 3 2 3" xfId="6677" xr:uid="{00000000-0005-0000-0000-0000C8240000}"/>
    <cellStyle name="20% - Accent6 13 3 2 3 2" xfId="14648" xr:uid="{00000000-0005-0000-0000-0000C9240000}"/>
    <cellStyle name="20% - Accent6 13 3 2 3 2 2" xfId="38490" xr:uid="{0CF112B1-E120-444F-8961-DB08D938B471}"/>
    <cellStyle name="20% - Accent6 13 3 2 3 3" xfId="22595" xr:uid="{00000000-0005-0000-0000-0000CA240000}"/>
    <cellStyle name="20% - Accent6 13 3 2 3 3 2" xfId="46427" xr:uid="{93E90A76-7F48-490C-97B7-8E5989E4BA9F}"/>
    <cellStyle name="20% - Accent6 13 3 2 3 4" xfId="30549" xr:uid="{DD131F14-6E44-4084-9EC3-DF1C1DE4C15A}"/>
    <cellStyle name="20% - Accent6 13 3 2 4" xfId="11112" xr:uid="{00000000-0005-0000-0000-0000CB240000}"/>
    <cellStyle name="20% - Accent6 13 3 2 4 2" xfId="34961" xr:uid="{756D888A-9B25-47C3-B023-F9DBC250C8A0}"/>
    <cellStyle name="20% - Accent6 13 3 2 5" xfId="19067" xr:uid="{00000000-0005-0000-0000-0000CC240000}"/>
    <cellStyle name="20% - Accent6 13 3 2 5 2" xfId="42899" xr:uid="{40DA9E4E-8E16-4EAD-A44E-784E964BB62A}"/>
    <cellStyle name="20% - Accent6 13 3 2 6" xfId="27019" xr:uid="{27B1D224-BAD8-44F7-9A5C-72D0C41F7B9F}"/>
    <cellStyle name="20% - Accent6 13 3 2_Exh G" xfId="2584" xr:uid="{00000000-0005-0000-0000-0000CD240000}"/>
    <cellStyle name="20% - Accent6 13 3 3" xfId="3966" xr:uid="{00000000-0005-0000-0000-0000CE240000}"/>
    <cellStyle name="20% - Accent6 13 3 3 2" xfId="7558" xr:uid="{00000000-0005-0000-0000-0000CF240000}"/>
    <cellStyle name="20% - Accent6 13 3 3 2 2" xfId="15528" xr:uid="{00000000-0005-0000-0000-0000D0240000}"/>
    <cellStyle name="20% - Accent6 13 3 3 2 2 2" xfId="39370" xr:uid="{0666F10E-88DB-41B1-B9D2-B56108A1910E}"/>
    <cellStyle name="20% - Accent6 13 3 3 2 3" xfId="23474" xr:uid="{00000000-0005-0000-0000-0000D1240000}"/>
    <cellStyle name="20% - Accent6 13 3 3 2 3 2" xfId="47306" xr:uid="{BDFA5533-83BD-455A-B58F-EB6B642F1FD4}"/>
    <cellStyle name="20% - Accent6 13 3 3 2 4" xfId="31429" xr:uid="{20FA7BAA-CB49-4728-ACC3-D8C66AC04A7F}"/>
    <cellStyle name="20% - Accent6 13 3 3 3" xfId="11990" xr:uid="{00000000-0005-0000-0000-0000D2240000}"/>
    <cellStyle name="20% - Accent6 13 3 3 3 2" xfId="35839" xr:uid="{6054712C-7D9A-4DE8-ACCB-3544D3968E34}"/>
    <cellStyle name="20% - Accent6 13 3 3 4" xfId="19945" xr:uid="{00000000-0005-0000-0000-0000D3240000}"/>
    <cellStyle name="20% - Accent6 13 3 3 4 2" xfId="43777" xr:uid="{092E1F7F-3C2C-40BD-83DA-FC708826B0CA}"/>
    <cellStyle name="20% - Accent6 13 3 3 5" xfId="27898" xr:uid="{88C09DEC-3106-4E9A-BFA9-8E22383824CC}"/>
    <cellStyle name="20% - Accent6 13 3 4" xfId="5786" xr:uid="{00000000-0005-0000-0000-0000D4240000}"/>
    <cellStyle name="20% - Accent6 13 3 4 2" xfId="13769" xr:uid="{00000000-0005-0000-0000-0000D5240000}"/>
    <cellStyle name="20% - Accent6 13 3 4 2 2" xfId="37612" xr:uid="{D22664DB-4CC3-4689-B2E8-A8424C3478B8}"/>
    <cellStyle name="20% - Accent6 13 3 4 3" xfId="21717" xr:uid="{00000000-0005-0000-0000-0000D6240000}"/>
    <cellStyle name="20% - Accent6 13 3 4 3 2" xfId="45549" xr:uid="{A544FCDC-FB05-43B0-B8BA-74B024892E35}"/>
    <cellStyle name="20% - Accent6 13 3 4 4" xfId="29671" xr:uid="{8F0B6C4D-D894-4C2A-8BEB-ECAA4DACEE4D}"/>
    <cellStyle name="20% - Accent6 13 3 5" xfId="9338" xr:uid="{00000000-0005-0000-0000-0000D7240000}"/>
    <cellStyle name="20% - Accent6 13 3 5 2" xfId="17296" xr:uid="{00000000-0005-0000-0000-0000D8240000}"/>
    <cellStyle name="20% - Accent6 13 3 5 2 2" xfId="41136" xr:uid="{6891D507-62A9-4E9C-84C0-9AF209FA0B3A}"/>
    <cellStyle name="20% - Accent6 13 3 5 3" xfId="25240" xr:uid="{00000000-0005-0000-0000-0000D9240000}"/>
    <cellStyle name="20% - Accent6 13 3 5 3 2" xfId="49072" xr:uid="{EA0C00CC-EE71-40F8-89D0-392D3CF081FF}"/>
    <cellStyle name="20% - Accent6 13 3 5 4" xfId="33195" xr:uid="{C9A6FB0A-8016-4BE9-81F1-693928D231DA}"/>
    <cellStyle name="20% - Accent6 13 3 6" xfId="10234" xr:uid="{00000000-0005-0000-0000-0000DA240000}"/>
    <cellStyle name="20% - Accent6 13 3 6 2" xfId="34083" xr:uid="{D511B8AD-7B62-4061-A5ED-2DE69B9A1BAE}"/>
    <cellStyle name="20% - Accent6 13 3 7" xfId="18189" xr:uid="{00000000-0005-0000-0000-0000DB240000}"/>
    <cellStyle name="20% - Accent6 13 3 7 2" xfId="42021" xr:uid="{5E40985E-B3B5-4315-B0F6-C798DDF16205}"/>
    <cellStyle name="20% - Accent6 13 3 8" xfId="26141" xr:uid="{E31DF8FB-3234-49D6-8546-2AA3B5DE92B8}"/>
    <cellStyle name="20% - Accent6 13 3_Exh G" xfId="2583" xr:uid="{00000000-0005-0000-0000-0000DC240000}"/>
    <cellStyle name="20% - Accent6 13 4" xfId="1315" xr:uid="{00000000-0005-0000-0000-0000DD240000}"/>
    <cellStyle name="20% - Accent6 13 4 2" xfId="4842" xr:uid="{00000000-0005-0000-0000-0000DE240000}"/>
    <cellStyle name="20% - Accent6 13 4 2 2" xfId="8433" xr:uid="{00000000-0005-0000-0000-0000DF240000}"/>
    <cellStyle name="20% - Accent6 13 4 2 2 2" xfId="16403" xr:uid="{00000000-0005-0000-0000-0000E0240000}"/>
    <cellStyle name="20% - Accent6 13 4 2 2 2 2" xfId="40245" xr:uid="{A9C908EC-537D-431C-A480-D7BFEA9A1303}"/>
    <cellStyle name="20% - Accent6 13 4 2 2 3" xfId="24349" xr:uid="{00000000-0005-0000-0000-0000E1240000}"/>
    <cellStyle name="20% - Accent6 13 4 2 2 3 2" xfId="48181" xr:uid="{779BE740-A72D-4F43-B4B3-F8052E0A6E01}"/>
    <cellStyle name="20% - Accent6 13 4 2 2 4" xfId="32304" xr:uid="{0DCB3BBC-7027-46D0-ACEC-56C6687E8CF2}"/>
    <cellStyle name="20% - Accent6 13 4 2 3" xfId="12865" xr:uid="{00000000-0005-0000-0000-0000E2240000}"/>
    <cellStyle name="20% - Accent6 13 4 2 3 2" xfId="36714" xr:uid="{E2381AB3-4BBC-482B-AB8F-5EC2347D06AA}"/>
    <cellStyle name="20% - Accent6 13 4 2 4" xfId="20820" xr:uid="{00000000-0005-0000-0000-0000E3240000}"/>
    <cellStyle name="20% - Accent6 13 4 2 4 2" xfId="44652" xr:uid="{87D5E12A-FC6E-4AD8-AE35-F4376622D58C}"/>
    <cellStyle name="20% - Accent6 13 4 2 5" xfId="28773" xr:uid="{77C1A8AB-77F9-4EA3-83F4-4EEF6AF616B2}"/>
    <cellStyle name="20% - Accent6 13 4 3" xfId="6674" xr:uid="{00000000-0005-0000-0000-0000E4240000}"/>
    <cellStyle name="20% - Accent6 13 4 3 2" xfId="14645" xr:uid="{00000000-0005-0000-0000-0000E5240000}"/>
    <cellStyle name="20% - Accent6 13 4 3 2 2" xfId="38487" xr:uid="{740C1741-C57B-46C8-B57C-90BC69083298}"/>
    <cellStyle name="20% - Accent6 13 4 3 3" xfId="22592" xr:uid="{00000000-0005-0000-0000-0000E6240000}"/>
    <cellStyle name="20% - Accent6 13 4 3 3 2" xfId="46424" xr:uid="{9AEE7D37-A02F-467F-B400-10E3A08612D0}"/>
    <cellStyle name="20% - Accent6 13 4 3 4" xfId="30546" xr:uid="{4DF3C12A-7166-4FAE-9F6D-30FC7D3C9FDB}"/>
    <cellStyle name="20% - Accent6 13 4 4" xfId="11109" xr:uid="{00000000-0005-0000-0000-0000E7240000}"/>
    <cellStyle name="20% - Accent6 13 4 4 2" xfId="34958" xr:uid="{376A4E6F-A930-412A-AD1C-0550233F175B}"/>
    <cellStyle name="20% - Accent6 13 4 5" xfId="19064" xr:uid="{00000000-0005-0000-0000-0000E8240000}"/>
    <cellStyle name="20% - Accent6 13 4 5 2" xfId="42896" xr:uid="{A377A245-D1F7-41EA-BC99-103BD8031DA2}"/>
    <cellStyle name="20% - Accent6 13 4 6" xfId="27016" xr:uid="{37C999C9-603C-4772-A806-4CCD942B1477}"/>
    <cellStyle name="20% - Accent6 13 4_Exh G" xfId="2585" xr:uid="{00000000-0005-0000-0000-0000E9240000}"/>
    <cellStyle name="20% - Accent6 13 5" xfId="3963" xr:uid="{00000000-0005-0000-0000-0000EA240000}"/>
    <cellStyle name="20% - Accent6 13 5 2" xfId="7555" xr:uid="{00000000-0005-0000-0000-0000EB240000}"/>
    <cellStyle name="20% - Accent6 13 5 2 2" xfId="15525" xr:uid="{00000000-0005-0000-0000-0000EC240000}"/>
    <cellStyle name="20% - Accent6 13 5 2 2 2" xfId="39367" xr:uid="{B1BF67EC-AA74-4909-B8BB-C0A697CE2051}"/>
    <cellStyle name="20% - Accent6 13 5 2 3" xfId="23471" xr:uid="{00000000-0005-0000-0000-0000ED240000}"/>
    <cellStyle name="20% - Accent6 13 5 2 3 2" xfId="47303" xr:uid="{97E3D74F-EC3D-4187-A659-43C864F39125}"/>
    <cellStyle name="20% - Accent6 13 5 2 4" xfId="31426" xr:uid="{CA3371A1-3D77-4DA0-911E-20FBAC442D94}"/>
    <cellStyle name="20% - Accent6 13 5 3" xfId="11987" xr:uid="{00000000-0005-0000-0000-0000EE240000}"/>
    <cellStyle name="20% - Accent6 13 5 3 2" xfId="35836" xr:uid="{CC0CECFC-F2F0-42BF-A0BA-86011A1A17B9}"/>
    <cellStyle name="20% - Accent6 13 5 4" xfId="19942" xr:uid="{00000000-0005-0000-0000-0000EF240000}"/>
    <cellStyle name="20% - Accent6 13 5 4 2" xfId="43774" xr:uid="{D07CDB82-3FEB-4114-8EBB-92934B78AE98}"/>
    <cellStyle name="20% - Accent6 13 5 5" xfId="27895" xr:uid="{E50E9A39-76B3-44C9-9E6F-3B78978B66A3}"/>
    <cellStyle name="20% - Accent6 13 6" xfId="5783" xr:uid="{00000000-0005-0000-0000-0000F0240000}"/>
    <cellStyle name="20% - Accent6 13 6 2" xfId="13766" xr:uid="{00000000-0005-0000-0000-0000F1240000}"/>
    <cellStyle name="20% - Accent6 13 6 2 2" xfId="37609" xr:uid="{B5C60940-670C-4C4A-BFA2-47F803205C5A}"/>
    <cellStyle name="20% - Accent6 13 6 3" xfId="21714" xr:uid="{00000000-0005-0000-0000-0000F2240000}"/>
    <cellStyle name="20% - Accent6 13 6 3 2" xfId="45546" xr:uid="{E79ADB7D-F64F-4092-B66B-70CA2F53D354}"/>
    <cellStyle name="20% - Accent6 13 6 4" xfId="29668" xr:uid="{7F11F064-F632-4D8D-B01D-B0D8D29FA60A}"/>
    <cellStyle name="20% - Accent6 13 7" xfId="9335" xr:uid="{00000000-0005-0000-0000-0000F3240000}"/>
    <cellStyle name="20% - Accent6 13 7 2" xfId="17293" xr:uid="{00000000-0005-0000-0000-0000F4240000}"/>
    <cellStyle name="20% - Accent6 13 7 2 2" xfId="41133" xr:uid="{DD85A1ED-91C7-4AA9-A92E-8490D75714D0}"/>
    <cellStyle name="20% - Accent6 13 7 3" xfId="25237" xr:uid="{00000000-0005-0000-0000-0000F5240000}"/>
    <cellStyle name="20% - Accent6 13 7 3 2" xfId="49069" xr:uid="{145D206E-A455-4840-9C6B-B8493EA9DC04}"/>
    <cellStyle name="20% - Accent6 13 7 4" xfId="33192" xr:uid="{085A0004-4FF5-4786-8D86-92DD36D7CCAF}"/>
    <cellStyle name="20% - Accent6 13 8" xfId="10231" xr:uid="{00000000-0005-0000-0000-0000F6240000}"/>
    <cellStyle name="20% - Accent6 13 8 2" xfId="34080" xr:uid="{D63B029A-A644-48A1-92AF-85EED10F4DB3}"/>
    <cellStyle name="20% - Accent6 13 9" xfId="18186" xr:uid="{00000000-0005-0000-0000-0000F7240000}"/>
    <cellStyle name="20% - Accent6 13 9 2" xfId="42018" xr:uid="{C6F9DE20-EFF0-414D-A62A-5DBB3E7BFD82}"/>
    <cellStyle name="20% - Accent6 13_Exh G" xfId="2578" xr:uid="{00000000-0005-0000-0000-0000F8240000}"/>
    <cellStyle name="20% - Accent6 14" xfId="293" xr:uid="{00000000-0005-0000-0000-0000F9240000}"/>
    <cellStyle name="20% - Accent6 14 2" xfId="294" xr:uid="{00000000-0005-0000-0000-0000FA240000}"/>
    <cellStyle name="20% - Accent6 14 2 2" xfId="1320" xr:uid="{00000000-0005-0000-0000-0000FB240000}"/>
    <cellStyle name="20% - Accent6 14 2 2 2" xfId="4847" xr:uid="{00000000-0005-0000-0000-0000FC240000}"/>
    <cellStyle name="20% - Accent6 14 2 2 2 2" xfId="8438" xr:uid="{00000000-0005-0000-0000-0000FD240000}"/>
    <cellStyle name="20% - Accent6 14 2 2 2 2 2" xfId="16408" xr:uid="{00000000-0005-0000-0000-0000FE240000}"/>
    <cellStyle name="20% - Accent6 14 2 2 2 2 2 2" xfId="40250" xr:uid="{194B40E2-6A0C-4559-A3D4-AA012CCF81C7}"/>
    <cellStyle name="20% - Accent6 14 2 2 2 2 3" xfId="24354" xr:uid="{00000000-0005-0000-0000-0000FF240000}"/>
    <cellStyle name="20% - Accent6 14 2 2 2 2 3 2" xfId="48186" xr:uid="{AB2929B6-3A09-4C09-ACA7-75328B928141}"/>
    <cellStyle name="20% - Accent6 14 2 2 2 2 4" xfId="32309" xr:uid="{DF35F9A5-1785-4B45-99BD-B0540300C63D}"/>
    <cellStyle name="20% - Accent6 14 2 2 2 3" xfId="12870" xr:uid="{00000000-0005-0000-0000-000000250000}"/>
    <cellStyle name="20% - Accent6 14 2 2 2 3 2" xfId="36719" xr:uid="{B88EF2EE-7F1C-4B2C-892A-4E03A676A71A}"/>
    <cellStyle name="20% - Accent6 14 2 2 2 4" xfId="20825" xr:uid="{00000000-0005-0000-0000-000001250000}"/>
    <cellStyle name="20% - Accent6 14 2 2 2 4 2" xfId="44657" xr:uid="{5008FF11-B5E8-4076-B193-59DD57281529}"/>
    <cellStyle name="20% - Accent6 14 2 2 2 5" xfId="28778" xr:uid="{92348E42-C552-4E4C-AC71-09720BEE4A9A}"/>
    <cellStyle name="20% - Accent6 14 2 2 3" xfId="6679" xr:uid="{00000000-0005-0000-0000-000002250000}"/>
    <cellStyle name="20% - Accent6 14 2 2 3 2" xfId="14650" xr:uid="{00000000-0005-0000-0000-000003250000}"/>
    <cellStyle name="20% - Accent6 14 2 2 3 2 2" xfId="38492" xr:uid="{F72C9C16-FD74-45E3-AA89-6D7F99946157}"/>
    <cellStyle name="20% - Accent6 14 2 2 3 3" xfId="22597" xr:uid="{00000000-0005-0000-0000-000004250000}"/>
    <cellStyle name="20% - Accent6 14 2 2 3 3 2" xfId="46429" xr:uid="{4E0206A6-A824-4812-BE82-EBA31AD85833}"/>
    <cellStyle name="20% - Accent6 14 2 2 3 4" xfId="30551" xr:uid="{C8E24924-507C-4525-BAE4-EB2EE8ECC72B}"/>
    <cellStyle name="20% - Accent6 14 2 2 4" xfId="11114" xr:uid="{00000000-0005-0000-0000-000005250000}"/>
    <cellStyle name="20% - Accent6 14 2 2 4 2" xfId="34963" xr:uid="{9EAF2CD3-1FC5-4D17-9E34-64C4438B046D}"/>
    <cellStyle name="20% - Accent6 14 2 2 5" xfId="19069" xr:uid="{00000000-0005-0000-0000-000006250000}"/>
    <cellStyle name="20% - Accent6 14 2 2 5 2" xfId="42901" xr:uid="{3FF53811-E83C-4BA8-A925-FB6C9F27D07C}"/>
    <cellStyle name="20% - Accent6 14 2 2 6" xfId="27021" xr:uid="{5C498C93-8A7A-4139-8999-A9BC3199CE9E}"/>
    <cellStyle name="20% - Accent6 14 2 2_Exh G" xfId="2588" xr:uid="{00000000-0005-0000-0000-000007250000}"/>
    <cellStyle name="20% - Accent6 14 2 3" xfId="3968" xr:uid="{00000000-0005-0000-0000-000008250000}"/>
    <cellStyle name="20% - Accent6 14 2 3 2" xfId="7560" xr:uid="{00000000-0005-0000-0000-000009250000}"/>
    <cellStyle name="20% - Accent6 14 2 3 2 2" xfId="15530" xr:uid="{00000000-0005-0000-0000-00000A250000}"/>
    <cellStyle name="20% - Accent6 14 2 3 2 2 2" xfId="39372" xr:uid="{1D62EE2D-E434-4BAD-A6CA-C28125D9EDE1}"/>
    <cellStyle name="20% - Accent6 14 2 3 2 3" xfId="23476" xr:uid="{00000000-0005-0000-0000-00000B250000}"/>
    <cellStyle name="20% - Accent6 14 2 3 2 3 2" xfId="47308" xr:uid="{B3357663-98E9-4209-A213-5B810CAEA8DF}"/>
    <cellStyle name="20% - Accent6 14 2 3 2 4" xfId="31431" xr:uid="{8F82D966-F9F6-43AC-BAB8-9AB60C6D7BFC}"/>
    <cellStyle name="20% - Accent6 14 2 3 3" xfId="11992" xr:uid="{00000000-0005-0000-0000-00000C250000}"/>
    <cellStyle name="20% - Accent6 14 2 3 3 2" xfId="35841" xr:uid="{E2BF1FF9-4B6D-421C-B4A0-D180B225DC5D}"/>
    <cellStyle name="20% - Accent6 14 2 3 4" xfId="19947" xr:uid="{00000000-0005-0000-0000-00000D250000}"/>
    <cellStyle name="20% - Accent6 14 2 3 4 2" xfId="43779" xr:uid="{86DC419E-499D-4ED5-A612-698EB7F30348}"/>
    <cellStyle name="20% - Accent6 14 2 3 5" xfId="27900" xr:uid="{B8EDD8B8-40E0-4794-9B46-2B08F121BA38}"/>
    <cellStyle name="20% - Accent6 14 2 4" xfId="5788" xr:uid="{00000000-0005-0000-0000-00000E250000}"/>
    <cellStyle name="20% - Accent6 14 2 4 2" xfId="13771" xr:uid="{00000000-0005-0000-0000-00000F250000}"/>
    <cellStyle name="20% - Accent6 14 2 4 2 2" xfId="37614" xr:uid="{26CC31F9-B376-4291-9697-408CC58CCD5E}"/>
    <cellStyle name="20% - Accent6 14 2 4 3" xfId="21719" xr:uid="{00000000-0005-0000-0000-000010250000}"/>
    <cellStyle name="20% - Accent6 14 2 4 3 2" xfId="45551" xr:uid="{68A74D20-55C0-4072-BD38-BC711BEB22B6}"/>
    <cellStyle name="20% - Accent6 14 2 4 4" xfId="29673" xr:uid="{3F89E94A-E5AD-41A0-A47C-398AFA26A81C}"/>
    <cellStyle name="20% - Accent6 14 2 5" xfId="9340" xr:uid="{00000000-0005-0000-0000-000011250000}"/>
    <cellStyle name="20% - Accent6 14 2 5 2" xfId="17298" xr:uid="{00000000-0005-0000-0000-000012250000}"/>
    <cellStyle name="20% - Accent6 14 2 5 2 2" xfId="41138" xr:uid="{AFCECB88-D774-4AFD-8F20-D1A10C571618}"/>
    <cellStyle name="20% - Accent6 14 2 5 3" xfId="25242" xr:uid="{00000000-0005-0000-0000-000013250000}"/>
    <cellStyle name="20% - Accent6 14 2 5 3 2" xfId="49074" xr:uid="{C95497A4-057E-4D4C-9FD4-124CF7568903}"/>
    <cellStyle name="20% - Accent6 14 2 5 4" xfId="33197" xr:uid="{F0E11E04-8459-4452-B964-FB3809105DD7}"/>
    <cellStyle name="20% - Accent6 14 2 6" xfId="10236" xr:uid="{00000000-0005-0000-0000-000014250000}"/>
    <cellStyle name="20% - Accent6 14 2 6 2" xfId="34085" xr:uid="{9F0F60FA-6F40-4E3A-A75D-F7DAFEB74F2F}"/>
    <cellStyle name="20% - Accent6 14 2 7" xfId="18191" xr:uid="{00000000-0005-0000-0000-000015250000}"/>
    <cellStyle name="20% - Accent6 14 2 7 2" xfId="42023" xr:uid="{6B0490AE-0B5C-4DE4-B0C4-8471037E1D66}"/>
    <cellStyle name="20% - Accent6 14 2 8" xfId="26143" xr:uid="{CCAC9DAE-5FCC-477C-B1C0-E480308A32E1}"/>
    <cellStyle name="20% - Accent6 14 2_Exh G" xfId="2587" xr:uid="{00000000-0005-0000-0000-000016250000}"/>
    <cellStyle name="20% - Accent6 14 3" xfId="1319" xr:uid="{00000000-0005-0000-0000-000017250000}"/>
    <cellStyle name="20% - Accent6 14 3 2" xfId="4846" xr:uid="{00000000-0005-0000-0000-000018250000}"/>
    <cellStyle name="20% - Accent6 14 3 2 2" xfId="8437" xr:uid="{00000000-0005-0000-0000-000019250000}"/>
    <cellStyle name="20% - Accent6 14 3 2 2 2" xfId="16407" xr:uid="{00000000-0005-0000-0000-00001A250000}"/>
    <cellStyle name="20% - Accent6 14 3 2 2 2 2" xfId="40249" xr:uid="{271B1D71-DF11-4C52-9618-B8FB60D19B90}"/>
    <cellStyle name="20% - Accent6 14 3 2 2 3" xfId="24353" xr:uid="{00000000-0005-0000-0000-00001B250000}"/>
    <cellStyle name="20% - Accent6 14 3 2 2 3 2" xfId="48185" xr:uid="{77E235C2-7272-4AA1-A159-374C1BFC1AF5}"/>
    <cellStyle name="20% - Accent6 14 3 2 2 4" xfId="32308" xr:uid="{0D335358-E2E5-4722-B8CF-0FEFF4875E2F}"/>
    <cellStyle name="20% - Accent6 14 3 2 3" xfId="12869" xr:uid="{00000000-0005-0000-0000-00001C250000}"/>
    <cellStyle name="20% - Accent6 14 3 2 3 2" xfId="36718" xr:uid="{C1CDD420-DD30-441A-9950-620028514B3A}"/>
    <cellStyle name="20% - Accent6 14 3 2 4" xfId="20824" xr:uid="{00000000-0005-0000-0000-00001D250000}"/>
    <cellStyle name="20% - Accent6 14 3 2 4 2" xfId="44656" xr:uid="{C651FB71-DC18-4A2C-BC86-630AFD55F994}"/>
    <cellStyle name="20% - Accent6 14 3 2 5" xfId="28777" xr:uid="{B710C2FE-ACE5-478C-8A32-27FE7809D76F}"/>
    <cellStyle name="20% - Accent6 14 3 3" xfId="6678" xr:uid="{00000000-0005-0000-0000-00001E250000}"/>
    <cellStyle name="20% - Accent6 14 3 3 2" xfId="14649" xr:uid="{00000000-0005-0000-0000-00001F250000}"/>
    <cellStyle name="20% - Accent6 14 3 3 2 2" xfId="38491" xr:uid="{83A2666A-32F4-4E3E-AACA-BA59572E9BC6}"/>
    <cellStyle name="20% - Accent6 14 3 3 3" xfId="22596" xr:uid="{00000000-0005-0000-0000-000020250000}"/>
    <cellStyle name="20% - Accent6 14 3 3 3 2" xfId="46428" xr:uid="{34EA9C2E-F90A-4D2C-8436-6DAEE3E2111E}"/>
    <cellStyle name="20% - Accent6 14 3 3 4" xfId="30550" xr:uid="{6734DA53-C048-43C4-A197-DFF93A17ACFC}"/>
    <cellStyle name="20% - Accent6 14 3 4" xfId="11113" xr:uid="{00000000-0005-0000-0000-000021250000}"/>
    <cellStyle name="20% - Accent6 14 3 4 2" xfId="34962" xr:uid="{E7000BF3-4507-42C3-BF19-CEB893505E54}"/>
    <cellStyle name="20% - Accent6 14 3 5" xfId="19068" xr:uid="{00000000-0005-0000-0000-000022250000}"/>
    <cellStyle name="20% - Accent6 14 3 5 2" xfId="42900" xr:uid="{427675FA-05EA-4568-9D15-239B472F5440}"/>
    <cellStyle name="20% - Accent6 14 3 6" xfId="27020" xr:uid="{C770EAE8-3EC3-42C3-839F-F0C9918EC65E}"/>
    <cellStyle name="20% - Accent6 14 3_Exh G" xfId="2589" xr:uid="{00000000-0005-0000-0000-000023250000}"/>
    <cellStyle name="20% - Accent6 14 4" xfId="3967" xr:uid="{00000000-0005-0000-0000-000024250000}"/>
    <cellStyle name="20% - Accent6 14 4 2" xfId="7559" xr:uid="{00000000-0005-0000-0000-000025250000}"/>
    <cellStyle name="20% - Accent6 14 4 2 2" xfId="15529" xr:uid="{00000000-0005-0000-0000-000026250000}"/>
    <cellStyle name="20% - Accent6 14 4 2 2 2" xfId="39371" xr:uid="{EB78722F-24E2-4DC8-BDDD-E578D1E71BFB}"/>
    <cellStyle name="20% - Accent6 14 4 2 3" xfId="23475" xr:uid="{00000000-0005-0000-0000-000027250000}"/>
    <cellStyle name="20% - Accent6 14 4 2 3 2" xfId="47307" xr:uid="{5A079713-C4EB-472A-8DDC-9237F88AC0D7}"/>
    <cellStyle name="20% - Accent6 14 4 2 4" xfId="31430" xr:uid="{FED90BD2-F814-4FE4-8CC0-53179CF29956}"/>
    <cellStyle name="20% - Accent6 14 4 3" xfId="11991" xr:uid="{00000000-0005-0000-0000-000028250000}"/>
    <cellStyle name="20% - Accent6 14 4 3 2" xfId="35840" xr:uid="{E26F070C-CC75-427E-B47A-A9FE1F325C9A}"/>
    <cellStyle name="20% - Accent6 14 4 4" xfId="19946" xr:uid="{00000000-0005-0000-0000-000029250000}"/>
    <cellStyle name="20% - Accent6 14 4 4 2" xfId="43778" xr:uid="{716B8A48-768B-4447-8D41-13B15C3834BA}"/>
    <cellStyle name="20% - Accent6 14 4 5" xfId="27899" xr:uid="{6516C924-894F-4616-B913-149ABDA60297}"/>
    <cellStyle name="20% - Accent6 14 5" xfId="5787" xr:uid="{00000000-0005-0000-0000-00002A250000}"/>
    <cellStyle name="20% - Accent6 14 5 2" xfId="13770" xr:uid="{00000000-0005-0000-0000-00002B250000}"/>
    <cellStyle name="20% - Accent6 14 5 2 2" xfId="37613" xr:uid="{85A03C4A-34D8-4D8F-8F97-64EF190B308F}"/>
    <cellStyle name="20% - Accent6 14 5 3" xfId="21718" xr:uid="{00000000-0005-0000-0000-00002C250000}"/>
    <cellStyle name="20% - Accent6 14 5 3 2" xfId="45550" xr:uid="{4057E7F4-5844-429A-8185-260B845ADB7F}"/>
    <cellStyle name="20% - Accent6 14 5 4" xfId="29672" xr:uid="{9EDF1F3C-BAE5-43F1-932A-34EE1EE0ACE9}"/>
    <cellStyle name="20% - Accent6 14 6" xfId="9339" xr:uid="{00000000-0005-0000-0000-00002D250000}"/>
    <cellStyle name="20% - Accent6 14 6 2" xfId="17297" xr:uid="{00000000-0005-0000-0000-00002E250000}"/>
    <cellStyle name="20% - Accent6 14 6 2 2" xfId="41137" xr:uid="{E2FF4FAE-CD2E-4222-AA0F-14F4603F169C}"/>
    <cellStyle name="20% - Accent6 14 6 3" xfId="25241" xr:uid="{00000000-0005-0000-0000-00002F250000}"/>
    <cellStyle name="20% - Accent6 14 6 3 2" xfId="49073" xr:uid="{1A09607B-C3A0-4BAC-9F8B-712F5D7C618C}"/>
    <cellStyle name="20% - Accent6 14 6 4" xfId="33196" xr:uid="{7F5A6AC2-EB5A-4A09-B5D5-56134F36BF55}"/>
    <cellStyle name="20% - Accent6 14 7" xfId="10235" xr:uid="{00000000-0005-0000-0000-000030250000}"/>
    <cellStyle name="20% - Accent6 14 7 2" xfId="34084" xr:uid="{5626FB08-9B17-476A-B616-CF0735692538}"/>
    <cellStyle name="20% - Accent6 14 8" xfId="18190" xr:uid="{00000000-0005-0000-0000-000031250000}"/>
    <cellStyle name="20% - Accent6 14 8 2" xfId="42022" xr:uid="{AC840B37-5B58-4F53-92D2-CD2D0045B019}"/>
    <cellStyle name="20% - Accent6 14 9" xfId="26142" xr:uid="{A80046E1-632E-4032-BDC1-F73DE9A1B7A9}"/>
    <cellStyle name="20% - Accent6 14_Exh G" xfId="2586" xr:uid="{00000000-0005-0000-0000-000032250000}"/>
    <cellStyle name="20% - Accent6 15" xfId="295" xr:uid="{00000000-0005-0000-0000-000033250000}"/>
    <cellStyle name="20% - Accent6 15 2" xfId="1321" xr:uid="{00000000-0005-0000-0000-000034250000}"/>
    <cellStyle name="20% - Accent6 15 2 2" xfId="4848" xr:uid="{00000000-0005-0000-0000-000035250000}"/>
    <cellStyle name="20% - Accent6 15 2 2 2" xfId="8439" xr:uid="{00000000-0005-0000-0000-000036250000}"/>
    <cellStyle name="20% - Accent6 15 2 2 2 2" xfId="16409" xr:uid="{00000000-0005-0000-0000-000037250000}"/>
    <cellStyle name="20% - Accent6 15 2 2 2 2 2" xfId="40251" xr:uid="{CB76C078-1182-4D51-AD6A-BB5DB1F864BB}"/>
    <cellStyle name="20% - Accent6 15 2 2 2 3" xfId="24355" xr:uid="{00000000-0005-0000-0000-000038250000}"/>
    <cellStyle name="20% - Accent6 15 2 2 2 3 2" xfId="48187" xr:uid="{367049EB-A0A5-42B9-B8D5-F319304F2CC7}"/>
    <cellStyle name="20% - Accent6 15 2 2 2 4" xfId="32310" xr:uid="{5A4489DE-0882-44A6-ACF8-3E21509303D5}"/>
    <cellStyle name="20% - Accent6 15 2 2 3" xfId="12871" xr:uid="{00000000-0005-0000-0000-000039250000}"/>
    <cellStyle name="20% - Accent6 15 2 2 3 2" xfId="36720" xr:uid="{040F0848-2670-46BE-B871-F38C9EAAD0BC}"/>
    <cellStyle name="20% - Accent6 15 2 2 4" xfId="20826" xr:uid="{00000000-0005-0000-0000-00003A250000}"/>
    <cellStyle name="20% - Accent6 15 2 2 4 2" xfId="44658" xr:uid="{3BC1E23E-F682-470D-B4DF-C9D0BE3FF929}"/>
    <cellStyle name="20% - Accent6 15 2 2 5" xfId="28779" xr:uid="{D2496B34-9143-4331-A866-366C7A038B3A}"/>
    <cellStyle name="20% - Accent6 15 2 3" xfId="6680" xr:uid="{00000000-0005-0000-0000-00003B250000}"/>
    <cellStyle name="20% - Accent6 15 2 3 2" xfId="14651" xr:uid="{00000000-0005-0000-0000-00003C250000}"/>
    <cellStyle name="20% - Accent6 15 2 3 2 2" xfId="38493" xr:uid="{E25CAABC-A315-4298-96AF-B6D9DFBA06CF}"/>
    <cellStyle name="20% - Accent6 15 2 3 3" xfId="22598" xr:uid="{00000000-0005-0000-0000-00003D250000}"/>
    <cellStyle name="20% - Accent6 15 2 3 3 2" xfId="46430" xr:uid="{41122982-A367-4ADB-BDC2-FF64101726B3}"/>
    <cellStyle name="20% - Accent6 15 2 3 4" xfId="30552" xr:uid="{D44DE637-D158-446C-9725-657ADDC819E4}"/>
    <cellStyle name="20% - Accent6 15 2 4" xfId="11115" xr:uid="{00000000-0005-0000-0000-00003E250000}"/>
    <cellStyle name="20% - Accent6 15 2 4 2" xfId="34964" xr:uid="{6A074EC6-16E8-4D67-A97E-DA67D6B76FB3}"/>
    <cellStyle name="20% - Accent6 15 2 5" xfId="19070" xr:uid="{00000000-0005-0000-0000-00003F250000}"/>
    <cellStyle name="20% - Accent6 15 2 5 2" xfId="42902" xr:uid="{FAD793EF-5A22-45B0-BC1E-3C19BC1B3C7A}"/>
    <cellStyle name="20% - Accent6 15 2 6" xfId="27022" xr:uid="{3A238590-277D-4E5E-B8B7-91736B2AEC8F}"/>
    <cellStyle name="20% - Accent6 15 2_Exh G" xfId="2591" xr:uid="{00000000-0005-0000-0000-000040250000}"/>
    <cellStyle name="20% - Accent6 15 3" xfId="3969" xr:uid="{00000000-0005-0000-0000-000041250000}"/>
    <cellStyle name="20% - Accent6 15 3 2" xfId="7561" xr:uid="{00000000-0005-0000-0000-000042250000}"/>
    <cellStyle name="20% - Accent6 15 3 2 2" xfId="15531" xr:uid="{00000000-0005-0000-0000-000043250000}"/>
    <cellStyle name="20% - Accent6 15 3 2 2 2" xfId="39373" xr:uid="{CF91D11C-C524-4198-A93B-7F4880F0B0FF}"/>
    <cellStyle name="20% - Accent6 15 3 2 3" xfId="23477" xr:uid="{00000000-0005-0000-0000-000044250000}"/>
    <cellStyle name="20% - Accent6 15 3 2 3 2" xfId="47309" xr:uid="{6A8ECF23-DA77-44AC-B3FA-6FA63550C2A5}"/>
    <cellStyle name="20% - Accent6 15 3 2 4" xfId="31432" xr:uid="{92743003-002E-4C0C-9D4E-5CE6370A28ED}"/>
    <cellStyle name="20% - Accent6 15 3 3" xfId="11993" xr:uid="{00000000-0005-0000-0000-000045250000}"/>
    <cellStyle name="20% - Accent6 15 3 3 2" xfId="35842" xr:uid="{EFD0246A-FA60-4315-A125-27EBE7AA040B}"/>
    <cellStyle name="20% - Accent6 15 3 4" xfId="19948" xr:uid="{00000000-0005-0000-0000-000046250000}"/>
    <cellStyle name="20% - Accent6 15 3 4 2" xfId="43780" xr:uid="{624A182D-5C57-4E8B-8185-8B21E2E799BF}"/>
    <cellStyle name="20% - Accent6 15 3 5" xfId="27901" xr:uid="{77DD2913-3ED3-44D4-8B3E-62643178BA3B}"/>
    <cellStyle name="20% - Accent6 15 4" xfId="5789" xr:uid="{00000000-0005-0000-0000-000047250000}"/>
    <cellStyle name="20% - Accent6 15 4 2" xfId="13772" xr:uid="{00000000-0005-0000-0000-000048250000}"/>
    <cellStyle name="20% - Accent6 15 4 2 2" xfId="37615" xr:uid="{3E2B1109-7C48-4C63-9776-009311FF524C}"/>
    <cellStyle name="20% - Accent6 15 4 3" xfId="21720" xr:uid="{00000000-0005-0000-0000-000049250000}"/>
    <cellStyle name="20% - Accent6 15 4 3 2" xfId="45552" xr:uid="{8C1A5A8E-1057-419E-9386-9DB27DF789F9}"/>
    <cellStyle name="20% - Accent6 15 4 4" xfId="29674" xr:uid="{855F7879-BE49-486D-93A0-C0A0AE34D054}"/>
    <cellStyle name="20% - Accent6 15 5" xfId="9341" xr:uid="{00000000-0005-0000-0000-00004A250000}"/>
    <cellStyle name="20% - Accent6 15 5 2" xfId="17299" xr:uid="{00000000-0005-0000-0000-00004B250000}"/>
    <cellStyle name="20% - Accent6 15 5 2 2" xfId="41139" xr:uid="{EBD121B1-7C84-49F7-BEC7-6FBDC8333F6F}"/>
    <cellStyle name="20% - Accent6 15 5 3" xfId="25243" xr:uid="{00000000-0005-0000-0000-00004C250000}"/>
    <cellStyle name="20% - Accent6 15 5 3 2" xfId="49075" xr:uid="{E295B145-2AEB-4AF1-AF72-D756978F6147}"/>
    <cellStyle name="20% - Accent6 15 5 4" xfId="33198" xr:uid="{9181A842-CD12-44F8-9743-4BC55C7D7521}"/>
    <cellStyle name="20% - Accent6 15 6" xfId="10237" xr:uid="{00000000-0005-0000-0000-00004D250000}"/>
    <cellStyle name="20% - Accent6 15 6 2" xfId="34086" xr:uid="{23346AC6-FBA4-4DB8-B934-84268A3143AE}"/>
    <cellStyle name="20% - Accent6 15 7" xfId="18192" xr:uid="{00000000-0005-0000-0000-00004E250000}"/>
    <cellStyle name="20% - Accent6 15 7 2" xfId="42024" xr:uid="{BB1D1037-1227-45CB-A2AD-B5B55F3541D2}"/>
    <cellStyle name="20% - Accent6 15 8" xfId="26144" xr:uid="{7056481A-2988-4896-974C-CCD80ED76A88}"/>
    <cellStyle name="20% - Accent6 15_Exh G" xfId="2590" xr:uid="{00000000-0005-0000-0000-00004F250000}"/>
    <cellStyle name="20% - Accent6 16" xfId="845" xr:uid="{00000000-0005-0000-0000-000050250000}"/>
    <cellStyle name="20% - Accent6 16 2" xfId="1780" xr:uid="{00000000-0005-0000-0000-000051250000}"/>
    <cellStyle name="20% - Accent6 16 2 2" xfId="5300" xr:uid="{00000000-0005-0000-0000-000052250000}"/>
    <cellStyle name="20% - Accent6 16 2 2 2" xfId="8891" xr:uid="{00000000-0005-0000-0000-000053250000}"/>
    <cellStyle name="20% - Accent6 16 2 2 2 2" xfId="16861" xr:uid="{00000000-0005-0000-0000-000054250000}"/>
    <cellStyle name="20% - Accent6 16 2 2 2 2 2" xfId="40703" xr:uid="{2FCCF3B0-1C7E-40F4-BF68-D22B2EF2A705}"/>
    <cellStyle name="20% - Accent6 16 2 2 2 3" xfId="24807" xr:uid="{00000000-0005-0000-0000-000055250000}"/>
    <cellStyle name="20% - Accent6 16 2 2 2 3 2" xfId="48639" xr:uid="{61700AEB-6FE6-4D4A-90DF-5F142E3BC2B5}"/>
    <cellStyle name="20% - Accent6 16 2 2 2 4" xfId="32762" xr:uid="{7B4A4A19-B41C-4184-AAF4-E03847086130}"/>
    <cellStyle name="20% - Accent6 16 2 2 3" xfId="13323" xr:uid="{00000000-0005-0000-0000-000056250000}"/>
    <cellStyle name="20% - Accent6 16 2 2 3 2" xfId="37172" xr:uid="{A485F431-9470-48BA-B652-33193DC917DA}"/>
    <cellStyle name="20% - Accent6 16 2 2 4" xfId="21278" xr:uid="{00000000-0005-0000-0000-000057250000}"/>
    <cellStyle name="20% - Accent6 16 2 2 4 2" xfId="45110" xr:uid="{2F1FE499-BD7E-450D-98C8-E01181799845}"/>
    <cellStyle name="20% - Accent6 16 2 2 5" xfId="29231" xr:uid="{93DD8DED-F5D4-4474-8102-D47F7355A168}"/>
    <cellStyle name="20% - Accent6 16 2 3" xfId="7132" xr:uid="{00000000-0005-0000-0000-000058250000}"/>
    <cellStyle name="20% - Accent6 16 2 3 2" xfId="15103" xr:uid="{00000000-0005-0000-0000-000059250000}"/>
    <cellStyle name="20% - Accent6 16 2 3 2 2" xfId="38945" xr:uid="{A03B0843-E633-4128-BA11-16DA031AA8DB}"/>
    <cellStyle name="20% - Accent6 16 2 3 3" xfId="23050" xr:uid="{00000000-0005-0000-0000-00005A250000}"/>
    <cellStyle name="20% - Accent6 16 2 3 3 2" xfId="46882" xr:uid="{1216AC68-F4C2-4A9F-AB13-AA315278E159}"/>
    <cellStyle name="20% - Accent6 16 2 3 4" xfId="31004" xr:uid="{5B3E32D1-ED72-4E76-9851-8D4740249DC1}"/>
    <cellStyle name="20% - Accent6 16 2 4" xfId="11567" xr:uid="{00000000-0005-0000-0000-00005B250000}"/>
    <cellStyle name="20% - Accent6 16 2 4 2" xfId="35416" xr:uid="{CE517619-BC7D-44FC-906C-550370A8AC9F}"/>
    <cellStyle name="20% - Accent6 16 2 5" xfId="19522" xr:uid="{00000000-0005-0000-0000-00005C250000}"/>
    <cellStyle name="20% - Accent6 16 2 5 2" xfId="43354" xr:uid="{578E7856-8488-4CCB-AE09-096428E156E1}"/>
    <cellStyle name="20% - Accent6 16 2 6" xfId="27474" xr:uid="{D5170B9B-13FA-44C4-9E69-C042EDE835B4}"/>
    <cellStyle name="20% - Accent6 16 2_Exh G" xfId="2593" xr:uid="{00000000-0005-0000-0000-00005D250000}"/>
    <cellStyle name="20% - Accent6 16 3" xfId="4421" xr:uid="{00000000-0005-0000-0000-00005E250000}"/>
    <cellStyle name="20% - Accent6 16 3 2" xfId="8013" xr:uid="{00000000-0005-0000-0000-00005F250000}"/>
    <cellStyle name="20% - Accent6 16 3 2 2" xfId="15983" xr:uid="{00000000-0005-0000-0000-000060250000}"/>
    <cellStyle name="20% - Accent6 16 3 2 2 2" xfId="39825" xr:uid="{F94D1207-F4B9-4843-8EB6-1A98D3291665}"/>
    <cellStyle name="20% - Accent6 16 3 2 3" xfId="23929" xr:uid="{00000000-0005-0000-0000-000061250000}"/>
    <cellStyle name="20% - Accent6 16 3 2 3 2" xfId="47761" xr:uid="{5C7B7EE7-C888-4440-93CE-4B05A7C74978}"/>
    <cellStyle name="20% - Accent6 16 3 2 4" xfId="31884" xr:uid="{FF22A7AD-F06D-40DD-A34F-9B3747427116}"/>
    <cellStyle name="20% - Accent6 16 3 3" xfId="12445" xr:uid="{00000000-0005-0000-0000-000062250000}"/>
    <cellStyle name="20% - Accent6 16 3 3 2" xfId="36294" xr:uid="{E6873556-BF3B-4FE8-84B6-9FD353C32F83}"/>
    <cellStyle name="20% - Accent6 16 3 4" xfId="20400" xr:uid="{00000000-0005-0000-0000-000063250000}"/>
    <cellStyle name="20% - Accent6 16 3 4 2" xfId="44232" xr:uid="{E53EF90B-81B1-4DA7-A69B-2E76A8C03BC2}"/>
    <cellStyle name="20% - Accent6 16 3 5" xfId="28353" xr:uid="{6613E05A-BA13-498D-94A9-25D52355BCFD}"/>
    <cellStyle name="20% - Accent6 16 4" xfId="6251" xr:uid="{00000000-0005-0000-0000-000064250000}"/>
    <cellStyle name="20% - Accent6 16 4 2" xfId="14225" xr:uid="{00000000-0005-0000-0000-000065250000}"/>
    <cellStyle name="20% - Accent6 16 4 2 2" xfId="38067" xr:uid="{9BA91D8B-A177-42B4-BB76-BA7C7A1922E0}"/>
    <cellStyle name="20% - Accent6 16 4 3" xfId="22172" xr:uid="{00000000-0005-0000-0000-000066250000}"/>
    <cellStyle name="20% - Accent6 16 4 3 2" xfId="46004" xr:uid="{C98EFAA8-69DF-4D81-A1C7-8C540778DD21}"/>
    <cellStyle name="20% - Accent6 16 4 4" xfId="30126" xr:uid="{EA6990EF-88E1-45FD-BF63-E2CF74EF784C}"/>
    <cellStyle name="20% - Accent6 16 5" xfId="9793" xr:uid="{00000000-0005-0000-0000-000067250000}"/>
    <cellStyle name="20% - Accent6 16 5 2" xfId="17751" xr:uid="{00000000-0005-0000-0000-000068250000}"/>
    <cellStyle name="20% - Accent6 16 5 2 2" xfId="41591" xr:uid="{1CFC6FE6-CCB1-445A-B18D-3F999462418E}"/>
    <cellStyle name="20% - Accent6 16 5 3" xfId="25695" xr:uid="{00000000-0005-0000-0000-000069250000}"/>
    <cellStyle name="20% - Accent6 16 5 3 2" xfId="49527" xr:uid="{8BABC6EE-B706-48AC-BE3B-DCD84837E0F0}"/>
    <cellStyle name="20% - Accent6 16 5 4" xfId="33650" xr:uid="{3BC4378F-1576-42B1-8157-43040B811240}"/>
    <cellStyle name="20% - Accent6 16 6" xfId="10689" xr:uid="{00000000-0005-0000-0000-00006A250000}"/>
    <cellStyle name="20% - Accent6 16 6 2" xfId="34538" xr:uid="{E832D1CE-AE07-4299-9FA0-8EA110B8C242}"/>
    <cellStyle name="20% - Accent6 16 7" xfId="18644" xr:uid="{00000000-0005-0000-0000-00006B250000}"/>
    <cellStyle name="20% - Accent6 16 7 2" xfId="42476" xr:uid="{77B855E3-4C01-4A07-9843-279BE4ED6128}"/>
    <cellStyle name="20% - Accent6 16 8" xfId="26596" xr:uid="{C58FD1C0-66C1-4270-BB78-3CA41F9E79D4}"/>
    <cellStyle name="20% - Accent6 16_Exh G" xfId="2592" xr:uid="{00000000-0005-0000-0000-00006C250000}"/>
    <cellStyle name="20% - Accent6 17" xfId="49793" xr:uid="{85126466-3381-4F1E-AC4E-42C398EDD258}"/>
    <cellStyle name="20% - Accent6 18" xfId="49833" xr:uid="{7FCBD935-0F24-4688-A961-802B36523797}"/>
    <cellStyle name="20% - Accent6 2" xfId="296" xr:uid="{00000000-0005-0000-0000-00006D250000}"/>
    <cellStyle name="20% - Accent6 2 10" xfId="18193" xr:uid="{00000000-0005-0000-0000-00006E250000}"/>
    <cellStyle name="20% - Accent6 2 10 2" xfId="42025" xr:uid="{88AB7210-3CBE-439F-8CFE-6DAE83F69357}"/>
    <cellStyle name="20% - Accent6 2 11" xfId="26145" xr:uid="{FD7DB16B-D1DC-456A-BCDC-E56B2AD202D5}"/>
    <cellStyle name="20% - Accent6 2 12" xfId="49778" xr:uid="{4BD6B06A-5F58-4177-B94C-C69E7A627DC8}"/>
    <cellStyle name="20% - Accent6 2 13" xfId="49806" xr:uid="{9D491E89-21BC-4054-A9C0-6D1A5616E8EE}"/>
    <cellStyle name="20% - Accent6 2 14" xfId="49847" xr:uid="{419E4A75-AE58-4ED3-AE8A-164A07E96F45}"/>
    <cellStyle name="20% - Accent6 2 2" xfId="297" xr:uid="{00000000-0005-0000-0000-00006F250000}"/>
    <cellStyle name="20% - Accent6 2 2 10" xfId="26146" xr:uid="{712B2D0B-5CDF-40B5-A9A8-236DB7E23AD2}"/>
    <cellStyle name="20% - Accent6 2 2 2" xfId="298" xr:uid="{00000000-0005-0000-0000-000070250000}"/>
    <cellStyle name="20% - Accent6 2 2 2 2" xfId="1324" xr:uid="{00000000-0005-0000-0000-000071250000}"/>
    <cellStyle name="20% - Accent6 2 2 2 2 2" xfId="4851" xr:uid="{00000000-0005-0000-0000-000072250000}"/>
    <cellStyle name="20% - Accent6 2 2 2 2 2 2" xfId="8442" xr:uid="{00000000-0005-0000-0000-000073250000}"/>
    <cellStyle name="20% - Accent6 2 2 2 2 2 2 2" xfId="16412" xr:uid="{00000000-0005-0000-0000-000074250000}"/>
    <cellStyle name="20% - Accent6 2 2 2 2 2 2 2 2" xfId="40254" xr:uid="{D3A032AC-BBAA-4A65-A64B-31AB947AE311}"/>
    <cellStyle name="20% - Accent6 2 2 2 2 2 2 3" xfId="24358" xr:uid="{00000000-0005-0000-0000-000075250000}"/>
    <cellStyle name="20% - Accent6 2 2 2 2 2 2 3 2" xfId="48190" xr:uid="{AF03C7F7-F1EB-4B23-8A42-2409335E3367}"/>
    <cellStyle name="20% - Accent6 2 2 2 2 2 2 4" xfId="32313" xr:uid="{EA1064BF-E43B-401C-9F26-40D1763156BE}"/>
    <cellStyle name="20% - Accent6 2 2 2 2 2 3" xfId="12874" xr:uid="{00000000-0005-0000-0000-000076250000}"/>
    <cellStyle name="20% - Accent6 2 2 2 2 2 3 2" xfId="36723" xr:uid="{1D476D1A-9718-41FC-847C-D53034016968}"/>
    <cellStyle name="20% - Accent6 2 2 2 2 2 4" xfId="20829" xr:uid="{00000000-0005-0000-0000-000077250000}"/>
    <cellStyle name="20% - Accent6 2 2 2 2 2 4 2" xfId="44661" xr:uid="{59EEEA86-65C4-472C-9C1F-17140F3406F8}"/>
    <cellStyle name="20% - Accent6 2 2 2 2 2 5" xfId="28782" xr:uid="{C806AB0A-CED9-4DA0-8B58-21BA0BBC1354}"/>
    <cellStyle name="20% - Accent6 2 2 2 2 3" xfId="6683" xr:uid="{00000000-0005-0000-0000-000078250000}"/>
    <cellStyle name="20% - Accent6 2 2 2 2 3 2" xfId="14654" xr:uid="{00000000-0005-0000-0000-000079250000}"/>
    <cellStyle name="20% - Accent6 2 2 2 2 3 2 2" xfId="38496" xr:uid="{07CFD78A-DE24-4106-BA66-996D2505E846}"/>
    <cellStyle name="20% - Accent6 2 2 2 2 3 3" xfId="22601" xr:uid="{00000000-0005-0000-0000-00007A250000}"/>
    <cellStyle name="20% - Accent6 2 2 2 2 3 3 2" xfId="46433" xr:uid="{846A08C5-CF69-4F24-B7BD-7B8AA5E60051}"/>
    <cellStyle name="20% - Accent6 2 2 2 2 3 4" xfId="30555" xr:uid="{349BE905-8C98-4C64-86D6-B770CCC1A52B}"/>
    <cellStyle name="20% - Accent6 2 2 2 2 4" xfId="11118" xr:uid="{00000000-0005-0000-0000-00007B250000}"/>
    <cellStyle name="20% - Accent6 2 2 2 2 4 2" xfId="34967" xr:uid="{4FED45A6-9DA6-4F60-8D6E-1C09C41FAB31}"/>
    <cellStyle name="20% - Accent6 2 2 2 2 5" xfId="19073" xr:uid="{00000000-0005-0000-0000-00007C250000}"/>
    <cellStyle name="20% - Accent6 2 2 2 2 5 2" xfId="42905" xr:uid="{25D8421A-73AE-457C-8BFD-945D4541E2B7}"/>
    <cellStyle name="20% - Accent6 2 2 2 2 6" xfId="27025" xr:uid="{F3C2EE04-48CC-491D-B219-D163AE396E26}"/>
    <cellStyle name="20% - Accent6 2 2 2 2_Exh G" xfId="2597" xr:uid="{00000000-0005-0000-0000-00007D250000}"/>
    <cellStyle name="20% - Accent6 2 2 2 3" xfId="3972" xr:uid="{00000000-0005-0000-0000-00007E250000}"/>
    <cellStyle name="20% - Accent6 2 2 2 3 2" xfId="7564" xr:uid="{00000000-0005-0000-0000-00007F250000}"/>
    <cellStyle name="20% - Accent6 2 2 2 3 2 2" xfId="15534" xr:uid="{00000000-0005-0000-0000-000080250000}"/>
    <cellStyle name="20% - Accent6 2 2 2 3 2 2 2" xfId="39376" xr:uid="{D77BAD58-3712-44DA-B43D-749EAAA22C4E}"/>
    <cellStyle name="20% - Accent6 2 2 2 3 2 3" xfId="23480" xr:uid="{00000000-0005-0000-0000-000081250000}"/>
    <cellStyle name="20% - Accent6 2 2 2 3 2 3 2" xfId="47312" xr:uid="{008E99A4-3BB2-4925-BB8C-13D0735D45D6}"/>
    <cellStyle name="20% - Accent6 2 2 2 3 2 4" xfId="31435" xr:uid="{3120E569-5DA0-41FF-9D6B-39D02AEBE407}"/>
    <cellStyle name="20% - Accent6 2 2 2 3 3" xfId="11996" xr:uid="{00000000-0005-0000-0000-000082250000}"/>
    <cellStyle name="20% - Accent6 2 2 2 3 3 2" xfId="35845" xr:uid="{AB404675-8C06-49FD-8A59-8698E4871841}"/>
    <cellStyle name="20% - Accent6 2 2 2 3 4" xfId="19951" xr:uid="{00000000-0005-0000-0000-000083250000}"/>
    <cellStyle name="20% - Accent6 2 2 2 3 4 2" xfId="43783" xr:uid="{E54A9B9B-0576-4630-A271-0CD44BEFC3A1}"/>
    <cellStyle name="20% - Accent6 2 2 2 3 5" xfId="27904" xr:uid="{1DA03FF6-6883-4CA9-B6FF-1AC7E4AC2D19}"/>
    <cellStyle name="20% - Accent6 2 2 2 4" xfId="5792" xr:uid="{00000000-0005-0000-0000-000084250000}"/>
    <cellStyle name="20% - Accent6 2 2 2 4 2" xfId="13775" xr:uid="{00000000-0005-0000-0000-000085250000}"/>
    <cellStyle name="20% - Accent6 2 2 2 4 2 2" xfId="37618" xr:uid="{89F6FD3B-3743-4D95-B2CD-690304C7B01A}"/>
    <cellStyle name="20% - Accent6 2 2 2 4 3" xfId="21723" xr:uid="{00000000-0005-0000-0000-000086250000}"/>
    <cellStyle name="20% - Accent6 2 2 2 4 3 2" xfId="45555" xr:uid="{1F41D225-C477-4EBA-839A-5F995CAA7EAD}"/>
    <cellStyle name="20% - Accent6 2 2 2 4 4" xfId="29677" xr:uid="{1552727D-0338-4581-9C22-50066639068E}"/>
    <cellStyle name="20% - Accent6 2 2 2 5" xfId="9344" xr:uid="{00000000-0005-0000-0000-000087250000}"/>
    <cellStyle name="20% - Accent6 2 2 2 5 2" xfId="17302" xr:uid="{00000000-0005-0000-0000-000088250000}"/>
    <cellStyle name="20% - Accent6 2 2 2 5 2 2" xfId="41142" xr:uid="{5146EF8E-4770-4483-BC1E-59329484E38B}"/>
    <cellStyle name="20% - Accent6 2 2 2 5 3" xfId="25246" xr:uid="{00000000-0005-0000-0000-000089250000}"/>
    <cellStyle name="20% - Accent6 2 2 2 5 3 2" xfId="49078" xr:uid="{ADC69348-EF9D-4A70-9D0E-1A0F9A0B98DE}"/>
    <cellStyle name="20% - Accent6 2 2 2 5 4" xfId="33201" xr:uid="{2F981532-F42F-4D5F-B73E-8EDF4E3613BA}"/>
    <cellStyle name="20% - Accent6 2 2 2 6" xfId="10240" xr:uid="{00000000-0005-0000-0000-00008A250000}"/>
    <cellStyle name="20% - Accent6 2 2 2 6 2" xfId="34089" xr:uid="{AB595A84-C964-46AB-83DB-CE87DC8E3E5A}"/>
    <cellStyle name="20% - Accent6 2 2 2 7" xfId="18195" xr:uid="{00000000-0005-0000-0000-00008B250000}"/>
    <cellStyle name="20% - Accent6 2 2 2 7 2" xfId="42027" xr:uid="{650BB830-9179-42E0-A717-F6103AD98907}"/>
    <cellStyle name="20% - Accent6 2 2 2 8" xfId="26147" xr:uid="{F855E4DF-ADEF-4138-879B-C94C31DD07A5}"/>
    <cellStyle name="20% - Accent6 2 2 2_Exh G" xfId="2596" xr:uid="{00000000-0005-0000-0000-00008C250000}"/>
    <cellStyle name="20% - Accent6 2 2 3" xfId="921" xr:uid="{00000000-0005-0000-0000-00008D250000}"/>
    <cellStyle name="20% - Accent6 2 2 3 2" xfId="1843" xr:uid="{00000000-0005-0000-0000-00008E250000}"/>
    <cellStyle name="20% - Accent6 2 2 3 2 2" xfId="5360" xr:uid="{00000000-0005-0000-0000-00008F250000}"/>
    <cellStyle name="20% - Accent6 2 2 3 2 2 2" xfId="8951" xr:uid="{00000000-0005-0000-0000-000090250000}"/>
    <cellStyle name="20% - Accent6 2 2 3 2 2 2 2" xfId="16921" xr:uid="{00000000-0005-0000-0000-000091250000}"/>
    <cellStyle name="20% - Accent6 2 2 3 2 2 2 2 2" xfId="40763" xr:uid="{8A2DAEEC-D385-4772-9EDD-5DAF85717B23}"/>
    <cellStyle name="20% - Accent6 2 2 3 2 2 2 3" xfId="24867" xr:uid="{00000000-0005-0000-0000-000092250000}"/>
    <cellStyle name="20% - Accent6 2 2 3 2 2 2 3 2" xfId="48699" xr:uid="{4123A204-1F4A-4CD8-A494-B2B724CB08AB}"/>
    <cellStyle name="20% - Accent6 2 2 3 2 2 2 4" xfId="32822" xr:uid="{A9A01F10-1591-4399-BD9F-DA933926FF67}"/>
    <cellStyle name="20% - Accent6 2 2 3 2 2 3" xfId="13383" xr:uid="{00000000-0005-0000-0000-000093250000}"/>
    <cellStyle name="20% - Accent6 2 2 3 2 2 3 2" xfId="37232" xr:uid="{92A3B868-31E7-4E6A-A6B4-7C461C4C9E18}"/>
    <cellStyle name="20% - Accent6 2 2 3 2 2 4" xfId="21338" xr:uid="{00000000-0005-0000-0000-000094250000}"/>
    <cellStyle name="20% - Accent6 2 2 3 2 2 4 2" xfId="45170" xr:uid="{8DB54591-EF9B-4D37-A755-78E52319BB26}"/>
    <cellStyle name="20% - Accent6 2 2 3 2 2 5" xfId="29291" xr:uid="{F1B0BC4E-9441-43E6-A498-9A1354C4B9A0}"/>
    <cellStyle name="20% - Accent6 2 2 3 2 3" xfId="7192" xr:uid="{00000000-0005-0000-0000-000095250000}"/>
    <cellStyle name="20% - Accent6 2 2 3 2 3 2" xfId="15163" xr:uid="{00000000-0005-0000-0000-000096250000}"/>
    <cellStyle name="20% - Accent6 2 2 3 2 3 2 2" xfId="39005" xr:uid="{9F860B1A-32C6-44D7-A343-635234494CEA}"/>
    <cellStyle name="20% - Accent6 2 2 3 2 3 3" xfId="23110" xr:uid="{00000000-0005-0000-0000-000097250000}"/>
    <cellStyle name="20% - Accent6 2 2 3 2 3 3 2" xfId="46942" xr:uid="{80D3CD6B-BE98-4988-AFF0-05ABF0AE4724}"/>
    <cellStyle name="20% - Accent6 2 2 3 2 3 4" xfId="31064" xr:uid="{35134C57-1628-4F5E-B5EF-1EA75EB8F459}"/>
    <cellStyle name="20% - Accent6 2 2 3 2 4" xfId="11627" xr:uid="{00000000-0005-0000-0000-000098250000}"/>
    <cellStyle name="20% - Accent6 2 2 3 2 4 2" xfId="35476" xr:uid="{31A4733B-5E2E-4AEB-8B8B-DE00C1620601}"/>
    <cellStyle name="20% - Accent6 2 2 3 2 5" xfId="19582" xr:uid="{00000000-0005-0000-0000-000099250000}"/>
    <cellStyle name="20% - Accent6 2 2 3 2 5 2" xfId="43414" xr:uid="{2CD2DA56-BF6A-4B51-8855-F1959402DA6D}"/>
    <cellStyle name="20% - Accent6 2 2 3 2 6" xfId="27534" xr:uid="{F51D7D9F-78A0-46A8-BC62-B103E86F132F}"/>
    <cellStyle name="20% - Accent6 2 2 3 2_Exh G" xfId="2599" xr:uid="{00000000-0005-0000-0000-00009A250000}"/>
    <cellStyle name="20% - Accent6 2 2 3 3" xfId="4481" xr:uid="{00000000-0005-0000-0000-00009B250000}"/>
    <cellStyle name="20% - Accent6 2 2 3 3 2" xfId="8073" xr:uid="{00000000-0005-0000-0000-00009C250000}"/>
    <cellStyle name="20% - Accent6 2 2 3 3 2 2" xfId="16043" xr:uid="{00000000-0005-0000-0000-00009D250000}"/>
    <cellStyle name="20% - Accent6 2 2 3 3 2 2 2" xfId="39885" xr:uid="{315AF3AD-165E-4A69-ABF9-1977B6EC7830}"/>
    <cellStyle name="20% - Accent6 2 2 3 3 2 3" xfId="23989" xr:uid="{00000000-0005-0000-0000-00009E250000}"/>
    <cellStyle name="20% - Accent6 2 2 3 3 2 3 2" xfId="47821" xr:uid="{C17AB013-C3E5-4320-BDAB-7B978DCFEFB4}"/>
    <cellStyle name="20% - Accent6 2 2 3 3 2 4" xfId="31944" xr:uid="{5DF98A03-C66C-4E65-AEE3-1FCE97D23B83}"/>
    <cellStyle name="20% - Accent6 2 2 3 3 3" xfId="12505" xr:uid="{00000000-0005-0000-0000-00009F250000}"/>
    <cellStyle name="20% - Accent6 2 2 3 3 3 2" xfId="36354" xr:uid="{4DF4BA9A-7076-430E-94CA-1C257729A2E1}"/>
    <cellStyle name="20% - Accent6 2 2 3 3 4" xfId="20460" xr:uid="{00000000-0005-0000-0000-0000A0250000}"/>
    <cellStyle name="20% - Accent6 2 2 3 3 4 2" xfId="44292" xr:uid="{EA43C822-F8B8-4A78-BC75-3FCC0BB87DC4}"/>
    <cellStyle name="20% - Accent6 2 2 3 3 5" xfId="28413" xr:uid="{D1E0C173-6874-4493-BAA0-D1F63682265C}"/>
    <cellStyle name="20% - Accent6 2 2 3 4" xfId="6311" xr:uid="{00000000-0005-0000-0000-0000A1250000}"/>
    <cellStyle name="20% - Accent6 2 2 3 4 2" xfId="14285" xr:uid="{00000000-0005-0000-0000-0000A2250000}"/>
    <cellStyle name="20% - Accent6 2 2 3 4 2 2" xfId="38127" xr:uid="{F5BB2B51-5759-4EE3-832C-16DF5A18DC86}"/>
    <cellStyle name="20% - Accent6 2 2 3 4 3" xfId="22232" xr:uid="{00000000-0005-0000-0000-0000A3250000}"/>
    <cellStyle name="20% - Accent6 2 2 3 4 3 2" xfId="46064" xr:uid="{41218804-1FF8-49F9-9DCE-E7E6EC74CF48}"/>
    <cellStyle name="20% - Accent6 2 2 3 4 4" xfId="30186" xr:uid="{16F7FECD-7E98-4E7A-884C-CCB712B837CF}"/>
    <cellStyle name="20% - Accent6 2 2 3 5" xfId="9853" xr:uid="{00000000-0005-0000-0000-0000A4250000}"/>
    <cellStyle name="20% - Accent6 2 2 3 5 2" xfId="17811" xr:uid="{00000000-0005-0000-0000-0000A5250000}"/>
    <cellStyle name="20% - Accent6 2 2 3 5 2 2" xfId="41651" xr:uid="{0E55DF5A-7075-42E5-A18D-34478EF7E696}"/>
    <cellStyle name="20% - Accent6 2 2 3 5 3" xfId="25755" xr:uid="{00000000-0005-0000-0000-0000A6250000}"/>
    <cellStyle name="20% - Accent6 2 2 3 5 3 2" xfId="49587" xr:uid="{B4C1E8D1-561B-4CAD-87BA-C793AB095C46}"/>
    <cellStyle name="20% - Accent6 2 2 3 5 4" xfId="33710" xr:uid="{EC834222-50D1-4ABA-972B-98B3590325AE}"/>
    <cellStyle name="20% - Accent6 2 2 3 6" xfId="10749" xr:uid="{00000000-0005-0000-0000-0000A7250000}"/>
    <cellStyle name="20% - Accent6 2 2 3 6 2" xfId="34598" xr:uid="{59BBE83D-54C2-4757-AB29-0F2E782685DF}"/>
    <cellStyle name="20% - Accent6 2 2 3 7" xfId="18704" xr:uid="{00000000-0005-0000-0000-0000A8250000}"/>
    <cellStyle name="20% - Accent6 2 2 3 7 2" xfId="42536" xr:uid="{0A3EAD04-07E8-4CDA-9EB7-64CF918BE3D3}"/>
    <cellStyle name="20% - Accent6 2 2 3 8" xfId="26656" xr:uid="{7FC0BDFC-4766-4D47-B33B-EE8D3312AC38}"/>
    <cellStyle name="20% - Accent6 2 2 3_Exh G" xfId="2598" xr:uid="{00000000-0005-0000-0000-0000A9250000}"/>
    <cellStyle name="20% - Accent6 2 2 4" xfId="1323" xr:uid="{00000000-0005-0000-0000-0000AA250000}"/>
    <cellStyle name="20% - Accent6 2 2 4 2" xfId="4850" xr:uid="{00000000-0005-0000-0000-0000AB250000}"/>
    <cellStyle name="20% - Accent6 2 2 4 2 2" xfId="8441" xr:uid="{00000000-0005-0000-0000-0000AC250000}"/>
    <cellStyle name="20% - Accent6 2 2 4 2 2 2" xfId="16411" xr:uid="{00000000-0005-0000-0000-0000AD250000}"/>
    <cellStyle name="20% - Accent6 2 2 4 2 2 2 2" xfId="40253" xr:uid="{6042B66B-ECA4-40D3-AE01-06DEB48DB14E}"/>
    <cellStyle name="20% - Accent6 2 2 4 2 2 3" xfId="24357" xr:uid="{00000000-0005-0000-0000-0000AE250000}"/>
    <cellStyle name="20% - Accent6 2 2 4 2 2 3 2" xfId="48189" xr:uid="{AEB05809-202D-4453-897D-581AAB6F87C4}"/>
    <cellStyle name="20% - Accent6 2 2 4 2 2 4" xfId="32312" xr:uid="{478B0C53-93A5-4593-AA32-1F020EEF30B2}"/>
    <cellStyle name="20% - Accent6 2 2 4 2 3" xfId="12873" xr:uid="{00000000-0005-0000-0000-0000AF250000}"/>
    <cellStyle name="20% - Accent6 2 2 4 2 3 2" xfId="36722" xr:uid="{74F7B06A-FF57-4445-9513-2D737752E0E0}"/>
    <cellStyle name="20% - Accent6 2 2 4 2 4" xfId="20828" xr:uid="{00000000-0005-0000-0000-0000B0250000}"/>
    <cellStyle name="20% - Accent6 2 2 4 2 4 2" xfId="44660" xr:uid="{9CAD4287-A829-4DFE-9701-A1C375A67692}"/>
    <cellStyle name="20% - Accent6 2 2 4 2 5" xfId="28781" xr:uid="{E5016399-5AE1-42FA-890A-E06E4C9053C7}"/>
    <cellStyle name="20% - Accent6 2 2 4 3" xfId="6682" xr:uid="{00000000-0005-0000-0000-0000B1250000}"/>
    <cellStyle name="20% - Accent6 2 2 4 3 2" xfId="14653" xr:uid="{00000000-0005-0000-0000-0000B2250000}"/>
    <cellStyle name="20% - Accent6 2 2 4 3 2 2" xfId="38495" xr:uid="{9A8ECA6B-2C31-47AA-A380-A2BB30DCF3A0}"/>
    <cellStyle name="20% - Accent6 2 2 4 3 3" xfId="22600" xr:uid="{00000000-0005-0000-0000-0000B3250000}"/>
    <cellStyle name="20% - Accent6 2 2 4 3 3 2" xfId="46432" xr:uid="{6487C6E0-2A42-4B66-A408-8104C7A7EC6B}"/>
    <cellStyle name="20% - Accent6 2 2 4 3 4" xfId="30554" xr:uid="{37986DF3-1955-40D0-87E0-A31804DADE60}"/>
    <cellStyle name="20% - Accent6 2 2 4 4" xfId="11117" xr:uid="{00000000-0005-0000-0000-0000B4250000}"/>
    <cellStyle name="20% - Accent6 2 2 4 4 2" xfId="34966" xr:uid="{F5B090FB-E548-47BF-9DBB-274755926211}"/>
    <cellStyle name="20% - Accent6 2 2 4 5" xfId="19072" xr:uid="{00000000-0005-0000-0000-0000B5250000}"/>
    <cellStyle name="20% - Accent6 2 2 4 5 2" xfId="42904" xr:uid="{C862A9EB-95C8-4258-B219-1519B6A20360}"/>
    <cellStyle name="20% - Accent6 2 2 4 6" xfId="27024" xr:uid="{DC53BCDD-53EF-4E1B-909C-77391AEBF301}"/>
    <cellStyle name="20% - Accent6 2 2 4_Exh G" xfId="2600" xr:uid="{00000000-0005-0000-0000-0000B6250000}"/>
    <cellStyle name="20% - Accent6 2 2 5" xfId="3971" xr:uid="{00000000-0005-0000-0000-0000B7250000}"/>
    <cellStyle name="20% - Accent6 2 2 5 2" xfId="7563" xr:uid="{00000000-0005-0000-0000-0000B8250000}"/>
    <cellStyle name="20% - Accent6 2 2 5 2 2" xfId="15533" xr:uid="{00000000-0005-0000-0000-0000B9250000}"/>
    <cellStyle name="20% - Accent6 2 2 5 2 2 2" xfId="39375" xr:uid="{0ED1363D-C84D-4A12-AF5F-66FB249BD62C}"/>
    <cellStyle name="20% - Accent6 2 2 5 2 3" xfId="23479" xr:uid="{00000000-0005-0000-0000-0000BA250000}"/>
    <cellStyle name="20% - Accent6 2 2 5 2 3 2" xfId="47311" xr:uid="{39662192-832E-4746-9036-9078D4F51288}"/>
    <cellStyle name="20% - Accent6 2 2 5 2 4" xfId="31434" xr:uid="{EEC501C4-F969-4E88-AF48-9F8C21CE761B}"/>
    <cellStyle name="20% - Accent6 2 2 5 3" xfId="11995" xr:uid="{00000000-0005-0000-0000-0000BB250000}"/>
    <cellStyle name="20% - Accent6 2 2 5 3 2" xfId="35844" xr:uid="{D7E26E92-A10D-448A-9939-E3E601EF6878}"/>
    <cellStyle name="20% - Accent6 2 2 5 4" xfId="19950" xr:uid="{00000000-0005-0000-0000-0000BC250000}"/>
    <cellStyle name="20% - Accent6 2 2 5 4 2" xfId="43782" xr:uid="{1FD772D3-BA15-4A89-9E75-1DA8AF5F5FD2}"/>
    <cellStyle name="20% - Accent6 2 2 5 5" xfId="27903" xr:uid="{629C3426-FDF7-4C0A-ACCF-447A9E441B3A}"/>
    <cellStyle name="20% - Accent6 2 2 6" xfId="5791" xr:uid="{00000000-0005-0000-0000-0000BD250000}"/>
    <cellStyle name="20% - Accent6 2 2 6 2" xfId="13774" xr:uid="{00000000-0005-0000-0000-0000BE250000}"/>
    <cellStyle name="20% - Accent6 2 2 6 2 2" xfId="37617" xr:uid="{31146D4B-F759-4ABE-8231-A43F0FAD427C}"/>
    <cellStyle name="20% - Accent6 2 2 6 3" xfId="21722" xr:uid="{00000000-0005-0000-0000-0000BF250000}"/>
    <cellStyle name="20% - Accent6 2 2 6 3 2" xfId="45554" xr:uid="{AEBF87F1-8F67-4AEE-B290-6838348A56C9}"/>
    <cellStyle name="20% - Accent6 2 2 6 4" xfId="29676" xr:uid="{83FBA453-A0E3-4EFF-8963-5A3418F2AADD}"/>
    <cellStyle name="20% - Accent6 2 2 7" xfId="9343" xr:uid="{00000000-0005-0000-0000-0000C0250000}"/>
    <cellStyle name="20% - Accent6 2 2 7 2" xfId="17301" xr:uid="{00000000-0005-0000-0000-0000C1250000}"/>
    <cellStyle name="20% - Accent6 2 2 7 2 2" xfId="41141" xr:uid="{3CBF3FF1-D77E-4C28-A0BA-E4D80EBE3ADD}"/>
    <cellStyle name="20% - Accent6 2 2 7 3" xfId="25245" xr:uid="{00000000-0005-0000-0000-0000C2250000}"/>
    <cellStyle name="20% - Accent6 2 2 7 3 2" xfId="49077" xr:uid="{054BD942-DDDB-4049-8AAC-E0A56E113E63}"/>
    <cellStyle name="20% - Accent6 2 2 7 4" xfId="33200" xr:uid="{3C8AE1CB-069E-479A-BB33-37E6E9E9420B}"/>
    <cellStyle name="20% - Accent6 2 2 8" xfId="10239" xr:uid="{00000000-0005-0000-0000-0000C3250000}"/>
    <cellStyle name="20% - Accent6 2 2 8 2" xfId="34088" xr:uid="{25C99BAD-F93D-4355-BEC5-7334DCF16592}"/>
    <cellStyle name="20% - Accent6 2 2 9" xfId="18194" xr:uid="{00000000-0005-0000-0000-0000C4250000}"/>
    <cellStyle name="20% - Accent6 2 2 9 2" xfId="42026" xr:uid="{1FD57CD2-8CA1-4606-91E4-54D39CFB02B9}"/>
    <cellStyle name="20% - Accent6 2 2_Exh G" xfId="2595" xr:uid="{00000000-0005-0000-0000-0000C5250000}"/>
    <cellStyle name="20% - Accent6 2 3" xfId="299" xr:uid="{00000000-0005-0000-0000-0000C6250000}"/>
    <cellStyle name="20% - Accent6 2 3 2" xfId="1325" xr:uid="{00000000-0005-0000-0000-0000C7250000}"/>
    <cellStyle name="20% - Accent6 2 3 2 2" xfId="4852" xr:uid="{00000000-0005-0000-0000-0000C8250000}"/>
    <cellStyle name="20% - Accent6 2 3 2 2 2" xfId="8443" xr:uid="{00000000-0005-0000-0000-0000C9250000}"/>
    <cellStyle name="20% - Accent6 2 3 2 2 2 2" xfId="16413" xr:uid="{00000000-0005-0000-0000-0000CA250000}"/>
    <cellStyle name="20% - Accent6 2 3 2 2 2 2 2" xfId="40255" xr:uid="{CC7ECA1A-139D-442B-B5D9-A892379BBD8C}"/>
    <cellStyle name="20% - Accent6 2 3 2 2 2 3" xfId="24359" xr:uid="{00000000-0005-0000-0000-0000CB250000}"/>
    <cellStyle name="20% - Accent6 2 3 2 2 2 3 2" xfId="48191" xr:uid="{29F5D66C-858E-4BC8-9252-929DF99414EF}"/>
    <cellStyle name="20% - Accent6 2 3 2 2 2 4" xfId="32314" xr:uid="{7A0F7D2A-DE0F-46DA-A878-61C8E6AF9D80}"/>
    <cellStyle name="20% - Accent6 2 3 2 2 3" xfId="12875" xr:uid="{00000000-0005-0000-0000-0000CC250000}"/>
    <cellStyle name="20% - Accent6 2 3 2 2 3 2" xfId="36724" xr:uid="{8D6B781D-22D3-44C0-953A-9C64E2997301}"/>
    <cellStyle name="20% - Accent6 2 3 2 2 4" xfId="20830" xr:uid="{00000000-0005-0000-0000-0000CD250000}"/>
    <cellStyle name="20% - Accent6 2 3 2 2 4 2" xfId="44662" xr:uid="{F675F332-6F9B-4A5D-AF97-1691D68930E7}"/>
    <cellStyle name="20% - Accent6 2 3 2 2 5" xfId="28783" xr:uid="{B45849F3-8366-467C-84B6-B96E70730F77}"/>
    <cellStyle name="20% - Accent6 2 3 2 3" xfId="6684" xr:uid="{00000000-0005-0000-0000-0000CE250000}"/>
    <cellStyle name="20% - Accent6 2 3 2 3 2" xfId="14655" xr:uid="{00000000-0005-0000-0000-0000CF250000}"/>
    <cellStyle name="20% - Accent6 2 3 2 3 2 2" xfId="38497" xr:uid="{EF37325A-28B9-480A-94EC-96B4BED66C9F}"/>
    <cellStyle name="20% - Accent6 2 3 2 3 3" xfId="22602" xr:uid="{00000000-0005-0000-0000-0000D0250000}"/>
    <cellStyle name="20% - Accent6 2 3 2 3 3 2" xfId="46434" xr:uid="{0B1BC78F-2CB9-46F6-8289-D5EEE0C8B8A0}"/>
    <cellStyle name="20% - Accent6 2 3 2 3 4" xfId="30556" xr:uid="{05E0333C-9D2E-4FA5-BA70-E96566164D78}"/>
    <cellStyle name="20% - Accent6 2 3 2 4" xfId="11119" xr:uid="{00000000-0005-0000-0000-0000D1250000}"/>
    <cellStyle name="20% - Accent6 2 3 2 4 2" xfId="34968" xr:uid="{A468D191-893A-4852-A4DC-9BF64B25B9A3}"/>
    <cellStyle name="20% - Accent6 2 3 2 5" xfId="19074" xr:uid="{00000000-0005-0000-0000-0000D2250000}"/>
    <cellStyle name="20% - Accent6 2 3 2 5 2" xfId="42906" xr:uid="{D73EF53F-8671-451D-A63E-272F37C951E5}"/>
    <cellStyle name="20% - Accent6 2 3 2 6" xfId="27026" xr:uid="{4E4D6B93-1196-4C35-830F-C371E517901B}"/>
    <cellStyle name="20% - Accent6 2 3 2_Exh G" xfId="2602" xr:uid="{00000000-0005-0000-0000-0000D3250000}"/>
    <cellStyle name="20% - Accent6 2 3 3" xfId="3973" xr:uid="{00000000-0005-0000-0000-0000D4250000}"/>
    <cellStyle name="20% - Accent6 2 3 3 2" xfId="7565" xr:uid="{00000000-0005-0000-0000-0000D5250000}"/>
    <cellStyle name="20% - Accent6 2 3 3 2 2" xfId="15535" xr:uid="{00000000-0005-0000-0000-0000D6250000}"/>
    <cellStyle name="20% - Accent6 2 3 3 2 2 2" xfId="39377" xr:uid="{875A2C0C-591E-40FD-988F-252DF8221109}"/>
    <cellStyle name="20% - Accent6 2 3 3 2 3" xfId="23481" xr:uid="{00000000-0005-0000-0000-0000D7250000}"/>
    <cellStyle name="20% - Accent6 2 3 3 2 3 2" xfId="47313" xr:uid="{50D5267D-21A2-4EF6-95C8-E7FB1B347565}"/>
    <cellStyle name="20% - Accent6 2 3 3 2 4" xfId="31436" xr:uid="{AB7FFE52-584F-493C-8AD9-AFB3DA77735E}"/>
    <cellStyle name="20% - Accent6 2 3 3 3" xfId="11997" xr:uid="{00000000-0005-0000-0000-0000D8250000}"/>
    <cellStyle name="20% - Accent6 2 3 3 3 2" xfId="35846" xr:uid="{023C08F7-6211-4993-B6D6-35A150D8710D}"/>
    <cellStyle name="20% - Accent6 2 3 3 4" xfId="19952" xr:uid="{00000000-0005-0000-0000-0000D9250000}"/>
    <cellStyle name="20% - Accent6 2 3 3 4 2" xfId="43784" xr:uid="{51BBD129-3CFD-4BB9-9979-8B06A006EB1A}"/>
    <cellStyle name="20% - Accent6 2 3 3 5" xfId="27905" xr:uid="{36A814D3-66B3-407C-9711-9BFE19EA10CA}"/>
    <cellStyle name="20% - Accent6 2 3 4" xfId="5793" xr:uid="{00000000-0005-0000-0000-0000DA250000}"/>
    <cellStyle name="20% - Accent6 2 3 4 2" xfId="13776" xr:uid="{00000000-0005-0000-0000-0000DB250000}"/>
    <cellStyle name="20% - Accent6 2 3 4 2 2" xfId="37619" xr:uid="{3CEF6CA2-4262-4189-92A2-DBA74560E6DF}"/>
    <cellStyle name="20% - Accent6 2 3 4 3" xfId="21724" xr:uid="{00000000-0005-0000-0000-0000DC250000}"/>
    <cellStyle name="20% - Accent6 2 3 4 3 2" xfId="45556" xr:uid="{EAB7FF2B-4753-4568-A11B-8FD575BD0E4D}"/>
    <cellStyle name="20% - Accent6 2 3 4 4" xfId="29678" xr:uid="{A8EB842F-6FCE-4425-AFAE-42603AA34075}"/>
    <cellStyle name="20% - Accent6 2 3 5" xfId="9345" xr:uid="{00000000-0005-0000-0000-0000DD250000}"/>
    <cellStyle name="20% - Accent6 2 3 5 2" xfId="17303" xr:uid="{00000000-0005-0000-0000-0000DE250000}"/>
    <cellStyle name="20% - Accent6 2 3 5 2 2" xfId="41143" xr:uid="{7BF6405C-F614-4179-BD3C-B4BCAFC8F4F6}"/>
    <cellStyle name="20% - Accent6 2 3 5 3" xfId="25247" xr:uid="{00000000-0005-0000-0000-0000DF250000}"/>
    <cellStyle name="20% - Accent6 2 3 5 3 2" xfId="49079" xr:uid="{A855290D-53B2-4CBD-890C-7527D69C0413}"/>
    <cellStyle name="20% - Accent6 2 3 5 4" xfId="33202" xr:uid="{46836CBC-2F25-4DDC-AC66-E3A4A0DB3F44}"/>
    <cellStyle name="20% - Accent6 2 3 6" xfId="10241" xr:uid="{00000000-0005-0000-0000-0000E0250000}"/>
    <cellStyle name="20% - Accent6 2 3 6 2" xfId="34090" xr:uid="{805296EC-58B5-4420-AE12-9406ED5E6415}"/>
    <cellStyle name="20% - Accent6 2 3 7" xfId="18196" xr:uid="{00000000-0005-0000-0000-0000E1250000}"/>
    <cellStyle name="20% - Accent6 2 3 7 2" xfId="42028" xr:uid="{5C46EF4B-8102-4B02-ABC0-EE754E737E42}"/>
    <cellStyle name="20% - Accent6 2 3 8" xfId="26148" xr:uid="{57A3F509-CBC3-4E11-B34F-E135D523FB40}"/>
    <cellStyle name="20% - Accent6 2 3_Exh G" xfId="2601" xr:uid="{00000000-0005-0000-0000-0000E2250000}"/>
    <cellStyle name="20% - Accent6 2 4" xfId="920" xr:uid="{00000000-0005-0000-0000-0000E3250000}"/>
    <cellStyle name="20% - Accent6 2 4 2" xfId="1842" xr:uid="{00000000-0005-0000-0000-0000E4250000}"/>
    <cellStyle name="20% - Accent6 2 4 2 2" xfId="5359" xr:uid="{00000000-0005-0000-0000-0000E5250000}"/>
    <cellStyle name="20% - Accent6 2 4 2 2 2" xfId="8950" xr:uid="{00000000-0005-0000-0000-0000E6250000}"/>
    <cellStyle name="20% - Accent6 2 4 2 2 2 2" xfId="16920" xr:uid="{00000000-0005-0000-0000-0000E7250000}"/>
    <cellStyle name="20% - Accent6 2 4 2 2 2 2 2" xfId="40762" xr:uid="{DFBFAD4A-FAC7-4632-A87F-618532370B5E}"/>
    <cellStyle name="20% - Accent6 2 4 2 2 2 3" xfId="24866" xr:uid="{00000000-0005-0000-0000-0000E8250000}"/>
    <cellStyle name="20% - Accent6 2 4 2 2 2 3 2" xfId="48698" xr:uid="{BA0A6AD4-8EA1-4368-B74A-3345B6EDFD5A}"/>
    <cellStyle name="20% - Accent6 2 4 2 2 2 4" xfId="32821" xr:uid="{653AD84C-D88F-4E79-A140-305C830C824C}"/>
    <cellStyle name="20% - Accent6 2 4 2 2 3" xfId="13382" xr:uid="{00000000-0005-0000-0000-0000E9250000}"/>
    <cellStyle name="20% - Accent6 2 4 2 2 3 2" xfId="37231" xr:uid="{5E9799EA-7405-45AD-A537-0D30B29FACB6}"/>
    <cellStyle name="20% - Accent6 2 4 2 2 4" xfId="21337" xr:uid="{00000000-0005-0000-0000-0000EA250000}"/>
    <cellStyle name="20% - Accent6 2 4 2 2 4 2" xfId="45169" xr:uid="{16467DBA-C26C-4AF1-92F9-AFDE6ABEFDF1}"/>
    <cellStyle name="20% - Accent6 2 4 2 2 5" xfId="29290" xr:uid="{2EEF6F4B-D6D2-4EDE-8EDD-BC3E35A1C558}"/>
    <cellStyle name="20% - Accent6 2 4 2 3" xfId="7191" xr:uid="{00000000-0005-0000-0000-0000EB250000}"/>
    <cellStyle name="20% - Accent6 2 4 2 3 2" xfId="15162" xr:uid="{00000000-0005-0000-0000-0000EC250000}"/>
    <cellStyle name="20% - Accent6 2 4 2 3 2 2" xfId="39004" xr:uid="{8F5E8335-3265-49DE-A07A-7F05B75CD282}"/>
    <cellStyle name="20% - Accent6 2 4 2 3 3" xfId="23109" xr:uid="{00000000-0005-0000-0000-0000ED250000}"/>
    <cellStyle name="20% - Accent6 2 4 2 3 3 2" xfId="46941" xr:uid="{F67F656D-1F0D-40C9-89D2-EA6E1B90F300}"/>
    <cellStyle name="20% - Accent6 2 4 2 3 4" xfId="31063" xr:uid="{79069432-6B48-40C5-9C5E-7C0E2B914E5B}"/>
    <cellStyle name="20% - Accent6 2 4 2 4" xfId="11626" xr:uid="{00000000-0005-0000-0000-0000EE250000}"/>
    <cellStyle name="20% - Accent6 2 4 2 4 2" xfId="35475" xr:uid="{B38B5DED-04F5-42DF-969E-D1E52D1563FB}"/>
    <cellStyle name="20% - Accent6 2 4 2 5" xfId="19581" xr:uid="{00000000-0005-0000-0000-0000EF250000}"/>
    <cellStyle name="20% - Accent6 2 4 2 5 2" xfId="43413" xr:uid="{8C342A70-0B0B-4A42-8E9E-17664051D7FF}"/>
    <cellStyle name="20% - Accent6 2 4 2 6" xfId="27533" xr:uid="{620A4BC9-A887-43F2-BD21-B57B49E6B731}"/>
    <cellStyle name="20% - Accent6 2 4 2_Exh G" xfId="2604" xr:uid="{00000000-0005-0000-0000-0000F0250000}"/>
    <cellStyle name="20% - Accent6 2 4 3" xfId="4480" xr:uid="{00000000-0005-0000-0000-0000F1250000}"/>
    <cellStyle name="20% - Accent6 2 4 3 2" xfId="8072" xr:uid="{00000000-0005-0000-0000-0000F2250000}"/>
    <cellStyle name="20% - Accent6 2 4 3 2 2" xfId="16042" xr:uid="{00000000-0005-0000-0000-0000F3250000}"/>
    <cellStyle name="20% - Accent6 2 4 3 2 2 2" xfId="39884" xr:uid="{36004509-0D09-48C4-9073-B18D47FFC69F}"/>
    <cellStyle name="20% - Accent6 2 4 3 2 3" xfId="23988" xr:uid="{00000000-0005-0000-0000-0000F4250000}"/>
    <cellStyle name="20% - Accent6 2 4 3 2 3 2" xfId="47820" xr:uid="{07F37FA4-333D-488C-849B-F5BD38184A84}"/>
    <cellStyle name="20% - Accent6 2 4 3 2 4" xfId="31943" xr:uid="{EF4FFB34-CB27-4020-BD35-A0397398839A}"/>
    <cellStyle name="20% - Accent6 2 4 3 3" xfId="12504" xr:uid="{00000000-0005-0000-0000-0000F5250000}"/>
    <cellStyle name="20% - Accent6 2 4 3 3 2" xfId="36353" xr:uid="{EC40E272-FC08-4DCE-804E-82CA44B04F1C}"/>
    <cellStyle name="20% - Accent6 2 4 3 4" xfId="20459" xr:uid="{00000000-0005-0000-0000-0000F6250000}"/>
    <cellStyle name="20% - Accent6 2 4 3 4 2" xfId="44291" xr:uid="{7069607C-AA59-422E-BF9C-7537AEC4691A}"/>
    <cellStyle name="20% - Accent6 2 4 3 5" xfId="28412" xr:uid="{7271B10A-94D2-409E-9DB6-FBAC530F3458}"/>
    <cellStyle name="20% - Accent6 2 4 4" xfId="6310" xr:uid="{00000000-0005-0000-0000-0000F7250000}"/>
    <cellStyle name="20% - Accent6 2 4 4 2" xfId="14284" xr:uid="{00000000-0005-0000-0000-0000F8250000}"/>
    <cellStyle name="20% - Accent6 2 4 4 2 2" xfId="38126" xr:uid="{AFE231A0-4F6B-4900-BFF5-077F969FEFB0}"/>
    <cellStyle name="20% - Accent6 2 4 4 3" xfId="22231" xr:uid="{00000000-0005-0000-0000-0000F9250000}"/>
    <cellStyle name="20% - Accent6 2 4 4 3 2" xfId="46063" xr:uid="{EDC0C0D8-4E31-4D52-A788-74FB2EFBB5A7}"/>
    <cellStyle name="20% - Accent6 2 4 4 4" xfId="30185" xr:uid="{72284FD3-0A4B-4D2C-9F5B-2E760A01823A}"/>
    <cellStyle name="20% - Accent6 2 4 5" xfId="9852" xr:uid="{00000000-0005-0000-0000-0000FA250000}"/>
    <cellStyle name="20% - Accent6 2 4 5 2" xfId="17810" xr:uid="{00000000-0005-0000-0000-0000FB250000}"/>
    <cellStyle name="20% - Accent6 2 4 5 2 2" xfId="41650" xr:uid="{2B4C4D7E-0794-4DE6-B2D2-4B8BA05E1BF1}"/>
    <cellStyle name="20% - Accent6 2 4 5 3" xfId="25754" xr:uid="{00000000-0005-0000-0000-0000FC250000}"/>
    <cellStyle name="20% - Accent6 2 4 5 3 2" xfId="49586" xr:uid="{83E667ED-E437-4B55-AF3E-1C5F98FD5D90}"/>
    <cellStyle name="20% - Accent6 2 4 5 4" xfId="33709" xr:uid="{56341274-AF86-4529-9B88-D3675A79F77F}"/>
    <cellStyle name="20% - Accent6 2 4 6" xfId="10748" xr:uid="{00000000-0005-0000-0000-0000FD250000}"/>
    <cellStyle name="20% - Accent6 2 4 6 2" xfId="34597" xr:uid="{FFD06C94-A3B7-4EDB-9C1C-531C37ED319D}"/>
    <cellStyle name="20% - Accent6 2 4 7" xfId="18703" xr:uid="{00000000-0005-0000-0000-0000FE250000}"/>
    <cellStyle name="20% - Accent6 2 4 7 2" xfId="42535" xr:uid="{5331D966-B1BC-4C2F-833E-66D3DD25DE68}"/>
    <cellStyle name="20% - Accent6 2 4 8" xfId="26655" xr:uid="{EA8891B1-B03A-4CDA-909D-C157DEA75CAA}"/>
    <cellStyle name="20% - Accent6 2 4_Exh G" xfId="2603" xr:uid="{00000000-0005-0000-0000-0000FF250000}"/>
    <cellStyle name="20% - Accent6 2 5" xfId="1322" xr:uid="{00000000-0005-0000-0000-000000260000}"/>
    <cellStyle name="20% - Accent6 2 5 2" xfId="4849" xr:uid="{00000000-0005-0000-0000-000001260000}"/>
    <cellStyle name="20% - Accent6 2 5 2 2" xfId="8440" xr:uid="{00000000-0005-0000-0000-000002260000}"/>
    <cellStyle name="20% - Accent6 2 5 2 2 2" xfId="16410" xr:uid="{00000000-0005-0000-0000-000003260000}"/>
    <cellStyle name="20% - Accent6 2 5 2 2 2 2" xfId="40252" xr:uid="{0DEB08DC-0B8B-4596-8C67-AF361541FAC1}"/>
    <cellStyle name="20% - Accent6 2 5 2 2 3" xfId="24356" xr:uid="{00000000-0005-0000-0000-000004260000}"/>
    <cellStyle name="20% - Accent6 2 5 2 2 3 2" xfId="48188" xr:uid="{1535D373-A561-44F5-A5C4-4BA7C5F97AF5}"/>
    <cellStyle name="20% - Accent6 2 5 2 2 4" xfId="32311" xr:uid="{562CFA11-0A4E-452F-BF38-E311721F389B}"/>
    <cellStyle name="20% - Accent6 2 5 2 3" xfId="12872" xr:uid="{00000000-0005-0000-0000-000005260000}"/>
    <cellStyle name="20% - Accent6 2 5 2 3 2" xfId="36721" xr:uid="{A5C09CE2-2C49-40CE-BD2C-7A79D7B8B3DB}"/>
    <cellStyle name="20% - Accent6 2 5 2 4" xfId="20827" xr:uid="{00000000-0005-0000-0000-000006260000}"/>
    <cellStyle name="20% - Accent6 2 5 2 4 2" xfId="44659" xr:uid="{0008EB86-2ACB-4449-841B-93EE5EF9B48E}"/>
    <cellStyle name="20% - Accent6 2 5 2 5" xfId="28780" xr:uid="{478063AA-1FC4-464C-B1EA-153E57A18AE5}"/>
    <cellStyle name="20% - Accent6 2 5 3" xfId="6681" xr:uid="{00000000-0005-0000-0000-000007260000}"/>
    <cellStyle name="20% - Accent6 2 5 3 2" xfId="14652" xr:uid="{00000000-0005-0000-0000-000008260000}"/>
    <cellStyle name="20% - Accent6 2 5 3 2 2" xfId="38494" xr:uid="{6D087F34-D1E3-458B-82F7-64A9C8769E40}"/>
    <cellStyle name="20% - Accent6 2 5 3 3" xfId="22599" xr:uid="{00000000-0005-0000-0000-000009260000}"/>
    <cellStyle name="20% - Accent6 2 5 3 3 2" xfId="46431" xr:uid="{B65BC57F-1455-4470-8364-60D72AED6DE5}"/>
    <cellStyle name="20% - Accent6 2 5 3 4" xfId="30553" xr:uid="{04FC965E-BE22-4FA8-A82F-1486645A4E32}"/>
    <cellStyle name="20% - Accent6 2 5 4" xfId="11116" xr:uid="{00000000-0005-0000-0000-00000A260000}"/>
    <cellStyle name="20% - Accent6 2 5 4 2" xfId="34965" xr:uid="{82E4591E-6353-425C-BBE9-D5EB8C4A9DC2}"/>
    <cellStyle name="20% - Accent6 2 5 5" xfId="19071" xr:uid="{00000000-0005-0000-0000-00000B260000}"/>
    <cellStyle name="20% - Accent6 2 5 5 2" xfId="42903" xr:uid="{1032F908-EDFB-48D9-B5CE-BDEDB930D713}"/>
    <cellStyle name="20% - Accent6 2 5 6" xfId="27023" xr:uid="{C72E2358-4477-4A48-B8C1-039A2384D0D2}"/>
    <cellStyle name="20% - Accent6 2 5_Exh G" xfId="2605" xr:uid="{00000000-0005-0000-0000-00000C260000}"/>
    <cellStyle name="20% - Accent6 2 6" xfId="3970" xr:uid="{00000000-0005-0000-0000-00000D260000}"/>
    <cellStyle name="20% - Accent6 2 6 2" xfId="7562" xr:uid="{00000000-0005-0000-0000-00000E260000}"/>
    <cellStyle name="20% - Accent6 2 6 2 2" xfId="15532" xr:uid="{00000000-0005-0000-0000-00000F260000}"/>
    <cellStyle name="20% - Accent6 2 6 2 2 2" xfId="39374" xr:uid="{68C9351B-77C9-4C9B-8DBF-0D00EF9C4F33}"/>
    <cellStyle name="20% - Accent6 2 6 2 3" xfId="23478" xr:uid="{00000000-0005-0000-0000-000010260000}"/>
    <cellStyle name="20% - Accent6 2 6 2 3 2" xfId="47310" xr:uid="{66D422FE-ABAB-4454-A179-AACEBD90EF89}"/>
    <cellStyle name="20% - Accent6 2 6 2 4" xfId="31433" xr:uid="{E46EB396-358E-4762-8D86-0F95E0CC1557}"/>
    <cellStyle name="20% - Accent6 2 6 3" xfId="11994" xr:uid="{00000000-0005-0000-0000-000011260000}"/>
    <cellStyle name="20% - Accent6 2 6 3 2" xfId="35843" xr:uid="{0B1F5B5F-4B86-487D-B6A3-9441CB136105}"/>
    <cellStyle name="20% - Accent6 2 6 4" xfId="19949" xr:uid="{00000000-0005-0000-0000-000012260000}"/>
    <cellStyle name="20% - Accent6 2 6 4 2" xfId="43781" xr:uid="{C369956B-C98E-4640-B18B-CF887D0AA68F}"/>
    <cellStyle name="20% - Accent6 2 6 5" xfId="27902" xr:uid="{9487DD5C-5366-4C02-9B81-BDB7AFB25AAB}"/>
    <cellStyle name="20% - Accent6 2 7" xfId="5790" xr:uid="{00000000-0005-0000-0000-000013260000}"/>
    <cellStyle name="20% - Accent6 2 7 2" xfId="13773" xr:uid="{00000000-0005-0000-0000-000014260000}"/>
    <cellStyle name="20% - Accent6 2 7 2 2" xfId="37616" xr:uid="{547FBD55-83A3-4F09-868B-2BAF0E63E74A}"/>
    <cellStyle name="20% - Accent6 2 7 3" xfId="21721" xr:uid="{00000000-0005-0000-0000-000015260000}"/>
    <cellStyle name="20% - Accent6 2 7 3 2" xfId="45553" xr:uid="{58319FCE-163E-4318-B53C-7ACDE2D729FF}"/>
    <cellStyle name="20% - Accent6 2 7 4" xfId="29675" xr:uid="{49239626-EF3A-4585-99D2-D6A08D99F106}"/>
    <cellStyle name="20% - Accent6 2 8" xfId="9342" xr:uid="{00000000-0005-0000-0000-000016260000}"/>
    <cellStyle name="20% - Accent6 2 8 2" xfId="17300" xr:uid="{00000000-0005-0000-0000-000017260000}"/>
    <cellStyle name="20% - Accent6 2 8 2 2" xfId="41140" xr:uid="{E57946CE-1A2B-4355-8B93-DE4EBCD2C49C}"/>
    <cellStyle name="20% - Accent6 2 8 3" xfId="25244" xr:uid="{00000000-0005-0000-0000-000018260000}"/>
    <cellStyle name="20% - Accent6 2 8 3 2" xfId="49076" xr:uid="{2F7925F3-A1E4-4BF1-90B2-FF469840FDFB}"/>
    <cellStyle name="20% - Accent6 2 8 4" xfId="33199" xr:uid="{D7287D9F-446F-45B6-B59F-045B8AA88DED}"/>
    <cellStyle name="20% - Accent6 2 9" xfId="10238" xr:uid="{00000000-0005-0000-0000-000019260000}"/>
    <cellStyle name="20% - Accent6 2 9 2" xfId="34087" xr:uid="{4E17488D-1B19-4107-AC8E-F4809E0ADFD3}"/>
    <cellStyle name="20% - Accent6 2_Exh G" xfId="2594" xr:uid="{00000000-0005-0000-0000-00001A260000}"/>
    <cellStyle name="20% - Accent6 3" xfId="300" xr:uid="{00000000-0005-0000-0000-00001B260000}"/>
    <cellStyle name="20% - Accent6 3 10" xfId="18197" xr:uid="{00000000-0005-0000-0000-00001C260000}"/>
    <cellStyle name="20% - Accent6 3 10 2" xfId="42029" xr:uid="{342BB74B-F1D0-47FF-AFE7-65642B33FD51}"/>
    <cellStyle name="20% - Accent6 3 11" xfId="26149" xr:uid="{B190DA66-B8C9-4A85-BFDA-7D469244C142}"/>
    <cellStyle name="20% - Accent6 3 12" xfId="49764" xr:uid="{3E199D84-80C6-4646-B96A-FADB6B9E1079}"/>
    <cellStyle name="20% - Accent6 3 13" xfId="49818" xr:uid="{033E4528-90A1-41C8-879F-D9CC4D2C2978}"/>
    <cellStyle name="20% - Accent6 3 2" xfId="301" xr:uid="{00000000-0005-0000-0000-00001D260000}"/>
    <cellStyle name="20% - Accent6 3 2 10" xfId="26150" xr:uid="{707733EB-832F-4001-9392-DBB4C0665BD7}"/>
    <cellStyle name="20% - Accent6 3 2 2" xfId="302" xr:uid="{00000000-0005-0000-0000-00001E260000}"/>
    <cellStyle name="20% - Accent6 3 2 2 2" xfId="1328" xr:uid="{00000000-0005-0000-0000-00001F260000}"/>
    <cellStyle name="20% - Accent6 3 2 2 2 2" xfId="4855" xr:uid="{00000000-0005-0000-0000-000020260000}"/>
    <cellStyle name="20% - Accent6 3 2 2 2 2 2" xfId="8446" xr:uid="{00000000-0005-0000-0000-000021260000}"/>
    <cellStyle name="20% - Accent6 3 2 2 2 2 2 2" xfId="16416" xr:uid="{00000000-0005-0000-0000-000022260000}"/>
    <cellStyle name="20% - Accent6 3 2 2 2 2 2 2 2" xfId="40258" xr:uid="{102A3404-A03D-4C3A-8740-A9213DF0E171}"/>
    <cellStyle name="20% - Accent6 3 2 2 2 2 2 3" xfId="24362" xr:uid="{00000000-0005-0000-0000-000023260000}"/>
    <cellStyle name="20% - Accent6 3 2 2 2 2 2 3 2" xfId="48194" xr:uid="{7A8D1A09-0C43-4974-97EE-80894009E409}"/>
    <cellStyle name="20% - Accent6 3 2 2 2 2 2 4" xfId="32317" xr:uid="{9CE76D7C-F6AF-4ED2-BC9F-C05767687438}"/>
    <cellStyle name="20% - Accent6 3 2 2 2 2 3" xfId="12878" xr:uid="{00000000-0005-0000-0000-000024260000}"/>
    <cellStyle name="20% - Accent6 3 2 2 2 2 3 2" xfId="36727" xr:uid="{FA6C37EF-B338-430D-9D3A-9FCB541CEEE0}"/>
    <cellStyle name="20% - Accent6 3 2 2 2 2 4" xfId="20833" xr:uid="{00000000-0005-0000-0000-000025260000}"/>
    <cellStyle name="20% - Accent6 3 2 2 2 2 4 2" xfId="44665" xr:uid="{50795D06-57D2-4338-A4EF-9CD142AE092A}"/>
    <cellStyle name="20% - Accent6 3 2 2 2 2 5" xfId="28786" xr:uid="{01DCE371-2D26-4F00-8CF7-8EF05D2682B6}"/>
    <cellStyle name="20% - Accent6 3 2 2 2 3" xfId="6687" xr:uid="{00000000-0005-0000-0000-000026260000}"/>
    <cellStyle name="20% - Accent6 3 2 2 2 3 2" xfId="14658" xr:uid="{00000000-0005-0000-0000-000027260000}"/>
    <cellStyle name="20% - Accent6 3 2 2 2 3 2 2" xfId="38500" xr:uid="{A51CDA0A-9E0A-4FF2-B765-2E9A378918B9}"/>
    <cellStyle name="20% - Accent6 3 2 2 2 3 3" xfId="22605" xr:uid="{00000000-0005-0000-0000-000028260000}"/>
    <cellStyle name="20% - Accent6 3 2 2 2 3 3 2" xfId="46437" xr:uid="{1C37F1E2-31D3-4257-A1C2-5385D47AAB3A}"/>
    <cellStyle name="20% - Accent6 3 2 2 2 3 4" xfId="30559" xr:uid="{7B67D4CD-4F82-4B70-8408-9AB703E51F74}"/>
    <cellStyle name="20% - Accent6 3 2 2 2 4" xfId="11122" xr:uid="{00000000-0005-0000-0000-000029260000}"/>
    <cellStyle name="20% - Accent6 3 2 2 2 4 2" xfId="34971" xr:uid="{84A56959-75CF-4599-ADAE-D8E67310A419}"/>
    <cellStyle name="20% - Accent6 3 2 2 2 5" xfId="19077" xr:uid="{00000000-0005-0000-0000-00002A260000}"/>
    <cellStyle name="20% - Accent6 3 2 2 2 5 2" xfId="42909" xr:uid="{BDF524A3-E765-485C-9712-10A31B6AEB4C}"/>
    <cellStyle name="20% - Accent6 3 2 2 2 6" xfId="27029" xr:uid="{DD2FB4E7-971E-4513-8090-0DC0B8360775}"/>
    <cellStyle name="20% - Accent6 3 2 2 2_Exh G" xfId="2609" xr:uid="{00000000-0005-0000-0000-00002B260000}"/>
    <cellStyle name="20% - Accent6 3 2 2 3" xfId="3976" xr:uid="{00000000-0005-0000-0000-00002C260000}"/>
    <cellStyle name="20% - Accent6 3 2 2 3 2" xfId="7568" xr:uid="{00000000-0005-0000-0000-00002D260000}"/>
    <cellStyle name="20% - Accent6 3 2 2 3 2 2" xfId="15538" xr:uid="{00000000-0005-0000-0000-00002E260000}"/>
    <cellStyle name="20% - Accent6 3 2 2 3 2 2 2" xfId="39380" xr:uid="{9AD303D7-DDD9-4C9C-AC77-06C3858E1811}"/>
    <cellStyle name="20% - Accent6 3 2 2 3 2 3" xfId="23484" xr:uid="{00000000-0005-0000-0000-00002F260000}"/>
    <cellStyle name="20% - Accent6 3 2 2 3 2 3 2" xfId="47316" xr:uid="{44F1A491-7B2E-4A9E-8FED-1683AC8172E8}"/>
    <cellStyle name="20% - Accent6 3 2 2 3 2 4" xfId="31439" xr:uid="{1D50C2D9-DA51-4F3A-B21C-75FF216186AE}"/>
    <cellStyle name="20% - Accent6 3 2 2 3 3" xfId="12000" xr:uid="{00000000-0005-0000-0000-000030260000}"/>
    <cellStyle name="20% - Accent6 3 2 2 3 3 2" xfId="35849" xr:uid="{D5990CEE-AC60-4377-A6EF-76DB59AA9D2F}"/>
    <cellStyle name="20% - Accent6 3 2 2 3 4" xfId="19955" xr:uid="{00000000-0005-0000-0000-000031260000}"/>
    <cellStyle name="20% - Accent6 3 2 2 3 4 2" xfId="43787" xr:uid="{F1ED4D42-9A88-4189-A401-D2614FF5DBBB}"/>
    <cellStyle name="20% - Accent6 3 2 2 3 5" xfId="27908" xr:uid="{60746B9B-B4B9-44C0-84D4-16D4232A2521}"/>
    <cellStyle name="20% - Accent6 3 2 2 4" xfId="5796" xr:uid="{00000000-0005-0000-0000-000032260000}"/>
    <cellStyle name="20% - Accent6 3 2 2 4 2" xfId="13779" xr:uid="{00000000-0005-0000-0000-000033260000}"/>
    <cellStyle name="20% - Accent6 3 2 2 4 2 2" xfId="37622" xr:uid="{FCCDC733-D8F6-48D3-9DEE-3CDFA74DDFF5}"/>
    <cellStyle name="20% - Accent6 3 2 2 4 3" xfId="21727" xr:uid="{00000000-0005-0000-0000-000034260000}"/>
    <cellStyle name="20% - Accent6 3 2 2 4 3 2" xfId="45559" xr:uid="{1DF77D21-B680-4D6C-ADBD-84CFACAA52CE}"/>
    <cellStyle name="20% - Accent6 3 2 2 4 4" xfId="29681" xr:uid="{A070D748-852F-4198-9DA9-47D198601E1C}"/>
    <cellStyle name="20% - Accent6 3 2 2 5" xfId="9348" xr:uid="{00000000-0005-0000-0000-000035260000}"/>
    <cellStyle name="20% - Accent6 3 2 2 5 2" xfId="17306" xr:uid="{00000000-0005-0000-0000-000036260000}"/>
    <cellStyle name="20% - Accent6 3 2 2 5 2 2" xfId="41146" xr:uid="{659CA0CE-3567-4606-90AE-D05647A1B2CF}"/>
    <cellStyle name="20% - Accent6 3 2 2 5 3" xfId="25250" xr:uid="{00000000-0005-0000-0000-000037260000}"/>
    <cellStyle name="20% - Accent6 3 2 2 5 3 2" xfId="49082" xr:uid="{E239985F-E04B-450C-98F3-C37040EC221F}"/>
    <cellStyle name="20% - Accent6 3 2 2 5 4" xfId="33205" xr:uid="{4CF4E590-4489-4172-B33E-8F6CC0CA3227}"/>
    <cellStyle name="20% - Accent6 3 2 2 6" xfId="10244" xr:uid="{00000000-0005-0000-0000-000038260000}"/>
    <cellStyle name="20% - Accent6 3 2 2 6 2" xfId="34093" xr:uid="{55C45C7E-76A4-40B7-B86D-89879A9D39E1}"/>
    <cellStyle name="20% - Accent6 3 2 2 7" xfId="18199" xr:uid="{00000000-0005-0000-0000-000039260000}"/>
    <cellStyle name="20% - Accent6 3 2 2 7 2" xfId="42031" xr:uid="{092F0D63-59F3-4E7D-86F3-68AD5EE93105}"/>
    <cellStyle name="20% - Accent6 3 2 2 8" xfId="26151" xr:uid="{099A2829-C0E3-4679-AB46-59F7251C8595}"/>
    <cellStyle name="20% - Accent6 3 2 2_Exh G" xfId="2608" xr:uid="{00000000-0005-0000-0000-00003A260000}"/>
    <cellStyle name="20% - Accent6 3 2 3" xfId="923" xr:uid="{00000000-0005-0000-0000-00003B260000}"/>
    <cellStyle name="20% - Accent6 3 2 3 2" xfId="1845" xr:uid="{00000000-0005-0000-0000-00003C260000}"/>
    <cellStyle name="20% - Accent6 3 2 3 2 2" xfId="5362" xr:uid="{00000000-0005-0000-0000-00003D260000}"/>
    <cellStyle name="20% - Accent6 3 2 3 2 2 2" xfId="8953" xr:uid="{00000000-0005-0000-0000-00003E260000}"/>
    <cellStyle name="20% - Accent6 3 2 3 2 2 2 2" xfId="16923" xr:uid="{00000000-0005-0000-0000-00003F260000}"/>
    <cellStyle name="20% - Accent6 3 2 3 2 2 2 2 2" xfId="40765" xr:uid="{7FB0A2E8-4FB8-4243-BC4C-D70811990A41}"/>
    <cellStyle name="20% - Accent6 3 2 3 2 2 2 3" xfId="24869" xr:uid="{00000000-0005-0000-0000-000040260000}"/>
    <cellStyle name="20% - Accent6 3 2 3 2 2 2 3 2" xfId="48701" xr:uid="{3DBF0364-8F4F-4994-8D13-82F68FDBD864}"/>
    <cellStyle name="20% - Accent6 3 2 3 2 2 2 4" xfId="32824" xr:uid="{608121C1-EDC9-4680-B570-3C1D937BEB9D}"/>
    <cellStyle name="20% - Accent6 3 2 3 2 2 3" xfId="13385" xr:uid="{00000000-0005-0000-0000-000041260000}"/>
    <cellStyle name="20% - Accent6 3 2 3 2 2 3 2" xfId="37234" xr:uid="{00733E2E-A8E4-4B16-AD1B-D98777AB7DDA}"/>
    <cellStyle name="20% - Accent6 3 2 3 2 2 4" xfId="21340" xr:uid="{00000000-0005-0000-0000-000042260000}"/>
    <cellStyle name="20% - Accent6 3 2 3 2 2 4 2" xfId="45172" xr:uid="{53977EB5-EF87-4A69-AF9E-CE86AF2AC4FD}"/>
    <cellStyle name="20% - Accent6 3 2 3 2 2 5" xfId="29293" xr:uid="{EE1E4B56-D68E-4F04-B549-6ED5632DF4B6}"/>
    <cellStyle name="20% - Accent6 3 2 3 2 3" xfId="7194" xr:uid="{00000000-0005-0000-0000-000043260000}"/>
    <cellStyle name="20% - Accent6 3 2 3 2 3 2" xfId="15165" xr:uid="{00000000-0005-0000-0000-000044260000}"/>
    <cellStyle name="20% - Accent6 3 2 3 2 3 2 2" xfId="39007" xr:uid="{CB42EBB1-7AE8-46DE-A92A-8F331B049AEF}"/>
    <cellStyle name="20% - Accent6 3 2 3 2 3 3" xfId="23112" xr:uid="{00000000-0005-0000-0000-000045260000}"/>
    <cellStyle name="20% - Accent6 3 2 3 2 3 3 2" xfId="46944" xr:uid="{D37CF22E-62A0-474A-8C46-3B1DC172B8F5}"/>
    <cellStyle name="20% - Accent6 3 2 3 2 3 4" xfId="31066" xr:uid="{6B9703B5-1BF1-4FBA-B78F-403F4AC25C7A}"/>
    <cellStyle name="20% - Accent6 3 2 3 2 4" xfId="11629" xr:uid="{00000000-0005-0000-0000-000046260000}"/>
    <cellStyle name="20% - Accent6 3 2 3 2 4 2" xfId="35478" xr:uid="{9E618518-776E-44DE-BB49-F51F3913F912}"/>
    <cellStyle name="20% - Accent6 3 2 3 2 5" xfId="19584" xr:uid="{00000000-0005-0000-0000-000047260000}"/>
    <cellStyle name="20% - Accent6 3 2 3 2 5 2" xfId="43416" xr:uid="{8C8141FC-12DF-4F4D-A059-2566DE97E453}"/>
    <cellStyle name="20% - Accent6 3 2 3 2 6" xfId="27536" xr:uid="{A4A32088-0458-48C4-9284-EA70FB13345B}"/>
    <cellStyle name="20% - Accent6 3 2 3 2_Exh G" xfId="2611" xr:uid="{00000000-0005-0000-0000-000048260000}"/>
    <cellStyle name="20% - Accent6 3 2 3 3" xfId="4483" xr:uid="{00000000-0005-0000-0000-000049260000}"/>
    <cellStyle name="20% - Accent6 3 2 3 3 2" xfId="8075" xr:uid="{00000000-0005-0000-0000-00004A260000}"/>
    <cellStyle name="20% - Accent6 3 2 3 3 2 2" xfId="16045" xr:uid="{00000000-0005-0000-0000-00004B260000}"/>
    <cellStyle name="20% - Accent6 3 2 3 3 2 2 2" xfId="39887" xr:uid="{F109AE1D-A042-4EF6-922A-381B8DE13A6D}"/>
    <cellStyle name="20% - Accent6 3 2 3 3 2 3" xfId="23991" xr:uid="{00000000-0005-0000-0000-00004C260000}"/>
    <cellStyle name="20% - Accent6 3 2 3 3 2 3 2" xfId="47823" xr:uid="{817F7F6B-F160-4930-931E-238FB11322B0}"/>
    <cellStyle name="20% - Accent6 3 2 3 3 2 4" xfId="31946" xr:uid="{C1F3A62E-E854-41CE-9C6B-FEF8B1F79969}"/>
    <cellStyle name="20% - Accent6 3 2 3 3 3" xfId="12507" xr:uid="{00000000-0005-0000-0000-00004D260000}"/>
    <cellStyle name="20% - Accent6 3 2 3 3 3 2" xfId="36356" xr:uid="{AD235AE1-A2B0-43A8-AD78-93D6BAFD4EB1}"/>
    <cellStyle name="20% - Accent6 3 2 3 3 4" xfId="20462" xr:uid="{00000000-0005-0000-0000-00004E260000}"/>
    <cellStyle name="20% - Accent6 3 2 3 3 4 2" xfId="44294" xr:uid="{AFD182E5-EF9E-4E65-A269-9371F30DE7A9}"/>
    <cellStyle name="20% - Accent6 3 2 3 3 5" xfId="28415" xr:uid="{89BB2E41-257E-42B7-872F-D56D77D3123F}"/>
    <cellStyle name="20% - Accent6 3 2 3 4" xfId="6313" xr:uid="{00000000-0005-0000-0000-00004F260000}"/>
    <cellStyle name="20% - Accent6 3 2 3 4 2" xfId="14287" xr:uid="{00000000-0005-0000-0000-000050260000}"/>
    <cellStyle name="20% - Accent6 3 2 3 4 2 2" xfId="38129" xr:uid="{22440CA2-5C8A-47C2-ACAB-FAE8785FEB00}"/>
    <cellStyle name="20% - Accent6 3 2 3 4 3" xfId="22234" xr:uid="{00000000-0005-0000-0000-000051260000}"/>
    <cellStyle name="20% - Accent6 3 2 3 4 3 2" xfId="46066" xr:uid="{6D6A3734-4A51-40DF-9E49-16C3D2817480}"/>
    <cellStyle name="20% - Accent6 3 2 3 4 4" xfId="30188" xr:uid="{5BFDE946-FE81-4DA6-BBD3-597943405456}"/>
    <cellStyle name="20% - Accent6 3 2 3 5" xfId="9855" xr:uid="{00000000-0005-0000-0000-000052260000}"/>
    <cellStyle name="20% - Accent6 3 2 3 5 2" xfId="17813" xr:uid="{00000000-0005-0000-0000-000053260000}"/>
    <cellStyle name="20% - Accent6 3 2 3 5 2 2" xfId="41653" xr:uid="{EAEE90A0-D978-4872-BDE7-5E67D88EF8FB}"/>
    <cellStyle name="20% - Accent6 3 2 3 5 3" xfId="25757" xr:uid="{00000000-0005-0000-0000-000054260000}"/>
    <cellStyle name="20% - Accent6 3 2 3 5 3 2" xfId="49589" xr:uid="{24DDF3CA-B7FA-4B58-B827-9C27855A2D97}"/>
    <cellStyle name="20% - Accent6 3 2 3 5 4" xfId="33712" xr:uid="{F50310DB-115B-42FD-B110-D370AEADB3D2}"/>
    <cellStyle name="20% - Accent6 3 2 3 6" xfId="10751" xr:uid="{00000000-0005-0000-0000-000055260000}"/>
    <cellStyle name="20% - Accent6 3 2 3 6 2" xfId="34600" xr:uid="{CBD7DE79-DA26-41ED-8A41-4263B4CA638A}"/>
    <cellStyle name="20% - Accent6 3 2 3 7" xfId="18706" xr:uid="{00000000-0005-0000-0000-000056260000}"/>
    <cellStyle name="20% - Accent6 3 2 3 7 2" xfId="42538" xr:uid="{E379BD13-3686-4BA6-B1E6-BC870D7C01C9}"/>
    <cellStyle name="20% - Accent6 3 2 3 8" xfId="26658" xr:uid="{E1CD3991-2F18-42AB-A71E-B36B69E7F39D}"/>
    <cellStyle name="20% - Accent6 3 2 3_Exh G" xfId="2610" xr:uid="{00000000-0005-0000-0000-000057260000}"/>
    <cellStyle name="20% - Accent6 3 2 4" xfId="1327" xr:uid="{00000000-0005-0000-0000-000058260000}"/>
    <cellStyle name="20% - Accent6 3 2 4 2" xfId="4854" xr:uid="{00000000-0005-0000-0000-000059260000}"/>
    <cellStyle name="20% - Accent6 3 2 4 2 2" xfId="8445" xr:uid="{00000000-0005-0000-0000-00005A260000}"/>
    <cellStyle name="20% - Accent6 3 2 4 2 2 2" xfId="16415" xr:uid="{00000000-0005-0000-0000-00005B260000}"/>
    <cellStyle name="20% - Accent6 3 2 4 2 2 2 2" xfId="40257" xr:uid="{EFEF96F1-9424-4C96-889E-42389B2CC3FF}"/>
    <cellStyle name="20% - Accent6 3 2 4 2 2 3" xfId="24361" xr:uid="{00000000-0005-0000-0000-00005C260000}"/>
    <cellStyle name="20% - Accent6 3 2 4 2 2 3 2" xfId="48193" xr:uid="{DE85E602-68B5-4EB9-A5F1-44A11E05342C}"/>
    <cellStyle name="20% - Accent6 3 2 4 2 2 4" xfId="32316" xr:uid="{8E47BD8A-C343-413C-97AE-2C2BD8AD1573}"/>
    <cellStyle name="20% - Accent6 3 2 4 2 3" xfId="12877" xr:uid="{00000000-0005-0000-0000-00005D260000}"/>
    <cellStyle name="20% - Accent6 3 2 4 2 3 2" xfId="36726" xr:uid="{D02D558F-FBD5-4601-A9FF-0C526D7848D7}"/>
    <cellStyle name="20% - Accent6 3 2 4 2 4" xfId="20832" xr:uid="{00000000-0005-0000-0000-00005E260000}"/>
    <cellStyle name="20% - Accent6 3 2 4 2 4 2" xfId="44664" xr:uid="{3395A293-07E4-4DE2-9CAF-0A5DC841D5B0}"/>
    <cellStyle name="20% - Accent6 3 2 4 2 5" xfId="28785" xr:uid="{4853A5DE-0D9C-444E-9456-C5556313419F}"/>
    <cellStyle name="20% - Accent6 3 2 4 3" xfId="6686" xr:uid="{00000000-0005-0000-0000-00005F260000}"/>
    <cellStyle name="20% - Accent6 3 2 4 3 2" xfId="14657" xr:uid="{00000000-0005-0000-0000-000060260000}"/>
    <cellStyle name="20% - Accent6 3 2 4 3 2 2" xfId="38499" xr:uid="{CB22D347-BF15-4D36-93DB-E8B3E80CDD93}"/>
    <cellStyle name="20% - Accent6 3 2 4 3 3" xfId="22604" xr:uid="{00000000-0005-0000-0000-000061260000}"/>
    <cellStyle name="20% - Accent6 3 2 4 3 3 2" xfId="46436" xr:uid="{1489B656-CF81-4A29-A19E-F1202E6EF5B1}"/>
    <cellStyle name="20% - Accent6 3 2 4 3 4" xfId="30558" xr:uid="{84CBC938-1A07-4FE2-814B-0524938169D0}"/>
    <cellStyle name="20% - Accent6 3 2 4 4" xfId="11121" xr:uid="{00000000-0005-0000-0000-000062260000}"/>
    <cellStyle name="20% - Accent6 3 2 4 4 2" xfId="34970" xr:uid="{F866B17A-6ECC-4139-8A30-B6810006456E}"/>
    <cellStyle name="20% - Accent6 3 2 4 5" xfId="19076" xr:uid="{00000000-0005-0000-0000-000063260000}"/>
    <cellStyle name="20% - Accent6 3 2 4 5 2" xfId="42908" xr:uid="{DCB256A8-9498-4E0E-901F-8DE0D5224908}"/>
    <cellStyle name="20% - Accent6 3 2 4 6" xfId="27028" xr:uid="{233E5E7F-5CE2-4314-A372-5073EFE8D5DB}"/>
    <cellStyle name="20% - Accent6 3 2 4_Exh G" xfId="2612" xr:uid="{00000000-0005-0000-0000-000064260000}"/>
    <cellStyle name="20% - Accent6 3 2 5" xfId="3975" xr:uid="{00000000-0005-0000-0000-000065260000}"/>
    <cellStyle name="20% - Accent6 3 2 5 2" xfId="7567" xr:uid="{00000000-0005-0000-0000-000066260000}"/>
    <cellStyle name="20% - Accent6 3 2 5 2 2" xfId="15537" xr:uid="{00000000-0005-0000-0000-000067260000}"/>
    <cellStyle name="20% - Accent6 3 2 5 2 2 2" xfId="39379" xr:uid="{A1C0E83C-9AB2-442D-BE47-5469AA2DA7B0}"/>
    <cellStyle name="20% - Accent6 3 2 5 2 3" xfId="23483" xr:uid="{00000000-0005-0000-0000-000068260000}"/>
    <cellStyle name="20% - Accent6 3 2 5 2 3 2" xfId="47315" xr:uid="{429FF5B0-C7DE-4773-AE46-0506848CDC0B}"/>
    <cellStyle name="20% - Accent6 3 2 5 2 4" xfId="31438" xr:uid="{B26A6C17-84A5-4715-94A0-9BB590B072F2}"/>
    <cellStyle name="20% - Accent6 3 2 5 3" xfId="11999" xr:uid="{00000000-0005-0000-0000-000069260000}"/>
    <cellStyle name="20% - Accent6 3 2 5 3 2" xfId="35848" xr:uid="{40A13DC4-1CD9-44D6-A1A8-40328664E403}"/>
    <cellStyle name="20% - Accent6 3 2 5 4" xfId="19954" xr:uid="{00000000-0005-0000-0000-00006A260000}"/>
    <cellStyle name="20% - Accent6 3 2 5 4 2" xfId="43786" xr:uid="{7B0375F1-4369-499B-8E4B-C36EBE8F083F}"/>
    <cellStyle name="20% - Accent6 3 2 5 5" xfId="27907" xr:uid="{7988611F-6128-4922-BB97-7BBB247EDDBB}"/>
    <cellStyle name="20% - Accent6 3 2 6" xfId="5795" xr:uid="{00000000-0005-0000-0000-00006B260000}"/>
    <cellStyle name="20% - Accent6 3 2 6 2" xfId="13778" xr:uid="{00000000-0005-0000-0000-00006C260000}"/>
    <cellStyle name="20% - Accent6 3 2 6 2 2" xfId="37621" xr:uid="{8CD19076-CC72-476B-BC9E-B74FABF9A367}"/>
    <cellStyle name="20% - Accent6 3 2 6 3" xfId="21726" xr:uid="{00000000-0005-0000-0000-00006D260000}"/>
    <cellStyle name="20% - Accent6 3 2 6 3 2" xfId="45558" xr:uid="{A58D3307-862E-42FE-B99C-5DC3789C2735}"/>
    <cellStyle name="20% - Accent6 3 2 6 4" xfId="29680" xr:uid="{367AE60A-DF36-462C-8C32-A89BC7192B98}"/>
    <cellStyle name="20% - Accent6 3 2 7" xfId="9347" xr:uid="{00000000-0005-0000-0000-00006E260000}"/>
    <cellStyle name="20% - Accent6 3 2 7 2" xfId="17305" xr:uid="{00000000-0005-0000-0000-00006F260000}"/>
    <cellStyle name="20% - Accent6 3 2 7 2 2" xfId="41145" xr:uid="{235D70A0-2790-4618-8C5D-74C97B7D5988}"/>
    <cellStyle name="20% - Accent6 3 2 7 3" xfId="25249" xr:uid="{00000000-0005-0000-0000-000070260000}"/>
    <cellStyle name="20% - Accent6 3 2 7 3 2" xfId="49081" xr:uid="{CE724C6A-9975-4372-90CB-C93993D3D142}"/>
    <cellStyle name="20% - Accent6 3 2 7 4" xfId="33204" xr:uid="{D9D8F8B3-4DD3-483A-9B37-D15370F898E1}"/>
    <cellStyle name="20% - Accent6 3 2 8" xfId="10243" xr:uid="{00000000-0005-0000-0000-000071260000}"/>
    <cellStyle name="20% - Accent6 3 2 8 2" xfId="34092" xr:uid="{27110C8B-90C9-4FE3-AEA5-47776F37712B}"/>
    <cellStyle name="20% - Accent6 3 2 9" xfId="18198" xr:uid="{00000000-0005-0000-0000-000072260000}"/>
    <cellStyle name="20% - Accent6 3 2 9 2" xfId="42030" xr:uid="{96CB6ED7-6CA3-42A1-AB22-A62C5FC93FC2}"/>
    <cellStyle name="20% - Accent6 3 2_Exh G" xfId="2607" xr:uid="{00000000-0005-0000-0000-000073260000}"/>
    <cellStyle name="20% - Accent6 3 3" xfId="303" xr:uid="{00000000-0005-0000-0000-000074260000}"/>
    <cellStyle name="20% - Accent6 3 3 2" xfId="1329" xr:uid="{00000000-0005-0000-0000-000075260000}"/>
    <cellStyle name="20% - Accent6 3 3 2 2" xfId="4856" xr:uid="{00000000-0005-0000-0000-000076260000}"/>
    <cellStyle name="20% - Accent6 3 3 2 2 2" xfId="8447" xr:uid="{00000000-0005-0000-0000-000077260000}"/>
    <cellStyle name="20% - Accent6 3 3 2 2 2 2" xfId="16417" xr:uid="{00000000-0005-0000-0000-000078260000}"/>
    <cellStyle name="20% - Accent6 3 3 2 2 2 2 2" xfId="40259" xr:uid="{4ECC91E6-61EA-4BC0-AB00-B2AFFD92956F}"/>
    <cellStyle name="20% - Accent6 3 3 2 2 2 3" xfId="24363" xr:uid="{00000000-0005-0000-0000-000079260000}"/>
    <cellStyle name="20% - Accent6 3 3 2 2 2 3 2" xfId="48195" xr:uid="{EEDF0FD4-A6EB-4131-AEA2-C857CEC426A4}"/>
    <cellStyle name="20% - Accent6 3 3 2 2 2 4" xfId="32318" xr:uid="{B0EA88DB-B9DB-43E7-A407-BDD91C787999}"/>
    <cellStyle name="20% - Accent6 3 3 2 2 3" xfId="12879" xr:uid="{00000000-0005-0000-0000-00007A260000}"/>
    <cellStyle name="20% - Accent6 3 3 2 2 3 2" xfId="36728" xr:uid="{5A4E77FD-A287-4B7F-869E-587148883532}"/>
    <cellStyle name="20% - Accent6 3 3 2 2 4" xfId="20834" xr:uid="{00000000-0005-0000-0000-00007B260000}"/>
    <cellStyle name="20% - Accent6 3 3 2 2 4 2" xfId="44666" xr:uid="{E379A7E0-4DDE-45CF-A88F-1E19241CEADE}"/>
    <cellStyle name="20% - Accent6 3 3 2 2 5" xfId="28787" xr:uid="{96213D61-B378-4149-B5DB-EF00908C1D3D}"/>
    <cellStyle name="20% - Accent6 3 3 2 3" xfId="6688" xr:uid="{00000000-0005-0000-0000-00007C260000}"/>
    <cellStyle name="20% - Accent6 3 3 2 3 2" xfId="14659" xr:uid="{00000000-0005-0000-0000-00007D260000}"/>
    <cellStyle name="20% - Accent6 3 3 2 3 2 2" xfId="38501" xr:uid="{9B3B04DE-8E7C-42D2-9506-F44FC2295AAD}"/>
    <cellStyle name="20% - Accent6 3 3 2 3 3" xfId="22606" xr:uid="{00000000-0005-0000-0000-00007E260000}"/>
    <cellStyle name="20% - Accent6 3 3 2 3 3 2" xfId="46438" xr:uid="{B831E885-5194-4A9F-9443-D9AC09BF396E}"/>
    <cellStyle name="20% - Accent6 3 3 2 3 4" xfId="30560" xr:uid="{33FAC6D1-0DB5-447D-8FC6-18BA36D6E4DE}"/>
    <cellStyle name="20% - Accent6 3 3 2 4" xfId="11123" xr:uid="{00000000-0005-0000-0000-00007F260000}"/>
    <cellStyle name="20% - Accent6 3 3 2 4 2" xfId="34972" xr:uid="{3FE10853-1235-4972-BA4C-2DAA0E434758}"/>
    <cellStyle name="20% - Accent6 3 3 2 5" xfId="19078" xr:uid="{00000000-0005-0000-0000-000080260000}"/>
    <cellStyle name="20% - Accent6 3 3 2 5 2" xfId="42910" xr:uid="{FA7E9ABE-183C-4B24-BFC0-20A6034CA28F}"/>
    <cellStyle name="20% - Accent6 3 3 2 6" xfId="27030" xr:uid="{BEF52299-1A28-433E-B5C4-7699C3093679}"/>
    <cellStyle name="20% - Accent6 3 3 2_Exh G" xfId="2614" xr:uid="{00000000-0005-0000-0000-000081260000}"/>
    <cellStyle name="20% - Accent6 3 3 3" xfId="3977" xr:uid="{00000000-0005-0000-0000-000082260000}"/>
    <cellStyle name="20% - Accent6 3 3 3 2" xfId="7569" xr:uid="{00000000-0005-0000-0000-000083260000}"/>
    <cellStyle name="20% - Accent6 3 3 3 2 2" xfId="15539" xr:uid="{00000000-0005-0000-0000-000084260000}"/>
    <cellStyle name="20% - Accent6 3 3 3 2 2 2" xfId="39381" xr:uid="{93A1DEFE-9DDC-4CA7-9A85-76E2C4190BBE}"/>
    <cellStyle name="20% - Accent6 3 3 3 2 3" xfId="23485" xr:uid="{00000000-0005-0000-0000-000085260000}"/>
    <cellStyle name="20% - Accent6 3 3 3 2 3 2" xfId="47317" xr:uid="{3895ED08-E4FD-488F-8737-2F77AFEBD576}"/>
    <cellStyle name="20% - Accent6 3 3 3 2 4" xfId="31440" xr:uid="{A716A602-7CF3-4CCD-B39E-AB0A622F740D}"/>
    <cellStyle name="20% - Accent6 3 3 3 3" xfId="12001" xr:uid="{00000000-0005-0000-0000-000086260000}"/>
    <cellStyle name="20% - Accent6 3 3 3 3 2" xfId="35850" xr:uid="{04B0417E-D1E9-4C10-B02D-33FB29CCFA53}"/>
    <cellStyle name="20% - Accent6 3 3 3 4" xfId="19956" xr:uid="{00000000-0005-0000-0000-000087260000}"/>
    <cellStyle name="20% - Accent6 3 3 3 4 2" xfId="43788" xr:uid="{4A441B09-1FB8-4BBD-95DE-EB355FFE8178}"/>
    <cellStyle name="20% - Accent6 3 3 3 5" xfId="27909" xr:uid="{B88E7E5C-DAF7-4B4B-9C8B-6AC3D7A5C96C}"/>
    <cellStyle name="20% - Accent6 3 3 4" xfId="5797" xr:uid="{00000000-0005-0000-0000-000088260000}"/>
    <cellStyle name="20% - Accent6 3 3 4 2" xfId="13780" xr:uid="{00000000-0005-0000-0000-000089260000}"/>
    <cellStyle name="20% - Accent6 3 3 4 2 2" xfId="37623" xr:uid="{31F1A8FC-86AC-4182-A161-666334E7FE81}"/>
    <cellStyle name="20% - Accent6 3 3 4 3" xfId="21728" xr:uid="{00000000-0005-0000-0000-00008A260000}"/>
    <cellStyle name="20% - Accent6 3 3 4 3 2" xfId="45560" xr:uid="{DD2A7CAF-26B8-4F75-84D9-564F63ABB6A2}"/>
    <cellStyle name="20% - Accent6 3 3 4 4" xfId="29682" xr:uid="{C9DCB5D5-6156-417D-85C3-D81B0745A755}"/>
    <cellStyle name="20% - Accent6 3 3 5" xfId="9349" xr:uid="{00000000-0005-0000-0000-00008B260000}"/>
    <cellStyle name="20% - Accent6 3 3 5 2" xfId="17307" xr:uid="{00000000-0005-0000-0000-00008C260000}"/>
    <cellStyle name="20% - Accent6 3 3 5 2 2" xfId="41147" xr:uid="{D8660163-C85D-4001-A459-8BD9D5181AB8}"/>
    <cellStyle name="20% - Accent6 3 3 5 3" xfId="25251" xr:uid="{00000000-0005-0000-0000-00008D260000}"/>
    <cellStyle name="20% - Accent6 3 3 5 3 2" xfId="49083" xr:uid="{1BA40192-4440-4404-80BA-2255CD23DC10}"/>
    <cellStyle name="20% - Accent6 3 3 5 4" xfId="33206" xr:uid="{F492C4FF-E37C-4001-BAED-FCA1D8C2A138}"/>
    <cellStyle name="20% - Accent6 3 3 6" xfId="10245" xr:uid="{00000000-0005-0000-0000-00008E260000}"/>
    <cellStyle name="20% - Accent6 3 3 6 2" xfId="34094" xr:uid="{5842E4CC-B783-40C1-9F44-83605D527EAE}"/>
    <cellStyle name="20% - Accent6 3 3 7" xfId="18200" xr:uid="{00000000-0005-0000-0000-00008F260000}"/>
    <cellStyle name="20% - Accent6 3 3 7 2" xfId="42032" xr:uid="{05A1F43C-AB6E-432D-ACFB-383DC4F08934}"/>
    <cellStyle name="20% - Accent6 3 3 8" xfId="26152" xr:uid="{01E8014F-5CF1-456C-99C5-328B443DA7B5}"/>
    <cellStyle name="20% - Accent6 3 3_Exh G" xfId="2613" xr:uid="{00000000-0005-0000-0000-000090260000}"/>
    <cellStyle name="20% - Accent6 3 4" xfId="922" xr:uid="{00000000-0005-0000-0000-000091260000}"/>
    <cellStyle name="20% - Accent6 3 4 2" xfId="1844" xr:uid="{00000000-0005-0000-0000-000092260000}"/>
    <cellStyle name="20% - Accent6 3 4 2 2" xfId="5361" xr:uid="{00000000-0005-0000-0000-000093260000}"/>
    <cellStyle name="20% - Accent6 3 4 2 2 2" xfId="8952" xr:uid="{00000000-0005-0000-0000-000094260000}"/>
    <cellStyle name="20% - Accent6 3 4 2 2 2 2" xfId="16922" xr:uid="{00000000-0005-0000-0000-000095260000}"/>
    <cellStyle name="20% - Accent6 3 4 2 2 2 2 2" xfId="40764" xr:uid="{147C3189-B710-4843-B69B-5038987A4D93}"/>
    <cellStyle name="20% - Accent6 3 4 2 2 2 3" xfId="24868" xr:uid="{00000000-0005-0000-0000-000096260000}"/>
    <cellStyle name="20% - Accent6 3 4 2 2 2 3 2" xfId="48700" xr:uid="{7FE3B4A9-4F2B-4281-BAE9-88CB5D005DD0}"/>
    <cellStyle name="20% - Accent6 3 4 2 2 2 4" xfId="32823" xr:uid="{FBECC882-3514-4F83-AD6B-199CB5485969}"/>
    <cellStyle name="20% - Accent6 3 4 2 2 3" xfId="13384" xr:uid="{00000000-0005-0000-0000-000097260000}"/>
    <cellStyle name="20% - Accent6 3 4 2 2 3 2" xfId="37233" xr:uid="{5ADE6528-4CDA-464E-A9AB-613B9486243F}"/>
    <cellStyle name="20% - Accent6 3 4 2 2 4" xfId="21339" xr:uid="{00000000-0005-0000-0000-000098260000}"/>
    <cellStyle name="20% - Accent6 3 4 2 2 4 2" xfId="45171" xr:uid="{46DA9CDE-CA83-4DFC-8C47-357DF7B5A27F}"/>
    <cellStyle name="20% - Accent6 3 4 2 2 5" xfId="29292" xr:uid="{81023CE7-05C9-4069-B8C3-669F114B5316}"/>
    <cellStyle name="20% - Accent6 3 4 2 3" xfId="7193" xr:uid="{00000000-0005-0000-0000-000099260000}"/>
    <cellStyle name="20% - Accent6 3 4 2 3 2" xfId="15164" xr:uid="{00000000-0005-0000-0000-00009A260000}"/>
    <cellStyle name="20% - Accent6 3 4 2 3 2 2" xfId="39006" xr:uid="{AA240CC4-B994-491C-AE30-4E9B24B95475}"/>
    <cellStyle name="20% - Accent6 3 4 2 3 3" xfId="23111" xr:uid="{00000000-0005-0000-0000-00009B260000}"/>
    <cellStyle name="20% - Accent6 3 4 2 3 3 2" xfId="46943" xr:uid="{422181C4-F04A-4910-975C-C940E4FC1447}"/>
    <cellStyle name="20% - Accent6 3 4 2 3 4" xfId="31065" xr:uid="{35A45E75-1013-4348-9AFE-FE86BF844DB7}"/>
    <cellStyle name="20% - Accent6 3 4 2 4" xfId="11628" xr:uid="{00000000-0005-0000-0000-00009C260000}"/>
    <cellStyle name="20% - Accent6 3 4 2 4 2" xfId="35477" xr:uid="{E16774FD-9FA6-4DCD-ABDA-2BF556A5303E}"/>
    <cellStyle name="20% - Accent6 3 4 2 5" xfId="19583" xr:uid="{00000000-0005-0000-0000-00009D260000}"/>
    <cellStyle name="20% - Accent6 3 4 2 5 2" xfId="43415" xr:uid="{492CC872-6C58-4165-9DBD-34B0BA3FC717}"/>
    <cellStyle name="20% - Accent6 3 4 2 6" xfId="27535" xr:uid="{9CBB8AE2-CFB9-47D9-B216-D2ABFE012743}"/>
    <cellStyle name="20% - Accent6 3 4 2_Exh G" xfId="2616" xr:uid="{00000000-0005-0000-0000-00009E260000}"/>
    <cellStyle name="20% - Accent6 3 4 3" xfId="4482" xr:uid="{00000000-0005-0000-0000-00009F260000}"/>
    <cellStyle name="20% - Accent6 3 4 3 2" xfId="8074" xr:uid="{00000000-0005-0000-0000-0000A0260000}"/>
    <cellStyle name="20% - Accent6 3 4 3 2 2" xfId="16044" xr:uid="{00000000-0005-0000-0000-0000A1260000}"/>
    <cellStyle name="20% - Accent6 3 4 3 2 2 2" xfId="39886" xr:uid="{68869CD5-EEA0-46F4-8B03-D9C38E927BE8}"/>
    <cellStyle name="20% - Accent6 3 4 3 2 3" xfId="23990" xr:uid="{00000000-0005-0000-0000-0000A2260000}"/>
    <cellStyle name="20% - Accent6 3 4 3 2 3 2" xfId="47822" xr:uid="{1F0D956A-8D30-4F7F-B3EB-9C0F0CE68DDE}"/>
    <cellStyle name="20% - Accent6 3 4 3 2 4" xfId="31945" xr:uid="{C67412B0-EB65-41AB-BA2F-CD8DB260E151}"/>
    <cellStyle name="20% - Accent6 3 4 3 3" xfId="12506" xr:uid="{00000000-0005-0000-0000-0000A3260000}"/>
    <cellStyle name="20% - Accent6 3 4 3 3 2" xfId="36355" xr:uid="{AA3411E5-4DF4-4722-BBB4-AC25DE22E1D6}"/>
    <cellStyle name="20% - Accent6 3 4 3 4" xfId="20461" xr:uid="{00000000-0005-0000-0000-0000A4260000}"/>
    <cellStyle name="20% - Accent6 3 4 3 4 2" xfId="44293" xr:uid="{490FB7C1-705D-40DF-AAE9-88594034EBB5}"/>
    <cellStyle name="20% - Accent6 3 4 3 5" xfId="28414" xr:uid="{14587C4C-2AFC-422A-8EE6-CE0C38D0C12F}"/>
    <cellStyle name="20% - Accent6 3 4 4" xfId="6312" xr:uid="{00000000-0005-0000-0000-0000A5260000}"/>
    <cellStyle name="20% - Accent6 3 4 4 2" xfId="14286" xr:uid="{00000000-0005-0000-0000-0000A6260000}"/>
    <cellStyle name="20% - Accent6 3 4 4 2 2" xfId="38128" xr:uid="{F1BA97B0-79B3-48CE-AFCB-267E9F0A799E}"/>
    <cellStyle name="20% - Accent6 3 4 4 3" xfId="22233" xr:uid="{00000000-0005-0000-0000-0000A7260000}"/>
    <cellStyle name="20% - Accent6 3 4 4 3 2" xfId="46065" xr:uid="{820677BA-68F3-4FE7-9D57-B63E7EC37565}"/>
    <cellStyle name="20% - Accent6 3 4 4 4" xfId="30187" xr:uid="{1DC249BB-3066-4DA3-9557-B5E5D6950CB8}"/>
    <cellStyle name="20% - Accent6 3 4 5" xfId="9854" xr:uid="{00000000-0005-0000-0000-0000A8260000}"/>
    <cellStyle name="20% - Accent6 3 4 5 2" xfId="17812" xr:uid="{00000000-0005-0000-0000-0000A9260000}"/>
    <cellStyle name="20% - Accent6 3 4 5 2 2" xfId="41652" xr:uid="{184804EC-C21E-42D2-BA48-3552F5A3E21D}"/>
    <cellStyle name="20% - Accent6 3 4 5 3" xfId="25756" xr:uid="{00000000-0005-0000-0000-0000AA260000}"/>
    <cellStyle name="20% - Accent6 3 4 5 3 2" xfId="49588" xr:uid="{D8132098-37EB-4F12-9028-F2BA8438CC51}"/>
    <cellStyle name="20% - Accent6 3 4 5 4" xfId="33711" xr:uid="{E48FEA69-956D-47FA-8647-61CF3F03DD12}"/>
    <cellStyle name="20% - Accent6 3 4 6" xfId="10750" xr:uid="{00000000-0005-0000-0000-0000AB260000}"/>
    <cellStyle name="20% - Accent6 3 4 6 2" xfId="34599" xr:uid="{2D4F352B-57C3-4022-87C2-076F6907463D}"/>
    <cellStyle name="20% - Accent6 3 4 7" xfId="18705" xr:uid="{00000000-0005-0000-0000-0000AC260000}"/>
    <cellStyle name="20% - Accent6 3 4 7 2" xfId="42537" xr:uid="{5EF17BD2-9F25-46F9-8C2B-FA827AEA3F19}"/>
    <cellStyle name="20% - Accent6 3 4 8" xfId="26657" xr:uid="{BECD37B0-57A3-4837-868C-ED68E8EA7550}"/>
    <cellStyle name="20% - Accent6 3 4_Exh G" xfId="2615" xr:uid="{00000000-0005-0000-0000-0000AD260000}"/>
    <cellStyle name="20% - Accent6 3 5" xfId="1326" xr:uid="{00000000-0005-0000-0000-0000AE260000}"/>
    <cellStyle name="20% - Accent6 3 5 2" xfId="4853" xr:uid="{00000000-0005-0000-0000-0000AF260000}"/>
    <cellStyle name="20% - Accent6 3 5 2 2" xfId="8444" xr:uid="{00000000-0005-0000-0000-0000B0260000}"/>
    <cellStyle name="20% - Accent6 3 5 2 2 2" xfId="16414" xr:uid="{00000000-0005-0000-0000-0000B1260000}"/>
    <cellStyle name="20% - Accent6 3 5 2 2 2 2" xfId="40256" xr:uid="{D0EA0D72-C25E-48DB-B139-42317FC71FEC}"/>
    <cellStyle name="20% - Accent6 3 5 2 2 3" xfId="24360" xr:uid="{00000000-0005-0000-0000-0000B2260000}"/>
    <cellStyle name="20% - Accent6 3 5 2 2 3 2" xfId="48192" xr:uid="{50DFEEA7-DDDC-4BC5-B00E-9322C3A65D3D}"/>
    <cellStyle name="20% - Accent6 3 5 2 2 4" xfId="32315" xr:uid="{8125F6C5-6C03-40DC-8092-8BEADA7E551B}"/>
    <cellStyle name="20% - Accent6 3 5 2 3" xfId="12876" xr:uid="{00000000-0005-0000-0000-0000B3260000}"/>
    <cellStyle name="20% - Accent6 3 5 2 3 2" xfId="36725" xr:uid="{DFD61B95-67F5-4AB0-AF3C-A33F39DDB1BB}"/>
    <cellStyle name="20% - Accent6 3 5 2 4" xfId="20831" xr:uid="{00000000-0005-0000-0000-0000B4260000}"/>
    <cellStyle name="20% - Accent6 3 5 2 4 2" xfId="44663" xr:uid="{F2BE6438-BB31-462B-AB27-EACC72A12BC9}"/>
    <cellStyle name="20% - Accent6 3 5 2 5" xfId="28784" xr:uid="{22249153-031A-4D73-8B1B-E74FA79C596D}"/>
    <cellStyle name="20% - Accent6 3 5 3" xfId="6685" xr:uid="{00000000-0005-0000-0000-0000B5260000}"/>
    <cellStyle name="20% - Accent6 3 5 3 2" xfId="14656" xr:uid="{00000000-0005-0000-0000-0000B6260000}"/>
    <cellStyle name="20% - Accent6 3 5 3 2 2" xfId="38498" xr:uid="{E1E91C58-6BF1-41BA-A619-EEF8E7D34F7A}"/>
    <cellStyle name="20% - Accent6 3 5 3 3" xfId="22603" xr:uid="{00000000-0005-0000-0000-0000B7260000}"/>
    <cellStyle name="20% - Accent6 3 5 3 3 2" xfId="46435" xr:uid="{039D39A5-343D-42D4-A922-5516E87CE361}"/>
    <cellStyle name="20% - Accent6 3 5 3 4" xfId="30557" xr:uid="{F5791AD0-A1A6-47C1-92D8-642795BD8DAE}"/>
    <cellStyle name="20% - Accent6 3 5 4" xfId="11120" xr:uid="{00000000-0005-0000-0000-0000B8260000}"/>
    <cellStyle name="20% - Accent6 3 5 4 2" xfId="34969" xr:uid="{61EF7EA2-27F2-4E93-9DB3-18B7027D43AD}"/>
    <cellStyle name="20% - Accent6 3 5 5" xfId="19075" xr:uid="{00000000-0005-0000-0000-0000B9260000}"/>
    <cellStyle name="20% - Accent6 3 5 5 2" xfId="42907" xr:uid="{5438C821-B166-4B4E-8B6C-0428BA89F043}"/>
    <cellStyle name="20% - Accent6 3 5 6" xfId="27027" xr:uid="{3B219654-DE1B-4BA7-8577-B111D19EEB63}"/>
    <cellStyle name="20% - Accent6 3 5_Exh G" xfId="2617" xr:uid="{00000000-0005-0000-0000-0000BA260000}"/>
    <cellStyle name="20% - Accent6 3 6" xfId="3974" xr:uid="{00000000-0005-0000-0000-0000BB260000}"/>
    <cellStyle name="20% - Accent6 3 6 2" xfId="7566" xr:uid="{00000000-0005-0000-0000-0000BC260000}"/>
    <cellStyle name="20% - Accent6 3 6 2 2" xfId="15536" xr:uid="{00000000-0005-0000-0000-0000BD260000}"/>
    <cellStyle name="20% - Accent6 3 6 2 2 2" xfId="39378" xr:uid="{EB26D9BF-4220-48F3-8AC0-F15A838BCC1A}"/>
    <cellStyle name="20% - Accent6 3 6 2 3" xfId="23482" xr:uid="{00000000-0005-0000-0000-0000BE260000}"/>
    <cellStyle name="20% - Accent6 3 6 2 3 2" xfId="47314" xr:uid="{F65ED784-A5C0-4914-8C91-1108A84AF0D8}"/>
    <cellStyle name="20% - Accent6 3 6 2 4" xfId="31437" xr:uid="{AA46B9ED-4488-424B-A8CF-422F05366265}"/>
    <cellStyle name="20% - Accent6 3 6 3" xfId="11998" xr:uid="{00000000-0005-0000-0000-0000BF260000}"/>
    <cellStyle name="20% - Accent6 3 6 3 2" xfId="35847" xr:uid="{0E7951F1-1FE2-4C7E-81E5-A32204FC5AEA}"/>
    <cellStyle name="20% - Accent6 3 6 4" xfId="19953" xr:uid="{00000000-0005-0000-0000-0000C0260000}"/>
    <cellStyle name="20% - Accent6 3 6 4 2" xfId="43785" xr:uid="{BA9FDF04-6F4D-477C-943F-D6C8BB365926}"/>
    <cellStyle name="20% - Accent6 3 6 5" xfId="27906" xr:uid="{E8732A44-1584-4198-9C8B-F0E926AA07B2}"/>
    <cellStyle name="20% - Accent6 3 7" xfId="5794" xr:uid="{00000000-0005-0000-0000-0000C1260000}"/>
    <cellStyle name="20% - Accent6 3 7 2" xfId="13777" xr:uid="{00000000-0005-0000-0000-0000C2260000}"/>
    <cellStyle name="20% - Accent6 3 7 2 2" xfId="37620" xr:uid="{A2BF1544-2EF4-49A6-ADAD-8A12A76A556F}"/>
    <cellStyle name="20% - Accent6 3 7 3" xfId="21725" xr:uid="{00000000-0005-0000-0000-0000C3260000}"/>
    <cellStyle name="20% - Accent6 3 7 3 2" xfId="45557" xr:uid="{5D7A05AF-234C-464A-82AB-07FA5BB6A9C9}"/>
    <cellStyle name="20% - Accent6 3 7 4" xfId="29679" xr:uid="{1E3CBDDE-6349-4055-A643-CB649183B75A}"/>
    <cellStyle name="20% - Accent6 3 8" xfId="9346" xr:uid="{00000000-0005-0000-0000-0000C4260000}"/>
    <cellStyle name="20% - Accent6 3 8 2" xfId="17304" xr:uid="{00000000-0005-0000-0000-0000C5260000}"/>
    <cellStyle name="20% - Accent6 3 8 2 2" xfId="41144" xr:uid="{7B1C3268-F0E9-4CC6-8744-F05A36B6D6CC}"/>
    <cellStyle name="20% - Accent6 3 8 3" xfId="25248" xr:uid="{00000000-0005-0000-0000-0000C6260000}"/>
    <cellStyle name="20% - Accent6 3 8 3 2" xfId="49080" xr:uid="{795CAEE8-BE30-4301-868C-FC0FA87BFBC0}"/>
    <cellStyle name="20% - Accent6 3 8 4" xfId="33203" xr:uid="{37BD5971-6437-435D-9504-73641573C194}"/>
    <cellStyle name="20% - Accent6 3 9" xfId="10242" xr:uid="{00000000-0005-0000-0000-0000C7260000}"/>
    <cellStyle name="20% - Accent6 3 9 2" xfId="34091" xr:uid="{212D275B-4B7B-4F06-8BDE-F14652C53A21}"/>
    <cellStyle name="20% - Accent6 3_Exh G" xfId="2606" xr:uid="{00000000-0005-0000-0000-0000C8260000}"/>
    <cellStyle name="20% - Accent6 4" xfId="304" xr:uid="{00000000-0005-0000-0000-0000C9260000}"/>
    <cellStyle name="20% - Accent6 4 10" xfId="18201" xr:uid="{00000000-0005-0000-0000-0000CA260000}"/>
    <cellStyle name="20% - Accent6 4 10 2" xfId="42033" xr:uid="{2317A849-6C94-42F1-9DA7-D6D73766CEF2}"/>
    <cellStyle name="20% - Accent6 4 11" xfId="26153" xr:uid="{B66E8098-7D33-4C75-B0A8-CECCCBA382C5}"/>
    <cellStyle name="20% - Accent6 4 2" xfId="305" xr:uid="{00000000-0005-0000-0000-0000CB260000}"/>
    <cellStyle name="20% - Accent6 4 2 10" xfId="26154" xr:uid="{927FCE53-8FC7-424C-A750-F4953432D9D4}"/>
    <cellStyle name="20% - Accent6 4 2 2" xfId="306" xr:uid="{00000000-0005-0000-0000-0000CC260000}"/>
    <cellStyle name="20% - Accent6 4 2 2 2" xfId="1332" xr:uid="{00000000-0005-0000-0000-0000CD260000}"/>
    <cellStyle name="20% - Accent6 4 2 2 2 2" xfId="4859" xr:uid="{00000000-0005-0000-0000-0000CE260000}"/>
    <cellStyle name="20% - Accent6 4 2 2 2 2 2" xfId="8450" xr:uid="{00000000-0005-0000-0000-0000CF260000}"/>
    <cellStyle name="20% - Accent6 4 2 2 2 2 2 2" xfId="16420" xr:uid="{00000000-0005-0000-0000-0000D0260000}"/>
    <cellStyle name="20% - Accent6 4 2 2 2 2 2 2 2" xfId="40262" xr:uid="{4D92F457-2B18-49FA-B16F-DA69059407B0}"/>
    <cellStyle name="20% - Accent6 4 2 2 2 2 2 3" xfId="24366" xr:uid="{00000000-0005-0000-0000-0000D1260000}"/>
    <cellStyle name="20% - Accent6 4 2 2 2 2 2 3 2" xfId="48198" xr:uid="{0D93E50B-ACE6-4643-A206-EF165CB2E185}"/>
    <cellStyle name="20% - Accent6 4 2 2 2 2 2 4" xfId="32321" xr:uid="{6CA901C9-3195-4171-8BF6-E2FF964597B2}"/>
    <cellStyle name="20% - Accent6 4 2 2 2 2 3" xfId="12882" xr:uid="{00000000-0005-0000-0000-0000D2260000}"/>
    <cellStyle name="20% - Accent6 4 2 2 2 2 3 2" xfId="36731" xr:uid="{6EFA2429-8238-43A0-8942-114212BF3066}"/>
    <cellStyle name="20% - Accent6 4 2 2 2 2 4" xfId="20837" xr:uid="{00000000-0005-0000-0000-0000D3260000}"/>
    <cellStyle name="20% - Accent6 4 2 2 2 2 4 2" xfId="44669" xr:uid="{F22BACD7-EBAC-4D8D-BC9A-F17262FF6D72}"/>
    <cellStyle name="20% - Accent6 4 2 2 2 2 5" xfId="28790" xr:uid="{BF66D882-3FAE-40C6-B3D9-EEC5436AF185}"/>
    <cellStyle name="20% - Accent6 4 2 2 2 3" xfId="6691" xr:uid="{00000000-0005-0000-0000-0000D4260000}"/>
    <cellStyle name="20% - Accent6 4 2 2 2 3 2" xfId="14662" xr:uid="{00000000-0005-0000-0000-0000D5260000}"/>
    <cellStyle name="20% - Accent6 4 2 2 2 3 2 2" xfId="38504" xr:uid="{6E35A839-EC6F-4BCF-9910-719AA8D54765}"/>
    <cellStyle name="20% - Accent6 4 2 2 2 3 3" xfId="22609" xr:uid="{00000000-0005-0000-0000-0000D6260000}"/>
    <cellStyle name="20% - Accent6 4 2 2 2 3 3 2" xfId="46441" xr:uid="{152B4A62-CB49-46D8-BB42-35E7B7E8812A}"/>
    <cellStyle name="20% - Accent6 4 2 2 2 3 4" xfId="30563" xr:uid="{1F033AC7-B0ED-4620-A8BA-A381A09DAF11}"/>
    <cellStyle name="20% - Accent6 4 2 2 2 4" xfId="11126" xr:uid="{00000000-0005-0000-0000-0000D7260000}"/>
    <cellStyle name="20% - Accent6 4 2 2 2 4 2" xfId="34975" xr:uid="{19E4CEBF-A328-4C1C-8145-78F9BE3B793F}"/>
    <cellStyle name="20% - Accent6 4 2 2 2 5" xfId="19081" xr:uid="{00000000-0005-0000-0000-0000D8260000}"/>
    <cellStyle name="20% - Accent6 4 2 2 2 5 2" xfId="42913" xr:uid="{B4A13CEF-85D3-445E-8B5D-B38A71C8F114}"/>
    <cellStyle name="20% - Accent6 4 2 2 2 6" xfId="27033" xr:uid="{6AB400A5-5F76-4791-88A0-4038462948D8}"/>
    <cellStyle name="20% - Accent6 4 2 2 2_Exh G" xfId="2621" xr:uid="{00000000-0005-0000-0000-0000D9260000}"/>
    <cellStyle name="20% - Accent6 4 2 2 3" xfId="3980" xr:uid="{00000000-0005-0000-0000-0000DA260000}"/>
    <cellStyle name="20% - Accent6 4 2 2 3 2" xfId="7572" xr:uid="{00000000-0005-0000-0000-0000DB260000}"/>
    <cellStyle name="20% - Accent6 4 2 2 3 2 2" xfId="15542" xr:uid="{00000000-0005-0000-0000-0000DC260000}"/>
    <cellStyle name="20% - Accent6 4 2 2 3 2 2 2" xfId="39384" xr:uid="{7E8CF063-95BC-4378-9ADB-52BBF9D844EA}"/>
    <cellStyle name="20% - Accent6 4 2 2 3 2 3" xfId="23488" xr:uid="{00000000-0005-0000-0000-0000DD260000}"/>
    <cellStyle name="20% - Accent6 4 2 2 3 2 3 2" xfId="47320" xr:uid="{2FAF4354-A5E1-4CE3-A985-5FE4991474AA}"/>
    <cellStyle name="20% - Accent6 4 2 2 3 2 4" xfId="31443" xr:uid="{E994F16B-3F06-4BB7-941E-B07C17F31C08}"/>
    <cellStyle name="20% - Accent6 4 2 2 3 3" xfId="12004" xr:uid="{00000000-0005-0000-0000-0000DE260000}"/>
    <cellStyle name="20% - Accent6 4 2 2 3 3 2" xfId="35853" xr:uid="{622D9DC7-BEA3-4630-ACFD-03BD76FF2812}"/>
    <cellStyle name="20% - Accent6 4 2 2 3 4" xfId="19959" xr:uid="{00000000-0005-0000-0000-0000DF260000}"/>
    <cellStyle name="20% - Accent6 4 2 2 3 4 2" xfId="43791" xr:uid="{B34D8BEB-A270-4B6E-812B-86B59EE4A9DD}"/>
    <cellStyle name="20% - Accent6 4 2 2 3 5" xfId="27912" xr:uid="{3C976E11-ABAC-4F3E-BBB4-6E29470462B2}"/>
    <cellStyle name="20% - Accent6 4 2 2 4" xfId="5800" xr:uid="{00000000-0005-0000-0000-0000E0260000}"/>
    <cellStyle name="20% - Accent6 4 2 2 4 2" xfId="13783" xr:uid="{00000000-0005-0000-0000-0000E1260000}"/>
    <cellStyle name="20% - Accent6 4 2 2 4 2 2" xfId="37626" xr:uid="{2B5E39E1-0B4A-4EA0-BB15-11DC1A7BF9AB}"/>
    <cellStyle name="20% - Accent6 4 2 2 4 3" xfId="21731" xr:uid="{00000000-0005-0000-0000-0000E2260000}"/>
    <cellStyle name="20% - Accent6 4 2 2 4 3 2" xfId="45563" xr:uid="{EE0654E9-FF64-4B12-BB55-CE46CC2573B9}"/>
    <cellStyle name="20% - Accent6 4 2 2 4 4" xfId="29685" xr:uid="{D5B09AE8-EDA8-4862-94CA-BD583C46056A}"/>
    <cellStyle name="20% - Accent6 4 2 2 5" xfId="9352" xr:uid="{00000000-0005-0000-0000-0000E3260000}"/>
    <cellStyle name="20% - Accent6 4 2 2 5 2" xfId="17310" xr:uid="{00000000-0005-0000-0000-0000E4260000}"/>
    <cellStyle name="20% - Accent6 4 2 2 5 2 2" xfId="41150" xr:uid="{B5EDA2E3-422F-48E0-B390-7D0B20945CEB}"/>
    <cellStyle name="20% - Accent6 4 2 2 5 3" xfId="25254" xr:uid="{00000000-0005-0000-0000-0000E5260000}"/>
    <cellStyle name="20% - Accent6 4 2 2 5 3 2" xfId="49086" xr:uid="{C7860374-B666-4AC7-9AB8-93AAE774158E}"/>
    <cellStyle name="20% - Accent6 4 2 2 5 4" xfId="33209" xr:uid="{84548628-06B5-482C-9C3D-B25DDA1D541B}"/>
    <cellStyle name="20% - Accent6 4 2 2 6" xfId="10248" xr:uid="{00000000-0005-0000-0000-0000E6260000}"/>
    <cellStyle name="20% - Accent6 4 2 2 6 2" xfId="34097" xr:uid="{4533A941-2E48-47AD-83CA-4E71A0F49A0D}"/>
    <cellStyle name="20% - Accent6 4 2 2 7" xfId="18203" xr:uid="{00000000-0005-0000-0000-0000E7260000}"/>
    <cellStyle name="20% - Accent6 4 2 2 7 2" xfId="42035" xr:uid="{350E41DD-29D3-4F63-BE80-A7CC99A81BF1}"/>
    <cellStyle name="20% - Accent6 4 2 2 8" xfId="26155" xr:uid="{072E2734-414D-4509-B8C3-F6C7FD5D7998}"/>
    <cellStyle name="20% - Accent6 4 2 2_Exh G" xfId="2620" xr:uid="{00000000-0005-0000-0000-0000E8260000}"/>
    <cellStyle name="20% - Accent6 4 2 3" xfId="925" xr:uid="{00000000-0005-0000-0000-0000E9260000}"/>
    <cellStyle name="20% - Accent6 4 2 3 2" xfId="1847" xr:uid="{00000000-0005-0000-0000-0000EA260000}"/>
    <cellStyle name="20% - Accent6 4 2 3 2 2" xfId="5364" xr:uid="{00000000-0005-0000-0000-0000EB260000}"/>
    <cellStyle name="20% - Accent6 4 2 3 2 2 2" xfId="8955" xr:uid="{00000000-0005-0000-0000-0000EC260000}"/>
    <cellStyle name="20% - Accent6 4 2 3 2 2 2 2" xfId="16925" xr:uid="{00000000-0005-0000-0000-0000ED260000}"/>
    <cellStyle name="20% - Accent6 4 2 3 2 2 2 2 2" xfId="40767" xr:uid="{0623AA97-3735-49B6-AAF4-F12E146DC6C1}"/>
    <cellStyle name="20% - Accent6 4 2 3 2 2 2 3" xfId="24871" xr:uid="{00000000-0005-0000-0000-0000EE260000}"/>
    <cellStyle name="20% - Accent6 4 2 3 2 2 2 3 2" xfId="48703" xr:uid="{10402B64-D149-44AC-915B-1BF36EABDA65}"/>
    <cellStyle name="20% - Accent6 4 2 3 2 2 2 4" xfId="32826" xr:uid="{7016C931-064A-4D13-8507-691EA67BB56F}"/>
    <cellStyle name="20% - Accent6 4 2 3 2 2 3" xfId="13387" xr:uid="{00000000-0005-0000-0000-0000EF260000}"/>
    <cellStyle name="20% - Accent6 4 2 3 2 2 3 2" xfId="37236" xr:uid="{51959950-A50C-42AF-9D55-DEFA1E0D3E84}"/>
    <cellStyle name="20% - Accent6 4 2 3 2 2 4" xfId="21342" xr:uid="{00000000-0005-0000-0000-0000F0260000}"/>
    <cellStyle name="20% - Accent6 4 2 3 2 2 4 2" xfId="45174" xr:uid="{48D3132B-833F-45B9-8874-E7ACD5CB49C8}"/>
    <cellStyle name="20% - Accent6 4 2 3 2 2 5" xfId="29295" xr:uid="{D7D24A97-B041-40D0-B880-CD23AE305B50}"/>
    <cellStyle name="20% - Accent6 4 2 3 2 3" xfId="7196" xr:uid="{00000000-0005-0000-0000-0000F1260000}"/>
    <cellStyle name="20% - Accent6 4 2 3 2 3 2" xfId="15167" xr:uid="{00000000-0005-0000-0000-0000F2260000}"/>
    <cellStyle name="20% - Accent6 4 2 3 2 3 2 2" xfId="39009" xr:uid="{56BDF4F2-EAF7-4DB4-AE06-C1B6F3D17CE0}"/>
    <cellStyle name="20% - Accent6 4 2 3 2 3 3" xfId="23114" xr:uid="{00000000-0005-0000-0000-0000F3260000}"/>
    <cellStyle name="20% - Accent6 4 2 3 2 3 3 2" xfId="46946" xr:uid="{1A0B409F-9052-4E3F-B650-79DE03A8A504}"/>
    <cellStyle name="20% - Accent6 4 2 3 2 3 4" xfId="31068" xr:uid="{CADC8A61-B70F-4730-B7BC-9D6E0532419E}"/>
    <cellStyle name="20% - Accent6 4 2 3 2 4" xfId="11631" xr:uid="{00000000-0005-0000-0000-0000F4260000}"/>
    <cellStyle name="20% - Accent6 4 2 3 2 4 2" xfId="35480" xr:uid="{D10F3D61-8B06-4E59-AFFA-E2A160CC5659}"/>
    <cellStyle name="20% - Accent6 4 2 3 2 5" xfId="19586" xr:uid="{00000000-0005-0000-0000-0000F5260000}"/>
    <cellStyle name="20% - Accent6 4 2 3 2 5 2" xfId="43418" xr:uid="{624A9E48-EF27-4BAC-8238-1EB9BB851905}"/>
    <cellStyle name="20% - Accent6 4 2 3 2 6" xfId="27538" xr:uid="{F75E1C0E-BD1B-4F95-925A-3361867DE07A}"/>
    <cellStyle name="20% - Accent6 4 2 3 2_Exh G" xfId="2623" xr:uid="{00000000-0005-0000-0000-0000F6260000}"/>
    <cellStyle name="20% - Accent6 4 2 3 3" xfId="4485" xr:uid="{00000000-0005-0000-0000-0000F7260000}"/>
    <cellStyle name="20% - Accent6 4 2 3 3 2" xfId="8077" xr:uid="{00000000-0005-0000-0000-0000F8260000}"/>
    <cellStyle name="20% - Accent6 4 2 3 3 2 2" xfId="16047" xr:uid="{00000000-0005-0000-0000-0000F9260000}"/>
    <cellStyle name="20% - Accent6 4 2 3 3 2 2 2" xfId="39889" xr:uid="{147F98E5-D331-44F3-8DBF-52EE7F260A0A}"/>
    <cellStyle name="20% - Accent6 4 2 3 3 2 3" xfId="23993" xr:uid="{00000000-0005-0000-0000-0000FA260000}"/>
    <cellStyle name="20% - Accent6 4 2 3 3 2 3 2" xfId="47825" xr:uid="{E94E7695-0A8C-492C-B0A1-582838DA21E2}"/>
    <cellStyle name="20% - Accent6 4 2 3 3 2 4" xfId="31948" xr:uid="{F57BCD23-0711-4568-B7FC-D182FD11B951}"/>
    <cellStyle name="20% - Accent6 4 2 3 3 3" xfId="12509" xr:uid="{00000000-0005-0000-0000-0000FB260000}"/>
    <cellStyle name="20% - Accent6 4 2 3 3 3 2" xfId="36358" xr:uid="{8EC3D946-FE0B-4FF8-A99F-9B03573B0BEC}"/>
    <cellStyle name="20% - Accent6 4 2 3 3 4" xfId="20464" xr:uid="{00000000-0005-0000-0000-0000FC260000}"/>
    <cellStyle name="20% - Accent6 4 2 3 3 4 2" xfId="44296" xr:uid="{6A319A93-D3F7-4AC7-A673-B46304A43390}"/>
    <cellStyle name="20% - Accent6 4 2 3 3 5" xfId="28417" xr:uid="{5E5B45C6-4BD9-4B8C-BCFA-7927EA4DADFA}"/>
    <cellStyle name="20% - Accent6 4 2 3 4" xfId="6315" xr:uid="{00000000-0005-0000-0000-0000FD260000}"/>
    <cellStyle name="20% - Accent6 4 2 3 4 2" xfId="14289" xr:uid="{00000000-0005-0000-0000-0000FE260000}"/>
    <cellStyle name="20% - Accent6 4 2 3 4 2 2" xfId="38131" xr:uid="{31E55E14-9869-4EBF-825B-7F5AD88BB2AB}"/>
    <cellStyle name="20% - Accent6 4 2 3 4 3" xfId="22236" xr:uid="{00000000-0005-0000-0000-0000FF260000}"/>
    <cellStyle name="20% - Accent6 4 2 3 4 3 2" xfId="46068" xr:uid="{6B0392EC-EF52-4677-B3D7-FE79B6A59599}"/>
    <cellStyle name="20% - Accent6 4 2 3 4 4" xfId="30190" xr:uid="{512DC5B7-AFA7-4E49-81D3-A90CB0640D3A}"/>
    <cellStyle name="20% - Accent6 4 2 3 5" xfId="9857" xr:uid="{00000000-0005-0000-0000-000000270000}"/>
    <cellStyle name="20% - Accent6 4 2 3 5 2" xfId="17815" xr:uid="{00000000-0005-0000-0000-000001270000}"/>
    <cellStyle name="20% - Accent6 4 2 3 5 2 2" xfId="41655" xr:uid="{BB30F8A6-746F-49EE-80DE-71F7464FE01F}"/>
    <cellStyle name="20% - Accent6 4 2 3 5 3" xfId="25759" xr:uid="{00000000-0005-0000-0000-000002270000}"/>
    <cellStyle name="20% - Accent6 4 2 3 5 3 2" xfId="49591" xr:uid="{A8C6A10C-E119-4B8B-AD6A-7254169FDFFE}"/>
    <cellStyle name="20% - Accent6 4 2 3 5 4" xfId="33714" xr:uid="{2ADCB213-7A41-4617-A806-E45B65B1AB3C}"/>
    <cellStyle name="20% - Accent6 4 2 3 6" xfId="10753" xr:uid="{00000000-0005-0000-0000-000003270000}"/>
    <cellStyle name="20% - Accent6 4 2 3 6 2" xfId="34602" xr:uid="{AFD81B92-6311-4B9F-B639-9BA6FB0605C2}"/>
    <cellStyle name="20% - Accent6 4 2 3 7" xfId="18708" xr:uid="{00000000-0005-0000-0000-000004270000}"/>
    <cellStyle name="20% - Accent6 4 2 3 7 2" xfId="42540" xr:uid="{E39B8F54-CA6B-4440-A99C-AE3210D2BACF}"/>
    <cellStyle name="20% - Accent6 4 2 3 8" xfId="26660" xr:uid="{B873E2E9-EAB3-4A9D-A863-9EB0DBAD27F3}"/>
    <cellStyle name="20% - Accent6 4 2 3_Exh G" xfId="2622" xr:uid="{00000000-0005-0000-0000-000005270000}"/>
    <cellStyle name="20% - Accent6 4 2 4" xfId="1331" xr:uid="{00000000-0005-0000-0000-000006270000}"/>
    <cellStyle name="20% - Accent6 4 2 4 2" xfId="4858" xr:uid="{00000000-0005-0000-0000-000007270000}"/>
    <cellStyle name="20% - Accent6 4 2 4 2 2" xfId="8449" xr:uid="{00000000-0005-0000-0000-000008270000}"/>
    <cellStyle name="20% - Accent6 4 2 4 2 2 2" xfId="16419" xr:uid="{00000000-0005-0000-0000-000009270000}"/>
    <cellStyle name="20% - Accent6 4 2 4 2 2 2 2" xfId="40261" xr:uid="{B18175E4-B39D-4CE3-B4AB-01B09F4E1691}"/>
    <cellStyle name="20% - Accent6 4 2 4 2 2 3" xfId="24365" xr:uid="{00000000-0005-0000-0000-00000A270000}"/>
    <cellStyle name="20% - Accent6 4 2 4 2 2 3 2" xfId="48197" xr:uid="{DF5F0423-3549-439E-96B3-FA5A1243F353}"/>
    <cellStyle name="20% - Accent6 4 2 4 2 2 4" xfId="32320" xr:uid="{7BFCB6F5-198F-4108-A7A0-E92D0985A2A8}"/>
    <cellStyle name="20% - Accent6 4 2 4 2 3" xfId="12881" xr:uid="{00000000-0005-0000-0000-00000B270000}"/>
    <cellStyle name="20% - Accent6 4 2 4 2 3 2" xfId="36730" xr:uid="{832FA348-6C50-4158-8D55-3F791D92E69E}"/>
    <cellStyle name="20% - Accent6 4 2 4 2 4" xfId="20836" xr:uid="{00000000-0005-0000-0000-00000C270000}"/>
    <cellStyle name="20% - Accent6 4 2 4 2 4 2" xfId="44668" xr:uid="{5ED84EAB-F4C3-4585-B326-D53E5A273C32}"/>
    <cellStyle name="20% - Accent6 4 2 4 2 5" xfId="28789" xr:uid="{FCEBFDCF-6C73-4175-9D72-9463D321E7CF}"/>
    <cellStyle name="20% - Accent6 4 2 4 3" xfId="6690" xr:uid="{00000000-0005-0000-0000-00000D270000}"/>
    <cellStyle name="20% - Accent6 4 2 4 3 2" xfId="14661" xr:uid="{00000000-0005-0000-0000-00000E270000}"/>
    <cellStyle name="20% - Accent6 4 2 4 3 2 2" xfId="38503" xr:uid="{17272E02-7F06-4738-8902-589BFBDF8693}"/>
    <cellStyle name="20% - Accent6 4 2 4 3 3" xfId="22608" xr:uid="{00000000-0005-0000-0000-00000F270000}"/>
    <cellStyle name="20% - Accent6 4 2 4 3 3 2" xfId="46440" xr:uid="{471F73D9-2341-49D8-A8E5-C8CEA44AE015}"/>
    <cellStyle name="20% - Accent6 4 2 4 3 4" xfId="30562" xr:uid="{1B601A02-B6D3-4A29-8621-AFE37329CD56}"/>
    <cellStyle name="20% - Accent6 4 2 4 4" xfId="11125" xr:uid="{00000000-0005-0000-0000-000010270000}"/>
    <cellStyle name="20% - Accent6 4 2 4 4 2" xfId="34974" xr:uid="{04A76D33-DEF3-4772-8D6C-83A91C56898D}"/>
    <cellStyle name="20% - Accent6 4 2 4 5" xfId="19080" xr:uid="{00000000-0005-0000-0000-000011270000}"/>
    <cellStyle name="20% - Accent6 4 2 4 5 2" xfId="42912" xr:uid="{3FA2BD4D-80FA-4889-935C-A6A13A653B03}"/>
    <cellStyle name="20% - Accent6 4 2 4 6" xfId="27032" xr:uid="{D55D4457-99D0-4532-B718-CE608E86E276}"/>
    <cellStyle name="20% - Accent6 4 2 4_Exh G" xfId="2624" xr:uid="{00000000-0005-0000-0000-000012270000}"/>
    <cellStyle name="20% - Accent6 4 2 5" xfId="3979" xr:uid="{00000000-0005-0000-0000-000013270000}"/>
    <cellStyle name="20% - Accent6 4 2 5 2" xfId="7571" xr:uid="{00000000-0005-0000-0000-000014270000}"/>
    <cellStyle name="20% - Accent6 4 2 5 2 2" xfId="15541" xr:uid="{00000000-0005-0000-0000-000015270000}"/>
    <cellStyle name="20% - Accent6 4 2 5 2 2 2" xfId="39383" xr:uid="{092E7E14-1816-4809-9D25-C35AC4F675F1}"/>
    <cellStyle name="20% - Accent6 4 2 5 2 3" xfId="23487" xr:uid="{00000000-0005-0000-0000-000016270000}"/>
    <cellStyle name="20% - Accent6 4 2 5 2 3 2" xfId="47319" xr:uid="{83356719-A4AC-49C7-8BC2-4E6A5203F68A}"/>
    <cellStyle name="20% - Accent6 4 2 5 2 4" xfId="31442" xr:uid="{94C168E9-F806-4E62-989C-174FAC2D63CA}"/>
    <cellStyle name="20% - Accent6 4 2 5 3" xfId="12003" xr:uid="{00000000-0005-0000-0000-000017270000}"/>
    <cellStyle name="20% - Accent6 4 2 5 3 2" xfId="35852" xr:uid="{FE19FC9B-A267-4E9F-A470-73FC10B6F6B9}"/>
    <cellStyle name="20% - Accent6 4 2 5 4" xfId="19958" xr:uid="{00000000-0005-0000-0000-000018270000}"/>
    <cellStyle name="20% - Accent6 4 2 5 4 2" xfId="43790" xr:uid="{9A1C184C-1204-4657-9A46-EBC01D5F3BBF}"/>
    <cellStyle name="20% - Accent6 4 2 5 5" xfId="27911" xr:uid="{CA829984-53C8-43BC-9049-FC13F029A2A4}"/>
    <cellStyle name="20% - Accent6 4 2 6" xfId="5799" xr:uid="{00000000-0005-0000-0000-000019270000}"/>
    <cellStyle name="20% - Accent6 4 2 6 2" xfId="13782" xr:uid="{00000000-0005-0000-0000-00001A270000}"/>
    <cellStyle name="20% - Accent6 4 2 6 2 2" xfId="37625" xr:uid="{A4116637-1EF0-4CD0-BBBC-DF129B0210B2}"/>
    <cellStyle name="20% - Accent6 4 2 6 3" xfId="21730" xr:uid="{00000000-0005-0000-0000-00001B270000}"/>
    <cellStyle name="20% - Accent6 4 2 6 3 2" xfId="45562" xr:uid="{4E7C1163-4368-4A53-9446-F91271746B1D}"/>
    <cellStyle name="20% - Accent6 4 2 6 4" xfId="29684" xr:uid="{34658617-F370-4349-BF7C-DD8251B378B1}"/>
    <cellStyle name="20% - Accent6 4 2 7" xfId="9351" xr:uid="{00000000-0005-0000-0000-00001C270000}"/>
    <cellStyle name="20% - Accent6 4 2 7 2" xfId="17309" xr:uid="{00000000-0005-0000-0000-00001D270000}"/>
    <cellStyle name="20% - Accent6 4 2 7 2 2" xfId="41149" xr:uid="{22BC5943-03DE-413E-AF4A-C3307C7411E1}"/>
    <cellStyle name="20% - Accent6 4 2 7 3" xfId="25253" xr:uid="{00000000-0005-0000-0000-00001E270000}"/>
    <cellStyle name="20% - Accent6 4 2 7 3 2" xfId="49085" xr:uid="{155524A9-8379-492D-84FC-6206B52A7462}"/>
    <cellStyle name="20% - Accent6 4 2 7 4" xfId="33208" xr:uid="{695F4B92-F116-457A-90D7-9012B16FA827}"/>
    <cellStyle name="20% - Accent6 4 2 8" xfId="10247" xr:uid="{00000000-0005-0000-0000-00001F270000}"/>
    <cellStyle name="20% - Accent6 4 2 8 2" xfId="34096" xr:uid="{8CAB928C-AA7D-4E92-AFB0-CB1CFA3EB1BC}"/>
    <cellStyle name="20% - Accent6 4 2 9" xfId="18202" xr:uid="{00000000-0005-0000-0000-000020270000}"/>
    <cellStyle name="20% - Accent6 4 2 9 2" xfId="42034" xr:uid="{23BC4B52-9F78-4120-B73B-AA542CCD9D93}"/>
    <cellStyle name="20% - Accent6 4 2_Exh G" xfId="2619" xr:uid="{00000000-0005-0000-0000-000021270000}"/>
    <cellStyle name="20% - Accent6 4 3" xfId="307" xr:uid="{00000000-0005-0000-0000-000022270000}"/>
    <cellStyle name="20% - Accent6 4 3 2" xfId="1333" xr:uid="{00000000-0005-0000-0000-000023270000}"/>
    <cellStyle name="20% - Accent6 4 3 2 2" xfId="4860" xr:uid="{00000000-0005-0000-0000-000024270000}"/>
    <cellStyle name="20% - Accent6 4 3 2 2 2" xfId="8451" xr:uid="{00000000-0005-0000-0000-000025270000}"/>
    <cellStyle name="20% - Accent6 4 3 2 2 2 2" xfId="16421" xr:uid="{00000000-0005-0000-0000-000026270000}"/>
    <cellStyle name="20% - Accent6 4 3 2 2 2 2 2" xfId="40263" xr:uid="{D2B8B920-027C-4C1A-A19B-D9B9FD161154}"/>
    <cellStyle name="20% - Accent6 4 3 2 2 2 3" xfId="24367" xr:uid="{00000000-0005-0000-0000-000027270000}"/>
    <cellStyle name="20% - Accent6 4 3 2 2 2 3 2" xfId="48199" xr:uid="{7FB552AC-0DFE-494C-8C50-FE4FF285318E}"/>
    <cellStyle name="20% - Accent6 4 3 2 2 2 4" xfId="32322" xr:uid="{19C509CD-00AA-432A-9F64-1A51475CF357}"/>
    <cellStyle name="20% - Accent6 4 3 2 2 3" xfId="12883" xr:uid="{00000000-0005-0000-0000-000028270000}"/>
    <cellStyle name="20% - Accent6 4 3 2 2 3 2" xfId="36732" xr:uid="{2F0E18E3-1995-4391-8889-D46636F5E874}"/>
    <cellStyle name="20% - Accent6 4 3 2 2 4" xfId="20838" xr:uid="{00000000-0005-0000-0000-000029270000}"/>
    <cellStyle name="20% - Accent6 4 3 2 2 4 2" xfId="44670" xr:uid="{3A05AFB8-1C7B-4DA0-939D-AA4AA6301698}"/>
    <cellStyle name="20% - Accent6 4 3 2 2 5" xfId="28791" xr:uid="{005D7FDF-D31B-4502-886D-22CE4472CC4F}"/>
    <cellStyle name="20% - Accent6 4 3 2 3" xfId="6692" xr:uid="{00000000-0005-0000-0000-00002A270000}"/>
    <cellStyle name="20% - Accent6 4 3 2 3 2" xfId="14663" xr:uid="{00000000-0005-0000-0000-00002B270000}"/>
    <cellStyle name="20% - Accent6 4 3 2 3 2 2" xfId="38505" xr:uid="{32161D59-84BD-45A1-B449-71F12F9F2C9B}"/>
    <cellStyle name="20% - Accent6 4 3 2 3 3" xfId="22610" xr:uid="{00000000-0005-0000-0000-00002C270000}"/>
    <cellStyle name="20% - Accent6 4 3 2 3 3 2" xfId="46442" xr:uid="{C91D0D47-70E6-45E0-8FDE-52C2EB67A3D1}"/>
    <cellStyle name="20% - Accent6 4 3 2 3 4" xfId="30564" xr:uid="{E6F4EA7B-5806-41CE-83BF-C549A0CB7141}"/>
    <cellStyle name="20% - Accent6 4 3 2 4" xfId="11127" xr:uid="{00000000-0005-0000-0000-00002D270000}"/>
    <cellStyle name="20% - Accent6 4 3 2 4 2" xfId="34976" xr:uid="{9ADC050F-E3DF-46E1-AFC8-3F9B8339630D}"/>
    <cellStyle name="20% - Accent6 4 3 2 5" xfId="19082" xr:uid="{00000000-0005-0000-0000-00002E270000}"/>
    <cellStyle name="20% - Accent6 4 3 2 5 2" xfId="42914" xr:uid="{59CA22BA-722E-46E9-8783-6573820B921B}"/>
    <cellStyle name="20% - Accent6 4 3 2 6" xfId="27034" xr:uid="{7B6DEE39-D6F9-44EC-B940-7A7813EE2BA3}"/>
    <cellStyle name="20% - Accent6 4 3 2_Exh G" xfId="2626" xr:uid="{00000000-0005-0000-0000-00002F270000}"/>
    <cellStyle name="20% - Accent6 4 3 3" xfId="3981" xr:uid="{00000000-0005-0000-0000-000030270000}"/>
    <cellStyle name="20% - Accent6 4 3 3 2" xfId="7573" xr:uid="{00000000-0005-0000-0000-000031270000}"/>
    <cellStyle name="20% - Accent6 4 3 3 2 2" xfId="15543" xr:uid="{00000000-0005-0000-0000-000032270000}"/>
    <cellStyle name="20% - Accent6 4 3 3 2 2 2" xfId="39385" xr:uid="{86634859-8AA2-4AB2-835F-EB5CFC51838A}"/>
    <cellStyle name="20% - Accent6 4 3 3 2 3" xfId="23489" xr:uid="{00000000-0005-0000-0000-000033270000}"/>
    <cellStyle name="20% - Accent6 4 3 3 2 3 2" xfId="47321" xr:uid="{BE09018F-889F-4F1B-9449-EE3A415E349D}"/>
    <cellStyle name="20% - Accent6 4 3 3 2 4" xfId="31444" xr:uid="{3F807DDF-064F-4CDD-87BB-C13D93B91BD0}"/>
    <cellStyle name="20% - Accent6 4 3 3 3" xfId="12005" xr:uid="{00000000-0005-0000-0000-000034270000}"/>
    <cellStyle name="20% - Accent6 4 3 3 3 2" xfId="35854" xr:uid="{8C6D7F5E-F7D3-40E6-A97E-274AF4305570}"/>
    <cellStyle name="20% - Accent6 4 3 3 4" xfId="19960" xr:uid="{00000000-0005-0000-0000-000035270000}"/>
    <cellStyle name="20% - Accent6 4 3 3 4 2" xfId="43792" xr:uid="{EE2083F3-EEBB-4FA1-ADF9-DF7CFD9B4B8E}"/>
    <cellStyle name="20% - Accent6 4 3 3 5" xfId="27913" xr:uid="{52EF059C-099D-4854-BD14-CC16999B87C6}"/>
    <cellStyle name="20% - Accent6 4 3 4" xfId="5801" xr:uid="{00000000-0005-0000-0000-000036270000}"/>
    <cellStyle name="20% - Accent6 4 3 4 2" xfId="13784" xr:uid="{00000000-0005-0000-0000-000037270000}"/>
    <cellStyle name="20% - Accent6 4 3 4 2 2" xfId="37627" xr:uid="{C922678A-3895-4F08-8AC3-43DE33D59734}"/>
    <cellStyle name="20% - Accent6 4 3 4 3" xfId="21732" xr:uid="{00000000-0005-0000-0000-000038270000}"/>
    <cellStyle name="20% - Accent6 4 3 4 3 2" xfId="45564" xr:uid="{2C7A5233-0EB1-4C10-98A4-83D44392B34C}"/>
    <cellStyle name="20% - Accent6 4 3 4 4" xfId="29686" xr:uid="{FB3A5BFE-F287-4D9B-8D6D-DC78F5BF602F}"/>
    <cellStyle name="20% - Accent6 4 3 5" xfId="9353" xr:uid="{00000000-0005-0000-0000-000039270000}"/>
    <cellStyle name="20% - Accent6 4 3 5 2" xfId="17311" xr:uid="{00000000-0005-0000-0000-00003A270000}"/>
    <cellStyle name="20% - Accent6 4 3 5 2 2" xfId="41151" xr:uid="{7F9B16CE-2304-4549-8223-57C2C03CC86F}"/>
    <cellStyle name="20% - Accent6 4 3 5 3" xfId="25255" xr:uid="{00000000-0005-0000-0000-00003B270000}"/>
    <cellStyle name="20% - Accent6 4 3 5 3 2" xfId="49087" xr:uid="{A0684C8E-82DD-462E-AE8E-0B93545E0483}"/>
    <cellStyle name="20% - Accent6 4 3 5 4" xfId="33210" xr:uid="{B25BE749-4F34-40B7-9F2D-6B36469EEDFE}"/>
    <cellStyle name="20% - Accent6 4 3 6" xfId="10249" xr:uid="{00000000-0005-0000-0000-00003C270000}"/>
    <cellStyle name="20% - Accent6 4 3 6 2" xfId="34098" xr:uid="{3F747C79-E6BA-4C81-A21F-FEED06740774}"/>
    <cellStyle name="20% - Accent6 4 3 7" xfId="18204" xr:uid="{00000000-0005-0000-0000-00003D270000}"/>
    <cellStyle name="20% - Accent6 4 3 7 2" xfId="42036" xr:uid="{089B277F-CD19-44CF-B63E-B807EBB4FB7B}"/>
    <cellStyle name="20% - Accent6 4 3 8" xfId="26156" xr:uid="{AD5A51B6-3B72-41E1-9736-FC0E5CBB2DB2}"/>
    <cellStyle name="20% - Accent6 4 3_Exh G" xfId="2625" xr:uid="{00000000-0005-0000-0000-00003E270000}"/>
    <cellStyle name="20% - Accent6 4 4" xfId="924" xr:uid="{00000000-0005-0000-0000-00003F270000}"/>
    <cellStyle name="20% - Accent6 4 4 2" xfId="1846" xr:uid="{00000000-0005-0000-0000-000040270000}"/>
    <cellStyle name="20% - Accent6 4 4 2 2" xfId="5363" xr:uid="{00000000-0005-0000-0000-000041270000}"/>
    <cellStyle name="20% - Accent6 4 4 2 2 2" xfId="8954" xr:uid="{00000000-0005-0000-0000-000042270000}"/>
    <cellStyle name="20% - Accent6 4 4 2 2 2 2" xfId="16924" xr:uid="{00000000-0005-0000-0000-000043270000}"/>
    <cellStyle name="20% - Accent6 4 4 2 2 2 2 2" xfId="40766" xr:uid="{C16CB276-BB7D-4F56-AF25-846F4014DEDD}"/>
    <cellStyle name="20% - Accent6 4 4 2 2 2 3" xfId="24870" xr:uid="{00000000-0005-0000-0000-000044270000}"/>
    <cellStyle name="20% - Accent6 4 4 2 2 2 3 2" xfId="48702" xr:uid="{26C25661-0D64-4656-AB3C-7BBD8F22D751}"/>
    <cellStyle name="20% - Accent6 4 4 2 2 2 4" xfId="32825" xr:uid="{5E97E32D-2469-4DC4-A4A0-ED3AAE88956E}"/>
    <cellStyle name="20% - Accent6 4 4 2 2 3" xfId="13386" xr:uid="{00000000-0005-0000-0000-000045270000}"/>
    <cellStyle name="20% - Accent6 4 4 2 2 3 2" xfId="37235" xr:uid="{3F6D5BE5-3F87-4A83-93DD-776AEFE49DD6}"/>
    <cellStyle name="20% - Accent6 4 4 2 2 4" xfId="21341" xr:uid="{00000000-0005-0000-0000-000046270000}"/>
    <cellStyle name="20% - Accent6 4 4 2 2 4 2" xfId="45173" xr:uid="{68430874-F58B-44BE-891A-46BE0E02B279}"/>
    <cellStyle name="20% - Accent6 4 4 2 2 5" xfId="29294" xr:uid="{34C77FA8-B028-46B9-8E31-B8A6164AC74A}"/>
    <cellStyle name="20% - Accent6 4 4 2 3" xfId="7195" xr:uid="{00000000-0005-0000-0000-000047270000}"/>
    <cellStyle name="20% - Accent6 4 4 2 3 2" xfId="15166" xr:uid="{00000000-0005-0000-0000-000048270000}"/>
    <cellStyle name="20% - Accent6 4 4 2 3 2 2" xfId="39008" xr:uid="{56B6BD94-F2DE-499A-B326-8350DAF1AA60}"/>
    <cellStyle name="20% - Accent6 4 4 2 3 3" xfId="23113" xr:uid="{00000000-0005-0000-0000-000049270000}"/>
    <cellStyle name="20% - Accent6 4 4 2 3 3 2" xfId="46945" xr:uid="{73C28852-F281-4A65-97FF-4DE47FCE0DD8}"/>
    <cellStyle name="20% - Accent6 4 4 2 3 4" xfId="31067" xr:uid="{0962C441-E621-4B04-998A-8EC2250F4666}"/>
    <cellStyle name="20% - Accent6 4 4 2 4" xfId="11630" xr:uid="{00000000-0005-0000-0000-00004A270000}"/>
    <cellStyle name="20% - Accent6 4 4 2 4 2" xfId="35479" xr:uid="{76770159-2EAA-448D-A7A7-8ABEBC662C8A}"/>
    <cellStyle name="20% - Accent6 4 4 2 5" xfId="19585" xr:uid="{00000000-0005-0000-0000-00004B270000}"/>
    <cellStyle name="20% - Accent6 4 4 2 5 2" xfId="43417" xr:uid="{4D71CE56-0DBB-4645-8024-7BC17F94DF6D}"/>
    <cellStyle name="20% - Accent6 4 4 2 6" xfId="27537" xr:uid="{D73564A0-B529-4028-A5C8-A39EF6FB0B3D}"/>
    <cellStyle name="20% - Accent6 4 4 2_Exh G" xfId="2628" xr:uid="{00000000-0005-0000-0000-00004C270000}"/>
    <cellStyle name="20% - Accent6 4 4 3" xfId="4484" xr:uid="{00000000-0005-0000-0000-00004D270000}"/>
    <cellStyle name="20% - Accent6 4 4 3 2" xfId="8076" xr:uid="{00000000-0005-0000-0000-00004E270000}"/>
    <cellStyle name="20% - Accent6 4 4 3 2 2" xfId="16046" xr:uid="{00000000-0005-0000-0000-00004F270000}"/>
    <cellStyle name="20% - Accent6 4 4 3 2 2 2" xfId="39888" xr:uid="{20B2386A-523F-4D54-B884-03932C50551A}"/>
    <cellStyle name="20% - Accent6 4 4 3 2 3" xfId="23992" xr:uid="{00000000-0005-0000-0000-000050270000}"/>
    <cellStyle name="20% - Accent6 4 4 3 2 3 2" xfId="47824" xr:uid="{5522409C-5A7F-42E2-A4E8-DC769666AD41}"/>
    <cellStyle name="20% - Accent6 4 4 3 2 4" xfId="31947" xr:uid="{2994292D-9D1B-47D9-87DA-73697E5A0DAF}"/>
    <cellStyle name="20% - Accent6 4 4 3 3" xfId="12508" xr:uid="{00000000-0005-0000-0000-000051270000}"/>
    <cellStyle name="20% - Accent6 4 4 3 3 2" xfId="36357" xr:uid="{E24B6EAF-8C5D-46E6-A3B5-8F68AA1CD76E}"/>
    <cellStyle name="20% - Accent6 4 4 3 4" xfId="20463" xr:uid="{00000000-0005-0000-0000-000052270000}"/>
    <cellStyle name="20% - Accent6 4 4 3 4 2" xfId="44295" xr:uid="{33C49B94-4A14-4265-AD18-304EB2FB1ABF}"/>
    <cellStyle name="20% - Accent6 4 4 3 5" xfId="28416" xr:uid="{14AC0537-22F8-4754-AB29-D8C9B3205BC5}"/>
    <cellStyle name="20% - Accent6 4 4 4" xfId="6314" xr:uid="{00000000-0005-0000-0000-000053270000}"/>
    <cellStyle name="20% - Accent6 4 4 4 2" xfId="14288" xr:uid="{00000000-0005-0000-0000-000054270000}"/>
    <cellStyle name="20% - Accent6 4 4 4 2 2" xfId="38130" xr:uid="{4CF88D24-1004-4B00-AA40-9EB5565A541B}"/>
    <cellStyle name="20% - Accent6 4 4 4 3" xfId="22235" xr:uid="{00000000-0005-0000-0000-000055270000}"/>
    <cellStyle name="20% - Accent6 4 4 4 3 2" xfId="46067" xr:uid="{9E02598F-CABC-49C7-AA94-AA0B17AE7D0A}"/>
    <cellStyle name="20% - Accent6 4 4 4 4" xfId="30189" xr:uid="{AA25D48E-2162-48AE-BD28-678C8AE23F9B}"/>
    <cellStyle name="20% - Accent6 4 4 5" xfId="9856" xr:uid="{00000000-0005-0000-0000-000056270000}"/>
    <cellStyle name="20% - Accent6 4 4 5 2" xfId="17814" xr:uid="{00000000-0005-0000-0000-000057270000}"/>
    <cellStyle name="20% - Accent6 4 4 5 2 2" xfId="41654" xr:uid="{5E3298D4-F6F7-4BC6-9EF2-FEC3CB942F6A}"/>
    <cellStyle name="20% - Accent6 4 4 5 3" xfId="25758" xr:uid="{00000000-0005-0000-0000-000058270000}"/>
    <cellStyle name="20% - Accent6 4 4 5 3 2" xfId="49590" xr:uid="{AA62A13B-87E6-46F3-99C4-4AEC983FE3D3}"/>
    <cellStyle name="20% - Accent6 4 4 5 4" xfId="33713" xr:uid="{D40D96BC-DCFD-48A6-90F4-AFB044BA8CA1}"/>
    <cellStyle name="20% - Accent6 4 4 6" xfId="10752" xr:uid="{00000000-0005-0000-0000-000059270000}"/>
    <cellStyle name="20% - Accent6 4 4 6 2" xfId="34601" xr:uid="{A8B542F7-73E9-49B0-BC0D-3AB8DB4BEC18}"/>
    <cellStyle name="20% - Accent6 4 4 7" xfId="18707" xr:uid="{00000000-0005-0000-0000-00005A270000}"/>
    <cellStyle name="20% - Accent6 4 4 7 2" xfId="42539" xr:uid="{742BA9A7-4D84-495E-97A1-0714489CC55F}"/>
    <cellStyle name="20% - Accent6 4 4 8" xfId="26659" xr:uid="{E2A3560E-2D2C-4FCE-9743-23521AD91C12}"/>
    <cellStyle name="20% - Accent6 4 4_Exh G" xfId="2627" xr:uid="{00000000-0005-0000-0000-00005B270000}"/>
    <cellStyle name="20% - Accent6 4 5" xfId="1330" xr:uid="{00000000-0005-0000-0000-00005C270000}"/>
    <cellStyle name="20% - Accent6 4 5 2" xfId="4857" xr:uid="{00000000-0005-0000-0000-00005D270000}"/>
    <cellStyle name="20% - Accent6 4 5 2 2" xfId="8448" xr:uid="{00000000-0005-0000-0000-00005E270000}"/>
    <cellStyle name="20% - Accent6 4 5 2 2 2" xfId="16418" xr:uid="{00000000-0005-0000-0000-00005F270000}"/>
    <cellStyle name="20% - Accent6 4 5 2 2 2 2" xfId="40260" xr:uid="{DC91809D-9ADE-4673-B53B-B6332CCF1AF0}"/>
    <cellStyle name="20% - Accent6 4 5 2 2 3" xfId="24364" xr:uid="{00000000-0005-0000-0000-000060270000}"/>
    <cellStyle name="20% - Accent6 4 5 2 2 3 2" xfId="48196" xr:uid="{61C017F0-CA33-4E8F-B51C-44B0BC727FB2}"/>
    <cellStyle name="20% - Accent6 4 5 2 2 4" xfId="32319" xr:uid="{9F453E7D-E290-4A46-AB51-B7E8E81DC89B}"/>
    <cellStyle name="20% - Accent6 4 5 2 3" xfId="12880" xr:uid="{00000000-0005-0000-0000-000061270000}"/>
    <cellStyle name="20% - Accent6 4 5 2 3 2" xfId="36729" xr:uid="{59D53AC3-EEBD-40A4-BDEA-40739C8B2603}"/>
    <cellStyle name="20% - Accent6 4 5 2 4" xfId="20835" xr:uid="{00000000-0005-0000-0000-000062270000}"/>
    <cellStyle name="20% - Accent6 4 5 2 4 2" xfId="44667" xr:uid="{EA8FC015-90D6-492F-A567-71B99CF127C9}"/>
    <cellStyle name="20% - Accent6 4 5 2 5" xfId="28788" xr:uid="{5F0EF2A3-221C-4885-B089-0ADECE76E7C2}"/>
    <cellStyle name="20% - Accent6 4 5 3" xfId="6689" xr:uid="{00000000-0005-0000-0000-000063270000}"/>
    <cellStyle name="20% - Accent6 4 5 3 2" xfId="14660" xr:uid="{00000000-0005-0000-0000-000064270000}"/>
    <cellStyle name="20% - Accent6 4 5 3 2 2" xfId="38502" xr:uid="{9A4A97E1-599A-4E5D-BA9D-76B4038B0E19}"/>
    <cellStyle name="20% - Accent6 4 5 3 3" xfId="22607" xr:uid="{00000000-0005-0000-0000-000065270000}"/>
    <cellStyle name="20% - Accent6 4 5 3 3 2" xfId="46439" xr:uid="{B58DA4BC-86C3-4B35-81ED-6396571FEC6E}"/>
    <cellStyle name="20% - Accent6 4 5 3 4" xfId="30561" xr:uid="{BF55018D-87E0-4737-888C-AEB3532218E8}"/>
    <cellStyle name="20% - Accent6 4 5 4" xfId="11124" xr:uid="{00000000-0005-0000-0000-000066270000}"/>
    <cellStyle name="20% - Accent6 4 5 4 2" xfId="34973" xr:uid="{9B37F657-567E-483A-BE19-E37E724E8558}"/>
    <cellStyle name="20% - Accent6 4 5 5" xfId="19079" xr:uid="{00000000-0005-0000-0000-000067270000}"/>
    <cellStyle name="20% - Accent6 4 5 5 2" xfId="42911" xr:uid="{C101B907-283E-49EE-916A-FE6A5DF487BB}"/>
    <cellStyle name="20% - Accent6 4 5 6" xfId="27031" xr:uid="{B958C380-33E6-4E13-B8EC-76F58E454DB3}"/>
    <cellStyle name="20% - Accent6 4 5_Exh G" xfId="2629" xr:uid="{00000000-0005-0000-0000-000068270000}"/>
    <cellStyle name="20% - Accent6 4 6" xfId="3978" xr:uid="{00000000-0005-0000-0000-000069270000}"/>
    <cellStyle name="20% - Accent6 4 6 2" xfId="7570" xr:uid="{00000000-0005-0000-0000-00006A270000}"/>
    <cellStyle name="20% - Accent6 4 6 2 2" xfId="15540" xr:uid="{00000000-0005-0000-0000-00006B270000}"/>
    <cellStyle name="20% - Accent6 4 6 2 2 2" xfId="39382" xr:uid="{E60C6493-E7EC-4E2B-91B6-90FD2B5CDC8F}"/>
    <cellStyle name="20% - Accent6 4 6 2 3" xfId="23486" xr:uid="{00000000-0005-0000-0000-00006C270000}"/>
    <cellStyle name="20% - Accent6 4 6 2 3 2" xfId="47318" xr:uid="{6FDEE559-1ED8-4DBE-BDD2-DB7054A0F0A9}"/>
    <cellStyle name="20% - Accent6 4 6 2 4" xfId="31441" xr:uid="{D8B61FE4-9D86-44BC-8774-6DEF534601F1}"/>
    <cellStyle name="20% - Accent6 4 6 3" xfId="12002" xr:uid="{00000000-0005-0000-0000-00006D270000}"/>
    <cellStyle name="20% - Accent6 4 6 3 2" xfId="35851" xr:uid="{DC500B29-9334-4935-B5F8-859D33DFB57E}"/>
    <cellStyle name="20% - Accent6 4 6 4" xfId="19957" xr:uid="{00000000-0005-0000-0000-00006E270000}"/>
    <cellStyle name="20% - Accent6 4 6 4 2" xfId="43789" xr:uid="{627E04C9-E708-461C-8D6F-7D1925EDB094}"/>
    <cellStyle name="20% - Accent6 4 6 5" xfId="27910" xr:uid="{E5BB70C6-5FEF-400A-9FB5-202278276E86}"/>
    <cellStyle name="20% - Accent6 4 7" xfId="5798" xr:uid="{00000000-0005-0000-0000-00006F270000}"/>
    <cellStyle name="20% - Accent6 4 7 2" xfId="13781" xr:uid="{00000000-0005-0000-0000-000070270000}"/>
    <cellStyle name="20% - Accent6 4 7 2 2" xfId="37624" xr:uid="{40D079CC-2647-4BC3-B62F-A25B056C473E}"/>
    <cellStyle name="20% - Accent6 4 7 3" xfId="21729" xr:uid="{00000000-0005-0000-0000-000071270000}"/>
    <cellStyle name="20% - Accent6 4 7 3 2" xfId="45561" xr:uid="{C99D6790-EF4B-442A-B2D6-AAF8CC13EE8E}"/>
    <cellStyle name="20% - Accent6 4 7 4" xfId="29683" xr:uid="{966DE44A-C2D3-443D-8D87-DA92F9BE93FD}"/>
    <cellStyle name="20% - Accent6 4 8" xfId="9350" xr:uid="{00000000-0005-0000-0000-000072270000}"/>
    <cellStyle name="20% - Accent6 4 8 2" xfId="17308" xr:uid="{00000000-0005-0000-0000-000073270000}"/>
    <cellStyle name="20% - Accent6 4 8 2 2" xfId="41148" xr:uid="{DD0E5D80-6AC9-434B-A7D2-3A3C995D0E78}"/>
    <cellStyle name="20% - Accent6 4 8 3" xfId="25252" xr:uid="{00000000-0005-0000-0000-000074270000}"/>
    <cellStyle name="20% - Accent6 4 8 3 2" xfId="49084" xr:uid="{1243BEB0-42F0-499C-B18E-C80A31224524}"/>
    <cellStyle name="20% - Accent6 4 8 4" xfId="33207" xr:uid="{97E77353-BDFC-46E3-A8B6-D786E32215EF}"/>
    <cellStyle name="20% - Accent6 4 9" xfId="10246" xr:uid="{00000000-0005-0000-0000-000075270000}"/>
    <cellStyle name="20% - Accent6 4 9 2" xfId="34095" xr:uid="{FAD02884-EFD7-4761-8A43-8572CCB61182}"/>
    <cellStyle name="20% - Accent6 4_Exh G" xfId="2618" xr:uid="{00000000-0005-0000-0000-000076270000}"/>
    <cellStyle name="20% - Accent6 5" xfId="308" xr:uid="{00000000-0005-0000-0000-000077270000}"/>
    <cellStyle name="20% - Accent6 5 10" xfId="18205" xr:uid="{00000000-0005-0000-0000-000078270000}"/>
    <cellStyle name="20% - Accent6 5 10 2" xfId="42037" xr:uid="{8BA88D24-95CB-43ED-BBC6-AA167AB1F528}"/>
    <cellStyle name="20% - Accent6 5 11" xfId="26157" xr:uid="{748BC7F8-C2C4-4261-84C6-75D8E0836DEA}"/>
    <cellStyle name="20% - Accent6 5 2" xfId="309" xr:uid="{00000000-0005-0000-0000-000079270000}"/>
    <cellStyle name="20% - Accent6 5 2 2" xfId="310" xr:uid="{00000000-0005-0000-0000-00007A270000}"/>
    <cellStyle name="20% - Accent6 5 2 2 2" xfId="1336" xr:uid="{00000000-0005-0000-0000-00007B270000}"/>
    <cellStyle name="20% - Accent6 5 2 2 2 2" xfId="4863" xr:uid="{00000000-0005-0000-0000-00007C270000}"/>
    <cellStyle name="20% - Accent6 5 2 2 2 2 2" xfId="8454" xr:uid="{00000000-0005-0000-0000-00007D270000}"/>
    <cellStyle name="20% - Accent6 5 2 2 2 2 2 2" xfId="16424" xr:uid="{00000000-0005-0000-0000-00007E270000}"/>
    <cellStyle name="20% - Accent6 5 2 2 2 2 2 2 2" xfId="40266" xr:uid="{F7B0D9F4-E7CC-401C-AC15-5EAE703E649C}"/>
    <cellStyle name="20% - Accent6 5 2 2 2 2 2 3" xfId="24370" xr:uid="{00000000-0005-0000-0000-00007F270000}"/>
    <cellStyle name="20% - Accent6 5 2 2 2 2 2 3 2" xfId="48202" xr:uid="{6C1DF20C-C801-4E9A-9760-05FD730D1948}"/>
    <cellStyle name="20% - Accent6 5 2 2 2 2 2 4" xfId="32325" xr:uid="{3DB50104-7C57-4A81-8B1F-EB7EAE675966}"/>
    <cellStyle name="20% - Accent6 5 2 2 2 2 3" xfId="12886" xr:uid="{00000000-0005-0000-0000-000080270000}"/>
    <cellStyle name="20% - Accent6 5 2 2 2 2 3 2" xfId="36735" xr:uid="{C9D7EAA4-A190-45B9-B344-E795AAFFC66E}"/>
    <cellStyle name="20% - Accent6 5 2 2 2 2 4" xfId="20841" xr:uid="{00000000-0005-0000-0000-000081270000}"/>
    <cellStyle name="20% - Accent6 5 2 2 2 2 4 2" xfId="44673" xr:uid="{70944304-9BF9-45AE-A095-EA0159B34C97}"/>
    <cellStyle name="20% - Accent6 5 2 2 2 2 5" xfId="28794" xr:uid="{831B64C0-E88E-4567-ABB4-347BB942B9FC}"/>
    <cellStyle name="20% - Accent6 5 2 2 2 3" xfId="6695" xr:uid="{00000000-0005-0000-0000-000082270000}"/>
    <cellStyle name="20% - Accent6 5 2 2 2 3 2" xfId="14666" xr:uid="{00000000-0005-0000-0000-000083270000}"/>
    <cellStyle name="20% - Accent6 5 2 2 2 3 2 2" xfId="38508" xr:uid="{1A8F557C-B993-4EA4-B106-F8C9C78A1CB6}"/>
    <cellStyle name="20% - Accent6 5 2 2 2 3 3" xfId="22613" xr:uid="{00000000-0005-0000-0000-000084270000}"/>
    <cellStyle name="20% - Accent6 5 2 2 2 3 3 2" xfId="46445" xr:uid="{7B5CD218-ED7C-4418-BF3B-E09CC5AA6F30}"/>
    <cellStyle name="20% - Accent6 5 2 2 2 3 4" xfId="30567" xr:uid="{F9710551-7322-4DD0-9960-F1893D713943}"/>
    <cellStyle name="20% - Accent6 5 2 2 2 4" xfId="11130" xr:uid="{00000000-0005-0000-0000-000085270000}"/>
    <cellStyle name="20% - Accent6 5 2 2 2 4 2" xfId="34979" xr:uid="{04D6894D-134D-4489-8016-3C787D996527}"/>
    <cellStyle name="20% - Accent6 5 2 2 2 5" xfId="19085" xr:uid="{00000000-0005-0000-0000-000086270000}"/>
    <cellStyle name="20% - Accent6 5 2 2 2 5 2" xfId="42917" xr:uid="{3B31ED15-F5E6-4731-8820-E104858DFA41}"/>
    <cellStyle name="20% - Accent6 5 2 2 2 6" xfId="27037" xr:uid="{C4F8DF60-0941-4D96-8A0A-B10B97D3699D}"/>
    <cellStyle name="20% - Accent6 5 2 2 2_Exh G" xfId="2633" xr:uid="{00000000-0005-0000-0000-000087270000}"/>
    <cellStyle name="20% - Accent6 5 2 2 3" xfId="3984" xr:uid="{00000000-0005-0000-0000-000088270000}"/>
    <cellStyle name="20% - Accent6 5 2 2 3 2" xfId="7576" xr:uid="{00000000-0005-0000-0000-000089270000}"/>
    <cellStyle name="20% - Accent6 5 2 2 3 2 2" xfId="15546" xr:uid="{00000000-0005-0000-0000-00008A270000}"/>
    <cellStyle name="20% - Accent6 5 2 2 3 2 2 2" xfId="39388" xr:uid="{F6BF529C-92D9-49B3-9441-D335BD8E0E2A}"/>
    <cellStyle name="20% - Accent6 5 2 2 3 2 3" xfId="23492" xr:uid="{00000000-0005-0000-0000-00008B270000}"/>
    <cellStyle name="20% - Accent6 5 2 2 3 2 3 2" xfId="47324" xr:uid="{5AACDE3C-4424-4710-AD2D-72E96FAF4EC3}"/>
    <cellStyle name="20% - Accent6 5 2 2 3 2 4" xfId="31447" xr:uid="{8A33DF85-639C-43A7-9A3C-58A8B998BF7D}"/>
    <cellStyle name="20% - Accent6 5 2 2 3 3" xfId="12008" xr:uid="{00000000-0005-0000-0000-00008C270000}"/>
    <cellStyle name="20% - Accent6 5 2 2 3 3 2" xfId="35857" xr:uid="{1F4F328E-4188-42FB-B233-6A3856F59DF1}"/>
    <cellStyle name="20% - Accent6 5 2 2 3 4" xfId="19963" xr:uid="{00000000-0005-0000-0000-00008D270000}"/>
    <cellStyle name="20% - Accent6 5 2 2 3 4 2" xfId="43795" xr:uid="{1C045123-01CB-4EF4-AA4D-89E84E4D7A55}"/>
    <cellStyle name="20% - Accent6 5 2 2 3 5" xfId="27916" xr:uid="{27675190-721E-418C-A955-AC961AFF3234}"/>
    <cellStyle name="20% - Accent6 5 2 2 4" xfId="5804" xr:uid="{00000000-0005-0000-0000-00008E270000}"/>
    <cellStyle name="20% - Accent6 5 2 2 4 2" xfId="13787" xr:uid="{00000000-0005-0000-0000-00008F270000}"/>
    <cellStyle name="20% - Accent6 5 2 2 4 2 2" xfId="37630" xr:uid="{FF64C2A4-B46A-44E2-BA35-BC0D851EF8E7}"/>
    <cellStyle name="20% - Accent6 5 2 2 4 3" xfId="21735" xr:uid="{00000000-0005-0000-0000-000090270000}"/>
    <cellStyle name="20% - Accent6 5 2 2 4 3 2" xfId="45567" xr:uid="{318D6771-9E73-46B6-958A-353E9A6AFB3B}"/>
    <cellStyle name="20% - Accent6 5 2 2 4 4" xfId="29689" xr:uid="{3C20A089-B486-4117-A9A8-F253C0CE89D2}"/>
    <cellStyle name="20% - Accent6 5 2 2 5" xfId="9356" xr:uid="{00000000-0005-0000-0000-000091270000}"/>
    <cellStyle name="20% - Accent6 5 2 2 5 2" xfId="17314" xr:uid="{00000000-0005-0000-0000-000092270000}"/>
    <cellStyle name="20% - Accent6 5 2 2 5 2 2" xfId="41154" xr:uid="{D78E7145-34CB-4C99-A890-9BA8111186CF}"/>
    <cellStyle name="20% - Accent6 5 2 2 5 3" xfId="25258" xr:uid="{00000000-0005-0000-0000-000093270000}"/>
    <cellStyle name="20% - Accent6 5 2 2 5 3 2" xfId="49090" xr:uid="{76D66351-5CF3-46EF-A59F-0A7D338D7DBA}"/>
    <cellStyle name="20% - Accent6 5 2 2 5 4" xfId="33213" xr:uid="{2ABDDD73-35FB-4029-B530-B9BAC0D2D449}"/>
    <cellStyle name="20% - Accent6 5 2 2 6" xfId="10252" xr:uid="{00000000-0005-0000-0000-000094270000}"/>
    <cellStyle name="20% - Accent6 5 2 2 6 2" xfId="34101" xr:uid="{4B00F442-D860-4400-A9EA-D94C3D484253}"/>
    <cellStyle name="20% - Accent6 5 2 2 7" xfId="18207" xr:uid="{00000000-0005-0000-0000-000095270000}"/>
    <cellStyle name="20% - Accent6 5 2 2 7 2" xfId="42039" xr:uid="{99E36808-3FEC-4756-BAF1-8A5BD4FFE4A3}"/>
    <cellStyle name="20% - Accent6 5 2 2 8" xfId="26159" xr:uid="{E36AAE17-1C05-492E-908B-F342A850002B}"/>
    <cellStyle name="20% - Accent6 5 2 2_Exh G" xfId="2632" xr:uid="{00000000-0005-0000-0000-000096270000}"/>
    <cellStyle name="20% - Accent6 5 2 3" xfId="1335" xr:uid="{00000000-0005-0000-0000-000097270000}"/>
    <cellStyle name="20% - Accent6 5 2 3 2" xfId="4862" xr:uid="{00000000-0005-0000-0000-000098270000}"/>
    <cellStyle name="20% - Accent6 5 2 3 2 2" xfId="8453" xr:uid="{00000000-0005-0000-0000-000099270000}"/>
    <cellStyle name="20% - Accent6 5 2 3 2 2 2" xfId="16423" xr:uid="{00000000-0005-0000-0000-00009A270000}"/>
    <cellStyle name="20% - Accent6 5 2 3 2 2 2 2" xfId="40265" xr:uid="{EFBCD369-9839-4E0D-97B1-5A2D96E28827}"/>
    <cellStyle name="20% - Accent6 5 2 3 2 2 3" xfId="24369" xr:uid="{00000000-0005-0000-0000-00009B270000}"/>
    <cellStyle name="20% - Accent6 5 2 3 2 2 3 2" xfId="48201" xr:uid="{A6CECA6B-BFF4-40DF-A64D-3D8AA29244C4}"/>
    <cellStyle name="20% - Accent6 5 2 3 2 2 4" xfId="32324" xr:uid="{CFA0127F-5790-4F2A-A152-96277208E9C4}"/>
    <cellStyle name="20% - Accent6 5 2 3 2 3" xfId="12885" xr:uid="{00000000-0005-0000-0000-00009C270000}"/>
    <cellStyle name="20% - Accent6 5 2 3 2 3 2" xfId="36734" xr:uid="{DBF1F00C-A6A7-4BB1-A1C4-FB928E7BAFA1}"/>
    <cellStyle name="20% - Accent6 5 2 3 2 4" xfId="20840" xr:uid="{00000000-0005-0000-0000-00009D270000}"/>
    <cellStyle name="20% - Accent6 5 2 3 2 4 2" xfId="44672" xr:uid="{70451EA1-ADC5-49BC-9959-7A7BE2727369}"/>
    <cellStyle name="20% - Accent6 5 2 3 2 5" xfId="28793" xr:uid="{F538BFB4-D550-43F7-85F5-FB3C122B1BDD}"/>
    <cellStyle name="20% - Accent6 5 2 3 3" xfId="6694" xr:uid="{00000000-0005-0000-0000-00009E270000}"/>
    <cellStyle name="20% - Accent6 5 2 3 3 2" xfId="14665" xr:uid="{00000000-0005-0000-0000-00009F270000}"/>
    <cellStyle name="20% - Accent6 5 2 3 3 2 2" xfId="38507" xr:uid="{2A3B07E3-DF55-4579-959D-9A843678826D}"/>
    <cellStyle name="20% - Accent6 5 2 3 3 3" xfId="22612" xr:uid="{00000000-0005-0000-0000-0000A0270000}"/>
    <cellStyle name="20% - Accent6 5 2 3 3 3 2" xfId="46444" xr:uid="{86091590-0C19-4E31-B7BE-EDD830B15EBC}"/>
    <cellStyle name="20% - Accent6 5 2 3 3 4" xfId="30566" xr:uid="{AAA58931-93D0-4240-AE09-7E860442367B}"/>
    <cellStyle name="20% - Accent6 5 2 3 4" xfId="11129" xr:uid="{00000000-0005-0000-0000-0000A1270000}"/>
    <cellStyle name="20% - Accent6 5 2 3 4 2" xfId="34978" xr:uid="{E3975711-889C-4243-9A92-9013F53698D7}"/>
    <cellStyle name="20% - Accent6 5 2 3 5" xfId="19084" xr:uid="{00000000-0005-0000-0000-0000A2270000}"/>
    <cellStyle name="20% - Accent6 5 2 3 5 2" xfId="42916" xr:uid="{DEC78A7C-37FF-445B-9BB9-9C468FBC92F1}"/>
    <cellStyle name="20% - Accent6 5 2 3 6" xfId="27036" xr:uid="{2730D3B5-7041-495E-8441-43D1545A5231}"/>
    <cellStyle name="20% - Accent6 5 2 3_Exh G" xfId="2634" xr:uid="{00000000-0005-0000-0000-0000A3270000}"/>
    <cellStyle name="20% - Accent6 5 2 4" xfId="3983" xr:uid="{00000000-0005-0000-0000-0000A4270000}"/>
    <cellStyle name="20% - Accent6 5 2 4 2" xfId="7575" xr:uid="{00000000-0005-0000-0000-0000A5270000}"/>
    <cellStyle name="20% - Accent6 5 2 4 2 2" xfId="15545" xr:uid="{00000000-0005-0000-0000-0000A6270000}"/>
    <cellStyle name="20% - Accent6 5 2 4 2 2 2" xfId="39387" xr:uid="{860EBF57-18C4-4B93-9970-B9425C2EC679}"/>
    <cellStyle name="20% - Accent6 5 2 4 2 3" xfId="23491" xr:uid="{00000000-0005-0000-0000-0000A7270000}"/>
    <cellStyle name="20% - Accent6 5 2 4 2 3 2" xfId="47323" xr:uid="{96A3A01F-D60B-4243-A1FC-28C2DA5F95E2}"/>
    <cellStyle name="20% - Accent6 5 2 4 2 4" xfId="31446" xr:uid="{AAB30309-AA29-497F-B1C8-790AF616F00D}"/>
    <cellStyle name="20% - Accent6 5 2 4 3" xfId="12007" xr:uid="{00000000-0005-0000-0000-0000A8270000}"/>
    <cellStyle name="20% - Accent6 5 2 4 3 2" xfId="35856" xr:uid="{FF03572D-3E04-41CB-A3DE-26664C1A0153}"/>
    <cellStyle name="20% - Accent6 5 2 4 4" xfId="19962" xr:uid="{00000000-0005-0000-0000-0000A9270000}"/>
    <cellStyle name="20% - Accent6 5 2 4 4 2" xfId="43794" xr:uid="{2D949B42-9FD5-4294-8707-643A0A5DBE53}"/>
    <cellStyle name="20% - Accent6 5 2 4 5" xfId="27915" xr:uid="{D3EF0C83-C558-4A6C-AE62-1DFC47F70CB7}"/>
    <cellStyle name="20% - Accent6 5 2 5" xfId="5803" xr:uid="{00000000-0005-0000-0000-0000AA270000}"/>
    <cellStyle name="20% - Accent6 5 2 5 2" xfId="13786" xr:uid="{00000000-0005-0000-0000-0000AB270000}"/>
    <cellStyle name="20% - Accent6 5 2 5 2 2" xfId="37629" xr:uid="{D37228A7-EB71-4307-B2C5-610D225B60DF}"/>
    <cellStyle name="20% - Accent6 5 2 5 3" xfId="21734" xr:uid="{00000000-0005-0000-0000-0000AC270000}"/>
    <cellStyle name="20% - Accent6 5 2 5 3 2" xfId="45566" xr:uid="{DD11C980-9BB0-490A-8323-978FE8B05DB9}"/>
    <cellStyle name="20% - Accent6 5 2 5 4" xfId="29688" xr:uid="{F1F7E313-A784-41F8-A27A-FC2F20B383CB}"/>
    <cellStyle name="20% - Accent6 5 2 6" xfId="9355" xr:uid="{00000000-0005-0000-0000-0000AD270000}"/>
    <cellStyle name="20% - Accent6 5 2 6 2" xfId="17313" xr:uid="{00000000-0005-0000-0000-0000AE270000}"/>
    <cellStyle name="20% - Accent6 5 2 6 2 2" xfId="41153" xr:uid="{847F3E2D-6D57-438C-98F4-AAE275A365D9}"/>
    <cellStyle name="20% - Accent6 5 2 6 3" xfId="25257" xr:uid="{00000000-0005-0000-0000-0000AF270000}"/>
    <cellStyle name="20% - Accent6 5 2 6 3 2" xfId="49089" xr:uid="{852F8D68-ED85-47B8-AD97-2B66C7BFDEBF}"/>
    <cellStyle name="20% - Accent6 5 2 6 4" xfId="33212" xr:uid="{0FDE28A3-6C80-43A4-964E-9081281314BF}"/>
    <cellStyle name="20% - Accent6 5 2 7" xfId="10251" xr:uid="{00000000-0005-0000-0000-0000B0270000}"/>
    <cellStyle name="20% - Accent6 5 2 7 2" xfId="34100" xr:uid="{1AA24EFB-3234-4189-84DE-1DEBA59C8A27}"/>
    <cellStyle name="20% - Accent6 5 2 8" xfId="18206" xr:uid="{00000000-0005-0000-0000-0000B1270000}"/>
    <cellStyle name="20% - Accent6 5 2 8 2" xfId="42038" xr:uid="{7ABC4B3E-B8BC-4BA8-9E83-8218A4B11940}"/>
    <cellStyle name="20% - Accent6 5 2 9" xfId="26158" xr:uid="{C54AE14B-BB59-4EC5-BF21-3634770856CC}"/>
    <cellStyle name="20% - Accent6 5 2_Exh G" xfId="2631" xr:uid="{00000000-0005-0000-0000-0000B2270000}"/>
    <cellStyle name="20% - Accent6 5 3" xfId="311" xr:uid="{00000000-0005-0000-0000-0000B3270000}"/>
    <cellStyle name="20% - Accent6 5 3 2" xfId="1337" xr:uid="{00000000-0005-0000-0000-0000B4270000}"/>
    <cellStyle name="20% - Accent6 5 3 2 2" xfId="4864" xr:uid="{00000000-0005-0000-0000-0000B5270000}"/>
    <cellStyle name="20% - Accent6 5 3 2 2 2" xfId="8455" xr:uid="{00000000-0005-0000-0000-0000B6270000}"/>
    <cellStyle name="20% - Accent6 5 3 2 2 2 2" xfId="16425" xr:uid="{00000000-0005-0000-0000-0000B7270000}"/>
    <cellStyle name="20% - Accent6 5 3 2 2 2 2 2" xfId="40267" xr:uid="{985587A7-D01F-44BE-AE56-7BFE4C580A68}"/>
    <cellStyle name="20% - Accent6 5 3 2 2 2 3" xfId="24371" xr:uid="{00000000-0005-0000-0000-0000B8270000}"/>
    <cellStyle name="20% - Accent6 5 3 2 2 2 3 2" xfId="48203" xr:uid="{636AA1E8-AA3F-4638-AA31-AEB27E4F074A}"/>
    <cellStyle name="20% - Accent6 5 3 2 2 2 4" xfId="32326" xr:uid="{F5D8BDF7-2F07-4F14-83DF-D9079DC85495}"/>
    <cellStyle name="20% - Accent6 5 3 2 2 3" xfId="12887" xr:uid="{00000000-0005-0000-0000-0000B9270000}"/>
    <cellStyle name="20% - Accent6 5 3 2 2 3 2" xfId="36736" xr:uid="{CBCAAA21-20AB-4492-8F05-801B001F97E4}"/>
    <cellStyle name="20% - Accent6 5 3 2 2 4" xfId="20842" xr:uid="{00000000-0005-0000-0000-0000BA270000}"/>
    <cellStyle name="20% - Accent6 5 3 2 2 4 2" xfId="44674" xr:uid="{977E31D2-6BE6-4354-B5B5-9BC36FB300ED}"/>
    <cellStyle name="20% - Accent6 5 3 2 2 5" xfId="28795" xr:uid="{84671D82-CBAA-4F0F-A345-EF5F16B501A1}"/>
    <cellStyle name="20% - Accent6 5 3 2 3" xfId="6696" xr:uid="{00000000-0005-0000-0000-0000BB270000}"/>
    <cellStyle name="20% - Accent6 5 3 2 3 2" xfId="14667" xr:uid="{00000000-0005-0000-0000-0000BC270000}"/>
    <cellStyle name="20% - Accent6 5 3 2 3 2 2" xfId="38509" xr:uid="{A955DEB0-0AA5-4FEB-B337-B42A9CEDC7DE}"/>
    <cellStyle name="20% - Accent6 5 3 2 3 3" xfId="22614" xr:uid="{00000000-0005-0000-0000-0000BD270000}"/>
    <cellStyle name="20% - Accent6 5 3 2 3 3 2" xfId="46446" xr:uid="{A2C00AA9-6F62-4928-8597-D06518584882}"/>
    <cellStyle name="20% - Accent6 5 3 2 3 4" xfId="30568" xr:uid="{BEBA8C5A-7BFA-43E7-A393-DCA3D6715295}"/>
    <cellStyle name="20% - Accent6 5 3 2 4" xfId="11131" xr:uid="{00000000-0005-0000-0000-0000BE270000}"/>
    <cellStyle name="20% - Accent6 5 3 2 4 2" xfId="34980" xr:uid="{DD3C0B4D-3E0D-4479-A836-7ACB5C4CA8CA}"/>
    <cellStyle name="20% - Accent6 5 3 2 5" xfId="19086" xr:uid="{00000000-0005-0000-0000-0000BF270000}"/>
    <cellStyle name="20% - Accent6 5 3 2 5 2" xfId="42918" xr:uid="{2D5B3BC8-8F0D-4F99-B50A-37A8FEC23E02}"/>
    <cellStyle name="20% - Accent6 5 3 2 6" xfId="27038" xr:uid="{4728FE90-0204-49B7-837D-27E317769BF4}"/>
    <cellStyle name="20% - Accent6 5 3 2_Exh G" xfId="2636" xr:uid="{00000000-0005-0000-0000-0000C0270000}"/>
    <cellStyle name="20% - Accent6 5 3 3" xfId="3985" xr:uid="{00000000-0005-0000-0000-0000C1270000}"/>
    <cellStyle name="20% - Accent6 5 3 3 2" xfId="7577" xr:uid="{00000000-0005-0000-0000-0000C2270000}"/>
    <cellStyle name="20% - Accent6 5 3 3 2 2" xfId="15547" xr:uid="{00000000-0005-0000-0000-0000C3270000}"/>
    <cellStyle name="20% - Accent6 5 3 3 2 2 2" xfId="39389" xr:uid="{2C926924-1746-47FE-9D65-BC5E27EA87DF}"/>
    <cellStyle name="20% - Accent6 5 3 3 2 3" xfId="23493" xr:uid="{00000000-0005-0000-0000-0000C4270000}"/>
    <cellStyle name="20% - Accent6 5 3 3 2 3 2" xfId="47325" xr:uid="{D9C12B0A-5346-414D-8B16-9576335B7A2D}"/>
    <cellStyle name="20% - Accent6 5 3 3 2 4" xfId="31448" xr:uid="{D30BBB68-A4BA-4241-BB78-139CBA9A9D5E}"/>
    <cellStyle name="20% - Accent6 5 3 3 3" xfId="12009" xr:uid="{00000000-0005-0000-0000-0000C5270000}"/>
    <cellStyle name="20% - Accent6 5 3 3 3 2" xfId="35858" xr:uid="{56480A94-EC47-4A36-90F2-950AD66EF5D7}"/>
    <cellStyle name="20% - Accent6 5 3 3 4" xfId="19964" xr:uid="{00000000-0005-0000-0000-0000C6270000}"/>
    <cellStyle name="20% - Accent6 5 3 3 4 2" xfId="43796" xr:uid="{312BE6B3-146A-4E6F-9188-9FA74243F00F}"/>
    <cellStyle name="20% - Accent6 5 3 3 5" xfId="27917" xr:uid="{19A5E9EB-F048-47C3-A598-7C4D26A5CA5C}"/>
    <cellStyle name="20% - Accent6 5 3 4" xfId="5805" xr:uid="{00000000-0005-0000-0000-0000C7270000}"/>
    <cellStyle name="20% - Accent6 5 3 4 2" xfId="13788" xr:uid="{00000000-0005-0000-0000-0000C8270000}"/>
    <cellStyle name="20% - Accent6 5 3 4 2 2" xfId="37631" xr:uid="{94635122-CA17-40E9-9730-DA858385F416}"/>
    <cellStyle name="20% - Accent6 5 3 4 3" xfId="21736" xr:uid="{00000000-0005-0000-0000-0000C9270000}"/>
    <cellStyle name="20% - Accent6 5 3 4 3 2" xfId="45568" xr:uid="{BBA01D46-25DD-4A0E-B83A-EE4DEDCFBE96}"/>
    <cellStyle name="20% - Accent6 5 3 4 4" xfId="29690" xr:uid="{8E1FD1DF-259F-45C5-8D1E-F9511AD9BED7}"/>
    <cellStyle name="20% - Accent6 5 3 5" xfId="9357" xr:uid="{00000000-0005-0000-0000-0000CA270000}"/>
    <cellStyle name="20% - Accent6 5 3 5 2" xfId="17315" xr:uid="{00000000-0005-0000-0000-0000CB270000}"/>
    <cellStyle name="20% - Accent6 5 3 5 2 2" xfId="41155" xr:uid="{180692A9-0CC0-49D7-89D6-04B6DD74127E}"/>
    <cellStyle name="20% - Accent6 5 3 5 3" xfId="25259" xr:uid="{00000000-0005-0000-0000-0000CC270000}"/>
    <cellStyle name="20% - Accent6 5 3 5 3 2" xfId="49091" xr:uid="{545E9473-A887-486E-8043-AACEFC02527B}"/>
    <cellStyle name="20% - Accent6 5 3 5 4" xfId="33214" xr:uid="{04BB6217-2D39-431E-8E7C-7127967CD034}"/>
    <cellStyle name="20% - Accent6 5 3 6" xfId="10253" xr:uid="{00000000-0005-0000-0000-0000CD270000}"/>
    <cellStyle name="20% - Accent6 5 3 6 2" xfId="34102" xr:uid="{27F94650-3C1F-43CC-B18B-8D648E2AF25C}"/>
    <cellStyle name="20% - Accent6 5 3 7" xfId="18208" xr:uid="{00000000-0005-0000-0000-0000CE270000}"/>
    <cellStyle name="20% - Accent6 5 3 7 2" xfId="42040" xr:uid="{A41AAF94-7633-4711-A61D-070E74676F6E}"/>
    <cellStyle name="20% - Accent6 5 3 8" xfId="26160" xr:uid="{CDD9E96D-FEBC-41AF-A047-A590099EBF87}"/>
    <cellStyle name="20% - Accent6 5 3_Exh G" xfId="2635" xr:uid="{00000000-0005-0000-0000-0000CF270000}"/>
    <cellStyle name="20% - Accent6 5 4" xfId="926" xr:uid="{00000000-0005-0000-0000-0000D0270000}"/>
    <cellStyle name="20% - Accent6 5 5" xfId="1334" xr:uid="{00000000-0005-0000-0000-0000D1270000}"/>
    <cellStyle name="20% - Accent6 5 5 2" xfId="4861" xr:uid="{00000000-0005-0000-0000-0000D2270000}"/>
    <cellStyle name="20% - Accent6 5 5 2 2" xfId="8452" xr:uid="{00000000-0005-0000-0000-0000D3270000}"/>
    <cellStyle name="20% - Accent6 5 5 2 2 2" xfId="16422" xr:uid="{00000000-0005-0000-0000-0000D4270000}"/>
    <cellStyle name="20% - Accent6 5 5 2 2 2 2" xfId="40264" xr:uid="{7F773458-7FC8-4A07-8B40-82DCB3219EAE}"/>
    <cellStyle name="20% - Accent6 5 5 2 2 3" xfId="24368" xr:uid="{00000000-0005-0000-0000-0000D5270000}"/>
    <cellStyle name="20% - Accent6 5 5 2 2 3 2" xfId="48200" xr:uid="{21E0AAC4-F23D-4E8D-8F1E-A408DF979A69}"/>
    <cellStyle name="20% - Accent6 5 5 2 2 4" xfId="32323" xr:uid="{22D6A13F-51BA-4404-B00A-591B97B79417}"/>
    <cellStyle name="20% - Accent6 5 5 2 3" xfId="12884" xr:uid="{00000000-0005-0000-0000-0000D6270000}"/>
    <cellStyle name="20% - Accent6 5 5 2 3 2" xfId="36733" xr:uid="{9B1F7F63-DBD6-49BC-9A0C-22F712022BE3}"/>
    <cellStyle name="20% - Accent6 5 5 2 4" xfId="20839" xr:uid="{00000000-0005-0000-0000-0000D7270000}"/>
    <cellStyle name="20% - Accent6 5 5 2 4 2" xfId="44671" xr:uid="{54D249C1-0694-4A10-A403-4AF3FFB11649}"/>
    <cellStyle name="20% - Accent6 5 5 2 5" xfId="28792" xr:uid="{EA94E49C-4577-4274-94B4-035B499E12BB}"/>
    <cellStyle name="20% - Accent6 5 5 3" xfId="6693" xr:uid="{00000000-0005-0000-0000-0000D8270000}"/>
    <cellStyle name="20% - Accent6 5 5 3 2" xfId="14664" xr:uid="{00000000-0005-0000-0000-0000D9270000}"/>
    <cellStyle name="20% - Accent6 5 5 3 2 2" xfId="38506" xr:uid="{1C56E8CE-D59D-4FA7-95AE-5BCAF3E6C3D6}"/>
    <cellStyle name="20% - Accent6 5 5 3 3" xfId="22611" xr:uid="{00000000-0005-0000-0000-0000DA270000}"/>
    <cellStyle name="20% - Accent6 5 5 3 3 2" xfId="46443" xr:uid="{212A770A-6E61-4F8A-A4E2-95FDEC5611CD}"/>
    <cellStyle name="20% - Accent6 5 5 3 4" xfId="30565" xr:uid="{152BC3E1-B7B8-4F24-A8BD-EE44C05A747A}"/>
    <cellStyle name="20% - Accent6 5 5 4" xfId="11128" xr:uid="{00000000-0005-0000-0000-0000DB270000}"/>
    <cellStyle name="20% - Accent6 5 5 4 2" xfId="34977" xr:uid="{CA1BBFFE-873C-4E4D-A88B-A9E42A990139}"/>
    <cellStyle name="20% - Accent6 5 5 5" xfId="19083" xr:uid="{00000000-0005-0000-0000-0000DC270000}"/>
    <cellStyle name="20% - Accent6 5 5 5 2" xfId="42915" xr:uid="{14101AB0-9DB5-4CE5-9DD6-5D1B3C0B6DE4}"/>
    <cellStyle name="20% - Accent6 5 5 6" xfId="27035" xr:uid="{4DECF83E-F454-4BCD-B8A0-A0197EB355B3}"/>
    <cellStyle name="20% - Accent6 5 5_Exh G" xfId="2637" xr:uid="{00000000-0005-0000-0000-0000DD270000}"/>
    <cellStyle name="20% - Accent6 5 6" xfId="3982" xr:uid="{00000000-0005-0000-0000-0000DE270000}"/>
    <cellStyle name="20% - Accent6 5 6 2" xfId="7574" xr:uid="{00000000-0005-0000-0000-0000DF270000}"/>
    <cellStyle name="20% - Accent6 5 6 2 2" xfId="15544" xr:uid="{00000000-0005-0000-0000-0000E0270000}"/>
    <cellStyle name="20% - Accent6 5 6 2 2 2" xfId="39386" xr:uid="{DD55E7BB-21CE-408D-9F8A-DD15FAE40CD6}"/>
    <cellStyle name="20% - Accent6 5 6 2 3" xfId="23490" xr:uid="{00000000-0005-0000-0000-0000E1270000}"/>
    <cellStyle name="20% - Accent6 5 6 2 3 2" xfId="47322" xr:uid="{026CAEA4-6F70-4F6C-A2BD-0F239A07F609}"/>
    <cellStyle name="20% - Accent6 5 6 2 4" xfId="31445" xr:uid="{E8EF5933-33C8-4450-A97A-4F8D276CEAC7}"/>
    <cellStyle name="20% - Accent6 5 6 3" xfId="12006" xr:uid="{00000000-0005-0000-0000-0000E2270000}"/>
    <cellStyle name="20% - Accent6 5 6 3 2" xfId="35855" xr:uid="{71AFA413-1B1B-49BB-8E9A-59657AD23242}"/>
    <cellStyle name="20% - Accent6 5 6 4" xfId="19961" xr:uid="{00000000-0005-0000-0000-0000E3270000}"/>
    <cellStyle name="20% - Accent6 5 6 4 2" xfId="43793" xr:uid="{9F6CC42A-32EE-4F2A-91F2-D1B43F62A20A}"/>
    <cellStyle name="20% - Accent6 5 6 5" xfId="27914" xr:uid="{FC893A98-0754-4E9D-B3F2-4970018C5A9B}"/>
    <cellStyle name="20% - Accent6 5 7" xfId="5802" xr:uid="{00000000-0005-0000-0000-0000E4270000}"/>
    <cellStyle name="20% - Accent6 5 7 2" xfId="13785" xr:uid="{00000000-0005-0000-0000-0000E5270000}"/>
    <cellStyle name="20% - Accent6 5 7 2 2" xfId="37628" xr:uid="{4558943D-EBBF-439B-BC71-9E642B65F704}"/>
    <cellStyle name="20% - Accent6 5 7 3" xfId="21733" xr:uid="{00000000-0005-0000-0000-0000E6270000}"/>
    <cellStyle name="20% - Accent6 5 7 3 2" xfId="45565" xr:uid="{5CBD7628-59D1-4C0A-986C-459C7110C69B}"/>
    <cellStyle name="20% - Accent6 5 7 4" xfId="29687" xr:uid="{A4EA7E30-675B-4B7E-980F-637D379C89BA}"/>
    <cellStyle name="20% - Accent6 5 8" xfId="9354" xr:uid="{00000000-0005-0000-0000-0000E7270000}"/>
    <cellStyle name="20% - Accent6 5 8 2" xfId="17312" xr:uid="{00000000-0005-0000-0000-0000E8270000}"/>
    <cellStyle name="20% - Accent6 5 8 2 2" xfId="41152" xr:uid="{960ABDA9-A98A-435D-8564-FBFD0373A203}"/>
    <cellStyle name="20% - Accent6 5 8 3" xfId="25256" xr:uid="{00000000-0005-0000-0000-0000E9270000}"/>
    <cellStyle name="20% - Accent6 5 8 3 2" xfId="49088" xr:uid="{5C97341D-86BE-4067-918E-4B73A67E8889}"/>
    <cellStyle name="20% - Accent6 5 8 4" xfId="33211" xr:uid="{17036F97-2E9C-4DE3-B0B7-DC0E38D67275}"/>
    <cellStyle name="20% - Accent6 5 9" xfId="10250" xr:uid="{00000000-0005-0000-0000-0000EA270000}"/>
    <cellStyle name="20% - Accent6 5 9 2" xfId="34099" xr:uid="{43803CDB-F7AD-4B65-BFCD-CF32217E4840}"/>
    <cellStyle name="20% - Accent6 5_Exh G" xfId="2630" xr:uid="{00000000-0005-0000-0000-0000EB270000}"/>
    <cellStyle name="20% - Accent6 6" xfId="312" xr:uid="{00000000-0005-0000-0000-0000EC270000}"/>
    <cellStyle name="20% - Accent6 6 10" xfId="18209" xr:uid="{00000000-0005-0000-0000-0000ED270000}"/>
    <cellStyle name="20% - Accent6 6 10 2" xfId="42041" xr:uid="{BFC525B6-5A5C-4F11-A34E-0BEB48B51F87}"/>
    <cellStyle name="20% - Accent6 6 11" xfId="26161" xr:uid="{4729303A-B07B-40BF-BBB9-7928398D086E}"/>
    <cellStyle name="20% - Accent6 6 2" xfId="313" xr:uid="{00000000-0005-0000-0000-0000EE270000}"/>
    <cellStyle name="20% - Accent6 6 2 2" xfId="314" xr:uid="{00000000-0005-0000-0000-0000EF270000}"/>
    <cellStyle name="20% - Accent6 6 2 2 2" xfId="1340" xr:uid="{00000000-0005-0000-0000-0000F0270000}"/>
    <cellStyle name="20% - Accent6 6 2 2 2 2" xfId="4867" xr:uid="{00000000-0005-0000-0000-0000F1270000}"/>
    <cellStyle name="20% - Accent6 6 2 2 2 2 2" xfId="8458" xr:uid="{00000000-0005-0000-0000-0000F2270000}"/>
    <cellStyle name="20% - Accent6 6 2 2 2 2 2 2" xfId="16428" xr:uid="{00000000-0005-0000-0000-0000F3270000}"/>
    <cellStyle name="20% - Accent6 6 2 2 2 2 2 2 2" xfId="40270" xr:uid="{8EA6189E-96ED-4E9D-9C19-E935D53B7D67}"/>
    <cellStyle name="20% - Accent6 6 2 2 2 2 2 3" xfId="24374" xr:uid="{00000000-0005-0000-0000-0000F4270000}"/>
    <cellStyle name="20% - Accent6 6 2 2 2 2 2 3 2" xfId="48206" xr:uid="{17A52BB8-BE68-4A4D-A48F-0962E1AB0250}"/>
    <cellStyle name="20% - Accent6 6 2 2 2 2 2 4" xfId="32329" xr:uid="{C256E08A-3863-40D8-90E8-EC352AD1B144}"/>
    <cellStyle name="20% - Accent6 6 2 2 2 2 3" xfId="12890" xr:uid="{00000000-0005-0000-0000-0000F5270000}"/>
    <cellStyle name="20% - Accent6 6 2 2 2 2 3 2" xfId="36739" xr:uid="{F71CAAA7-0824-49F7-8D00-47B6CC4FF30A}"/>
    <cellStyle name="20% - Accent6 6 2 2 2 2 4" xfId="20845" xr:uid="{00000000-0005-0000-0000-0000F6270000}"/>
    <cellStyle name="20% - Accent6 6 2 2 2 2 4 2" xfId="44677" xr:uid="{DB5D2F1B-0EA6-414F-B92E-86BFAAB6B28F}"/>
    <cellStyle name="20% - Accent6 6 2 2 2 2 5" xfId="28798" xr:uid="{7ED3E3C6-B1DF-4E94-B96D-093182340F77}"/>
    <cellStyle name="20% - Accent6 6 2 2 2 3" xfId="6699" xr:uid="{00000000-0005-0000-0000-0000F7270000}"/>
    <cellStyle name="20% - Accent6 6 2 2 2 3 2" xfId="14670" xr:uid="{00000000-0005-0000-0000-0000F8270000}"/>
    <cellStyle name="20% - Accent6 6 2 2 2 3 2 2" xfId="38512" xr:uid="{62189C36-BE73-4EA4-89A5-F897C9AA8262}"/>
    <cellStyle name="20% - Accent6 6 2 2 2 3 3" xfId="22617" xr:uid="{00000000-0005-0000-0000-0000F9270000}"/>
    <cellStyle name="20% - Accent6 6 2 2 2 3 3 2" xfId="46449" xr:uid="{C43DF2DF-A4A6-4D7A-BA23-869925D1B383}"/>
    <cellStyle name="20% - Accent6 6 2 2 2 3 4" xfId="30571" xr:uid="{74BB6A30-7401-4F9A-AE48-274A2ECCB8DB}"/>
    <cellStyle name="20% - Accent6 6 2 2 2 4" xfId="11134" xr:uid="{00000000-0005-0000-0000-0000FA270000}"/>
    <cellStyle name="20% - Accent6 6 2 2 2 4 2" xfId="34983" xr:uid="{DB64A33E-D8C9-4BF9-9BFC-D955ED8D0C9F}"/>
    <cellStyle name="20% - Accent6 6 2 2 2 5" xfId="19089" xr:uid="{00000000-0005-0000-0000-0000FB270000}"/>
    <cellStyle name="20% - Accent6 6 2 2 2 5 2" xfId="42921" xr:uid="{F6A4B3D0-4528-47EA-89EF-0AAA3588437E}"/>
    <cellStyle name="20% - Accent6 6 2 2 2 6" xfId="27041" xr:uid="{6DE0EF4B-1E24-45EA-BF71-AE19CE497890}"/>
    <cellStyle name="20% - Accent6 6 2 2 2_Exh G" xfId="2641" xr:uid="{00000000-0005-0000-0000-0000FC270000}"/>
    <cellStyle name="20% - Accent6 6 2 2 3" xfId="3988" xr:uid="{00000000-0005-0000-0000-0000FD270000}"/>
    <cellStyle name="20% - Accent6 6 2 2 3 2" xfId="7580" xr:uid="{00000000-0005-0000-0000-0000FE270000}"/>
    <cellStyle name="20% - Accent6 6 2 2 3 2 2" xfId="15550" xr:uid="{00000000-0005-0000-0000-0000FF270000}"/>
    <cellStyle name="20% - Accent6 6 2 2 3 2 2 2" xfId="39392" xr:uid="{6BEEA791-BB33-4562-A7BD-CCA976CD92AE}"/>
    <cellStyle name="20% - Accent6 6 2 2 3 2 3" xfId="23496" xr:uid="{00000000-0005-0000-0000-000000280000}"/>
    <cellStyle name="20% - Accent6 6 2 2 3 2 3 2" xfId="47328" xr:uid="{89035C32-0E65-4232-8CF7-CB91A84B9692}"/>
    <cellStyle name="20% - Accent6 6 2 2 3 2 4" xfId="31451" xr:uid="{EEF31D08-9E69-463A-96B2-10F49A4CDE13}"/>
    <cellStyle name="20% - Accent6 6 2 2 3 3" xfId="12012" xr:uid="{00000000-0005-0000-0000-000001280000}"/>
    <cellStyle name="20% - Accent6 6 2 2 3 3 2" xfId="35861" xr:uid="{425F99B2-7FA1-4AF4-AC3F-5F8C63F3CEB4}"/>
    <cellStyle name="20% - Accent6 6 2 2 3 4" xfId="19967" xr:uid="{00000000-0005-0000-0000-000002280000}"/>
    <cellStyle name="20% - Accent6 6 2 2 3 4 2" xfId="43799" xr:uid="{2B348378-04E9-4AC7-892A-1DC721F02B0E}"/>
    <cellStyle name="20% - Accent6 6 2 2 3 5" xfId="27920" xr:uid="{C51D02C1-C747-4A81-9C35-3252A7951D0B}"/>
    <cellStyle name="20% - Accent6 6 2 2 4" xfId="5808" xr:uid="{00000000-0005-0000-0000-000003280000}"/>
    <cellStyle name="20% - Accent6 6 2 2 4 2" xfId="13791" xr:uid="{00000000-0005-0000-0000-000004280000}"/>
    <cellStyle name="20% - Accent6 6 2 2 4 2 2" xfId="37634" xr:uid="{C10DF5EA-4EBC-49FB-9B1C-5C7A3145C42D}"/>
    <cellStyle name="20% - Accent6 6 2 2 4 3" xfId="21739" xr:uid="{00000000-0005-0000-0000-000005280000}"/>
    <cellStyle name="20% - Accent6 6 2 2 4 3 2" xfId="45571" xr:uid="{D9A78D76-56ED-4BB0-9A79-C130BAB1FB67}"/>
    <cellStyle name="20% - Accent6 6 2 2 4 4" xfId="29693" xr:uid="{B1864774-17CA-4A6B-8266-65B30DA4724E}"/>
    <cellStyle name="20% - Accent6 6 2 2 5" xfId="9360" xr:uid="{00000000-0005-0000-0000-000006280000}"/>
    <cellStyle name="20% - Accent6 6 2 2 5 2" xfId="17318" xr:uid="{00000000-0005-0000-0000-000007280000}"/>
    <cellStyle name="20% - Accent6 6 2 2 5 2 2" xfId="41158" xr:uid="{B44F673A-E169-41A8-A6DD-78961C6E47D7}"/>
    <cellStyle name="20% - Accent6 6 2 2 5 3" xfId="25262" xr:uid="{00000000-0005-0000-0000-000008280000}"/>
    <cellStyle name="20% - Accent6 6 2 2 5 3 2" xfId="49094" xr:uid="{5330A825-322C-4DE1-8F43-B355209A2B12}"/>
    <cellStyle name="20% - Accent6 6 2 2 5 4" xfId="33217" xr:uid="{99E021EB-8160-4FD9-BFFC-6BE74E78209D}"/>
    <cellStyle name="20% - Accent6 6 2 2 6" xfId="10256" xr:uid="{00000000-0005-0000-0000-000009280000}"/>
    <cellStyle name="20% - Accent6 6 2 2 6 2" xfId="34105" xr:uid="{4A3E96D0-FE6A-4F78-82DA-712FA06C6E6C}"/>
    <cellStyle name="20% - Accent6 6 2 2 7" xfId="18211" xr:uid="{00000000-0005-0000-0000-00000A280000}"/>
    <cellStyle name="20% - Accent6 6 2 2 7 2" xfId="42043" xr:uid="{44845DF0-42E8-4EDD-A6D8-25F78B7B767D}"/>
    <cellStyle name="20% - Accent6 6 2 2 8" xfId="26163" xr:uid="{53AEC4C8-72C2-4F6E-9F93-8D1668810711}"/>
    <cellStyle name="20% - Accent6 6 2 2_Exh G" xfId="2640" xr:uid="{00000000-0005-0000-0000-00000B280000}"/>
    <cellStyle name="20% - Accent6 6 2 3" xfId="1339" xr:uid="{00000000-0005-0000-0000-00000C280000}"/>
    <cellStyle name="20% - Accent6 6 2 3 2" xfId="4866" xr:uid="{00000000-0005-0000-0000-00000D280000}"/>
    <cellStyle name="20% - Accent6 6 2 3 2 2" xfId="8457" xr:uid="{00000000-0005-0000-0000-00000E280000}"/>
    <cellStyle name="20% - Accent6 6 2 3 2 2 2" xfId="16427" xr:uid="{00000000-0005-0000-0000-00000F280000}"/>
    <cellStyle name="20% - Accent6 6 2 3 2 2 2 2" xfId="40269" xr:uid="{E429D320-CA04-4700-AFFE-BC6012454C96}"/>
    <cellStyle name="20% - Accent6 6 2 3 2 2 3" xfId="24373" xr:uid="{00000000-0005-0000-0000-000010280000}"/>
    <cellStyle name="20% - Accent6 6 2 3 2 2 3 2" xfId="48205" xr:uid="{6078F263-463E-4C39-867B-3168F684F559}"/>
    <cellStyle name="20% - Accent6 6 2 3 2 2 4" xfId="32328" xr:uid="{A74DFA00-5DB9-4939-8B37-0EEEEED1E0A6}"/>
    <cellStyle name="20% - Accent6 6 2 3 2 3" xfId="12889" xr:uid="{00000000-0005-0000-0000-000011280000}"/>
    <cellStyle name="20% - Accent6 6 2 3 2 3 2" xfId="36738" xr:uid="{2EE8FE31-7BFB-4FA8-9665-0C3D5FC7E202}"/>
    <cellStyle name="20% - Accent6 6 2 3 2 4" xfId="20844" xr:uid="{00000000-0005-0000-0000-000012280000}"/>
    <cellStyle name="20% - Accent6 6 2 3 2 4 2" xfId="44676" xr:uid="{224FD1DF-E551-4DED-9C4D-CDDB50EA9350}"/>
    <cellStyle name="20% - Accent6 6 2 3 2 5" xfId="28797" xr:uid="{5AF39B1B-0939-4513-AB0F-15D214B75F9E}"/>
    <cellStyle name="20% - Accent6 6 2 3 3" xfId="6698" xr:uid="{00000000-0005-0000-0000-000013280000}"/>
    <cellStyle name="20% - Accent6 6 2 3 3 2" xfId="14669" xr:uid="{00000000-0005-0000-0000-000014280000}"/>
    <cellStyle name="20% - Accent6 6 2 3 3 2 2" xfId="38511" xr:uid="{67738BEB-AA5E-4A74-9E04-FACE1E2A9D4D}"/>
    <cellStyle name="20% - Accent6 6 2 3 3 3" xfId="22616" xr:uid="{00000000-0005-0000-0000-000015280000}"/>
    <cellStyle name="20% - Accent6 6 2 3 3 3 2" xfId="46448" xr:uid="{A98835BD-254D-40C5-9F9D-9636969083B4}"/>
    <cellStyle name="20% - Accent6 6 2 3 3 4" xfId="30570" xr:uid="{09915E0C-04F2-4C37-8A06-DAB0B3624D9F}"/>
    <cellStyle name="20% - Accent6 6 2 3 4" xfId="11133" xr:uid="{00000000-0005-0000-0000-000016280000}"/>
    <cellStyle name="20% - Accent6 6 2 3 4 2" xfId="34982" xr:uid="{7C6BD81E-6397-417F-9350-D66FC68CABC8}"/>
    <cellStyle name="20% - Accent6 6 2 3 5" xfId="19088" xr:uid="{00000000-0005-0000-0000-000017280000}"/>
    <cellStyle name="20% - Accent6 6 2 3 5 2" xfId="42920" xr:uid="{CAB34820-173F-4479-AE71-12BAE9E0CBBD}"/>
    <cellStyle name="20% - Accent6 6 2 3 6" xfId="27040" xr:uid="{AB4C60A2-B113-4014-AD5A-71F0F34719EA}"/>
    <cellStyle name="20% - Accent6 6 2 3_Exh G" xfId="2642" xr:uid="{00000000-0005-0000-0000-000018280000}"/>
    <cellStyle name="20% - Accent6 6 2 4" xfId="3987" xr:uid="{00000000-0005-0000-0000-000019280000}"/>
    <cellStyle name="20% - Accent6 6 2 4 2" xfId="7579" xr:uid="{00000000-0005-0000-0000-00001A280000}"/>
    <cellStyle name="20% - Accent6 6 2 4 2 2" xfId="15549" xr:uid="{00000000-0005-0000-0000-00001B280000}"/>
    <cellStyle name="20% - Accent6 6 2 4 2 2 2" xfId="39391" xr:uid="{1DB9457B-131C-4BB9-BFC5-1B9C9EA9D498}"/>
    <cellStyle name="20% - Accent6 6 2 4 2 3" xfId="23495" xr:uid="{00000000-0005-0000-0000-00001C280000}"/>
    <cellStyle name="20% - Accent6 6 2 4 2 3 2" xfId="47327" xr:uid="{AFE22377-627D-40B5-99DA-491D39E8B9E1}"/>
    <cellStyle name="20% - Accent6 6 2 4 2 4" xfId="31450" xr:uid="{4108E77E-F6B4-4210-BDF8-D61BFD206EE0}"/>
    <cellStyle name="20% - Accent6 6 2 4 3" xfId="12011" xr:uid="{00000000-0005-0000-0000-00001D280000}"/>
    <cellStyle name="20% - Accent6 6 2 4 3 2" xfId="35860" xr:uid="{BBCD1F11-315C-449E-9DA1-4C46D6CF7F52}"/>
    <cellStyle name="20% - Accent6 6 2 4 4" xfId="19966" xr:uid="{00000000-0005-0000-0000-00001E280000}"/>
    <cellStyle name="20% - Accent6 6 2 4 4 2" xfId="43798" xr:uid="{65A9D9BB-F87B-4B85-A453-79108ECF8A1F}"/>
    <cellStyle name="20% - Accent6 6 2 4 5" xfId="27919" xr:uid="{6ECA9CE0-AE48-4222-879E-CDC6B943F1B1}"/>
    <cellStyle name="20% - Accent6 6 2 5" xfId="5807" xr:uid="{00000000-0005-0000-0000-00001F280000}"/>
    <cellStyle name="20% - Accent6 6 2 5 2" xfId="13790" xr:uid="{00000000-0005-0000-0000-000020280000}"/>
    <cellStyle name="20% - Accent6 6 2 5 2 2" xfId="37633" xr:uid="{F07B6E63-815E-44A2-BE81-B9DE2C810EE8}"/>
    <cellStyle name="20% - Accent6 6 2 5 3" xfId="21738" xr:uid="{00000000-0005-0000-0000-000021280000}"/>
    <cellStyle name="20% - Accent6 6 2 5 3 2" xfId="45570" xr:uid="{4815D0D0-115A-4762-AEDA-C63AA654210B}"/>
    <cellStyle name="20% - Accent6 6 2 5 4" xfId="29692" xr:uid="{B38AF525-148E-4B8D-A12D-1D06090456A8}"/>
    <cellStyle name="20% - Accent6 6 2 6" xfId="9359" xr:uid="{00000000-0005-0000-0000-000022280000}"/>
    <cellStyle name="20% - Accent6 6 2 6 2" xfId="17317" xr:uid="{00000000-0005-0000-0000-000023280000}"/>
    <cellStyle name="20% - Accent6 6 2 6 2 2" xfId="41157" xr:uid="{180E82E0-6326-4400-87F7-A2F0B614A04F}"/>
    <cellStyle name="20% - Accent6 6 2 6 3" xfId="25261" xr:uid="{00000000-0005-0000-0000-000024280000}"/>
    <cellStyle name="20% - Accent6 6 2 6 3 2" xfId="49093" xr:uid="{86088601-8D1D-4E8C-93A4-83681D3770C9}"/>
    <cellStyle name="20% - Accent6 6 2 6 4" xfId="33216" xr:uid="{EAC2CEAD-2A9D-483F-BEC4-36192D33C23F}"/>
    <cellStyle name="20% - Accent6 6 2 7" xfId="10255" xr:uid="{00000000-0005-0000-0000-000025280000}"/>
    <cellStyle name="20% - Accent6 6 2 7 2" xfId="34104" xr:uid="{B6A81770-E07F-482B-A6D8-B35EDD5485B4}"/>
    <cellStyle name="20% - Accent6 6 2 8" xfId="18210" xr:uid="{00000000-0005-0000-0000-000026280000}"/>
    <cellStyle name="20% - Accent6 6 2 8 2" xfId="42042" xr:uid="{5C0ECDF9-706A-439D-8DAC-D67A41E82154}"/>
    <cellStyle name="20% - Accent6 6 2 9" xfId="26162" xr:uid="{D321F3D8-92D4-4685-88B8-81DD3000285A}"/>
    <cellStyle name="20% - Accent6 6 2_Exh G" xfId="2639" xr:uid="{00000000-0005-0000-0000-000027280000}"/>
    <cellStyle name="20% - Accent6 6 3" xfId="315" xr:uid="{00000000-0005-0000-0000-000028280000}"/>
    <cellStyle name="20% - Accent6 6 3 2" xfId="1341" xr:uid="{00000000-0005-0000-0000-000029280000}"/>
    <cellStyle name="20% - Accent6 6 3 2 2" xfId="4868" xr:uid="{00000000-0005-0000-0000-00002A280000}"/>
    <cellStyle name="20% - Accent6 6 3 2 2 2" xfId="8459" xr:uid="{00000000-0005-0000-0000-00002B280000}"/>
    <cellStyle name="20% - Accent6 6 3 2 2 2 2" xfId="16429" xr:uid="{00000000-0005-0000-0000-00002C280000}"/>
    <cellStyle name="20% - Accent6 6 3 2 2 2 2 2" xfId="40271" xr:uid="{71F6940A-C43A-4A1B-94D2-E8B5B1E781D1}"/>
    <cellStyle name="20% - Accent6 6 3 2 2 2 3" xfId="24375" xr:uid="{00000000-0005-0000-0000-00002D280000}"/>
    <cellStyle name="20% - Accent6 6 3 2 2 2 3 2" xfId="48207" xr:uid="{78C76FA4-86E0-4F6A-8F6B-9BF37168D3AE}"/>
    <cellStyle name="20% - Accent6 6 3 2 2 2 4" xfId="32330" xr:uid="{18084F02-AF78-4D27-B3DC-98AE2965393D}"/>
    <cellStyle name="20% - Accent6 6 3 2 2 3" xfId="12891" xr:uid="{00000000-0005-0000-0000-00002E280000}"/>
    <cellStyle name="20% - Accent6 6 3 2 2 3 2" xfId="36740" xr:uid="{60490E95-03EF-4B99-9D28-DD78162E16BD}"/>
    <cellStyle name="20% - Accent6 6 3 2 2 4" xfId="20846" xr:uid="{00000000-0005-0000-0000-00002F280000}"/>
    <cellStyle name="20% - Accent6 6 3 2 2 4 2" xfId="44678" xr:uid="{81AB7A11-CFFB-4677-A421-F4470CABBE9D}"/>
    <cellStyle name="20% - Accent6 6 3 2 2 5" xfId="28799" xr:uid="{92294E69-FB75-43BC-9EBE-AE7EE5A983FB}"/>
    <cellStyle name="20% - Accent6 6 3 2 3" xfId="6700" xr:uid="{00000000-0005-0000-0000-000030280000}"/>
    <cellStyle name="20% - Accent6 6 3 2 3 2" xfId="14671" xr:uid="{00000000-0005-0000-0000-000031280000}"/>
    <cellStyle name="20% - Accent6 6 3 2 3 2 2" xfId="38513" xr:uid="{42292398-9922-490E-9D4B-34C2ADCB5D05}"/>
    <cellStyle name="20% - Accent6 6 3 2 3 3" xfId="22618" xr:uid="{00000000-0005-0000-0000-000032280000}"/>
    <cellStyle name="20% - Accent6 6 3 2 3 3 2" xfId="46450" xr:uid="{CD3FB58B-11E9-4878-B240-0625466E94A4}"/>
    <cellStyle name="20% - Accent6 6 3 2 3 4" xfId="30572" xr:uid="{55920B38-2A24-4CC5-A16A-C2C2A10199F9}"/>
    <cellStyle name="20% - Accent6 6 3 2 4" xfId="11135" xr:uid="{00000000-0005-0000-0000-000033280000}"/>
    <cellStyle name="20% - Accent6 6 3 2 4 2" xfId="34984" xr:uid="{ADB8494F-C57A-45B9-B80A-A7D6DA404489}"/>
    <cellStyle name="20% - Accent6 6 3 2 5" xfId="19090" xr:uid="{00000000-0005-0000-0000-000034280000}"/>
    <cellStyle name="20% - Accent6 6 3 2 5 2" xfId="42922" xr:uid="{A5E01B7A-AC7B-4CED-AB7E-E88BFA488154}"/>
    <cellStyle name="20% - Accent6 6 3 2 6" xfId="27042" xr:uid="{998B7BD5-CAFA-4813-805D-AC4A4C801F1A}"/>
    <cellStyle name="20% - Accent6 6 3 2_Exh G" xfId="2644" xr:uid="{00000000-0005-0000-0000-000035280000}"/>
    <cellStyle name="20% - Accent6 6 3 3" xfId="3989" xr:uid="{00000000-0005-0000-0000-000036280000}"/>
    <cellStyle name="20% - Accent6 6 3 3 2" xfId="7581" xr:uid="{00000000-0005-0000-0000-000037280000}"/>
    <cellStyle name="20% - Accent6 6 3 3 2 2" xfId="15551" xr:uid="{00000000-0005-0000-0000-000038280000}"/>
    <cellStyle name="20% - Accent6 6 3 3 2 2 2" xfId="39393" xr:uid="{2370C9D0-FE6D-4FF7-A4EB-7C3248E9669C}"/>
    <cellStyle name="20% - Accent6 6 3 3 2 3" xfId="23497" xr:uid="{00000000-0005-0000-0000-000039280000}"/>
    <cellStyle name="20% - Accent6 6 3 3 2 3 2" xfId="47329" xr:uid="{92D5F2BE-C94B-438A-8C93-2C8E195704BA}"/>
    <cellStyle name="20% - Accent6 6 3 3 2 4" xfId="31452" xr:uid="{D66EE5D0-9DF4-4E15-99AB-F8FF38BE0D5A}"/>
    <cellStyle name="20% - Accent6 6 3 3 3" xfId="12013" xr:uid="{00000000-0005-0000-0000-00003A280000}"/>
    <cellStyle name="20% - Accent6 6 3 3 3 2" xfId="35862" xr:uid="{EB95A8B8-C88B-44C1-A349-F93CE63AAAB7}"/>
    <cellStyle name="20% - Accent6 6 3 3 4" xfId="19968" xr:uid="{00000000-0005-0000-0000-00003B280000}"/>
    <cellStyle name="20% - Accent6 6 3 3 4 2" xfId="43800" xr:uid="{E52B2E5E-ACD9-41BB-9088-329CAF1560BE}"/>
    <cellStyle name="20% - Accent6 6 3 3 5" xfId="27921" xr:uid="{4DF80F18-5DC5-4161-AA88-968DA5CFD09A}"/>
    <cellStyle name="20% - Accent6 6 3 4" xfId="5809" xr:uid="{00000000-0005-0000-0000-00003C280000}"/>
    <cellStyle name="20% - Accent6 6 3 4 2" xfId="13792" xr:uid="{00000000-0005-0000-0000-00003D280000}"/>
    <cellStyle name="20% - Accent6 6 3 4 2 2" xfId="37635" xr:uid="{EF12AD64-193B-47B7-923E-1AFA1C220A98}"/>
    <cellStyle name="20% - Accent6 6 3 4 3" xfId="21740" xr:uid="{00000000-0005-0000-0000-00003E280000}"/>
    <cellStyle name="20% - Accent6 6 3 4 3 2" xfId="45572" xr:uid="{4AA75F28-EF90-4F14-9BBB-B52E42B7D033}"/>
    <cellStyle name="20% - Accent6 6 3 4 4" xfId="29694" xr:uid="{F552ADEE-71FA-40B0-9DDD-5F9F57AEB3C3}"/>
    <cellStyle name="20% - Accent6 6 3 5" xfId="9361" xr:uid="{00000000-0005-0000-0000-00003F280000}"/>
    <cellStyle name="20% - Accent6 6 3 5 2" xfId="17319" xr:uid="{00000000-0005-0000-0000-000040280000}"/>
    <cellStyle name="20% - Accent6 6 3 5 2 2" xfId="41159" xr:uid="{83A80B13-D61F-421A-BD07-7A4F51B90848}"/>
    <cellStyle name="20% - Accent6 6 3 5 3" xfId="25263" xr:uid="{00000000-0005-0000-0000-000041280000}"/>
    <cellStyle name="20% - Accent6 6 3 5 3 2" xfId="49095" xr:uid="{2A18E287-53FD-41F1-A668-056F2E6D8A88}"/>
    <cellStyle name="20% - Accent6 6 3 5 4" xfId="33218" xr:uid="{E5DE1426-B783-4940-BB53-34D43B357F2A}"/>
    <cellStyle name="20% - Accent6 6 3 6" xfId="10257" xr:uid="{00000000-0005-0000-0000-000042280000}"/>
    <cellStyle name="20% - Accent6 6 3 6 2" xfId="34106" xr:uid="{00E05773-4A8C-49C5-9B67-E25F52B103B7}"/>
    <cellStyle name="20% - Accent6 6 3 7" xfId="18212" xr:uid="{00000000-0005-0000-0000-000043280000}"/>
    <cellStyle name="20% - Accent6 6 3 7 2" xfId="42044" xr:uid="{4E70A7B3-80EC-4D72-B2F8-F9E60B1CDB8E}"/>
    <cellStyle name="20% - Accent6 6 3 8" xfId="26164" xr:uid="{32E4930F-E73E-4E1C-A2ED-3CDE41618C20}"/>
    <cellStyle name="20% - Accent6 6 3_Exh G" xfId="2643" xr:uid="{00000000-0005-0000-0000-000044280000}"/>
    <cellStyle name="20% - Accent6 6 4" xfId="927" xr:uid="{00000000-0005-0000-0000-000045280000}"/>
    <cellStyle name="20% - Accent6 6 4 2" xfId="1848" xr:uid="{00000000-0005-0000-0000-000046280000}"/>
    <cellStyle name="20% - Accent6 6 4 2 2" xfId="5365" xr:uid="{00000000-0005-0000-0000-000047280000}"/>
    <cellStyle name="20% - Accent6 6 4 2 2 2" xfId="8956" xr:uid="{00000000-0005-0000-0000-000048280000}"/>
    <cellStyle name="20% - Accent6 6 4 2 2 2 2" xfId="16926" xr:uid="{00000000-0005-0000-0000-000049280000}"/>
    <cellStyle name="20% - Accent6 6 4 2 2 2 2 2" xfId="40768" xr:uid="{88DC31EB-862B-4D88-8918-97657893E082}"/>
    <cellStyle name="20% - Accent6 6 4 2 2 2 3" xfId="24872" xr:uid="{00000000-0005-0000-0000-00004A280000}"/>
    <cellStyle name="20% - Accent6 6 4 2 2 2 3 2" xfId="48704" xr:uid="{E15E0D32-79C4-491E-8144-568D42848ECF}"/>
    <cellStyle name="20% - Accent6 6 4 2 2 2 4" xfId="32827" xr:uid="{A099FDE4-350D-47DD-AF98-C40E6CEDDCB9}"/>
    <cellStyle name="20% - Accent6 6 4 2 2 3" xfId="13388" xr:uid="{00000000-0005-0000-0000-00004B280000}"/>
    <cellStyle name="20% - Accent6 6 4 2 2 3 2" xfId="37237" xr:uid="{54A09B0D-CF56-4698-AB7D-418BA49ACABD}"/>
    <cellStyle name="20% - Accent6 6 4 2 2 4" xfId="21343" xr:uid="{00000000-0005-0000-0000-00004C280000}"/>
    <cellStyle name="20% - Accent6 6 4 2 2 4 2" xfId="45175" xr:uid="{611C7AEF-7BF3-4C11-9216-59659CBD2FC7}"/>
    <cellStyle name="20% - Accent6 6 4 2 2 5" xfId="29296" xr:uid="{6BBF8D14-3C02-40BF-8A21-2D31E4F2F438}"/>
    <cellStyle name="20% - Accent6 6 4 2 3" xfId="7197" xr:uid="{00000000-0005-0000-0000-00004D280000}"/>
    <cellStyle name="20% - Accent6 6 4 2 3 2" xfId="15168" xr:uid="{00000000-0005-0000-0000-00004E280000}"/>
    <cellStyle name="20% - Accent6 6 4 2 3 2 2" xfId="39010" xr:uid="{182CA49E-BF9D-430B-8CFF-F365A91E2539}"/>
    <cellStyle name="20% - Accent6 6 4 2 3 3" xfId="23115" xr:uid="{00000000-0005-0000-0000-00004F280000}"/>
    <cellStyle name="20% - Accent6 6 4 2 3 3 2" xfId="46947" xr:uid="{38A55521-2C09-46AA-82B0-0F0EF528108E}"/>
    <cellStyle name="20% - Accent6 6 4 2 3 4" xfId="31069" xr:uid="{2021AD5E-E490-4A62-A4CB-3CD55B856F35}"/>
    <cellStyle name="20% - Accent6 6 4 2 4" xfId="11632" xr:uid="{00000000-0005-0000-0000-000050280000}"/>
    <cellStyle name="20% - Accent6 6 4 2 4 2" xfId="35481" xr:uid="{330E3217-2061-4FF1-AD57-7B46817D177F}"/>
    <cellStyle name="20% - Accent6 6 4 2 5" xfId="19587" xr:uid="{00000000-0005-0000-0000-000051280000}"/>
    <cellStyle name="20% - Accent6 6 4 2 5 2" xfId="43419" xr:uid="{F56024EB-F5C1-483E-B6FA-0286316AB26D}"/>
    <cellStyle name="20% - Accent6 6 4 2 6" xfId="27539" xr:uid="{B7768B5A-15B9-44B7-9F8B-E028BFBF0FC0}"/>
    <cellStyle name="20% - Accent6 6 4 2_Exh G" xfId="2646" xr:uid="{00000000-0005-0000-0000-000052280000}"/>
    <cellStyle name="20% - Accent6 6 4 3" xfId="4486" xr:uid="{00000000-0005-0000-0000-000053280000}"/>
    <cellStyle name="20% - Accent6 6 4 3 2" xfId="8078" xr:uid="{00000000-0005-0000-0000-000054280000}"/>
    <cellStyle name="20% - Accent6 6 4 3 2 2" xfId="16048" xr:uid="{00000000-0005-0000-0000-000055280000}"/>
    <cellStyle name="20% - Accent6 6 4 3 2 2 2" xfId="39890" xr:uid="{F1055C00-890B-493D-BEF9-1FB98ECA1952}"/>
    <cellStyle name="20% - Accent6 6 4 3 2 3" xfId="23994" xr:uid="{00000000-0005-0000-0000-000056280000}"/>
    <cellStyle name="20% - Accent6 6 4 3 2 3 2" xfId="47826" xr:uid="{A697B538-609D-4712-970D-08A304BEEDA4}"/>
    <cellStyle name="20% - Accent6 6 4 3 2 4" xfId="31949" xr:uid="{9B9A54F4-853A-4A3B-A09A-B204B8CEA662}"/>
    <cellStyle name="20% - Accent6 6 4 3 3" xfId="12510" xr:uid="{00000000-0005-0000-0000-000057280000}"/>
    <cellStyle name="20% - Accent6 6 4 3 3 2" xfId="36359" xr:uid="{B76AF9D5-189B-4C7A-9126-2F7D6487986D}"/>
    <cellStyle name="20% - Accent6 6 4 3 4" xfId="20465" xr:uid="{00000000-0005-0000-0000-000058280000}"/>
    <cellStyle name="20% - Accent6 6 4 3 4 2" xfId="44297" xr:uid="{A18369F0-E92D-460B-AF89-A3A444971B8B}"/>
    <cellStyle name="20% - Accent6 6 4 3 5" xfId="28418" xr:uid="{CFEC904B-4CDC-44F6-98D3-9C7FC89B2770}"/>
    <cellStyle name="20% - Accent6 6 4 4" xfId="6316" xr:uid="{00000000-0005-0000-0000-000059280000}"/>
    <cellStyle name="20% - Accent6 6 4 4 2" xfId="14290" xr:uid="{00000000-0005-0000-0000-00005A280000}"/>
    <cellStyle name="20% - Accent6 6 4 4 2 2" xfId="38132" xr:uid="{FCFB7DED-2776-4370-9FBB-5C80EB3B8985}"/>
    <cellStyle name="20% - Accent6 6 4 4 3" xfId="22237" xr:uid="{00000000-0005-0000-0000-00005B280000}"/>
    <cellStyle name="20% - Accent6 6 4 4 3 2" xfId="46069" xr:uid="{5A6AAF2D-1928-4430-9011-A70F0D18D51A}"/>
    <cellStyle name="20% - Accent6 6 4 4 4" xfId="30191" xr:uid="{39F5E071-E95C-47F1-88D3-3300E89D549F}"/>
    <cellStyle name="20% - Accent6 6 4 5" xfId="9858" xr:uid="{00000000-0005-0000-0000-00005C280000}"/>
    <cellStyle name="20% - Accent6 6 4 5 2" xfId="17816" xr:uid="{00000000-0005-0000-0000-00005D280000}"/>
    <cellStyle name="20% - Accent6 6 4 5 2 2" xfId="41656" xr:uid="{98F2FB52-2338-40F6-B379-93D79804E218}"/>
    <cellStyle name="20% - Accent6 6 4 5 3" xfId="25760" xr:uid="{00000000-0005-0000-0000-00005E280000}"/>
    <cellStyle name="20% - Accent6 6 4 5 3 2" xfId="49592" xr:uid="{59ACEB3A-A558-4D6E-B944-4B255740BA3B}"/>
    <cellStyle name="20% - Accent6 6 4 5 4" xfId="33715" xr:uid="{0327D7E5-40B7-4C35-B15A-647FFF1C24C7}"/>
    <cellStyle name="20% - Accent6 6 4 6" xfId="10754" xr:uid="{00000000-0005-0000-0000-00005F280000}"/>
    <cellStyle name="20% - Accent6 6 4 6 2" xfId="34603" xr:uid="{224D723D-5F3C-4A6F-8833-FF9F677DFBB6}"/>
    <cellStyle name="20% - Accent6 6 4 7" xfId="18709" xr:uid="{00000000-0005-0000-0000-000060280000}"/>
    <cellStyle name="20% - Accent6 6 4 7 2" xfId="42541" xr:uid="{935026C3-22C5-4608-9B43-C5EA52536262}"/>
    <cellStyle name="20% - Accent6 6 4 8" xfId="26661" xr:uid="{2CA64A40-AEAC-4ADA-AF35-22120869B406}"/>
    <cellStyle name="20% - Accent6 6 4_Exh G" xfId="2645" xr:uid="{00000000-0005-0000-0000-000061280000}"/>
    <cellStyle name="20% - Accent6 6 5" xfId="1338" xr:uid="{00000000-0005-0000-0000-000062280000}"/>
    <cellStyle name="20% - Accent6 6 5 2" xfId="4865" xr:uid="{00000000-0005-0000-0000-000063280000}"/>
    <cellStyle name="20% - Accent6 6 5 2 2" xfId="8456" xr:uid="{00000000-0005-0000-0000-000064280000}"/>
    <cellStyle name="20% - Accent6 6 5 2 2 2" xfId="16426" xr:uid="{00000000-0005-0000-0000-000065280000}"/>
    <cellStyle name="20% - Accent6 6 5 2 2 2 2" xfId="40268" xr:uid="{85E47ACC-D999-40D7-8A54-71B7D5B44B05}"/>
    <cellStyle name="20% - Accent6 6 5 2 2 3" xfId="24372" xr:uid="{00000000-0005-0000-0000-000066280000}"/>
    <cellStyle name="20% - Accent6 6 5 2 2 3 2" xfId="48204" xr:uid="{436B80E7-7E10-4BBE-8DF5-D42B18708FDA}"/>
    <cellStyle name="20% - Accent6 6 5 2 2 4" xfId="32327" xr:uid="{DFE72987-63AD-436A-B6D5-78C7C6009F03}"/>
    <cellStyle name="20% - Accent6 6 5 2 3" xfId="12888" xr:uid="{00000000-0005-0000-0000-000067280000}"/>
    <cellStyle name="20% - Accent6 6 5 2 3 2" xfId="36737" xr:uid="{D60348A8-A596-448B-9F12-E1BC09B87175}"/>
    <cellStyle name="20% - Accent6 6 5 2 4" xfId="20843" xr:uid="{00000000-0005-0000-0000-000068280000}"/>
    <cellStyle name="20% - Accent6 6 5 2 4 2" xfId="44675" xr:uid="{7E02F262-852E-4FDE-BFA9-ACE94677905B}"/>
    <cellStyle name="20% - Accent6 6 5 2 5" xfId="28796" xr:uid="{922365CC-CA25-4960-ABB0-B531D26492E2}"/>
    <cellStyle name="20% - Accent6 6 5 3" xfId="6697" xr:uid="{00000000-0005-0000-0000-000069280000}"/>
    <cellStyle name="20% - Accent6 6 5 3 2" xfId="14668" xr:uid="{00000000-0005-0000-0000-00006A280000}"/>
    <cellStyle name="20% - Accent6 6 5 3 2 2" xfId="38510" xr:uid="{C8C4B044-1143-4036-8B4A-367D78F5EA16}"/>
    <cellStyle name="20% - Accent6 6 5 3 3" xfId="22615" xr:uid="{00000000-0005-0000-0000-00006B280000}"/>
    <cellStyle name="20% - Accent6 6 5 3 3 2" xfId="46447" xr:uid="{2C3F8176-E30D-4115-BB15-BD59F7B815A6}"/>
    <cellStyle name="20% - Accent6 6 5 3 4" xfId="30569" xr:uid="{055948FB-2AA6-43B0-ACAB-AFAC517AC96E}"/>
    <cellStyle name="20% - Accent6 6 5 4" xfId="11132" xr:uid="{00000000-0005-0000-0000-00006C280000}"/>
    <cellStyle name="20% - Accent6 6 5 4 2" xfId="34981" xr:uid="{5133585B-B350-479B-BA08-7D3DC330E477}"/>
    <cellStyle name="20% - Accent6 6 5 5" xfId="19087" xr:uid="{00000000-0005-0000-0000-00006D280000}"/>
    <cellStyle name="20% - Accent6 6 5 5 2" xfId="42919" xr:uid="{3D14FB0D-976A-4732-B608-29351D8BD33C}"/>
    <cellStyle name="20% - Accent6 6 5 6" xfId="27039" xr:uid="{15CDE4F6-AD6B-4768-832D-567CEDB85130}"/>
    <cellStyle name="20% - Accent6 6 5_Exh G" xfId="2647" xr:uid="{00000000-0005-0000-0000-00006E280000}"/>
    <cellStyle name="20% - Accent6 6 6" xfId="3986" xr:uid="{00000000-0005-0000-0000-00006F280000}"/>
    <cellStyle name="20% - Accent6 6 6 2" xfId="7578" xr:uid="{00000000-0005-0000-0000-000070280000}"/>
    <cellStyle name="20% - Accent6 6 6 2 2" xfId="15548" xr:uid="{00000000-0005-0000-0000-000071280000}"/>
    <cellStyle name="20% - Accent6 6 6 2 2 2" xfId="39390" xr:uid="{EB23D5AC-4D1E-4D0F-BAC0-1619134C6B1F}"/>
    <cellStyle name="20% - Accent6 6 6 2 3" xfId="23494" xr:uid="{00000000-0005-0000-0000-000072280000}"/>
    <cellStyle name="20% - Accent6 6 6 2 3 2" xfId="47326" xr:uid="{C82B8904-928C-4A70-B75E-7C468447CD2E}"/>
    <cellStyle name="20% - Accent6 6 6 2 4" xfId="31449" xr:uid="{2C0A256B-30CD-44F1-8FDC-875C7BF8087A}"/>
    <cellStyle name="20% - Accent6 6 6 3" xfId="12010" xr:uid="{00000000-0005-0000-0000-000073280000}"/>
    <cellStyle name="20% - Accent6 6 6 3 2" xfId="35859" xr:uid="{5A4E46B3-CC30-4A1E-89FD-68A076CF11E6}"/>
    <cellStyle name="20% - Accent6 6 6 4" xfId="19965" xr:uid="{00000000-0005-0000-0000-000074280000}"/>
    <cellStyle name="20% - Accent6 6 6 4 2" xfId="43797" xr:uid="{C6FE102F-C272-43C1-8527-3D4C3A443508}"/>
    <cellStyle name="20% - Accent6 6 6 5" xfId="27918" xr:uid="{E3D82256-3C05-4590-AA92-5974BC3F101B}"/>
    <cellStyle name="20% - Accent6 6 7" xfId="5806" xr:uid="{00000000-0005-0000-0000-000075280000}"/>
    <cellStyle name="20% - Accent6 6 7 2" xfId="13789" xr:uid="{00000000-0005-0000-0000-000076280000}"/>
    <cellStyle name="20% - Accent6 6 7 2 2" xfId="37632" xr:uid="{36DE3745-DEB8-4865-8342-4DF4D831DB4C}"/>
    <cellStyle name="20% - Accent6 6 7 3" xfId="21737" xr:uid="{00000000-0005-0000-0000-000077280000}"/>
    <cellStyle name="20% - Accent6 6 7 3 2" xfId="45569" xr:uid="{096B273C-00C5-48C0-A7F7-0DFA3701CD4A}"/>
    <cellStyle name="20% - Accent6 6 7 4" xfId="29691" xr:uid="{03334D4F-4648-4892-BF5A-9C44073810CF}"/>
    <cellStyle name="20% - Accent6 6 8" xfId="9358" xr:uid="{00000000-0005-0000-0000-000078280000}"/>
    <cellStyle name="20% - Accent6 6 8 2" xfId="17316" xr:uid="{00000000-0005-0000-0000-000079280000}"/>
    <cellStyle name="20% - Accent6 6 8 2 2" xfId="41156" xr:uid="{8F5979FA-54F2-40DD-A217-2B60CAE86149}"/>
    <cellStyle name="20% - Accent6 6 8 3" xfId="25260" xr:uid="{00000000-0005-0000-0000-00007A280000}"/>
    <cellStyle name="20% - Accent6 6 8 3 2" xfId="49092" xr:uid="{C7D152BE-7A0B-44A7-A8E9-E9174F31AF50}"/>
    <cellStyle name="20% - Accent6 6 8 4" xfId="33215" xr:uid="{2E4E8434-3B1E-49DB-A66C-AF8CA8FE86E2}"/>
    <cellStyle name="20% - Accent6 6 9" xfId="10254" xr:uid="{00000000-0005-0000-0000-00007B280000}"/>
    <cellStyle name="20% - Accent6 6 9 2" xfId="34103" xr:uid="{FE4186BA-0204-4436-966A-35C28B9863BF}"/>
    <cellStyle name="20% - Accent6 6_Exh G" xfId="2638" xr:uid="{00000000-0005-0000-0000-00007C280000}"/>
    <cellStyle name="20% - Accent6 7" xfId="316" xr:uid="{00000000-0005-0000-0000-00007D280000}"/>
    <cellStyle name="20% - Accent6 7 10" xfId="18213" xr:uid="{00000000-0005-0000-0000-00007E280000}"/>
    <cellStyle name="20% - Accent6 7 10 2" xfId="42045" xr:uid="{637D83D9-B182-4A35-975F-07DA45E06E00}"/>
    <cellStyle name="20% - Accent6 7 11" xfId="26165" xr:uid="{E7429080-DDF8-454B-BAC7-1E45E632A8F3}"/>
    <cellStyle name="20% - Accent6 7 2" xfId="317" xr:uid="{00000000-0005-0000-0000-00007F280000}"/>
    <cellStyle name="20% - Accent6 7 2 2" xfId="318" xr:uid="{00000000-0005-0000-0000-000080280000}"/>
    <cellStyle name="20% - Accent6 7 2 2 2" xfId="1344" xr:uid="{00000000-0005-0000-0000-000081280000}"/>
    <cellStyle name="20% - Accent6 7 2 2 2 2" xfId="4871" xr:uid="{00000000-0005-0000-0000-000082280000}"/>
    <cellStyle name="20% - Accent6 7 2 2 2 2 2" xfId="8462" xr:uid="{00000000-0005-0000-0000-000083280000}"/>
    <cellStyle name="20% - Accent6 7 2 2 2 2 2 2" xfId="16432" xr:uid="{00000000-0005-0000-0000-000084280000}"/>
    <cellStyle name="20% - Accent6 7 2 2 2 2 2 2 2" xfId="40274" xr:uid="{D7964BF4-C63E-4B24-81DB-18E39A856B16}"/>
    <cellStyle name="20% - Accent6 7 2 2 2 2 2 3" xfId="24378" xr:uid="{00000000-0005-0000-0000-000085280000}"/>
    <cellStyle name="20% - Accent6 7 2 2 2 2 2 3 2" xfId="48210" xr:uid="{731F466A-5B73-4DDB-8FF1-D8D1F900170C}"/>
    <cellStyle name="20% - Accent6 7 2 2 2 2 2 4" xfId="32333" xr:uid="{E2CCDBF7-685B-483E-B965-A311AAC82B82}"/>
    <cellStyle name="20% - Accent6 7 2 2 2 2 3" xfId="12894" xr:uid="{00000000-0005-0000-0000-000086280000}"/>
    <cellStyle name="20% - Accent6 7 2 2 2 2 3 2" xfId="36743" xr:uid="{16551A97-0505-4F83-8E62-1B21D09090D4}"/>
    <cellStyle name="20% - Accent6 7 2 2 2 2 4" xfId="20849" xr:uid="{00000000-0005-0000-0000-000087280000}"/>
    <cellStyle name="20% - Accent6 7 2 2 2 2 4 2" xfId="44681" xr:uid="{BE1B8A9C-08FF-4169-9DBF-4E2D2D1F2A3F}"/>
    <cellStyle name="20% - Accent6 7 2 2 2 2 5" xfId="28802" xr:uid="{EEC9C1D7-514F-41C6-ACF8-4A097112E12C}"/>
    <cellStyle name="20% - Accent6 7 2 2 2 3" xfId="6703" xr:uid="{00000000-0005-0000-0000-000088280000}"/>
    <cellStyle name="20% - Accent6 7 2 2 2 3 2" xfId="14674" xr:uid="{00000000-0005-0000-0000-000089280000}"/>
    <cellStyle name="20% - Accent6 7 2 2 2 3 2 2" xfId="38516" xr:uid="{48529549-E9D1-47D2-9918-EBC9DEC0D03D}"/>
    <cellStyle name="20% - Accent6 7 2 2 2 3 3" xfId="22621" xr:uid="{00000000-0005-0000-0000-00008A280000}"/>
    <cellStyle name="20% - Accent6 7 2 2 2 3 3 2" xfId="46453" xr:uid="{37F6C481-FD86-447E-B550-7DFEEB5C9CD9}"/>
    <cellStyle name="20% - Accent6 7 2 2 2 3 4" xfId="30575" xr:uid="{4B2E7DA7-5BB5-41AA-A8CB-11F79F1F34BE}"/>
    <cellStyle name="20% - Accent6 7 2 2 2 4" xfId="11138" xr:uid="{00000000-0005-0000-0000-00008B280000}"/>
    <cellStyle name="20% - Accent6 7 2 2 2 4 2" xfId="34987" xr:uid="{AF8ED922-0040-4322-A583-EB34E3D723E4}"/>
    <cellStyle name="20% - Accent6 7 2 2 2 5" xfId="19093" xr:uid="{00000000-0005-0000-0000-00008C280000}"/>
    <cellStyle name="20% - Accent6 7 2 2 2 5 2" xfId="42925" xr:uid="{849DB006-50B4-41DC-8416-36490616EE25}"/>
    <cellStyle name="20% - Accent6 7 2 2 2 6" xfId="27045" xr:uid="{27BA8001-160A-4667-8036-8ED2282BD6B7}"/>
    <cellStyle name="20% - Accent6 7 2 2 2_Exh G" xfId="2651" xr:uid="{00000000-0005-0000-0000-00008D280000}"/>
    <cellStyle name="20% - Accent6 7 2 2 3" xfId="3992" xr:uid="{00000000-0005-0000-0000-00008E280000}"/>
    <cellStyle name="20% - Accent6 7 2 2 3 2" xfId="7584" xr:uid="{00000000-0005-0000-0000-00008F280000}"/>
    <cellStyle name="20% - Accent6 7 2 2 3 2 2" xfId="15554" xr:uid="{00000000-0005-0000-0000-000090280000}"/>
    <cellStyle name="20% - Accent6 7 2 2 3 2 2 2" xfId="39396" xr:uid="{39845C4F-6F59-4053-A840-DE315EC5F64A}"/>
    <cellStyle name="20% - Accent6 7 2 2 3 2 3" xfId="23500" xr:uid="{00000000-0005-0000-0000-000091280000}"/>
    <cellStyle name="20% - Accent6 7 2 2 3 2 3 2" xfId="47332" xr:uid="{0A720738-CA4A-4D8B-BFBD-09AA3BC601E3}"/>
    <cellStyle name="20% - Accent6 7 2 2 3 2 4" xfId="31455" xr:uid="{50A882AA-8635-40D0-B4A7-1D407397879F}"/>
    <cellStyle name="20% - Accent6 7 2 2 3 3" xfId="12016" xr:uid="{00000000-0005-0000-0000-000092280000}"/>
    <cellStyle name="20% - Accent6 7 2 2 3 3 2" xfId="35865" xr:uid="{EF523EB3-F64E-41E9-A65F-C95F09AC5EB9}"/>
    <cellStyle name="20% - Accent6 7 2 2 3 4" xfId="19971" xr:uid="{00000000-0005-0000-0000-000093280000}"/>
    <cellStyle name="20% - Accent6 7 2 2 3 4 2" xfId="43803" xr:uid="{8A584F17-8685-4C00-9A9F-C96F2A2F69D1}"/>
    <cellStyle name="20% - Accent6 7 2 2 3 5" xfId="27924" xr:uid="{0B6CFE36-7BFF-4B29-AD6B-D6B037CB24BF}"/>
    <cellStyle name="20% - Accent6 7 2 2 4" xfId="5812" xr:uid="{00000000-0005-0000-0000-000094280000}"/>
    <cellStyle name="20% - Accent6 7 2 2 4 2" xfId="13795" xr:uid="{00000000-0005-0000-0000-000095280000}"/>
    <cellStyle name="20% - Accent6 7 2 2 4 2 2" xfId="37638" xr:uid="{2C375A2C-2887-4566-B78D-73653452BE5D}"/>
    <cellStyle name="20% - Accent6 7 2 2 4 3" xfId="21743" xr:uid="{00000000-0005-0000-0000-000096280000}"/>
    <cellStyle name="20% - Accent6 7 2 2 4 3 2" xfId="45575" xr:uid="{856D8E45-2DFA-4687-B524-809E6A79DB50}"/>
    <cellStyle name="20% - Accent6 7 2 2 4 4" xfId="29697" xr:uid="{20573B58-8DC0-4BE2-B427-610AC0BFE3EB}"/>
    <cellStyle name="20% - Accent6 7 2 2 5" xfId="9364" xr:uid="{00000000-0005-0000-0000-000097280000}"/>
    <cellStyle name="20% - Accent6 7 2 2 5 2" xfId="17322" xr:uid="{00000000-0005-0000-0000-000098280000}"/>
    <cellStyle name="20% - Accent6 7 2 2 5 2 2" xfId="41162" xr:uid="{9DFD1BF3-5A2E-4E81-91E7-B0934E66D3C7}"/>
    <cellStyle name="20% - Accent6 7 2 2 5 3" xfId="25266" xr:uid="{00000000-0005-0000-0000-000099280000}"/>
    <cellStyle name="20% - Accent6 7 2 2 5 3 2" xfId="49098" xr:uid="{034621E5-B85F-4A06-B4CA-36018F1B814F}"/>
    <cellStyle name="20% - Accent6 7 2 2 5 4" xfId="33221" xr:uid="{FAC45046-3BDC-4BE0-8BA1-5DD192983FB9}"/>
    <cellStyle name="20% - Accent6 7 2 2 6" xfId="10260" xr:uid="{00000000-0005-0000-0000-00009A280000}"/>
    <cellStyle name="20% - Accent6 7 2 2 6 2" xfId="34109" xr:uid="{9414F382-B6AE-4C12-90BA-C8D2820BDFBA}"/>
    <cellStyle name="20% - Accent6 7 2 2 7" xfId="18215" xr:uid="{00000000-0005-0000-0000-00009B280000}"/>
    <cellStyle name="20% - Accent6 7 2 2 7 2" xfId="42047" xr:uid="{73F8EF19-2B7A-4AC7-9001-167E21943AB4}"/>
    <cellStyle name="20% - Accent6 7 2 2 8" xfId="26167" xr:uid="{786AF331-9AF6-495F-A143-F7DE4DE33026}"/>
    <cellStyle name="20% - Accent6 7 2 2_Exh G" xfId="2650" xr:uid="{00000000-0005-0000-0000-00009C280000}"/>
    <cellStyle name="20% - Accent6 7 2 3" xfId="1343" xr:uid="{00000000-0005-0000-0000-00009D280000}"/>
    <cellStyle name="20% - Accent6 7 2 3 2" xfId="4870" xr:uid="{00000000-0005-0000-0000-00009E280000}"/>
    <cellStyle name="20% - Accent6 7 2 3 2 2" xfId="8461" xr:uid="{00000000-0005-0000-0000-00009F280000}"/>
    <cellStyle name="20% - Accent6 7 2 3 2 2 2" xfId="16431" xr:uid="{00000000-0005-0000-0000-0000A0280000}"/>
    <cellStyle name="20% - Accent6 7 2 3 2 2 2 2" xfId="40273" xr:uid="{371DF75E-A04D-4956-A551-C2B80E02DC89}"/>
    <cellStyle name="20% - Accent6 7 2 3 2 2 3" xfId="24377" xr:uid="{00000000-0005-0000-0000-0000A1280000}"/>
    <cellStyle name="20% - Accent6 7 2 3 2 2 3 2" xfId="48209" xr:uid="{94B58883-CB4E-4E36-9F15-729A2CAB4E7A}"/>
    <cellStyle name="20% - Accent6 7 2 3 2 2 4" xfId="32332" xr:uid="{9217B9D6-7A12-45C3-ABDF-AA0BE6CA1E6C}"/>
    <cellStyle name="20% - Accent6 7 2 3 2 3" xfId="12893" xr:uid="{00000000-0005-0000-0000-0000A2280000}"/>
    <cellStyle name="20% - Accent6 7 2 3 2 3 2" xfId="36742" xr:uid="{346FB813-8B9E-43EE-92AE-6921D646A454}"/>
    <cellStyle name="20% - Accent6 7 2 3 2 4" xfId="20848" xr:uid="{00000000-0005-0000-0000-0000A3280000}"/>
    <cellStyle name="20% - Accent6 7 2 3 2 4 2" xfId="44680" xr:uid="{F160FFF7-637D-4F86-8142-9A7442D87096}"/>
    <cellStyle name="20% - Accent6 7 2 3 2 5" xfId="28801" xr:uid="{DEE12E38-B9F3-4106-AF93-1B3264BE66CD}"/>
    <cellStyle name="20% - Accent6 7 2 3 3" xfId="6702" xr:uid="{00000000-0005-0000-0000-0000A4280000}"/>
    <cellStyle name="20% - Accent6 7 2 3 3 2" xfId="14673" xr:uid="{00000000-0005-0000-0000-0000A5280000}"/>
    <cellStyle name="20% - Accent6 7 2 3 3 2 2" xfId="38515" xr:uid="{B1E7C1EB-E344-48FD-AF4E-910DD6F91AD3}"/>
    <cellStyle name="20% - Accent6 7 2 3 3 3" xfId="22620" xr:uid="{00000000-0005-0000-0000-0000A6280000}"/>
    <cellStyle name="20% - Accent6 7 2 3 3 3 2" xfId="46452" xr:uid="{67E317DA-1730-40B2-92D8-BAC86119CB8C}"/>
    <cellStyle name="20% - Accent6 7 2 3 3 4" xfId="30574" xr:uid="{92A54874-51D8-428E-BBB9-8EAEDF2F73B7}"/>
    <cellStyle name="20% - Accent6 7 2 3 4" xfId="11137" xr:uid="{00000000-0005-0000-0000-0000A7280000}"/>
    <cellStyle name="20% - Accent6 7 2 3 4 2" xfId="34986" xr:uid="{4B8E3B22-BD34-4ADB-8182-1D6BDAAB7129}"/>
    <cellStyle name="20% - Accent6 7 2 3 5" xfId="19092" xr:uid="{00000000-0005-0000-0000-0000A8280000}"/>
    <cellStyle name="20% - Accent6 7 2 3 5 2" xfId="42924" xr:uid="{BA9F2AFD-F462-428A-9DB3-39C0DD3E415B}"/>
    <cellStyle name="20% - Accent6 7 2 3 6" xfId="27044" xr:uid="{6D6BA50E-DC03-4CFB-8A4B-6E1F701B6195}"/>
    <cellStyle name="20% - Accent6 7 2 3_Exh G" xfId="2652" xr:uid="{00000000-0005-0000-0000-0000A9280000}"/>
    <cellStyle name="20% - Accent6 7 2 4" xfId="3991" xr:uid="{00000000-0005-0000-0000-0000AA280000}"/>
    <cellStyle name="20% - Accent6 7 2 4 2" xfId="7583" xr:uid="{00000000-0005-0000-0000-0000AB280000}"/>
    <cellStyle name="20% - Accent6 7 2 4 2 2" xfId="15553" xr:uid="{00000000-0005-0000-0000-0000AC280000}"/>
    <cellStyle name="20% - Accent6 7 2 4 2 2 2" xfId="39395" xr:uid="{65C3A26E-323D-410E-AD7E-5A51DDA6FFF8}"/>
    <cellStyle name="20% - Accent6 7 2 4 2 3" xfId="23499" xr:uid="{00000000-0005-0000-0000-0000AD280000}"/>
    <cellStyle name="20% - Accent6 7 2 4 2 3 2" xfId="47331" xr:uid="{F2D95ED7-B688-49CA-ACA9-8CE1946F6BAD}"/>
    <cellStyle name="20% - Accent6 7 2 4 2 4" xfId="31454" xr:uid="{C6F57557-62C6-4475-8CEE-75B5CE7C5D28}"/>
    <cellStyle name="20% - Accent6 7 2 4 3" xfId="12015" xr:uid="{00000000-0005-0000-0000-0000AE280000}"/>
    <cellStyle name="20% - Accent6 7 2 4 3 2" xfId="35864" xr:uid="{20A99B46-62D8-4A70-9F55-786BAFAE4841}"/>
    <cellStyle name="20% - Accent6 7 2 4 4" xfId="19970" xr:uid="{00000000-0005-0000-0000-0000AF280000}"/>
    <cellStyle name="20% - Accent6 7 2 4 4 2" xfId="43802" xr:uid="{CECB1F07-5898-43F9-A371-E3B5AA37BBCC}"/>
    <cellStyle name="20% - Accent6 7 2 4 5" xfId="27923" xr:uid="{753B2A05-4CD5-4AEC-B217-C11BFEBDA78F}"/>
    <cellStyle name="20% - Accent6 7 2 5" xfId="5811" xr:uid="{00000000-0005-0000-0000-0000B0280000}"/>
    <cellStyle name="20% - Accent6 7 2 5 2" xfId="13794" xr:uid="{00000000-0005-0000-0000-0000B1280000}"/>
    <cellStyle name="20% - Accent6 7 2 5 2 2" xfId="37637" xr:uid="{C229BB94-F5C3-469A-B865-D25B65382EE4}"/>
    <cellStyle name="20% - Accent6 7 2 5 3" xfId="21742" xr:uid="{00000000-0005-0000-0000-0000B2280000}"/>
    <cellStyle name="20% - Accent6 7 2 5 3 2" xfId="45574" xr:uid="{9A424EAE-EA18-4B8A-AB8B-CFFB1D10E430}"/>
    <cellStyle name="20% - Accent6 7 2 5 4" xfId="29696" xr:uid="{D3D04B42-C150-4AA4-9A07-0029FC7B3E7D}"/>
    <cellStyle name="20% - Accent6 7 2 6" xfId="9363" xr:uid="{00000000-0005-0000-0000-0000B3280000}"/>
    <cellStyle name="20% - Accent6 7 2 6 2" xfId="17321" xr:uid="{00000000-0005-0000-0000-0000B4280000}"/>
    <cellStyle name="20% - Accent6 7 2 6 2 2" xfId="41161" xr:uid="{52D4A90D-6487-4C3E-BA2A-B1C270F034B8}"/>
    <cellStyle name="20% - Accent6 7 2 6 3" xfId="25265" xr:uid="{00000000-0005-0000-0000-0000B5280000}"/>
    <cellStyle name="20% - Accent6 7 2 6 3 2" xfId="49097" xr:uid="{4D7C75D4-A3BB-4C9E-9EB1-95473BFDFD16}"/>
    <cellStyle name="20% - Accent6 7 2 6 4" xfId="33220" xr:uid="{0BD4E913-2B34-4BC7-8BC0-E42145C3E304}"/>
    <cellStyle name="20% - Accent6 7 2 7" xfId="10259" xr:uid="{00000000-0005-0000-0000-0000B6280000}"/>
    <cellStyle name="20% - Accent6 7 2 7 2" xfId="34108" xr:uid="{BDB68C51-2B11-4F64-960C-1B106D8E2BFF}"/>
    <cellStyle name="20% - Accent6 7 2 8" xfId="18214" xr:uid="{00000000-0005-0000-0000-0000B7280000}"/>
    <cellStyle name="20% - Accent6 7 2 8 2" xfId="42046" xr:uid="{7D090889-914F-46BD-9A78-9629305B49AE}"/>
    <cellStyle name="20% - Accent6 7 2 9" xfId="26166" xr:uid="{D13DCC81-4888-4394-B286-57C4BFB159B8}"/>
    <cellStyle name="20% - Accent6 7 2_Exh G" xfId="2649" xr:uid="{00000000-0005-0000-0000-0000B8280000}"/>
    <cellStyle name="20% - Accent6 7 3" xfId="319" xr:uid="{00000000-0005-0000-0000-0000B9280000}"/>
    <cellStyle name="20% - Accent6 7 3 2" xfId="1345" xr:uid="{00000000-0005-0000-0000-0000BA280000}"/>
    <cellStyle name="20% - Accent6 7 3 2 2" xfId="4872" xr:uid="{00000000-0005-0000-0000-0000BB280000}"/>
    <cellStyle name="20% - Accent6 7 3 2 2 2" xfId="8463" xr:uid="{00000000-0005-0000-0000-0000BC280000}"/>
    <cellStyle name="20% - Accent6 7 3 2 2 2 2" xfId="16433" xr:uid="{00000000-0005-0000-0000-0000BD280000}"/>
    <cellStyle name="20% - Accent6 7 3 2 2 2 2 2" xfId="40275" xr:uid="{F474887F-F0E7-42E9-ADE8-1C5D3807758B}"/>
    <cellStyle name="20% - Accent6 7 3 2 2 2 3" xfId="24379" xr:uid="{00000000-0005-0000-0000-0000BE280000}"/>
    <cellStyle name="20% - Accent6 7 3 2 2 2 3 2" xfId="48211" xr:uid="{29CD1BE8-524D-4DE8-A80C-79620198A036}"/>
    <cellStyle name="20% - Accent6 7 3 2 2 2 4" xfId="32334" xr:uid="{7C85E2A3-7648-48FC-B6E9-E7C20F1123AB}"/>
    <cellStyle name="20% - Accent6 7 3 2 2 3" xfId="12895" xr:uid="{00000000-0005-0000-0000-0000BF280000}"/>
    <cellStyle name="20% - Accent6 7 3 2 2 3 2" xfId="36744" xr:uid="{F3351540-679F-4024-B002-0C3E3950B158}"/>
    <cellStyle name="20% - Accent6 7 3 2 2 4" xfId="20850" xr:uid="{00000000-0005-0000-0000-0000C0280000}"/>
    <cellStyle name="20% - Accent6 7 3 2 2 4 2" xfId="44682" xr:uid="{6B5E7932-EDFC-4720-B4A7-7D9314923CF2}"/>
    <cellStyle name="20% - Accent6 7 3 2 2 5" xfId="28803" xr:uid="{2328B539-1B44-40EC-AF98-64B4130AB097}"/>
    <cellStyle name="20% - Accent6 7 3 2 3" xfId="6704" xr:uid="{00000000-0005-0000-0000-0000C1280000}"/>
    <cellStyle name="20% - Accent6 7 3 2 3 2" xfId="14675" xr:uid="{00000000-0005-0000-0000-0000C2280000}"/>
    <cellStyle name="20% - Accent6 7 3 2 3 2 2" xfId="38517" xr:uid="{DC30BBBE-4275-43FA-A0AC-02DA05BA903E}"/>
    <cellStyle name="20% - Accent6 7 3 2 3 3" xfId="22622" xr:uid="{00000000-0005-0000-0000-0000C3280000}"/>
    <cellStyle name="20% - Accent6 7 3 2 3 3 2" xfId="46454" xr:uid="{ED253D93-131A-4C7B-B395-3BD88F808C56}"/>
    <cellStyle name="20% - Accent6 7 3 2 3 4" xfId="30576" xr:uid="{8C9CB47A-12BB-4D1E-BEC9-5E654E688CC8}"/>
    <cellStyle name="20% - Accent6 7 3 2 4" xfId="11139" xr:uid="{00000000-0005-0000-0000-0000C4280000}"/>
    <cellStyle name="20% - Accent6 7 3 2 4 2" xfId="34988" xr:uid="{E272F6C7-1CEA-4B4F-B13B-2231F6E55994}"/>
    <cellStyle name="20% - Accent6 7 3 2 5" xfId="19094" xr:uid="{00000000-0005-0000-0000-0000C5280000}"/>
    <cellStyle name="20% - Accent6 7 3 2 5 2" xfId="42926" xr:uid="{7E2A9F9C-47CE-45C1-A91A-AC3E5EAAFD1A}"/>
    <cellStyle name="20% - Accent6 7 3 2 6" xfId="27046" xr:uid="{2669D4FE-D49E-4C8E-9890-9D750C0B4A95}"/>
    <cellStyle name="20% - Accent6 7 3 2_Exh G" xfId="2654" xr:uid="{00000000-0005-0000-0000-0000C6280000}"/>
    <cellStyle name="20% - Accent6 7 3 3" xfId="3993" xr:uid="{00000000-0005-0000-0000-0000C7280000}"/>
    <cellStyle name="20% - Accent6 7 3 3 2" xfId="7585" xr:uid="{00000000-0005-0000-0000-0000C8280000}"/>
    <cellStyle name="20% - Accent6 7 3 3 2 2" xfId="15555" xr:uid="{00000000-0005-0000-0000-0000C9280000}"/>
    <cellStyle name="20% - Accent6 7 3 3 2 2 2" xfId="39397" xr:uid="{1E8A0A09-04AE-4022-AFAE-A38D94F94EDF}"/>
    <cellStyle name="20% - Accent6 7 3 3 2 3" xfId="23501" xr:uid="{00000000-0005-0000-0000-0000CA280000}"/>
    <cellStyle name="20% - Accent6 7 3 3 2 3 2" xfId="47333" xr:uid="{57C7FC24-1FBC-4630-96DC-C580ECB1FC60}"/>
    <cellStyle name="20% - Accent6 7 3 3 2 4" xfId="31456" xr:uid="{49C503B5-5535-4CCE-9E08-4096E162C6E4}"/>
    <cellStyle name="20% - Accent6 7 3 3 3" xfId="12017" xr:uid="{00000000-0005-0000-0000-0000CB280000}"/>
    <cellStyle name="20% - Accent6 7 3 3 3 2" xfId="35866" xr:uid="{8BA4E9C8-0CAA-45F8-A719-64EC391DAB00}"/>
    <cellStyle name="20% - Accent6 7 3 3 4" xfId="19972" xr:uid="{00000000-0005-0000-0000-0000CC280000}"/>
    <cellStyle name="20% - Accent6 7 3 3 4 2" xfId="43804" xr:uid="{77EA9729-532A-4F1F-B106-71494B6C5766}"/>
    <cellStyle name="20% - Accent6 7 3 3 5" xfId="27925" xr:uid="{02E80A45-D7D8-4385-ABCC-ACE7A213BF48}"/>
    <cellStyle name="20% - Accent6 7 3 4" xfId="5813" xr:uid="{00000000-0005-0000-0000-0000CD280000}"/>
    <cellStyle name="20% - Accent6 7 3 4 2" xfId="13796" xr:uid="{00000000-0005-0000-0000-0000CE280000}"/>
    <cellStyle name="20% - Accent6 7 3 4 2 2" xfId="37639" xr:uid="{F0D9BF1C-D614-41EE-A3F1-3288A3620E60}"/>
    <cellStyle name="20% - Accent6 7 3 4 3" xfId="21744" xr:uid="{00000000-0005-0000-0000-0000CF280000}"/>
    <cellStyle name="20% - Accent6 7 3 4 3 2" xfId="45576" xr:uid="{07B2BD80-E9C6-4AED-935E-E1C485882070}"/>
    <cellStyle name="20% - Accent6 7 3 4 4" xfId="29698" xr:uid="{72B898FC-7A29-435F-8840-01D12D73BBAC}"/>
    <cellStyle name="20% - Accent6 7 3 5" xfId="9365" xr:uid="{00000000-0005-0000-0000-0000D0280000}"/>
    <cellStyle name="20% - Accent6 7 3 5 2" xfId="17323" xr:uid="{00000000-0005-0000-0000-0000D1280000}"/>
    <cellStyle name="20% - Accent6 7 3 5 2 2" xfId="41163" xr:uid="{ACC0B1B7-B5A4-4E32-AB8A-ABAF719DE52F}"/>
    <cellStyle name="20% - Accent6 7 3 5 3" xfId="25267" xr:uid="{00000000-0005-0000-0000-0000D2280000}"/>
    <cellStyle name="20% - Accent6 7 3 5 3 2" xfId="49099" xr:uid="{11CD2BF7-3B92-45BF-B3DA-81B3826526F3}"/>
    <cellStyle name="20% - Accent6 7 3 5 4" xfId="33222" xr:uid="{321CB9A7-E20A-4648-86B9-C952CCFA5500}"/>
    <cellStyle name="20% - Accent6 7 3 6" xfId="10261" xr:uid="{00000000-0005-0000-0000-0000D3280000}"/>
    <cellStyle name="20% - Accent6 7 3 6 2" xfId="34110" xr:uid="{BD4B0731-84D6-4C01-AC1B-E948E3CADD4F}"/>
    <cellStyle name="20% - Accent6 7 3 7" xfId="18216" xr:uid="{00000000-0005-0000-0000-0000D4280000}"/>
    <cellStyle name="20% - Accent6 7 3 7 2" xfId="42048" xr:uid="{36BD34A0-2D89-4341-9A87-163D621E36FC}"/>
    <cellStyle name="20% - Accent6 7 3 8" xfId="26168" xr:uid="{A620B479-E1FA-4643-9D0C-D784E6D27A33}"/>
    <cellStyle name="20% - Accent6 7 3_Exh G" xfId="2653" xr:uid="{00000000-0005-0000-0000-0000D5280000}"/>
    <cellStyle name="20% - Accent6 7 4" xfId="928" xr:uid="{00000000-0005-0000-0000-0000D6280000}"/>
    <cellStyle name="20% - Accent6 7 4 2" xfId="1849" xr:uid="{00000000-0005-0000-0000-0000D7280000}"/>
    <cellStyle name="20% - Accent6 7 4 2 2" xfId="5366" xr:uid="{00000000-0005-0000-0000-0000D8280000}"/>
    <cellStyle name="20% - Accent6 7 4 2 2 2" xfId="8957" xr:uid="{00000000-0005-0000-0000-0000D9280000}"/>
    <cellStyle name="20% - Accent6 7 4 2 2 2 2" xfId="16927" xr:uid="{00000000-0005-0000-0000-0000DA280000}"/>
    <cellStyle name="20% - Accent6 7 4 2 2 2 2 2" xfId="40769" xr:uid="{CAFA7AE9-0942-4FFD-98EB-0FA519F2E9B9}"/>
    <cellStyle name="20% - Accent6 7 4 2 2 2 3" xfId="24873" xr:uid="{00000000-0005-0000-0000-0000DB280000}"/>
    <cellStyle name="20% - Accent6 7 4 2 2 2 3 2" xfId="48705" xr:uid="{888805E9-75FD-4862-B813-F0088B5635E3}"/>
    <cellStyle name="20% - Accent6 7 4 2 2 2 4" xfId="32828" xr:uid="{A9E56E5A-2FFA-4749-BB7B-AED0497A24F5}"/>
    <cellStyle name="20% - Accent6 7 4 2 2 3" xfId="13389" xr:uid="{00000000-0005-0000-0000-0000DC280000}"/>
    <cellStyle name="20% - Accent6 7 4 2 2 3 2" xfId="37238" xr:uid="{D3BB89AD-0DF0-4DC0-8FCE-FD270FFF2A73}"/>
    <cellStyle name="20% - Accent6 7 4 2 2 4" xfId="21344" xr:uid="{00000000-0005-0000-0000-0000DD280000}"/>
    <cellStyle name="20% - Accent6 7 4 2 2 4 2" xfId="45176" xr:uid="{6E795D1F-89B5-4D51-BFF9-3910E80C1E31}"/>
    <cellStyle name="20% - Accent6 7 4 2 2 5" xfId="29297" xr:uid="{392BFA1A-A7E5-4CB8-B79B-8E868001FC4F}"/>
    <cellStyle name="20% - Accent6 7 4 2 3" xfId="7198" xr:uid="{00000000-0005-0000-0000-0000DE280000}"/>
    <cellStyle name="20% - Accent6 7 4 2 3 2" xfId="15169" xr:uid="{00000000-0005-0000-0000-0000DF280000}"/>
    <cellStyle name="20% - Accent6 7 4 2 3 2 2" xfId="39011" xr:uid="{1741F10F-77D6-4653-BC2B-3C77CF672D42}"/>
    <cellStyle name="20% - Accent6 7 4 2 3 3" xfId="23116" xr:uid="{00000000-0005-0000-0000-0000E0280000}"/>
    <cellStyle name="20% - Accent6 7 4 2 3 3 2" xfId="46948" xr:uid="{CD07827D-F440-4B91-B5D3-F45A686AFE8D}"/>
    <cellStyle name="20% - Accent6 7 4 2 3 4" xfId="31070" xr:uid="{D04114AF-A1DE-4733-80FD-6C62F6BE6B1A}"/>
    <cellStyle name="20% - Accent6 7 4 2 4" xfId="11633" xr:uid="{00000000-0005-0000-0000-0000E1280000}"/>
    <cellStyle name="20% - Accent6 7 4 2 4 2" xfId="35482" xr:uid="{EEEEA251-4ABE-4BA4-A4C6-2C36C9D68E37}"/>
    <cellStyle name="20% - Accent6 7 4 2 5" xfId="19588" xr:uid="{00000000-0005-0000-0000-0000E2280000}"/>
    <cellStyle name="20% - Accent6 7 4 2 5 2" xfId="43420" xr:uid="{EA3124EF-8707-481C-9CBE-C0893423752E}"/>
    <cellStyle name="20% - Accent6 7 4 2 6" xfId="27540" xr:uid="{53F2FD14-40D3-429F-B4EB-6C9C041767AD}"/>
    <cellStyle name="20% - Accent6 7 4 2_Exh G" xfId="2656" xr:uid="{00000000-0005-0000-0000-0000E3280000}"/>
    <cellStyle name="20% - Accent6 7 4 3" xfId="4487" xr:uid="{00000000-0005-0000-0000-0000E4280000}"/>
    <cellStyle name="20% - Accent6 7 4 3 2" xfId="8079" xr:uid="{00000000-0005-0000-0000-0000E5280000}"/>
    <cellStyle name="20% - Accent6 7 4 3 2 2" xfId="16049" xr:uid="{00000000-0005-0000-0000-0000E6280000}"/>
    <cellStyle name="20% - Accent6 7 4 3 2 2 2" xfId="39891" xr:uid="{F6AE1FC9-CD0A-431B-B6A0-60A84B3BED98}"/>
    <cellStyle name="20% - Accent6 7 4 3 2 3" xfId="23995" xr:uid="{00000000-0005-0000-0000-0000E7280000}"/>
    <cellStyle name="20% - Accent6 7 4 3 2 3 2" xfId="47827" xr:uid="{07FBC122-439F-4DFB-A6FE-DB905FBC3B6A}"/>
    <cellStyle name="20% - Accent6 7 4 3 2 4" xfId="31950" xr:uid="{B6ABD5D6-45FE-4498-B432-D202A16A46A1}"/>
    <cellStyle name="20% - Accent6 7 4 3 3" xfId="12511" xr:uid="{00000000-0005-0000-0000-0000E8280000}"/>
    <cellStyle name="20% - Accent6 7 4 3 3 2" xfId="36360" xr:uid="{C37A7881-79F1-4F36-93CC-36F3C16D1E39}"/>
    <cellStyle name="20% - Accent6 7 4 3 4" xfId="20466" xr:uid="{00000000-0005-0000-0000-0000E9280000}"/>
    <cellStyle name="20% - Accent6 7 4 3 4 2" xfId="44298" xr:uid="{8C3C78C9-95F4-4D65-A559-48E20D5913ED}"/>
    <cellStyle name="20% - Accent6 7 4 3 5" xfId="28419" xr:uid="{83A23E5E-B19F-40E3-92FB-E632B7502D3E}"/>
    <cellStyle name="20% - Accent6 7 4 4" xfId="6317" xr:uid="{00000000-0005-0000-0000-0000EA280000}"/>
    <cellStyle name="20% - Accent6 7 4 4 2" xfId="14291" xr:uid="{00000000-0005-0000-0000-0000EB280000}"/>
    <cellStyle name="20% - Accent6 7 4 4 2 2" xfId="38133" xr:uid="{00049783-B50C-4BA5-9EB7-BBD762FFB80D}"/>
    <cellStyle name="20% - Accent6 7 4 4 3" xfId="22238" xr:uid="{00000000-0005-0000-0000-0000EC280000}"/>
    <cellStyle name="20% - Accent6 7 4 4 3 2" xfId="46070" xr:uid="{D47CA4DF-042C-4BF9-AD36-728BB7C364F0}"/>
    <cellStyle name="20% - Accent6 7 4 4 4" xfId="30192" xr:uid="{F193F334-8398-43E0-955B-0A6C4D296DF9}"/>
    <cellStyle name="20% - Accent6 7 4 5" xfId="9859" xr:uid="{00000000-0005-0000-0000-0000ED280000}"/>
    <cellStyle name="20% - Accent6 7 4 5 2" xfId="17817" xr:uid="{00000000-0005-0000-0000-0000EE280000}"/>
    <cellStyle name="20% - Accent6 7 4 5 2 2" xfId="41657" xr:uid="{BB39DD78-FA62-44A1-83BD-5443262AC1F0}"/>
    <cellStyle name="20% - Accent6 7 4 5 3" xfId="25761" xr:uid="{00000000-0005-0000-0000-0000EF280000}"/>
    <cellStyle name="20% - Accent6 7 4 5 3 2" xfId="49593" xr:uid="{6E513686-0897-476A-B0F6-813A009E7AD5}"/>
    <cellStyle name="20% - Accent6 7 4 5 4" xfId="33716" xr:uid="{981DCE9C-58D3-4C21-9FD4-27D15E22A9B9}"/>
    <cellStyle name="20% - Accent6 7 4 6" xfId="10755" xr:uid="{00000000-0005-0000-0000-0000F0280000}"/>
    <cellStyle name="20% - Accent6 7 4 6 2" xfId="34604" xr:uid="{484D3CF9-2C17-4F92-B581-A493936C918A}"/>
    <cellStyle name="20% - Accent6 7 4 7" xfId="18710" xr:uid="{00000000-0005-0000-0000-0000F1280000}"/>
    <cellStyle name="20% - Accent6 7 4 7 2" xfId="42542" xr:uid="{2BD212D9-960B-425D-9BCD-7428E7443E57}"/>
    <cellStyle name="20% - Accent6 7 4 8" xfId="26662" xr:uid="{606ED111-F808-4284-B026-2C7FA87E66DA}"/>
    <cellStyle name="20% - Accent6 7 4_Exh G" xfId="2655" xr:uid="{00000000-0005-0000-0000-0000F2280000}"/>
    <cellStyle name="20% - Accent6 7 5" xfId="1342" xr:uid="{00000000-0005-0000-0000-0000F3280000}"/>
    <cellStyle name="20% - Accent6 7 5 2" xfId="4869" xr:uid="{00000000-0005-0000-0000-0000F4280000}"/>
    <cellStyle name="20% - Accent6 7 5 2 2" xfId="8460" xr:uid="{00000000-0005-0000-0000-0000F5280000}"/>
    <cellStyle name="20% - Accent6 7 5 2 2 2" xfId="16430" xr:uid="{00000000-0005-0000-0000-0000F6280000}"/>
    <cellStyle name="20% - Accent6 7 5 2 2 2 2" xfId="40272" xr:uid="{15C172F9-205C-4D1D-9A6A-1051885EBA51}"/>
    <cellStyle name="20% - Accent6 7 5 2 2 3" xfId="24376" xr:uid="{00000000-0005-0000-0000-0000F7280000}"/>
    <cellStyle name="20% - Accent6 7 5 2 2 3 2" xfId="48208" xr:uid="{418D1DB5-A7E5-49EF-9E03-2DC2EFD5207A}"/>
    <cellStyle name="20% - Accent6 7 5 2 2 4" xfId="32331" xr:uid="{85112CD6-0932-46EA-8773-E35CE4D36D06}"/>
    <cellStyle name="20% - Accent6 7 5 2 3" xfId="12892" xr:uid="{00000000-0005-0000-0000-0000F8280000}"/>
    <cellStyle name="20% - Accent6 7 5 2 3 2" xfId="36741" xr:uid="{00538702-7B4D-4151-9F2D-6DD569BB3C89}"/>
    <cellStyle name="20% - Accent6 7 5 2 4" xfId="20847" xr:uid="{00000000-0005-0000-0000-0000F9280000}"/>
    <cellStyle name="20% - Accent6 7 5 2 4 2" xfId="44679" xr:uid="{DDE079C1-6AC7-4E75-AB1B-EF41898F7084}"/>
    <cellStyle name="20% - Accent6 7 5 2 5" xfId="28800" xr:uid="{35591EED-69C2-4534-8243-C51628B53F19}"/>
    <cellStyle name="20% - Accent6 7 5 3" xfId="6701" xr:uid="{00000000-0005-0000-0000-0000FA280000}"/>
    <cellStyle name="20% - Accent6 7 5 3 2" xfId="14672" xr:uid="{00000000-0005-0000-0000-0000FB280000}"/>
    <cellStyle name="20% - Accent6 7 5 3 2 2" xfId="38514" xr:uid="{4EBE5595-88BF-4D9C-9426-D3C8FD9B2A6B}"/>
    <cellStyle name="20% - Accent6 7 5 3 3" xfId="22619" xr:uid="{00000000-0005-0000-0000-0000FC280000}"/>
    <cellStyle name="20% - Accent6 7 5 3 3 2" xfId="46451" xr:uid="{9083F2E8-A051-4282-9502-7F65D25A311B}"/>
    <cellStyle name="20% - Accent6 7 5 3 4" xfId="30573" xr:uid="{F67CA743-EE00-4757-8F0E-9D1FE51BDAA5}"/>
    <cellStyle name="20% - Accent6 7 5 4" xfId="11136" xr:uid="{00000000-0005-0000-0000-0000FD280000}"/>
    <cellStyle name="20% - Accent6 7 5 4 2" xfId="34985" xr:uid="{0310B885-0CC7-4FFE-96B5-20BCCF9856BA}"/>
    <cellStyle name="20% - Accent6 7 5 5" xfId="19091" xr:uid="{00000000-0005-0000-0000-0000FE280000}"/>
    <cellStyle name="20% - Accent6 7 5 5 2" xfId="42923" xr:uid="{78B13E85-9272-40E1-86F6-447C2FB9859E}"/>
    <cellStyle name="20% - Accent6 7 5 6" xfId="27043" xr:uid="{45F47A4B-25A4-4050-A440-D5157E871E5F}"/>
    <cellStyle name="20% - Accent6 7 5_Exh G" xfId="2657" xr:uid="{00000000-0005-0000-0000-0000FF280000}"/>
    <cellStyle name="20% - Accent6 7 6" xfId="3990" xr:uid="{00000000-0005-0000-0000-000000290000}"/>
    <cellStyle name="20% - Accent6 7 6 2" xfId="7582" xr:uid="{00000000-0005-0000-0000-000001290000}"/>
    <cellStyle name="20% - Accent6 7 6 2 2" xfId="15552" xr:uid="{00000000-0005-0000-0000-000002290000}"/>
    <cellStyle name="20% - Accent6 7 6 2 2 2" xfId="39394" xr:uid="{06F9E3D4-A35A-402A-B17B-14EC88D8EE11}"/>
    <cellStyle name="20% - Accent6 7 6 2 3" xfId="23498" xr:uid="{00000000-0005-0000-0000-000003290000}"/>
    <cellStyle name="20% - Accent6 7 6 2 3 2" xfId="47330" xr:uid="{DBBE33CB-DFE2-48C5-9226-26304776B1C7}"/>
    <cellStyle name="20% - Accent6 7 6 2 4" xfId="31453" xr:uid="{CDB8FBBD-24BB-4B25-B737-23AE26C1FECD}"/>
    <cellStyle name="20% - Accent6 7 6 3" xfId="12014" xr:uid="{00000000-0005-0000-0000-000004290000}"/>
    <cellStyle name="20% - Accent6 7 6 3 2" xfId="35863" xr:uid="{36295A84-0214-48A2-B905-B3E8C2313688}"/>
    <cellStyle name="20% - Accent6 7 6 4" xfId="19969" xr:uid="{00000000-0005-0000-0000-000005290000}"/>
    <cellStyle name="20% - Accent6 7 6 4 2" xfId="43801" xr:uid="{A1AF2D87-2559-49AC-A55C-31242B3D050D}"/>
    <cellStyle name="20% - Accent6 7 6 5" xfId="27922" xr:uid="{4B3B04BD-FA77-468F-A661-ED053CB9F4ED}"/>
    <cellStyle name="20% - Accent6 7 7" xfId="5810" xr:uid="{00000000-0005-0000-0000-000006290000}"/>
    <cellStyle name="20% - Accent6 7 7 2" xfId="13793" xr:uid="{00000000-0005-0000-0000-000007290000}"/>
    <cellStyle name="20% - Accent6 7 7 2 2" xfId="37636" xr:uid="{5F6BF118-BC68-414E-8CDF-0259E29CB178}"/>
    <cellStyle name="20% - Accent6 7 7 3" xfId="21741" xr:uid="{00000000-0005-0000-0000-000008290000}"/>
    <cellStyle name="20% - Accent6 7 7 3 2" xfId="45573" xr:uid="{273273AF-889D-435D-9F02-FA27BBDD6945}"/>
    <cellStyle name="20% - Accent6 7 7 4" xfId="29695" xr:uid="{A56FF251-0DED-4E7A-948D-8F3AD85FADDF}"/>
    <cellStyle name="20% - Accent6 7 8" xfId="9362" xr:uid="{00000000-0005-0000-0000-000009290000}"/>
    <cellStyle name="20% - Accent6 7 8 2" xfId="17320" xr:uid="{00000000-0005-0000-0000-00000A290000}"/>
    <cellStyle name="20% - Accent6 7 8 2 2" xfId="41160" xr:uid="{4BE0F2DA-2B62-4C2C-A28F-A134620AFAF6}"/>
    <cellStyle name="20% - Accent6 7 8 3" xfId="25264" xr:uid="{00000000-0005-0000-0000-00000B290000}"/>
    <cellStyle name="20% - Accent6 7 8 3 2" xfId="49096" xr:uid="{9D7D8F46-D731-46BD-978D-FA1386B36031}"/>
    <cellStyle name="20% - Accent6 7 8 4" xfId="33219" xr:uid="{AA4F169F-070B-4064-A803-E72A1964EBD8}"/>
    <cellStyle name="20% - Accent6 7 9" xfId="10258" xr:uid="{00000000-0005-0000-0000-00000C290000}"/>
    <cellStyle name="20% - Accent6 7 9 2" xfId="34107" xr:uid="{5177B7FC-D4AE-4A4A-9D2D-E789DC610B09}"/>
    <cellStyle name="20% - Accent6 7_Exh G" xfId="2648" xr:uid="{00000000-0005-0000-0000-00000D290000}"/>
    <cellStyle name="20% - Accent6 8" xfId="320" xr:uid="{00000000-0005-0000-0000-00000E290000}"/>
    <cellStyle name="20% - Accent6 8 10" xfId="18217" xr:uid="{00000000-0005-0000-0000-00000F290000}"/>
    <cellStyle name="20% - Accent6 8 10 2" xfId="42049" xr:uid="{1A24EECB-5E2D-4F62-8534-CBD6EAE0BAFD}"/>
    <cellStyle name="20% - Accent6 8 11" xfId="26169" xr:uid="{24524BB6-F7A1-42D8-9771-4DCC85BEC64F}"/>
    <cellStyle name="20% - Accent6 8 2" xfId="321" xr:uid="{00000000-0005-0000-0000-000010290000}"/>
    <cellStyle name="20% - Accent6 8 2 2" xfId="322" xr:uid="{00000000-0005-0000-0000-000011290000}"/>
    <cellStyle name="20% - Accent6 8 2 2 2" xfId="1348" xr:uid="{00000000-0005-0000-0000-000012290000}"/>
    <cellStyle name="20% - Accent6 8 2 2 2 2" xfId="4875" xr:uid="{00000000-0005-0000-0000-000013290000}"/>
    <cellStyle name="20% - Accent6 8 2 2 2 2 2" xfId="8466" xr:uid="{00000000-0005-0000-0000-000014290000}"/>
    <cellStyle name="20% - Accent6 8 2 2 2 2 2 2" xfId="16436" xr:uid="{00000000-0005-0000-0000-000015290000}"/>
    <cellStyle name="20% - Accent6 8 2 2 2 2 2 2 2" xfId="40278" xr:uid="{F11E175F-8878-4F0C-B442-975FC8212BBB}"/>
    <cellStyle name="20% - Accent6 8 2 2 2 2 2 3" xfId="24382" xr:uid="{00000000-0005-0000-0000-000016290000}"/>
    <cellStyle name="20% - Accent6 8 2 2 2 2 2 3 2" xfId="48214" xr:uid="{AE7F4E29-8254-4693-B2F7-7A97E14FDBA7}"/>
    <cellStyle name="20% - Accent6 8 2 2 2 2 2 4" xfId="32337" xr:uid="{AA13AB8E-5937-4B28-BE1B-DB35C5EA163F}"/>
    <cellStyle name="20% - Accent6 8 2 2 2 2 3" xfId="12898" xr:uid="{00000000-0005-0000-0000-000017290000}"/>
    <cellStyle name="20% - Accent6 8 2 2 2 2 3 2" xfId="36747" xr:uid="{11AE2DB7-ABF4-4573-B77D-3E970A0ABDD3}"/>
    <cellStyle name="20% - Accent6 8 2 2 2 2 4" xfId="20853" xr:uid="{00000000-0005-0000-0000-000018290000}"/>
    <cellStyle name="20% - Accent6 8 2 2 2 2 4 2" xfId="44685" xr:uid="{E077AEF4-940F-4557-9A92-777AB419F516}"/>
    <cellStyle name="20% - Accent6 8 2 2 2 2 5" xfId="28806" xr:uid="{3F2CF759-50B2-4D99-AF34-A35C252D460C}"/>
    <cellStyle name="20% - Accent6 8 2 2 2 3" xfId="6707" xr:uid="{00000000-0005-0000-0000-000019290000}"/>
    <cellStyle name="20% - Accent6 8 2 2 2 3 2" xfId="14678" xr:uid="{00000000-0005-0000-0000-00001A290000}"/>
    <cellStyle name="20% - Accent6 8 2 2 2 3 2 2" xfId="38520" xr:uid="{038C997F-0C87-4545-880B-75C1FA5512D8}"/>
    <cellStyle name="20% - Accent6 8 2 2 2 3 3" xfId="22625" xr:uid="{00000000-0005-0000-0000-00001B290000}"/>
    <cellStyle name="20% - Accent6 8 2 2 2 3 3 2" xfId="46457" xr:uid="{E466BB94-F1F1-4962-BA09-AC5DCD5D35FF}"/>
    <cellStyle name="20% - Accent6 8 2 2 2 3 4" xfId="30579" xr:uid="{5D1FB1A8-4EB8-49FA-919F-9423B2B802CC}"/>
    <cellStyle name="20% - Accent6 8 2 2 2 4" xfId="11142" xr:uid="{00000000-0005-0000-0000-00001C290000}"/>
    <cellStyle name="20% - Accent6 8 2 2 2 4 2" xfId="34991" xr:uid="{C26681CD-D5E4-46C2-8044-5E4DF2571708}"/>
    <cellStyle name="20% - Accent6 8 2 2 2 5" xfId="19097" xr:uid="{00000000-0005-0000-0000-00001D290000}"/>
    <cellStyle name="20% - Accent6 8 2 2 2 5 2" xfId="42929" xr:uid="{910BE146-12EA-4E90-8D88-C1D078D0F6BD}"/>
    <cellStyle name="20% - Accent6 8 2 2 2 6" xfId="27049" xr:uid="{79ED6891-57E3-4CB1-9404-79FADC6D8C95}"/>
    <cellStyle name="20% - Accent6 8 2 2 2_Exh G" xfId="2661" xr:uid="{00000000-0005-0000-0000-00001E290000}"/>
    <cellStyle name="20% - Accent6 8 2 2 3" xfId="3996" xr:uid="{00000000-0005-0000-0000-00001F290000}"/>
    <cellStyle name="20% - Accent6 8 2 2 3 2" xfId="7588" xr:uid="{00000000-0005-0000-0000-000020290000}"/>
    <cellStyle name="20% - Accent6 8 2 2 3 2 2" xfId="15558" xr:uid="{00000000-0005-0000-0000-000021290000}"/>
    <cellStyle name="20% - Accent6 8 2 2 3 2 2 2" xfId="39400" xr:uid="{C95C5278-E91F-4D80-99EF-DDE87C0E04F0}"/>
    <cellStyle name="20% - Accent6 8 2 2 3 2 3" xfId="23504" xr:uid="{00000000-0005-0000-0000-000022290000}"/>
    <cellStyle name="20% - Accent6 8 2 2 3 2 3 2" xfId="47336" xr:uid="{A78341E1-037C-49FB-A790-765FECE6E411}"/>
    <cellStyle name="20% - Accent6 8 2 2 3 2 4" xfId="31459" xr:uid="{EE8CEEAF-0997-49B6-A10F-962C9280A158}"/>
    <cellStyle name="20% - Accent6 8 2 2 3 3" xfId="12020" xr:uid="{00000000-0005-0000-0000-000023290000}"/>
    <cellStyle name="20% - Accent6 8 2 2 3 3 2" xfId="35869" xr:uid="{58C31241-1C5B-455A-B4D5-4FF33250543F}"/>
    <cellStyle name="20% - Accent6 8 2 2 3 4" xfId="19975" xr:uid="{00000000-0005-0000-0000-000024290000}"/>
    <cellStyle name="20% - Accent6 8 2 2 3 4 2" xfId="43807" xr:uid="{75F696F2-8B29-4EDC-B1C7-C56CFCC5387B}"/>
    <cellStyle name="20% - Accent6 8 2 2 3 5" xfId="27928" xr:uid="{B4F668E4-6920-46F2-BAB6-DE4703A21B3F}"/>
    <cellStyle name="20% - Accent6 8 2 2 4" xfId="5816" xr:uid="{00000000-0005-0000-0000-000025290000}"/>
    <cellStyle name="20% - Accent6 8 2 2 4 2" xfId="13799" xr:uid="{00000000-0005-0000-0000-000026290000}"/>
    <cellStyle name="20% - Accent6 8 2 2 4 2 2" xfId="37642" xr:uid="{E7696333-B660-4403-80F9-ABB21D170AD5}"/>
    <cellStyle name="20% - Accent6 8 2 2 4 3" xfId="21747" xr:uid="{00000000-0005-0000-0000-000027290000}"/>
    <cellStyle name="20% - Accent6 8 2 2 4 3 2" xfId="45579" xr:uid="{26162AFF-894C-43B9-B908-AA0C72772EF4}"/>
    <cellStyle name="20% - Accent6 8 2 2 4 4" xfId="29701" xr:uid="{42B131A7-10E1-4525-84E7-8C93A7E24AF6}"/>
    <cellStyle name="20% - Accent6 8 2 2 5" xfId="9368" xr:uid="{00000000-0005-0000-0000-000028290000}"/>
    <cellStyle name="20% - Accent6 8 2 2 5 2" xfId="17326" xr:uid="{00000000-0005-0000-0000-000029290000}"/>
    <cellStyle name="20% - Accent6 8 2 2 5 2 2" xfId="41166" xr:uid="{4FEB9DEE-D844-4E0A-9EEF-834B21EEFE45}"/>
    <cellStyle name="20% - Accent6 8 2 2 5 3" xfId="25270" xr:uid="{00000000-0005-0000-0000-00002A290000}"/>
    <cellStyle name="20% - Accent6 8 2 2 5 3 2" xfId="49102" xr:uid="{2B7A00C9-C558-43C4-95A1-554F5DA0A91F}"/>
    <cellStyle name="20% - Accent6 8 2 2 5 4" xfId="33225" xr:uid="{0C24055C-A14C-480C-A265-839FBC88B8FB}"/>
    <cellStyle name="20% - Accent6 8 2 2 6" xfId="10264" xr:uid="{00000000-0005-0000-0000-00002B290000}"/>
    <cellStyle name="20% - Accent6 8 2 2 6 2" xfId="34113" xr:uid="{2E69F190-D64B-4BFC-82F0-0672AB3260C1}"/>
    <cellStyle name="20% - Accent6 8 2 2 7" xfId="18219" xr:uid="{00000000-0005-0000-0000-00002C290000}"/>
    <cellStyle name="20% - Accent6 8 2 2 7 2" xfId="42051" xr:uid="{0A843CB8-2886-4C2D-861E-2142998FA820}"/>
    <cellStyle name="20% - Accent6 8 2 2 8" xfId="26171" xr:uid="{D5A3BE5E-0045-4936-9DD1-ADE192AFEDA8}"/>
    <cellStyle name="20% - Accent6 8 2 2_Exh G" xfId="2660" xr:uid="{00000000-0005-0000-0000-00002D290000}"/>
    <cellStyle name="20% - Accent6 8 2 3" xfId="1347" xr:uid="{00000000-0005-0000-0000-00002E290000}"/>
    <cellStyle name="20% - Accent6 8 2 3 2" xfId="4874" xr:uid="{00000000-0005-0000-0000-00002F290000}"/>
    <cellStyle name="20% - Accent6 8 2 3 2 2" xfId="8465" xr:uid="{00000000-0005-0000-0000-000030290000}"/>
    <cellStyle name="20% - Accent6 8 2 3 2 2 2" xfId="16435" xr:uid="{00000000-0005-0000-0000-000031290000}"/>
    <cellStyle name="20% - Accent6 8 2 3 2 2 2 2" xfId="40277" xr:uid="{5898BD21-F9F9-40EC-82E1-1A9FB6ACBB68}"/>
    <cellStyle name="20% - Accent6 8 2 3 2 2 3" xfId="24381" xr:uid="{00000000-0005-0000-0000-000032290000}"/>
    <cellStyle name="20% - Accent6 8 2 3 2 2 3 2" xfId="48213" xr:uid="{BFB6C5D8-9686-4599-A169-97A6E1F2C912}"/>
    <cellStyle name="20% - Accent6 8 2 3 2 2 4" xfId="32336" xr:uid="{843931DF-CB1B-4946-A107-759F60F494D9}"/>
    <cellStyle name="20% - Accent6 8 2 3 2 3" xfId="12897" xr:uid="{00000000-0005-0000-0000-000033290000}"/>
    <cellStyle name="20% - Accent6 8 2 3 2 3 2" xfId="36746" xr:uid="{56D46679-D543-48EC-81D0-D21727F96B0E}"/>
    <cellStyle name="20% - Accent6 8 2 3 2 4" xfId="20852" xr:uid="{00000000-0005-0000-0000-000034290000}"/>
    <cellStyle name="20% - Accent6 8 2 3 2 4 2" xfId="44684" xr:uid="{42C51098-9D66-4AD2-8B62-8F7263982FC3}"/>
    <cellStyle name="20% - Accent6 8 2 3 2 5" xfId="28805" xr:uid="{F4FD30D1-DAD1-47C7-A11D-7B28BC17D878}"/>
    <cellStyle name="20% - Accent6 8 2 3 3" xfId="6706" xr:uid="{00000000-0005-0000-0000-000035290000}"/>
    <cellStyle name="20% - Accent6 8 2 3 3 2" xfId="14677" xr:uid="{00000000-0005-0000-0000-000036290000}"/>
    <cellStyle name="20% - Accent6 8 2 3 3 2 2" xfId="38519" xr:uid="{2772E8FD-E771-479E-82A6-D8941326C7DE}"/>
    <cellStyle name="20% - Accent6 8 2 3 3 3" xfId="22624" xr:uid="{00000000-0005-0000-0000-000037290000}"/>
    <cellStyle name="20% - Accent6 8 2 3 3 3 2" xfId="46456" xr:uid="{581482F9-8C6B-487C-9822-957A53BC91A1}"/>
    <cellStyle name="20% - Accent6 8 2 3 3 4" xfId="30578" xr:uid="{A392503D-2016-42D2-8DE5-63E0BD0028C3}"/>
    <cellStyle name="20% - Accent6 8 2 3 4" xfId="11141" xr:uid="{00000000-0005-0000-0000-000038290000}"/>
    <cellStyle name="20% - Accent6 8 2 3 4 2" xfId="34990" xr:uid="{5A49FE9C-6689-43A0-A607-0A2A87C265BD}"/>
    <cellStyle name="20% - Accent6 8 2 3 5" xfId="19096" xr:uid="{00000000-0005-0000-0000-000039290000}"/>
    <cellStyle name="20% - Accent6 8 2 3 5 2" xfId="42928" xr:uid="{865B6252-4E25-43A4-BD9F-0B037E72A1E4}"/>
    <cellStyle name="20% - Accent6 8 2 3 6" xfId="27048" xr:uid="{51298DAE-5C0C-4D10-BDCA-65602B4D221E}"/>
    <cellStyle name="20% - Accent6 8 2 3_Exh G" xfId="2662" xr:uid="{00000000-0005-0000-0000-00003A290000}"/>
    <cellStyle name="20% - Accent6 8 2 4" xfId="3995" xr:uid="{00000000-0005-0000-0000-00003B290000}"/>
    <cellStyle name="20% - Accent6 8 2 4 2" xfId="7587" xr:uid="{00000000-0005-0000-0000-00003C290000}"/>
    <cellStyle name="20% - Accent6 8 2 4 2 2" xfId="15557" xr:uid="{00000000-0005-0000-0000-00003D290000}"/>
    <cellStyle name="20% - Accent6 8 2 4 2 2 2" xfId="39399" xr:uid="{D5B91A83-9201-4C1D-AFD0-9FBBDEA05367}"/>
    <cellStyle name="20% - Accent6 8 2 4 2 3" xfId="23503" xr:uid="{00000000-0005-0000-0000-00003E290000}"/>
    <cellStyle name="20% - Accent6 8 2 4 2 3 2" xfId="47335" xr:uid="{989ABABC-0123-440D-93DE-24791A96E8EA}"/>
    <cellStyle name="20% - Accent6 8 2 4 2 4" xfId="31458" xr:uid="{83BB3750-1077-45C0-A0EA-D0FA847C7B2A}"/>
    <cellStyle name="20% - Accent6 8 2 4 3" xfId="12019" xr:uid="{00000000-0005-0000-0000-00003F290000}"/>
    <cellStyle name="20% - Accent6 8 2 4 3 2" xfId="35868" xr:uid="{69220A07-C4C4-4B80-8082-3A0CBC2D156E}"/>
    <cellStyle name="20% - Accent6 8 2 4 4" xfId="19974" xr:uid="{00000000-0005-0000-0000-000040290000}"/>
    <cellStyle name="20% - Accent6 8 2 4 4 2" xfId="43806" xr:uid="{49B54F41-363C-45F2-8074-11B2A58DD88A}"/>
    <cellStyle name="20% - Accent6 8 2 4 5" xfId="27927" xr:uid="{05A655C1-2818-4656-B2AA-4F9F843D590E}"/>
    <cellStyle name="20% - Accent6 8 2 5" xfId="5815" xr:uid="{00000000-0005-0000-0000-000041290000}"/>
    <cellStyle name="20% - Accent6 8 2 5 2" xfId="13798" xr:uid="{00000000-0005-0000-0000-000042290000}"/>
    <cellStyle name="20% - Accent6 8 2 5 2 2" xfId="37641" xr:uid="{E4D6B3D3-3E01-4800-8177-DF002C25688C}"/>
    <cellStyle name="20% - Accent6 8 2 5 3" xfId="21746" xr:uid="{00000000-0005-0000-0000-000043290000}"/>
    <cellStyle name="20% - Accent6 8 2 5 3 2" xfId="45578" xr:uid="{F84DAB44-E846-4572-AF00-944F7BBB9070}"/>
    <cellStyle name="20% - Accent6 8 2 5 4" xfId="29700" xr:uid="{E9197CB5-752B-4116-A17C-123A683A7B9D}"/>
    <cellStyle name="20% - Accent6 8 2 6" xfId="9367" xr:uid="{00000000-0005-0000-0000-000044290000}"/>
    <cellStyle name="20% - Accent6 8 2 6 2" xfId="17325" xr:uid="{00000000-0005-0000-0000-000045290000}"/>
    <cellStyle name="20% - Accent6 8 2 6 2 2" xfId="41165" xr:uid="{C352D2F5-25E6-477F-B06A-1FA5A73DB0F6}"/>
    <cellStyle name="20% - Accent6 8 2 6 3" xfId="25269" xr:uid="{00000000-0005-0000-0000-000046290000}"/>
    <cellStyle name="20% - Accent6 8 2 6 3 2" xfId="49101" xr:uid="{43324B60-ADE0-46CD-BC27-6F4B9667C185}"/>
    <cellStyle name="20% - Accent6 8 2 6 4" xfId="33224" xr:uid="{CF5FA0FD-9BDC-4D75-9B2B-D4C4F6623961}"/>
    <cellStyle name="20% - Accent6 8 2 7" xfId="10263" xr:uid="{00000000-0005-0000-0000-000047290000}"/>
    <cellStyle name="20% - Accent6 8 2 7 2" xfId="34112" xr:uid="{02CB153C-6AB4-4C0D-B406-6C6B5A989CB6}"/>
    <cellStyle name="20% - Accent6 8 2 8" xfId="18218" xr:uid="{00000000-0005-0000-0000-000048290000}"/>
    <cellStyle name="20% - Accent6 8 2 8 2" xfId="42050" xr:uid="{FAC3077A-6046-49FE-9320-20A6AAA04F31}"/>
    <cellStyle name="20% - Accent6 8 2 9" xfId="26170" xr:uid="{47F52BB4-A0AC-4E0E-84A6-63D492F74EA6}"/>
    <cellStyle name="20% - Accent6 8 2_Exh G" xfId="2659" xr:uid="{00000000-0005-0000-0000-000049290000}"/>
    <cellStyle name="20% - Accent6 8 3" xfId="323" xr:uid="{00000000-0005-0000-0000-00004A290000}"/>
    <cellStyle name="20% - Accent6 8 3 2" xfId="1349" xr:uid="{00000000-0005-0000-0000-00004B290000}"/>
    <cellStyle name="20% - Accent6 8 3 2 2" xfId="4876" xr:uid="{00000000-0005-0000-0000-00004C290000}"/>
    <cellStyle name="20% - Accent6 8 3 2 2 2" xfId="8467" xr:uid="{00000000-0005-0000-0000-00004D290000}"/>
    <cellStyle name="20% - Accent6 8 3 2 2 2 2" xfId="16437" xr:uid="{00000000-0005-0000-0000-00004E290000}"/>
    <cellStyle name="20% - Accent6 8 3 2 2 2 2 2" xfId="40279" xr:uid="{3874C6EE-4E23-4B99-A606-1E1A3D0BDE9C}"/>
    <cellStyle name="20% - Accent6 8 3 2 2 2 3" xfId="24383" xr:uid="{00000000-0005-0000-0000-00004F290000}"/>
    <cellStyle name="20% - Accent6 8 3 2 2 2 3 2" xfId="48215" xr:uid="{75068DDC-D657-4DC1-A496-FE843B8D6EBE}"/>
    <cellStyle name="20% - Accent6 8 3 2 2 2 4" xfId="32338" xr:uid="{C6624E82-9146-4380-8C9B-79721CC5A814}"/>
    <cellStyle name="20% - Accent6 8 3 2 2 3" xfId="12899" xr:uid="{00000000-0005-0000-0000-000050290000}"/>
    <cellStyle name="20% - Accent6 8 3 2 2 3 2" xfId="36748" xr:uid="{6B959BFD-C1CB-432E-B10C-D88D984594B2}"/>
    <cellStyle name="20% - Accent6 8 3 2 2 4" xfId="20854" xr:uid="{00000000-0005-0000-0000-000051290000}"/>
    <cellStyle name="20% - Accent6 8 3 2 2 4 2" xfId="44686" xr:uid="{5E38EB53-86F2-473A-B080-ACAEE9CB8082}"/>
    <cellStyle name="20% - Accent6 8 3 2 2 5" xfId="28807" xr:uid="{2D24A2AF-6105-41FB-AF39-28069A2134C8}"/>
    <cellStyle name="20% - Accent6 8 3 2 3" xfId="6708" xr:uid="{00000000-0005-0000-0000-000052290000}"/>
    <cellStyle name="20% - Accent6 8 3 2 3 2" xfId="14679" xr:uid="{00000000-0005-0000-0000-000053290000}"/>
    <cellStyle name="20% - Accent6 8 3 2 3 2 2" xfId="38521" xr:uid="{786A5A08-985A-4267-8FBD-CFA5F676148D}"/>
    <cellStyle name="20% - Accent6 8 3 2 3 3" xfId="22626" xr:uid="{00000000-0005-0000-0000-000054290000}"/>
    <cellStyle name="20% - Accent6 8 3 2 3 3 2" xfId="46458" xr:uid="{8079A31D-6B77-47FE-80AA-1E453A164F17}"/>
    <cellStyle name="20% - Accent6 8 3 2 3 4" xfId="30580" xr:uid="{5E69085D-D297-424B-B15B-114506751F76}"/>
    <cellStyle name="20% - Accent6 8 3 2 4" xfId="11143" xr:uid="{00000000-0005-0000-0000-000055290000}"/>
    <cellStyle name="20% - Accent6 8 3 2 4 2" xfId="34992" xr:uid="{CC8E36F9-AAAF-4301-85C1-4ABAA0E14F5D}"/>
    <cellStyle name="20% - Accent6 8 3 2 5" xfId="19098" xr:uid="{00000000-0005-0000-0000-000056290000}"/>
    <cellStyle name="20% - Accent6 8 3 2 5 2" xfId="42930" xr:uid="{6371AA52-FEC1-4442-B4FC-6B894F55135A}"/>
    <cellStyle name="20% - Accent6 8 3 2 6" xfId="27050" xr:uid="{D775896B-CB0F-4851-863D-91973F61C922}"/>
    <cellStyle name="20% - Accent6 8 3 2_Exh G" xfId="2664" xr:uid="{00000000-0005-0000-0000-000057290000}"/>
    <cellStyle name="20% - Accent6 8 3 3" xfId="3997" xr:uid="{00000000-0005-0000-0000-000058290000}"/>
    <cellStyle name="20% - Accent6 8 3 3 2" xfId="7589" xr:uid="{00000000-0005-0000-0000-000059290000}"/>
    <cellStyle name="20% - Accent6 8 3 3 2 2" xfId="15559" xr:uid="{00000000-0005-0000-0000-00005A290000}"/>
    <cellStyle name="20% - Accent6 8 3 3 2 2 2" xfId="39401" xr:uid="{B8BE1FA2-9884-4545-9E52-A6069B0B8CFC}"/>
    <cellStyle name="20% - Accent6 8 3 3 2 3" xfId="23505" xr:uid="{00000000-0005-0000-0000-00005B290000}"/>
    <cellStyle name="20% - Accent6 8 3 3 2 3 2" xfId="47337" xr:uid="{07F6784A-BC84-4DDF-9464-A4C789283BBB}"/>
    <cellStyle name="20% - Accent6 8 3 3 2 4" xfId="31460" xr:uid="{C0DFECBE-96ED-4859-87F7-F6B4B40D7B5F}"/>
    <cellStyle name="20% - Accent6 8 3 3 3" xfId="12021" xr:uid="{00000000-0005-0000-0000-00005C290000}"/>
    <cellStyle name="20% - Accent6 8 3 3 3 2" xfId="35870" xr:uid="{48115AF9-9F8C-4409-BF57-4CD8FC7AC103}"/>
    <cellStyle name="20% - Accent6 8 3 3 4" xfId="19976" xr:uid="{00000000-0005-0000-0000-00005D290000}"/>
    <cellStyle name="20% - Accent6 8 3 3 4 2" xfId="43808" xr:uid="{3E525E80-F513-4118-B831-D11A86F68105}"/>
    <cellStyle name="20% - Accent6 8 3 3 5" xfId="27929" xr:uid="{C72F2C30-7A4E-4E17-B1DB-ED9707B018E5}"/>
    <cellStyle name="20% - Accent6 8 3 4" xfId="5817" xr:uid="{00000000-0005-0000-0000-00005E290000}"/>
    <cellStyle name="20% - Accent6 8 3 4 2" xfId="13800" xr:uid="{00000000-0005-0000-0000-00005F290000}"/>
    <cellStyle name="20% - Accent6 8 3 4 2 2" xfId="37643" xr:uid="{3DDC7AAA-B8E3-48C5-83E4-DDA0CDF3CA61}"/>
    <cellStyle name="20% - Accent6 8 3 4 3" xfId="21748" xr:uid="{00000000-0005-0000-0000-000060290000}"/>
    <cellStyle name="20% - Accent6 8 3 4 3 2" xfId="45580" xr:uid="{FEF70576-C22F-4421-B861-7ECAA2DF288B}"/>
    <cellStyle name="20% - Accent6 8 3 4 4" xfId="29702" xr:uid="{60F48A40-AE09-4D3A-8B73-11B59FD95B1F}"/>
    <cellStyle name="20% - Accent6 8 3 5" xfId="9369" xr:uid="{00000000-0005-0000-0000-000061290000}"/>
    <cellStyle name="20% - Accent6 8 3 5 2" xfId="17327" xr:uid="{00000000-0005-0000-0000-000062290000}"/>
    <cellStyle name="20% - Accent6 8 3 5 2 2" xfId="41167" xr:uid="{287544FC-1DBE-4280-B61B-782D8E8DA7F2}"/>
    <cellStyle name="20% - Accent6 8 3 5 3" xfId="25271" xr:uid="{00000000-0005-0000-0000-000063290000}"/>
    <cellStyle name="20% - Accent6 8 3 5 3 2" xfId="49103" xr:uid="{A35C0C3B-6C16-4111-BDED-45E857C65F47}"/>
    <cellStyle name="20% - Accent6 8 3 5 4" xfId="33226" xr:uid="{A1A78C7F-E3E1-423E-BA66-BDFE89F25E01}"/>
    <cellStyle name="20% - Accent6 8 3 6" xfId="10265" xr:uid="{00000000-0005-0000-0000-000064290000}"/>
    <cellStyle name="20% - Accent6 8 3 6 2" xfId="34114" xr:uid="{13C3C3CF-CF7D-4E57-B95D-5B9E397D0B14}"/>
    <cellStyle name="20% - Accent6 8 3 7" xfId="18220" xr:uid="{00000000-0005-0000-0000-000065290000}"/>
    <cellStyle name="20% - Accent6 8 3 7 2" xfId="42052" xr:uid="{067C05DE-CBAD-4949-A26D-06067930F516}"/>
    <cellStyle name="20% - Accent6 8 3 8" xfId="26172" xr:uid="{94E8BD46-8255-45EC-BF93-E6DCD87F5666}"/>
    <cellStyle name="20% - Accent6 8 3_Exh G" xfId="2663" xr:uid="{00000000-0005-0000-0000-000066290000}"/>
    <cellStyle name="20% - Accent6 8 4" xfId="929" xr:uid="{00000000-0005-0000-0000-000067290000}"/>
    <cellStyle name="20% - Accent6 8 4 2" xfId="1850" xr:uid="{00000000-0005-0000-0000-000068290000}"/>
    <cellStyle name="20% - Accent6 8 4 2 2" xfId="5367" xr:uid="{00000000-0005-0000-0000-000069290000}"/>
    <cellStyle name="20% - Accent6 8 4 2 2 2" xfId="8958" xr:uid="{00000000-0005-0000-0000-00006A290000}"/>
    <cellStyle name="20% - Accent6 8 4 2 2 2 2" xfId="16928" xr:uid="{00000000-0005-0000-0000-00006B290000}"/>
    <cellStyle name="20% - Accent6 8 4 2 2 2 2 2" xfId="40770" xr:uid="{A795062D-5B36-4698-B008-8AE1F1F40619}"/>
    <cellStyle name="20% - Accent6 8 4 2 2 2 3" xfId="24874" xr:uid="{00000000-0005-0000-0000-00006C290000}"/>
    <cellStyle name="20% - Accent6 8 4 2 2 2 3 2" xfId="48706" xr:uid="{6A5AA2B8-0A6F-4486-9EF1-8E03B2CA3F71}"/>
    <cellStyle name="20% - Accent6 8 4 2 2 2 4" xfId="32829" xr:uid="{6E704886-E9C3-4626-90EB-9EB3A48FDE52}"/>
    <cellStyle name="20% - Accent6 8 4 2 2 3" xfId="13390" xr:uid="{00000000-0005-0000-0000-00006D290000}"/>
    <cellStyle name="20% - Accent6 8 4 2 2 3 2" xfId="37239" xr:uid="{A72A45FE-A256-4384-ACB7-1D45C3E4A93C}"/>
    <cellStyle name="20% - Accent6 8 4 2 2 4" xfId="21345" xr:uid="{00000000-0005-0000-0000-00006E290000}"/>
    <cellStyle name="20% - Accent6 8 4 2 2 4 2" xfId="45177" xr:uid="{ACC4F4CD-3442-497E-8364-7EA074E28F74}"/>
    <cellStyle name="20% - Accent6 8 4 2 2 5" xfId="29298" xr:uid="{6E00E035-7579-43FC-B974-A30C5CB71055}"/>
    <cellStyle name="20% - Accent6 8 4 2 3" xfId="7199" xr:uid="{00000000-0005-0000-0000-00006F290000}"/>
    <cellStyle name="20% - Accent6 8 4 2 3 2" xfId="15170" xr:uid="{00000000-0005-0000-0000-000070290000}"/>
    <cellStyle name="20% - Accent6 8 4 2 3 2 2" xfId="39012" xr:uid="{4F8262AC-55A3-491F-B4A3-D6101E5CA6DB}"/>
    <cellStyle name="20% - Accent6 8 4 2 3 3" xfId="23117" xr:uid="{00000000-0005-0000-0000-000071290000}"/>
    <cellStyle name="20% - Accent6 8 4 2 3 3 2" xfId="46949" xr:uid="{7B2ACD8A-FDF0-4283-8196-0FDDBA93CDF4}"/>
    <cellStyle name="20% - Accent6 8 4 2 3 4" xfId="31071" xr:uid="{56D5B238-E49B-4FA4-BA8D-DD1F64BCA674}"/>
    <cellStyle name="20% - Accent6 8 4 2 4" xfId="11634" xr:uid="{00000000-0005-0000-0000-000072290000}"/>
    <cellStyle name="20% - Accent6 8 4 2 4 2" xfId="35483" xr:uid="{BB5641CA-3AAA-421D-BE8B-23F69A93AD09}"/>
    <cellStyle name="20% - Accent6 8 4 2 5" xfId="19589" xr:uid="{00000000-0005-0000-0000-000073290000}"/>
    <cellStyle name="20% - Accent6 8 4 2 5 2" xfId="43421" xr:uid="{5E049B0B-D46C-4752-9950-2574862ADB71}"/>
    <cellStyle name="20% - Accent6 8 4 2 6" xfId="27541" xr:uid="{CD17644C-FC29-4B01-AF1A-B2274B14E5BC}"/>
    <cellStyle name="20% - Accent6 8 4 2_Exh G" xfId="2666" xr:uid="{00000000-0005-0000-0000-000074290000}"/>
    <cellStyle name="20% - Accent6 8 4 3" xfId="4488" xr:uid="{00000000-0005-0000-0000-000075290000}"/>
    <cellStyle name="20% - Accent6 8 4 3 2" xfId="8080" xr:uid="{00000000-0005-0000-0000-000076290000}"/>
    <cellStyle name="20% - Accent6 8 4 3 2 2" xfId="16050" xr:uid="{00000000-0005-0000-0000-000077290000}"/>
    <cellStyle name="20% - Accent6 8 4 3 2 2 2" xfId="39892" xr:uid="{371B40C7-2CB7-47FB-80A2-D237F04A868A}"/>
    <cellStyle name="20% - Accent6 8 4 3 2 3" xfId="23996" xr:uid="{00000000-0005-0000-0000-000078290000}"/>
    <cellStyle name="20% - Accent6 8 4 3 2 3 2" xfId="47828" xr:uid="{BE31C0B2-FF87-4D6A-BB48-05032CEB743E}"/>
    <cellStyle name="20% - Accent6 8 4 3 2 4" xfId="31951" xr:uid="{5B8F2199-2E2F-42C7-A298-5DA90EFC7A88}"/>
    <cellStyle name="20% - Accent6 8 4 3 3" xfId="12512" xr:uid="{00000000-0005-0000-0000-000079290000}"/>
    <cellStyle name="20% - Accent6 8 4 3 3 2" xfId="36361" xr:uid="{775ADD57-5E73-46E0-8A80-643163900D50}"/>
    <cellStyle name="20% - Accent6 8 4 3 4" xfId="20467" xr:uid="{00000000-0005-0000-0000-00007A290000}"/>
    <cellStyle name="20% - Accent6 8 4 3 4 2" xfId="44299" xr:uid="{9218FB86-7B1F-462C-B22C-B8B447A78005}"/>
    <cellStyle name="20% - Accent6 8 4 3 5" xfId="28420" xr:uid="{4C6491F3-2B79-4CB9-BBA7-CF0068A8A83D}"/>
    <cellStyle name="20% - Accent6 8 4 4" xfId="6318" xr:uid="{00000000-0005-0000-0000-00007B290000}"/>
    <cellStyle name="20% - Accent6 8 4 4 2" xfId="14292" xr:uid="{00000000-0005-0000-0000-00007C290000}"/>
    <cellStyle name="20% - Accent6 8 4 4 2 2" xfId="38134" xr:uid="{2D0623FD-58A8-4091-8CA0-7D4F0863DF8D}"/>
    <cellStyle name="20% - Accent6 8 4 4 3" xfId="22239" xr:uid="{00000000-0005-0000-0000-00007D290000}"/>
    <cellStyle name="20% - Accent6 8 4 4 3 2" xfId="46071" xr:uid="{5F052741-1DD9-4E62-8BC9-8F9AEF0BFBF7}"/>
    <cellStyle name="20% - Accent6 8 4 4 4" xfId="30193" xr:uid="{2AB10E2B-7AA0-4536-AA0F-B738A17DD4A7}"/>
    <cellStyle name="20% - Accent6 8 4 5" xfId="9860" xr:uid="{00000000-0005-0000-0000-00007E290000}"/>
    <cellStyle name="20% - Accent6 8 4 5 2" xfId="17818" xr:uid="{00000000-0005-0000-0000-00007F290000}"/>
    <cellStyle name="20% - Accent6 8 4 5 2 2" xfId="41658" xr:uid="{3B523C48-9CF4-4D3A-93BC-FBBB05E964E4}"/>
    <cellStyle name="20% - Accent6 8 4 5 3" xfId="25762" xr:uid="{00000000-0005-0000-0000-000080290000}"/>
    <cellStyle name="20% - Accent6 8 4 5 3 2" xfId="49594" xr:uid="{5E566F85-BB1A-47FB-8129-B1A5BAD397DB}"/>
    <cellStyle name="20% - Accent6 8 4 5 4" xfId="33717" xr:uid="{FE642FF0-043D-4EEC-BBA4-32DD4796F8E8}"/>
    <cellStyle name="20% - Accent6 8 4 6" xfId="10756" xr:uid="{00000000-0005-0000-0000-000081290000}"/>
    <cellStyle name="20% - Accent6 8 4 6 2" xfId="34605" xr:uid="{C536A256-C9D7-4589-BCD7-02DC07BE5824}"/>
    <cellStyle name="20% - Accent6 8 4 7" xfId="18711" xr:uid="{00000000-0005-0000-0000-000082290000}"/>
    <cellStyle name="20% - Accent6 8 4 7 2" xfId="42543" xr:uid="{604AC49F-D181-4A13-B2CB-8F79CD53DA2C}"/>
    <cellStyle name="20% - Accent6 8 4 8" xfId="26663" xr:uid="{C778AB9E-4437-4DDD-A00E-B815BF09C6E5}"/>
    <cellStyle name="20% - Accent6 8 4_Exh G" xfId="2665" xr:uid="{00000000-0005-0000-0000-000083290000}"/>
    <cellStyle name="20% - Accent6 8 5" xfId="1346" xr:uid="{00000000-0005-0000-0000-000084290000}"/>
    <cellStyle name="20% - Accent6 8 5 2" xfId="4873" xr:uid="{00000000-0005-0000-0000-000085290000}"/>
    <cellStyle name="20% - Accent6 8 5 2 2" xfId="8464" xr:uid="{00000000-0005-0000-0000-000086290000}"/>
    <cellStyle name="20% - Accent6 8 5 2 2 2" xfId="16434" xr:uid="{00000000-0005-0000-0000-000087290000}"/>
    <cellStyle name="20% - Accent6 8 5 2 2 2 2" xfId="40276" xr:uid="{863E250E-F063-45E6-90F0-DDF4C8031BD1}"/>
    <cellStyle name="20% - Accent6 8 5 2 2 3" xfId="24380" xr:uid="{00000000-0005-0000-0000-000088290000}"/>
    <cellStyle name="20% - Accent6 8 5 2 2 3 2" xfId="48212" xr:uid="{B0F08554-8EA9-4C3C-82DA-A054FFCD3719}"/>
    <cellStyle name="20% - Accent6 8 5 2 2 4" xfId="32335" xr:uid="{BC6E2BDB-C42F-47D6-8B60-BD2EED6251CA}"/>
    <cellStyle name="20% - Accent6 8 5 2 3" xfId="12896" xr:uid="{00000000-0005-0000-0000-000089290000}"/>
    <cellStyle name="20% - Accent6 8 5 2 3 2" xfId="36745" xr:uid="{2A28F8A9-AD6A-4A68-9E1A-A0E3F6E365EE}"/>
    <cellStyle name="20% - Accent6 8 5 2 4" xfId="20851" xr:uid="{00000000-0005-0000-0000-00008A290000}"/>
    <cellStyle name="20% - Accent6 8 5 2 4 2" xfId="44683" xr:uid="{AED07D48-2CA0-42C0-B1C7-F80352FAC672}"/>
    <cellStyle name="20% - Accent6 8 5 2 5" xfId="28804" xr:uid="{B3330B2D-7DAB-4675-9C6F-4E8A3F99040A}"/>
    <cellStyle name="20% - Accent6 8 5 3" xfId="6705" xr:uid="{00000000-0005-0000-0000-00008B290000}"/>
    <cellStyle name="20% - Accent6 8 5 3 2" xfId="14676" xr:uid="{00000000-0005-0000-0000-00008C290000}"/>
    <cellStyle name="20% - Accent6 8 5 3 2 2" xfId="38518" xr:uid="{E5CF5983-8241-471F-BB04-1C0CD9DEB306}"/>
    <cellStyle name="20% - Accent6 8 5 3 3" xfId="22623" xr:uid="{00000000-0005-0000-0000-00008D290000}"/>
    <cellStyle name="20% - Accent6 8 5 3 3 2" xfId="46455" xr:uid="{8F0E2FA4-93EA-41D8-8ECB-05A1B7ED8435}"/>
    <cellStyle name="20% - Accent6 8 5 3 4" xfId="30577" xr:uid="{010A0E4F-ED15-4857-BA19-6559D7B1EA18}"/>
    <cellStyle name="20% - Accent6 8 5 4" xfId="11140" xr:uid="{00000000-0005-0000-0000-00008E290000}"/>
    <cellStyle name="20% - Accent6 8 5 4 2" xfId="34989" xr:uid="{CB52A166-2061-41C0-9E15-CF738B09B70C}"/>
    <cellStyle name="20% - Accent6 8 5 5" xfId="19095" xr:uid="{00000000-0005-0000-0000-00008F290000}"/>
    <cellStyle name="20% - Accent6 8 5 5 2" xfId="42927" xr:uid="{DB7296FD-82BC-48F1-AD37-1C4EDF63E87A}"/>
    <cellStyle name="20% - Accent6 8 5 6" xfId="27047" xr:uid="{E1092831-BAA6-4265-B7F7-9ED3B889E657}"/>
    <cellStyle name="20% - Accent6 8 5_Exh G" xfId="2667" xr:uid="{00000000-0005-0000-0000-000090290000}"/>
    <cellStyle name="20% - Accent6 8 6" xfId="3994" xr:uid="{00000000-0005-0000-0000-000091290000}"/>
    <cellStyle name="20% - Accent6 8 6 2" xfId="7586" xr:uid="{00000000-0005-0000-0000-000092290000}"/>
    <cellStyle name="20% - Accent6 8 6 2 2" xfId="15556" xr:uid="{00000000-0005-0000-0000-000093290000}"/>
    <cellStyle name="20% - Accent6 8 6 2 2 2" xfId="39398" xr:uid="{0CC1C870-FE10-4065-8615-6F886DE3D94B}"/>
    <cellStyle name="20% - Accent6 8 6 2 3" xfId="23502" xr:uid="{00000000-0005-0000-0000-000094290000}"/>
    <cellStyle name="20% - Accent6 8 6 2 3 2" xfId="47334" xr:uid="{0FD7BD71-5B82-4DAE-AC54-E334557EADD5}"/>
    <cellStyle name="20% - Accent6 8 6 2 4" xfId="31457" xr:uid="{A9B472AF-E4FA-48F0-95CD-7902538A23F7}"/>
    <cellStyle name="20% - Accent6 8 6 3" xfId="12018" xr:uid="{00000000-0005-0000-0000-000095290000}"/>
    <cellStyle name="20% - Accent6 8 6 3 2" xfId="35867" xr:uid="{6C23E30A-4878-4D52-9230-37EB23FF7A27}"/>
    <cellStyle name="20% - Accent6 8 6 4" xfId="19973" xr:uid="{00000000-0005-0000-0000-000096290000}"/>
    <cellStyle name="20% - Accent6 8 6 4 2" xfId="43805" xr:uid="{07FD5142-982A-48AB-AF97-83C0E7E52E6F}"/>
    <cellStyle name="20% - Accent6 8 6 5" xfId="27926" xr:uid="{ADE487E7-D4E2-4F3C-8F8F-3B2C93BF94AB}"/>
    <cellStyle name="20% - Accent6 8 7" xfId="5814" xr:uid="{00000000-0005-0000-0000-000097290000}"/>
    <cellStyle name="20% - Accent6 8 7 2" xfId="13797" xr:uid="{00000000-0005-0000-0000-000098290000}"/>
    <cellStyle name="20% - Accent6 8 7 2 2" xfId="37640" xr:uid="{ADABB26F-AC47-487C-986E-E4855815B5A6}"/>
    <cellStyle name="20% - Accent6 8 7 3" xfId="21745" xr:uid="{00000000-0005-0000-0000-000099290000}"/>
    <cellStyle name="20% - Accent6 8 7 3 2" xfId="45577" xr:uid="{EC9E68F5-B6E0-4952-9A69-069F25552A54}"/>
    <cellStyle name="20% - Accent6 8 7 4" xfId="29699" xr:uid="{DC48FC1A-C037-4BE8-AC9D-BB96DA15741F}"/>
    <cellStyle name="20% - Accent6 8 8" xfId="9366" xr:uid="{00000000-0005-0000-0000-00009A290000}"/>
    <cellStyle name="20% - Accent6 8 8 2" xfId="17324" xr:uid="{00000000-0005-0000-0000-00009B290000}"/>
    <cellStyle name="20% - Accent6 8 8 2 2" xfId="41164" xr:uid="{623EBEE1-53D3-4BAF-B857-10AE858D6364}"/>
    <cellStyle name="20% - Accent6 8 8 3" xfId="25268" xr:uid="{00000000-0005-0000-0000-00009C290000}"/>
    <cellStyle name="20% - Accent6 8 8 3 2" xfId="49100" xr:uid="{8B062286-A56B-493F-8FA9-91794A95225F}"/>
    <cellStyle name="20% - Accent6 8 8 4" xfId="33223" xr:uid="{761A777A-EF44-4DFA-94FB-12AD60B937D9}"/>
    <cellStyle name="20% - Accent6 8 9" xfId="10262" xr:uid="{00000000-0005-0000-0000-00009D290000}"/>
    <cellStyle name="20% - Accent6 8 9 2" xfId="34111" xr:uid="{EA8928CC-6124-4410-AEE7-CEE430368588}"/>
    <cellStyle name="20% - Accent6 8_Exh G" xfId="2658" xr:uid="{00000000-0005-0000-0000-00009E290000}"/>
    <cellStyle name="20% - Accent6 9" xfId="324" xr:uid="{00000000-0005-0000-0000-00009F290000}"/>
    <cellStyle name="20% - Accent6 9 10" xfId="18221" xr:uid="{00000000-0005-0000-0000-0000A0290000}"/>
    <cellStyle name="20% - Accent6 9 10 2" xfId="42053" xr:uid="{07B711DD-F471-44AE-B927-B27A562CA77F}"/>
    <cellStyle name="20% - Accent6 9 11" xfId="26173" xr:uid="{440F93B8-25DA-4535-A0C2-DF6BEA6E526D}"/>
    <cellStyle name="20% - Accent6 9 2" xfId="325" xr:uid="{00000000-0005-0000-0000-0000A1290000}"/>
    <cellStyle name="20% - Accent6 9 2 2" xfId="326" xr:uid="{00000000-0005-0000-0000-0000A2290000}"/>
    <cellStyle name="20% - Accent6 9 2 2 2" xfId="1352" xr:uid="{00000000-0005-0000-0000-0000A3290000}"/>
    <cellStyle name="20% - Accent6 9 2 2 2 2" xfId="4879" xr:uid="{00000000-0005-0000-0000-0000A4290000}"/>
    <cellStyle name="20% - Accent6 9 2 2 2 2 2" xfId="8470" xr:uid="{00000000-0005-0000-0000-0000A5290000}"/>
    <cellStyle name="20% - Accent6 9 2 2 2 2 2 2" xfId="16440" xr:uid="{00000000-0005-0000-0000-0000A6290000}"/>
    <cellStyle name="20% - Accent6 9 2 2 2 2 2 2 2" xfId="40282" xr:uid="{CF431C2F-66B1-4BD6-BE1A-297E2DBAE01F}"/>
    <cellStyle name="20% - Accent6 9 2 2 2 2 2 3" xfId="24386" xr:uid="{00000000-0005-0000-0000-0000A7290000}"/>
    <cellStyle name="20% - Accent6 9 2 2 2 2 2 3 2" xfId="48218" xr:uid="{421F58E2-60B2-43AB-B390-11D5586926B4}"/>
    <cellStyle name="20% - Accent6 9 2 2 2 2 2 4" xfId="32341" xr:uid="{774A89CF-157B-4D5B-9B59-B8B8A9D0702F}"/>
    <cellStyle name="20% - Accent6 9 2 2 2 2 3" xfId="12902" xr:uid="{00000000-0005-0000-0000-0000A8290000}"/>
    <cellStyle name="20% - Accent6 9 2 2 2 2 3 2" xfId="36751" xr:uid="{DA3324D1-1D14-488F-B40B-3A8FA04893F2}"/>
    <cellStyle name="20% - Accent6 9 2 2 2 2 4" xfId="20857" xr:uid="{00000000-0005-0000-0000-0000A9290000}"/>
    <cellStyle name="20% - Accent6 9 2 2 2 2 4 2" xfId="44689" xr:uid="{24E94F77-74B9-45C8-AED9-615D1B311BCD}"/>
    <cellStyle name="20% - Accent6 9 2 2 2 2 5" xfId="28810" xr:uid="{4482EB7B-5388-442E-9A2E-8BBF03F23075}"/>
    <cellStyle name="20% - Accent6 9 2 2 2 3" xfId="6711" xr:uid="{00000000-0005-0000-0000-0000AA290000}"/>
    <cellStyle name="20% - Accent6 9 2 2 2 3 2" xfId="14682" xr:uid="{00000000-0005-0000-0000-0000AB290000}"/>
    <cellStyle name="20% - Accent6 9 2 2 2 3 2 2" xfId="38524" xr:uid="{B664F8AA-169F-416E-84A1-B814BB528326}"/>
    <cellStyle name="20% - Accent6 9 2 2 2 3 3" xfId="22629" xr:uid="{00000000-0005-0000-0000-0000AC290000}"/>
    <cellStyle name="20% - Accent6 9 2 2 2 3 3 2" xfId="46461" xr:uid="{0BA9917F-F5A7-4E73-A7CF-914BAAAD1C74}"/>
    <cellStyle name="20% - Accent6 9 2 2 2 3 4" xfId="30583" xr:uid="{ADEEB1D2-62EF-44DC-924E-3352FCC112BE}"/>
    <cellStyle name="20% - Accent6 9 2 2 2 4" xfId="11146" xr:uid="{00000000-0005-0000-0000-0000AD290000}"/>
    <cellStyle name="20% - Accent6 9 2 2 2 4 2" xfId="34995" xr:uid="{5C6CBDC5-41E2-4AA8-960E-E3581A67DF62}"/>
    <cellStyle name="20% - Accent6 9 2 2 2 5" xfId="19101" xr:uid="{00000000-0005-0000-0000-0000AE290000}"/>
    <cellStyle name="20% - Accent6 9 2 2 2 5 2" xfId="42933" xr:uid="{7421C260-6D15-4D66-A9AF-0317B650EBDC}"/>
    <cellStyle name="20% - Accent6 9 2 2 2 6" xfId="27053" xr:uid="{93779A20-99AD-46C4-A782-9640CE0D660C}"/>
    <cellStyle name="20% - Accent6 9 2 2 2_Exh G" xfId="2671" xr:uid="{00000000-0005-0000-0000-0000AF290000}"/>
    <cellStyle name="20% - Accent6 9 2 2 3" xfId="4000" xr:uid="{00000000-0005-0000-0000-0000B0290000}"/>
    <cellStyle name="20% - Accent6 9 2 2 3 2" xfId="7592" xr:uid="{00000000-0005-0000-0000-0000B1290000}"/>
    <cellStyle name="20% - Accent6 9 2 2 3 2 2" xfId="15562" xr:uid="{00000000-0005-0000-0000-0000B2290000}"/>
    <cellStyle name="20% - Accent6 9 2 2 3 2 2 2" xfId="39404" xr:uid="{5550A056-AEFF-4999-9414-5E67A1D32940}"/>
    <cellStyle name="20% - Accent6 9 2 2 3 2 3" xfId="23508" xr:uid="{00000000-0005-0000-0000-0000B3290000}"/>
    <cellStyle name="20% - Accent6 9 2 2 3 2 3 2" xfId="47340" xr:uid="{DEDA5DFA-7C3E-45AC-868A-F312394208A5}"/>
    <cellStyle name="20% - Accent6 9 2 2 3 2 4" xfId="31463" xr:uid="{9B9A9372-80B4-4D23-A1A1-EA89A0D61D24}"/>
    <cellStyle name="20% - Accent6 9 2 2 3 3" xfId="12024" xr:uid="{00000000-0005-0000-0000-0000B4290000}"/>
    <cellStyle name="20% - Accent6 9 2 2 3 3 2" xfId="35873" xr:uid="{162E4526-6847-444D-990D-3253E6DEE5FF}"/>
    <cellStyle name="20% - Accent6 9 2 2 3 4" xfId="19979" xr:uid="{00000000-0005-0000-0000-0000B5290000}"/>
    <cellStyle name="20% - Accent6 9 2 2 3 4 2" xfId="43811" xr:uid="{E5879328-7F79-4B7C-8677-43B13BE54A2A}"/>
    <cellStyle name="20% - Accent6 9 2 2 3 5" xfId="27932" xr:uid="{FA2A9C7A-9A01-4B5B-9611-05685F179476}"/>
    <cellStyle name="20% - Accent6 9 2 2 4" xfId="5820" xr:uid="{00000000-0005-0000-0000-0000B6290000}"/>
    <cellStyle name="20% - Accent6 9 2 2 4 2" xfId="13803" xr:uid="{00000000-0005-0000-0000-0000B7290000}"/>
    <cellStyle name="20% - Accent6 9 2 2 4 2 2" xfId="37646" xr:uid="{58717435-6E6F-4291-A654-563C020BCBF8}"/>
    <cellStyle name="20% - Accent6 9 2 2 4 3" xfId="21751" xr:uid="{00000000-0005-0000-0000-0000B8290000}"/>
    <cellStyle name="20% - Accent6 9 2 2 4 3 2" xfId="45583" xr:uid="{6D17BF1D-4B4E-4619-9544-F7D445000B9B}"/>
    <cellStyle name="20% - Accent6 9 2 2 4 4" xfId="29705" xr:uid="{3841EF33-9BEE-4EF2-A976-0E8DD71A0201}"/>
    <cellStyle name="20% - Accent6 9 2 2 5" xfId="9372" xr:uid="{00000000-0005-0000-0000-0000B9290000}"/>
    <cellStyle name="20% - Accent6 9 2 2 5 2" xfId="17330" xr:uid="{00000000-0005-0000-0000-0000BA290000}"/>
    <cellStyle name="20% - Accent6 9 2 2 5 2 2" xfId="41170" xr:uid="{02D41323-EC54-4ABA-A23A-114AAF531854}"/>
    <cellStyle name="20% - Accent6 9 2 2 5 3" xfId="25274" xr:uid="{00000000-0005-0000-0000-0000BB290000}"/>
    <cellStyle name="20% - Accent6 9 2 2 5 3 2" xfId="49106" xr:uid="{7E3318B7-7D8E-495C-B9C9-C16FFB91C4C9}"/>
    <cellStyle name="20% - Accent6 9 2 2 5 4" xfId="33229" xr:uid="{9169AF25-2AD0-4D98-83DF-83FEA21BB737}"/>
    <cellStyle name="20% - Accent6 9 2 2 6" xfId="10268" xr:uid="{00000000-0005-0000-0000-0000BC290000}"/>
    <cellStyle name="20% - Accent6 9 2 2 6 2" xfId="34117" xr:uid="{9503A846-1BD0-45DC-8B24-92EB431C018D}"/>
    <cellStyle name="20% - Accent6 9 2 2 7" xfId="18223" xr:uid="{00000000-0005-0000-0000-0000BD290000}"/>
    <cellStyle name="20% - Accent6 9 2 2 7 2" xfId="42055" xr:uid="{F687A2F9-319B-4F0A-B9CD-75EFBB24AABC}"/>
    <cellStyle name="20% - Accent6 9 2 2 8" xfId="26175" xr:uid="{D0EAA11A-C39F-47CF-B245-80EDDA67E0B1}"/>
    <cellStyle name="20% - Accent6 9 2 2_Exh G" xfId="2670" xr:uid="{00000000-0005-0000-0000-0000BE290000}"/>
    <cellStyle name="20% - Accent6 9 2 3" xfId="1351" xr:uid="{00000000-0005-0000-0000-0000BF290000}"/>
    <cellStyle name="20% - Accent6 9 2 3 2" xfId="4878" xr:uid="{00000000-0005-0000-0000-0000C0290000}"/>
    <cellStyle name="20% - Accent6 9 2 3 2 2" xfId="8469" xr:uid="{00000000-0005-0000-0000-0000C1290000}"/>
    <cellStyle name="20% - Accent6 9 2 3 2 2 2" xfId="16439" xr:uid="{00000000-0005-0000-0000-0000C2290000}"/>
    <cellStyle name="20% - Accent6 9 2 3 2 2 2 2" xfId="40281" xr:uid="{6FC55A4D-010E-490D-BE4D-7CFAE8982DA6}"/>
    <cellStyle name="20% - Accent6 9 2 3 2 2 3" xfId="24385" xr:uid="{00000000-0005-0000-0000-0000C3290000}"/>
    <cellStyle name="20% - Accent6 9 2 3 2 2 3 2" xfId="48217" xr:uid="{C551A3C5-01C2-49EA-8367-39DAD050B348}"/>
    <cellStyle name="20% - Accent6 9 2 3 2 2 4" xfId="32340" xr:uid="{C7D1F7F4-12A9-44F6-8918-6100066123E1}"/>
    <cellStyle name="20% - Accent6 9 2 3 2 3" xfId="12901" xr:uid="{00000000-0005-0000-0000-0000C4290000}"/>
    <cellStyle name="20% - Accent6 9 2 3 2 3 2" xfId="36750" xr:uid="{1A494AA0-09AA-4051-8177-B3E35D75770D}"/>
    <cellStyle name="20% - Accent6 9 2 3 2 4" xfId="20856" xr:uid="{00000000-0005-0000-0000-0000C5290000}"/>
    <cellStyle name="20% - Accent6 9 2 3 2 4 2" xfId="44688" xr:uid="{EA124719-59AA-4E9A-84FA-6764F3475A82}"/>
    <cellStyle name="20% - Accent6 9 2 3 2 5" xfId="28809" xr:uid="{828F693F-BE36-4603-AB43-AE331F42F73F}"/>
    <cellStyle name="20% - Accent6 9 2 3 3" xfId="6710" xr:uid="{00000000-0005-0000-0000-0000C6290000}"/>
    <cellStyle name="20% - Accent6 9 2 3 3 2" xfId="14681" xr:uid="{00000000-0005-0000-0000-0000C7290000}"/>
    <cellStyle name="20% - Accent6 9 2 3 3 2 2" xfId="38523" xr:uid="{4EDE8E8A-1FD4-485C-AC69-C955C9DF3792}"/>
    <cellStyle name="20% - Accent6 9 2 3 3 3" xfId="22628" xr:uid="{00000000-0005-0000-0000-0000C8290000}"/>
    <cellStyle name="20% - Accent6 9 2 3 3 3 2" xfId="46460" xr:uid="{094DBA77-5BD0-4208-8221-0334D3F5603F}"/>
    <cellStyle name="20% - Accent6 9 2 3 3 4" xfId="30582" xr:uid="{FA198740-3449-4633-9C9E-3617E6CDB4C5}"/>
    <cellStyle name="20% - Accent6 9 2 3 4" xfId="11145" xr:uid="{00000000-0005-0000-0000-0000C9290000}"/>
    <cellStyle name="20% - Accent6 9 2 3 4 2" xfId="34994" xr:uid="{2E1CD2DD-F7A4-4DD3-A099-2FF8F0FA95E9}"/>
    <cellStyle name="20% - Accent6 9 2 3 5" xfId="19100" xr:uid="{00000000-0005-0000-0000-0000CA290000}"/>
    <cellStyle name="20% - Accent6 9 2 3 5 2" xfId="42932" xr:uid="{EF0D768B-4F56-409B-A223-CAD39E78CF7C}"/>
    <cellStyle name="20% - Accent6 9 2 3 6" xfId="27052" xr:uid="{0A9AF63F-1511-47A1-809D-EF1078A1CB06}"/>
    <cellStyle name="20% - Accent6 9 2 3_Exh G" xfId="2672" xr:uid="{00000000-0005-0000-0000-0000CB290000}"/>
    <cellStyle name="20% - Accent6 9 2 4" xfId="3999" xr:uid="{00000000-0005-0000-0000-0000CC290000}"/>
    <cellStyle name="20% - Accent6 9 2 4 2" xfId="7591" xr:uid="{00000000-0005-0000-0000-0000CD290000}"/>
    <cellStyle name="20% - Accent6 9 2 4 2 2" xfId="15561" xr:uid="{00000000-0005-0000-0000-0000CE290000}"/>
    <cellStyle name="20% - Accent6 9 2 4 2 2 2" xfId="39403" xr:uid="{202166E5-737B-4254-A329-943BF6ED310F}"/>
    <cellStyle name="20% - Accent6 9 2 4 2 3" xfId="23507" xr:uid="{00000000-0005-0000-0000-0000CF290000}"/>
    <cellStyle name="20% - Accent6 9 2 4 2 3 2" xfId="47339" xr:uid="{8E8B5F39-1C26-41F2-A95D-7518ACE9AF6F}"/>
    <cellStyle name="20% - Accent6 9 2 4 2 4" xfId="31462" xr:uid="{86277AA3-435C-46AA-93A8-26385CB230E1}"/>
    <cellStyle name="20% - Accent6 9 2 4 3" xfId="12023" xr:uid="{00000000-0005-0000-0000-0000D0290000}"/>
    <cellStyle name="20% - Accent6 9 2 4 3 2" xfId="35872" xr:uid="{28B85CF4-5B8D-4047-BD75-E616257CF066}"/>
    <cellStyle name="20% - Accent6 9 2 4 4" xfId="19978" xr:uid="{00000000-0005-0000-0000-0000D1290000}"/>
    <cellStyle name="20% - Accent6 9 2 4 4 2" xfId="43810" xr:uid="{2CDFD715-85E6-46FE-878E-BF16707D15C0}"/>
    <cellStyle name="20% - Accent6 9 2 4 5" xfId="27931" xr:uid="{4915B386-67A3-4414-87BB-3128E135A029}"/>
    <cellStyle name="20% - Accent6 9 2 5" xfId="5819" xr:uid="{00000000-0005-0000-0000-0000D2290000}"/>
    <cellStyle name="20% - Accent6 9 2 5 2" xfId="13802" xr:uid="{00000000-0005-0000-0000-0000D3290000}"/>
    <cellStyle name="20% - Accent6 9 2 5 2 2" xfId="37645" xr:uid="{2A4FCE53-CD3D-40A7-8387-E5D9EB3CB764}"/>
    <cellStyle name="20% - Accent6 9 2 5 3" xfId="21750" xr:uid="{00000000-0005-0000-0000-0000D4290000}"/>
    <cellStyle name="20% - Accent6 9 2 5 3 2" xfId="45582" xr:uid="{27613FFF-33E7-49DF-985A-7468BC4624CF}"/>
    <cellStyle name="20% - Accent6 9 2 5 4" xfId="29704" xr:uid="{F48433D2-A82A-4B27-AC18-721540D11F85}"/>
    <cellStyle name="20% - Accent6 9 2 6" xfId="9371" xr:uid="{00000000-0005-0000-0000-0000D5290000}"/>
    <cellStyle name="20% - Accent6 9 2 6 2" xfId="17329" xr:uid="{00000000-0005-0000-0000-0000D6290000}"/>
    <cellStyle name="20% - Accent6 9 2 6 2 2" xfId="41169" xr:uid="{B077006E-6C30-4873-AB57-5EEE711617AA}"/>
    <cellStyle name="20% - Accent6 9 2 6 3" xfId="25273" xr:uid="{00000000-0005-0000-0000-0000D7290000}"/>
    <cellStyle name="20% - Accent6 9 2 6 3 2" xfId="49105" xr:uid="{1E5C32F0-8ED5-4DCD-BFD4-6CCD4F282A92}"/>
    <cellStyle name="20% - Accent6 9 2 6 4" xfId="33228" xr:uid="{040AB1D7-E4A0-45FD-8A85-D8CD9C285752}"/>
    <cellStyle name="20% - Accent6 9 2 7" xfId="10267" xr:uid="{00000000-0005-0000-0000-0000D8290000}"/>
    <cellStyle name="20% - Accent6 9 2 7 2" xfId="34116" xr:uid="{EF933F14-33FC-4158-9172-BC8C5378C4A1}"/>
    <cellStyle name="20% - Accent6 9 2 8" xfId="18222" xr:uid="{00000000-0005-0000-0000-0000D9290000}"/>
    <cellStyle name="20% - Accent6 9 2 8 2" xfId="42054" xr:uid="{F4D28DC1-6701-4213-9670-C27DC9F5B9FD}"/>
    <cellStyle name="20% - Accent6 9 2 9" xfId="26174" xr:uid="{F002D7BB-452B-4CD5-8365-38E8F4746DD8}"/>
    <cellStyle name="20% - Accent6 9 2_Exh G" xfId="2669" xr:uid="{00000000-0005-0000-0000-0000DA290000}"/>
    <cellStyle name="20% - Accent6 9 3" xfId="327" xr:uid="{00000000-0005-0000-0000-0000DB290000}"/>
    <cellStyle name="20% - Accent6 9 3 2" xfId="1353" xr:uid="{00000000-0005-0000-0000-0000DC290000}"/>
    <cellStyle name="20% - Accent6 9 3 2 2" xfId="4880" xr:uid="{00000000-0005-0000-0000-0000DD290000}"/>
    <cellStyle name="20% - Accent6 9 3 2 2 2" xfId="8471" xr:uid="{00000000-0005-0000-0000-0000DE290000}"/>
    <cellStyle name="20% - Accent6 9 3 2 2 2 2" xfId="16441" xr:uid="{00000000-0005-0000-0000-0000DF290000}"/>
    <cellStyle name="20% - Accent6 9 3 2 2 2 2 2" xfId="40283" xr:uid="{ADDAB578-268D-46EE-A315-CEE8517889E3}"/>
    <cellStyle name="20% - Accent6 9 3 2 2 2 3" xfId="24387" xr:uid="{00000000-0005-0000-0000-0000E0290000}"/>
    <cellStyle name="20% - Accent6 9 3 2 2 2 3 2" xfId="48219" xr:uid="{AE7CC458-5798-4C4E-ABBB-77AE84073C09}"/>
    <cellStyle name="20% - Accent6 9 3 2 2 2 4" xfId="32342" xr:uid="{A47CE12C-5A6E-4A86-B064-847180A23CF4}"/>
    <cellStyle name="20% - Accent6 9 3 2 2 3" xfId="12903" xr:uid="{00000000-0005-0000-0000-0000E1290000}"/>
    <cellStyle name="20% - Accent6 9 3 2 2 3 2" xfId="36752" xr:uid="{1AC15083-5A1A-49D8-921F-8A823FAAF63E}"/>
    <cellStyle name="20% - Accent6 9 3 2 2 4" xfId="20858" xr:uid="{00000000-0005-0000-0000-0000E2290000}"/>
    <cellStyle name="20% - Accent6 9 3 2 2 4 2" xfId="44690" xr:uid="{2ECA3BFF-521D-4835-BD76-422C71EA8CD2}"/>
    <cellStyle name="20% - Accent6 9 3 2 2 5" xfId="28811" xr:uid="{5150EC6F-9365-4517-B79C-49BB036A1EE4}"/>
    <cellStyle name="20% - Accent6 9 3 2 3" xfId="6712" xr:uid="{00000000-0005-0000-0000-0000E3290000}"/>
    <cellStyle name="20% - Accent6 9 3 2 3 2" xfId="14683" xr:uid="{00000000-0005-0000-0000-0000E4290000}"/>
    <cellStyle name="20% - Accent6 9 3 2 3 2 2" xfId="38525" xr:uid="{ACAF6DAB-5AFB-4040-B3BA-1854EA1153CE}"/>
    <cellStyle name="20% - Accent6 9 3 2 3 3" xfId="22630" xr:uid="{00000000-0005-0000-0000-0000E5290000}"/>
    <cellStyle name="20% - Accent6 9 3 2 3 3 2" xfId="46462" xr:uid="{B9062407-3E18-4B51-8A1C-425584D24286}"/>
    <cellStyle name="20% - Accent6 9 3 2 3 4" xfId="30584" xr:uid="{FB75CF14-F4DC-4D62-9EBD-FEB877B62A11}"/>
    <cellStyle name="20% - Accent6 9 3 2 4" xfId="11147" xr:uid="{00000000-0005-0000-0000-0000E6290000}"/>
    <cellStyle name="20% - Accent6 9 3 2 4 2" xfId="34996" xr:uid="{9783EAC3-6B26-45A2-8FF4-AF9F69BE714F}"/>
    <cellStyle name="20% - Accent6 9 3 2 5" xfId="19102" xr:uid="{00000000-0005-0000-0000-0000E7290000}"/>
    <cellStyle name="20% - Accent6 9 3 2 5 2" xfId="42934" xr:uid="{E98D5653-FFC6-4B98-BFAE-609237CD998F}"/>
    <cellStyle name="20% - Accent6 9 3 2 6" xfId="27054" xr:uid="{E0A96505-A1B8-475C-A2AC-C807FDB90456}"/>
    <cellStyle name="20% - Accent6 9 3 2_Exh G" xfId="2674" xr:uid="{00000000-0005-0000-0000-0000E8290000}"/>
    <cellStyle name="20% - Accent6 9 3 3" xfId="4001" xr:uid="{00000000-0005-0000-0000-0000E9290000}"/>
    <cellStyle name="20% - Accent6 9 3 3 2" xfId="7593" xr:uid="{00000000-0005-0000-0000-0000EA290000}"/>
    <cellStyle name="20% - Accent6 9 3 3 2 2" xfId="15563" xr:uid="{00000000-0005-0000-0000-0000EB290000}"/>
    <cellStyle name="20% - Accent6 9 3 3 2 2 2" xfId="39405" xr:uid="{9092EC9C-F1CD-427C-B270-56BB09C68D56}"/>
    <cellStyle name="20% - Accent6 9 3 3 2 3" xfId="23509" xr:uid="{00000000-0005-0000-0000-0000EC290000}"/>
    <cellStyle name="20% - Accent6 9 3 3 2 3 2" xfId="47341" xr:uid="{E45C872C-9204-4055-AE78-B85EA45A9091}"/>
    <cellStyle name="20% - Accent6 9 3 3 2 4" xfId="31464" xr:uid="{72758B65-1D2C-4948-80C6-391D571784DF}"/>
    <cellStyle name="20% - Accent6 9 3 3 3" xfId="12025" xr:uid="{00000000-0005-0000-0000-0000ED290000}"/>
    <cellStyle name="20% - Accent6 9 3 3 3 2" xfId="35874" xr:uid="{72BCD302-8D41-4D71-A5D1-3CF06A564D51}"/>
    <cellStyle name="20% - Accent6 9 3 3 4" xfId="19980" xr:uid="{00000000-0005-0000-0000-0000EE290000}"/>
    <cellStyle name="20% - Accent6 9 3 3 4 2" xfId="43812" xr:uid="{BF24B47C-E37A-4015-9FA4-3364B23E5A29}"/>
    <cellStyle name="20% - Accent6 9 3 3 5" xfId="27933" xr:uid="{BA3607E0-A2D6-4349-9407-BB81D82FE17F}"/>
    <cellStyle name="20% - Accent6 9 3 4" xfId="5821" xr:uid="{00000000-0005-0000-0000-0000EF290000}"/>
    <cellStyle name="20% - Accent6 9 3 4 2" xfId="13804" xr:uid="{00000000-0005-0000-0000-0000F0290000}"/>
    <cellStyle name="20% - Accent6 9 3 4 2 2" xfId="37647" xr:uid="{CC6B5CF9-8D10-4A41-A975-2FDB6D271E8B}"/>
    <cellStyle name="20% - Accent6 9 3 4 3" xfId="21752" xr:uid="{00000000-0005-0000-0000-0000F1290000}"/>
    <cellStyle name="20% - Accent6 9 3 4 3 2" xfId="45584" xr:uid="{09A9C751-387A-46A2-8311-ADCB3A6F8BD3}"/>
    <cellStyle name="20% - Accent6 9 3 4 4" xfId="29706" xr:uid="{7A936FF6-0E16-4DAB-850F-A2845B24D4D6}"/>
    <cellStyle name="20% - Accent6 9 3 5" xfId="9373" xr:uid="{00000000-0005-0000-0000-0000F2290000}"/>
    <cellStyle name="20% - Accent6 9 3 5 2" xfId="17331" xr:uid="{00000000-0005-0000-0000-0000F3290000}"/>
    <cellStyle name="20% - Accent6 9 3 5 2 2" xfId="41171" xr:uid="{8C585134-F278-47DC-BC00-384F585D36EB}"/>
    <cellStyle name="20% - Accent6 9 3 5 3" xfId="25275" xr:uid="{00000000-0005-0000-0000-0000F4290000}"/>
    <cellStyle name="20% - Accent6 9 3 5 3 2" xfId="49107" xr:uid="{D5AB252D-B64D-49C8-BA05-89FE69C00457}"/>
    <cellStyle name="20% - Accent6 9 3 5 4" xfId="33230" xr:uid="{5BD07F98-085A-4FB5-928A-2473DDAA8F26}"/>
    <cellStyle name="20% - Accent6 9 3 6" xfId="10269" xr:uid="{00000000-0005-0000-0000-0000F5290000}"/>
    <cellStyle name="20% - Accent6 9 3 6 2" xfId="34118" xr:uid="{2431E65C-EE58-4D64-86E1-630B79196C8A}"/>
    <cellStyle name="20% - Accent6 9 3 7" xfId="18224" xr:uid="{00000000-0005-0000-0000-0000F6290000}"/>
    <cellStyle name="20% - Accent6 9 3 7 2" xfId="42056" xr:uid="{E9EC75B8-AAE5-4787-AEC6-8A0D560465AA}"/>
    <cellStyle name="20% - Accent6 9 3 8" xfId="26176" xr:uid="{6D99CFA3-2D4E-4A86-96EF-2552EFDDC2E2}"/>
    <cellStyle name="20% - Accent6 9 3_Exh G" xfId="2673" xr:uid="{00000000-0005-0000-0000-0000F7290000}"/>
    <cellStyle name="20% - Accent6 9 4" xfId="930" xr:uid="{00000000-0005-0000-0000-0000F8290000}"/>
    <cellStyle name="20% - Accent6 9 4 2" xfId="1851" xr:uid="{00000000-0005-0000-0000-0000F9290000}"/>
    <cellStyle name="20% - Accent6 9 4 2 2" xfId="5368" xr:uid="{00000000-0005-0000-0000-0000FA290000}"/>
    <cellStyle name="20% - Accent6 9 4 2 2 2" xfId="8959" xr:uid="{00000000-0005-0000-0000-0000FB290000}"/>
    <cellStyle name="20% - Accent6 9 4 2 2 2 2" xfId="16929" xr:uid="{00000000-0005-0000-0000-0000FC290000}"/>
    <cellStyle name="20% - Accent6 9 4 2 2 2 2 2" xfId="40771" xr:uid="{88041285-D4E4-4D80-A154-3F18CA9D1E3A}"/>
    <cellStyle name="20% - Accent6 9 4 2 2 2 3" xfId="24875" xr:uid="{00000000-0005-0000-0000-0000FD290000}"/>
    <cellStyle name="20% - Accent6 9 4 2 2 2 3 2" xfId="48707" xr:uid="{031131AC-C1F7-4165-9BE9-DEEE19531EBD}"/>
    <cellStyle name="20% - Accent6 9 4 2 2 2 4" xfId="32830" xr:uid="{D4E04E9B-7D92-4CBD-B357-D27FA74F6BB5}"/>
    <cellStyle name="20% - Accent6 9 4 2 2 3" xfId="13391" xr:uid="{00000000-0005-0000-0000-0000FE290000}"/>
    <cellStyle name="20% - Accent6 9 4 2 2 3 2" xfId="37240" xr:uid="{8FE5D469-CB45-4E7C-A956-4B11A971D58D}"/>
    <cellStyle name="20% - Accent6 9 4 2 2 4" xfId="21346" xr:uid="{00000000-0005-0000-0000-0000FF290000}"/>
    <cellStyle name="20% - Accent6 9 4 2 2 4 2" xfId="45178" xr:uid="{1D79AFB7-1314-4EE5-BC46-EFFB39E02351}"/>
    <cellStyle name="20% - Accent6 9 4 2 2 5" xfId="29299" xr:uid="{B8EA3669-6603-47B1-9CEA-D0EFB732A91B}"/>
    <cellStyle name="20% - Accent6 9 4 2 3" xfId="7200" xr:uid="{00000000-0005-0000-0000-0000002A0000}"/>
    <cellStyle name="20% - Accent6 9 4 2 3 2" xfId="15171" xr:uid="{00000000-0005-0000-0000-0000012A0000}"/>
    <cellStyle name="20% - Accent6 9 4 2 3 2 2" xfId="39013" xr:uid="{92F6E39A-4594-42BE-9DC0-F2C15DA8A86D}"/>
    <cellStyle name="20% - Accent6 9 4 2 3 3" xfId="23118" xr:uid="{00000000-0005-0000-0000-0000022A0000}"/>
    <cellStyle name="20% - Accent6 9 4 2 3 3 2" xfId="46950" xr:uid="{BF6A985D-3590-4DE2-B92E-D5EAB00C0F3D}"/>
    <cellStyle name="20% - Accent6 9 4 2 3 4" xfId="31072" xr:uid="{47498440-C083-478C-91EC-8EC099214E16}"/>
    <cellStyle name="20% - Accent6 9 4 2 4" xfId="11635" xr:uid="{00000000-0005-0000-0000-0000032A0000}"/>
    <cellStyle name="20% - Accent6 9 4 2 4 2" xfId="35484" xr:uid="{C5D435D1-E24A-4119-86EA-9ED2F6FCF8C3}"/>
    <cellStyle name="20% - Accent6 9 4 2 5" xfId="19590" xr:uid="{00000000-0005-0000-0000-0000042A0000}"/>
    <cellStyle name="20% - Accent6 9 4 2 5 2" xfId="43422" xr:uid="{4CF7263C-406F-4E76-B9FB-66C671592BE5}"/>
    <cellStyle name="20% - Accent6 9 4 2 6" xfId="27542" xr:uid="{0A61BE15-1F82-4203-B283-A10653620B4F}"/>
    <cellStyle name="20% - Accent6 9 4 2_Exh G" xfId="2676" xr:uid="{00000000-0005-0000-0000-0000052A0000}"/>
    <cellStyle name="20% - Accent6 9 4 3" xfId="4489" xr:uid="{00000000-0005-0000-0000-0000062A0000}"/>
    <cellStyle name="20% - Accent6 9 4 3 2" xfId="8081" xr:uid="{00000000-0005-0000-0000-0000072A0000}"/>
    <cellStyle name="20% - Accent6 9 4 3 2 2" xfId="16051" xr:uid="{00000000-0005-0000-0000-0000082A0000}"/>
    <cellStyle name="20% - Accent6 9 4 3 2 2 2" xfId="39893" xr:uid="{9B0F840C-0F01-439F-B1AB-D3470FA466AF}"/>
    <cellStyle name="20% - Accent6 9 4 3 2 3" xfId="23997" xr:uid="{00000000-0005-0000-0000-0000092A0000}"/>
    <cellStyle name="20% - Accent6 9 4 3 2 3 2" xfId="47829" xr:uid="{7A91D6B0-3B8C-4AA3-9938-B9C475D8A642}"/>
    <cellStyle name="20% - Accent6 9 4 3 2 4" xfId="31952" xr:uid="{82DCCD54-D276-42E6-9A8A-61F20C307F8D}"/>
    <cellStyle name="20% - Accent6 9 4 3 3" xfId="12513" xr:uid="{00000000-0005-0000-0000-00000A2A0000}"/>
    <cellStyle name="20% - Accent6 9 4 3 3 2" xfId="36362" xr:uid="{11FB1A87-6B97-4345-9460-845EE7498DD6}"/>
    <cellStyle name="20% - Accent6 9 4 3 4" xfId="20468" xr:uid="{00000000-0005-0000-0000-00000B2A0000}"/>
    <cellStyle name="20% - Accent6 9 4 3 4 2" xfId="44300" xr:uid="{321378C2-BACD-4B5E-B2D3-0E1C454875FD}"/>
    <cellStyle name="20% - Accent6 9 4 3 5" xfId="28421" xr:uid="{AB09F500-D65A-405B-9A4C-42CE1F7E7F40}"/>
    <cellStyle name="20% - Accent6 9 4 4" xfId="6319" xr:uid="{00000000-0005-0000-0000-00000C2A0000}"/>
    <cellStyle name="20% - Accent6 9 4 4 2" xfId="14293" xr:uid="{00000000-0005-0000-0000-00000D2A0000}"/>
    <cellStyle name="20% - Accent6 9 4 4 2 2" xfId="38135" xr:uid="{02CF6845-491F-4C9A-967B-2931E24915C2}"/>
    <cellStyle name="20% - Accent6 9 4 4 3" xfId="22240" xr:uid="{00000000-0005-0000-0000-00000E2A0000}"/>
    <cellStyle name="20% - Accent6 9 4 4 3 2" xfId="46072" xr:uid="{36992736-6407-496C-A53E-5A4116F6BB95}"/>
    <cellStyle name="20% - Accent6 9 4 4 4" xfId="30194" xr:uid="{B1D5D57D-4670-4E1F-9E02-90B3AF86F2F4}"/>
    <cellStyle name="20% - Accent6 9 4 5" xfId="9861" xr:uid="{00000000-0005-0000-0000-00000F2A0000}"/>
    <cellStyle name="20% - Accent6 9 4 5 2" xfId="17819" xr:uid="{00000000-0005-0000-0000-0000102A0000}"/>
    <cellStyle name="20% - Accent6 9 4 5 2 2" xfId="41659" xr:uid="{CF6707E5-046B-4708-BB0C-343145EE8C93}"/>
    <cellStyle name="20% - Accent6 9 4 5 3" xfId="25763" xr:uid="{00000000-0005-0000-0000-0000112A0000}"/>
    <cellStyle name="20% - Accent6 9 4 5 3 2" xfId="49595" xr:uid="{65208568-11E7-494E-95A4-D4E2326BF300}"/>
    <cellStyle name="20% - Accent6 9 4 5 4" xfId="33718" xr:uid="{2BF80B22-7DEE-45EE-A94A-FBD06AE1AE46}"/>
    <cellStyle name="20% - Accent6 9 4 6" xfId="10757" xr:uid="{00000000-0005-0000-0000-0000122A0000}"/>
    <cellStyle name="20% - Accent6 9 4 6 2" xfId="34606" xr:uid="{A41D14C0-3052-4A11-A055-31C5929A9230}"/>
    <cellStyle name="20% - Accent6 9 4 7" xfId="18712" xr:uid="{00000000-0005-0000-0000-0000132A0000}"/>
    <cellStyle name="20% - Accent6 9 4 7 2" xfId="42544" xr:uid="{741CA862-DFC9-467F-A10E-DB2C689598C5}"/>
    <cellStyle name="20% - Accent6 9 4 8" xfId="26664" xr:uid="{94037552-F7C9-432B-9872-A4D985AF57C2}"/>
    <cellStyle name="20% - Accent6 9 4_Exh G" xfId="2675" xr:uid="{00000000-0005-0000-0000-0000142A0000}"/>
    <cellStyle name="20% - Accent6 9 5" xfId="1350" xr:uid="{00000000-0005-0000-0000-0000152A0000}"/>
    <cellStyle name="20% - Accent6 9 5 2" xfId="4877" xr:uid="{00000000-0005-0000-0000-0000162A0000}"/>
    <cellStyle name="20% - Accent6 9 5 2 2" xfId="8468" xr:uid="{00000000-0005-0000-0000-0000172A0000}"/>
    <cellStyle name="20% - Accent6 9 5 2 2 2" xfId="16438" xr:uid="{00000000-0005-0000-0000-0000182A0000}"/>
    <cellStyle name="20% - Accent6 9 5 2 2 2 2" xfId="40280" xr:uid="{6F04E7B3-7905-482A-A472-C93F8EC7AC3F}"/>
    <cellStyle name="20% - Accent6 9 5 2 2 3" xfId="24384" xr:uid="{00000000-0005-0000-0000-0000192A0000}"/>
    <cellStyle name="20% - Accent6 9 5 2 2 3 2" xfId="48216" xr:uid="{41B20C4B-4599-409F-AE16-FA4821B25B9C}"/>
    <cellStyle name="20% - Accent6 9 5 2 2 4" xfId="32339" xr:uid="{C129F8FA-B49F-4AA7-958E-62E44691F723}"/>
    <cellStyle name="20% - Accent6 9 5 2 3" xfId="12900" xr:uid="{00000000-0005-0000-0000-00001A2A0000}"/>
    <cellStyle name="20% - Accent6 9 5 2 3 2" xfId="36749" xr:uid="{B54151B0-D50F-4B99-A66D-3A721EC2FF3F}"/>
    <cellStyle name="20% - Accent6 9 5 2 4" xfId="20855" xr:uid="{00000000-0005-0000-0000-00001B2A0000}"/>
    <cellStyle name="20% - Accent6 9 5 2 4 2" xfId="44687" xr:uid="{C3F50FED-9A0E-438C-A680-63276012CEB0}"/>
    <cellStyle name="20% - Accent6 9 5 2 5" xfId="28808" xr:uid="{F5094381-CB73-4E7F-B2D5-20ECEEEB3983}"/>
    <cellStyle name="20% - Accent6 9 5 3" xfId="6709" xr:uid="{00000000-0005-0000-0000-00001C2A0000}"/>
    <cellStyle name="20% - Accent6 9 5 3 2" xfId="14680" xr:uid="{00000000-0005-0000-0000-00001D2A0000}"/>
    <cellStyle name="20% - Accent6 9 5 3 2 2" xfId="38522" xr:uid="{89F3B2F8-485D-4D5A-AE9E-027C13BF6EDE}"/>
    <cellStyle name="20% - Accent6 9 5 3 3" xfId="22627" xr:uid="{00000000-0005-0000-0000-00001E2A0000}"/>
    <cellStyle name="20% - Accent6 9 5 3 3 2" xfId="46459" xr:uid="{6BBFCA72-3FBD-4723-98CA-87FB0E076DCA}"/>
    <cellStyle name="20% - Accent6 9 5 3 4" xfId="30581" xr:uid="{BF4EE317-CF5B-4714-8D7D-FA239DCAC005}"/>
    <cellStyle name="20% - Accent6 9 5 4" xfId="11144" xr:uid="{00000000-0005-0000-0000-00001F2A0000}"/>
    <cellStyle name="20% - Accent6 9 5 4 2" xfId="34993" xr:uid="{3FCA5F2C-19DE-4D65-BDA7-4F07201E1558}"/>
    <cellStyle name="20% - Accent6 9 5 5" xfId="19099" xr:uid="{00000000-0005-0000-0000-0000202A0000}"/>
    <cellStyle name="20% - Accent6 9 5 5 2" xfId="42931" xr:uid="{C7D0F261-EFC3-46DA-B770-5550E8BA2529}"/>
    <cellStyle name="20% - Accent6 9 5 6" xfId="27051" xr:uid="{39BBC64C-2851-48A5-8B7A-D8A628C947E8}"/>
    <cellStyle name="20% - Accent6 9 5_Exh G" xfId="2677" xr:uid="{00000000-0005-0000-0000-0000212A0000}"/>
    <cellStyle name="20% - Accent6 9 6" xfId="3998" xr:uid="{00000000-0005-0000-0000-0000222A0000}"/>
    <cellStyle name="20% - Accent6 9 6 2" xfId="7590" xr:uid="{00000000-0005-0000-0000-0000232A0000}"/>
    <cellStyle name="20% - Accent6 9 6 2 2" xfId="15560" xr:uid="{00000000-0005-0000-0000-0000242A0000}"/>
    <cellStyle name="20% - Accent6 9 6 2 2 2" xfId="39402" xr:uid="{98AC20B5-4AA7-4A75-9051-29A035A1569B}"/>
    <cellStyle name="20% - Accent6 9 6 2 3" xfId="23506" xr:uid="{00000000-0005-0000-0000-0000252A0000}"/>
    <cellStyle name="20% - Accent6 9 6 2 3 2" xfId="47338" xr:uid="{4713F0E6-71DA-4270-ADDF-9BBB7F8620A6}"/>
    <cellStyle name="20% - Accent6 9 6 2 4" xfId="31461" xr:uid="{5A4DEF15-C826-48E6-9C4A-5360E354B716}"/>
    <cellStyle name="20% - Accent6 9 6 3" xfId="12022" xr:uid="{00000000-0005-0000-0000-0000262A0000}"/>
    <cellStyle name="20% - Accent6 9 6 3 2" xfId="35871" xr:uid="{0913DBEC-E0A9-4734-A9BF-D0E2FE7E5CFE}"/>
    <cellStyle name="20% - Accent6 9 6 4" xfId="19977" xr:uid="{00000000-0005-0000-0000-0000272A0000}"/>
    <cellStyle name="20% - Accent6 9 6 4 2" xfId="43809" xr:uid="{CB4C5A52-2F42-4934-BB76-D4B31E51794B}"/>
    <cellStyle name="20% - Accent6 9 6 5" xfId="27930" xr:uid="{12FC6B05-1F83-4ECA-8DBD-DC07202FFB2D}"/>
    <cellStyle name="20% - Accent6 9 7" xfId="5818" xr:uid="{00000000-0005-0000-0000-0000282A0000}"/>
    <cellStyle name="20% - Accent6 9 7 2" xfId="13801" xr:uid="{00000000-0005-0000-0000-0000292A0000}"/>
    <cellStyle name="20% - Accent6 9 7 2 2" xfId="37644" xr:uid="{2D66A775-761F-431C-9913-9596AA402D13}"/>
    <cellStyle name="20% - Accent6 9 7 3" xfId="21749" xr:uid="{00000000-0005-0000-0000-00002A2A0000}"/>
    <cellStyle name="20% - Accent6 9 7 3 2" xfId="45581" xr:uid="{893F1042-A737-4F1D-ADEA-B99A401CB32E}"/>
    <cellStyle name="20% - Accent6 9 7 4" xfId="29703" xr:uid="{CC8F3B63-6B80-466E-A4AD-AEC07D382512}"/>
    <cellStyle name="20% - Accent6 9 8" xfId="9370" xr:uid="{00000000-0005-0000-0000-00002B2A0000}"/>
    <cellStyle name="20% - Accent6 9 8 2" xfId="17328" xr:uid="{00000000-0005-0000-0000-00002C2A0000}"/>
    <cellStyle name="20% - Accent6 9 8 2 2" xfId="41168" xr:uid="{6D2826E4-B9E3-4E16-BB36-E05C61F3AD49}"/>
    <cellStyle name="20% - Accent6 9 8 3" xfId="25272" xr:uid="{00000000-0005-0000-0000-00002D2A0000}"/>
    <cellStyle name="20% - Accent6 9 8 3 2" xfId="49104" xr:uid="{944569E7-BFF9-43AF-97AD-4B61BF382C05}"/>
    <cellStyle name="20% - Accent6 9 8 4" xfId="33227" xr:uid="{74252DEE-D202-45F8-B97C-B75A3BEAA671}"/>
    <cellStyle name="20% - Accent6 9 9" xfId="10266" xr:uid="{00000000-0005-0000-0000-00002E2A0000}"/>
    <cellStyle name="20% - Accent6 9 9 2" xfId="34115" xr:uid="{8DEF2938-475A-4FEF-9FD2-A861A3DBC31B}"/>
    <cellStyle name="20% - Accent6 9_Exh G" xfId="2668" xr:uid="{00000000-0005-0000-0000-00002F2A0000}"/>
    <cellStyle name="40% - Accent1" xfId="49686" builtinId="31" customBuiltin="1"/>
    <cellStyle name="40% - Accent1 10" xfId="328" xr:uid="{00000000-0005-0000-0000-0000302A0000}"/>
    <cellStyle name="40% - Accent1 10 10" xfId="18225" xr:uid="{00000000-0005-0000-0000-0000312A0000}"/>
    <cellStyle name="40% - Accent1 10 10 2" xfId="42057" xr:uid="{D2D3C89F-08AC-486C-9FB6-B118ED925DE4}"/>
    <cellStyle name="40% - Accent1 10 11" xfId="26177" xr:uid="{6D4E807B-36E5-4E81-9371-D1E051F2EDD4}"/>
    <cellStyle name="40% - Accent1 10 2" xfId="329" xr:uid="{00000000-0005-0000-0000-0000322A0000}"/>
    <cellStyle name="40% - Accent1 10 2 2" xfId="330" xr:uid="{00000000-0005-0000-0000-0000332A0000}"/>
    <cellStyle name="40% - Accent1 10 2 2 2" xfId="1356" xr:uid="{00000000-0005-0000-0000-0000342A0000}"/>
    <cellStyle name="40% - Accent1 10 2 2 2 2" xfId="4883" xr:uid="{00000000-0005-0000-0000-0000352A0000}"/>
    <cellStyle name="40% - Accent1 10 2 2 2 2 2" xfId="8474" xr:uid="{00000000-0005-0000-0000-0000362A0000}"/>
    <cellStyle name="40% - Accent1 10 2 2 2 2 2 2" xfId="16444" xr:uid="{00000000-0005-0000-0000-0000372A0000}"/>
    <cellStyle name="40% - Accent1 10 2 2 2 2 2 2 2" xfId="40286" xr:uid="{890A5A17-8BE3-46D7-9F0E-779990957878}"/>
    <cellStyle name="40% - Accent1 10 2 2 2 2 2 3" xfId="24390" xr:uid="{00000000-0005-0000-0000-0000382A0000}"/>
    <cellStyle name="40% - Accent1 10 2 2 2 2 2 3 2" xfId="48222" xr:uid="{D461570F-4F81-4130-A2FE-66034498463B}"/>
    <cellStyle name="40% - Accent1 10 2 2 2 2 2 4" xfId="32345" xr:uid="{12A040F3-1870-4880-BE50-BAD8846A1018}"/>
    <cellStyle name="40% - Accent1 10 2 2 2 2 3" xfId="12906" xr:uid="{00000000-0005-0000-0000-0000392A0000}"/>
    <cellStyle name="40% - Accent1 10 2 2 2 2 3 2" xfId="36755" xr:uid="{C1981C7C-9835-4C20-ACB5-3F20EECC5EB8}"/>
    <cellStyle name="40% - Accent1 10 2 2 2 2 4" xfId="20861" xr:uid="{00000000-0005-0000-0000-00003A2A0000}"/>
    <cellStyle name="40% - Accent1 10 2 2 2 2 4 2" xfId="44693" xr:uid="{A3E333A0-0ED8-42CA-BF73-37701713D880}"/>
    <cellStyle name="40% - Accent1 10 2 2 2 2 5" xfId="28814" xr:uid="{8BAEE4E2-23F2-41DF-9847-A3B0EE8283D8}"/>
    <cellStyle name="40% - Accent1 10 2 2 2 3" xfId="6715" xr:uid="{00000000-0005-0000-0000-00003B2A0000}"/>
    <cellStyle name="40% - Accent1 10 2 2 2 3 2" xfId="14686" xr:uid="{00000000-0005-0000-0000-00003C2A0000}"/>
    <cellStyle name="40% - Accent1 10 2 2 2 3 2 2" xfId="38528" xr:uid="{F210CBB0-B67B-470D-99B0-76DBCD7AF074}"/>
    <cellStyle name="40% - Accent1 10 2 2 2 3 3" xfId="22633" xr:uid="{00000000-0005-0000-0000-00003D2A0000}"/>
    <cellStyle name="40% - Accent1 10 2 2 2 3 3 2" xfId="46465" xr:uid="{88B30EF6-AB27-43A5-ACCB-3ED4F9CE9360}"/>
    <cellStyle name="40% - Accent1 10 2 2 2 3 4" xfId="30587" xr:uid="{0A8E968F-3318-4BC4-A9C5-7588DE3F24DE}"/>
    <cellStyle name="40% - Accent1 10 2 2 2 4" xfId="11150" xr:uid="{00000000-0005-0000-0000-00003E2A0000}"/>
    <cellStyle name="40% - Accent1 10 2 2 2 4 2" xfId="34999" xr:uid="{2FFB4D79-5E66-4094-ADEC-C4E4B0D9A281}"/>
    <cellStyle name="40% - Accent1 10 2 2 2 5" xfId="19105" xr:uid="{00000000-0005-0000-0000-00003F2A0000}"/>
    <cellStyle name="40% - Accent1 10 2 2 2 5 2" xfId="42937" xr:uid="{B5581DC6-2DF3-414A-956F-E7CA66196632}"/>
    <cellStyle name="40% - Accent1 10 2 2 2 6" xfId="27057" xr:uid="{E201200A-49BF-4103-905D-876A10B5FBDA}"/>
    <cellStyle name="40% - Accent1 10 2 2 2_Exh G" xfId="2681" xr:uid="{00000000-0005-0000-0000-0000402A0000}"/>
    <cellStyle name="40% - Accent1 10 2 2 3" xfId="4004" xr:uid="{00000000-0005-0000-0000-0000412A0000}"/>
    <cellStyle name="40% - Accent1 10 2 2 3 2" xfId="7596" xr:uid="{00000000-0005-0000-0000-0000422A0000}"/>
    <cellStyle name="40% - Accent1 10 2 2 3 2 2" xfId="15566" xr:uid="{00000000-0005-0000-0000-0000432A0000}"/>
    <cellStyle name="40% - Accent1 10 2 2 3 2 2 2" xfId="39408" xr:uid="{8594B7DD-4B4B-4C62-84B7-D3D9975A18CA}"/>
    <cellStyle name="40% - Accent1 10 2 2 3 2 3" xfId="23512" xr:uid="{00000000-0005-0000-0000-0000442A0000}"/>
    <cellStyle name="40% - Accent1 10 2 2 3 2 3 2" xfId="47344" xr:uid="{4064FD0E-4D2F-4C90-9DDA-C7B24AE5C383}"/>
    <cellStyle name="40% - Accent1 10 2 2 3 2 4" xfId="31467" xr:uid="{DBD9DA3C-0139-4D67-9718-781ADADF02CA}"/>
    <cellStyle name="40% - Accent1 10 2 2 3 3" xfId="12028" xr:uid="{00000000-0005-0000-0000-0000452A0000}"/>
    <cellStyle name="40% - Accent1 10 2 2 3 3 2" xfId="35877" xr:uid="{9E5EDE6B-3FB3-4C1C-AF73-A496644AD86A}"/>
    <cellStyle name="40% - Accent1 10 2 2 3 4" xfId="19983" xr:uid="{00000000-0005-0000-0000-0000462A0000}"/>
    <cellStyle name="40% - Accent1 10 2 2 3 4 2" xfId="43815" xr:uid="{26EA243B-F6A9-49F1-87C5-72147A3ACC19}"/>
    <cellStyle name="40% - Accent1 10 2 2 3 5" xfId="27936" xr:uid="{40F890F6-4AF0-435C-A4B3-912151588E30}"/>
    <cellStyle name="40% - Accent1 10 2 2 4" xfId="5824" xr:uid="{00000000-0005-0000-0000-0000472A0000}"/>
    <cellStyle name="40% - Accent1 10 2 2 4 2" xfId="13807" xr:uid="{00000000-0005-0000-0000-0000482A0000}"/>
    <cellStyle name="40% - Accent1 10 2 2 4 2 2" xfId="37650" xr:uid="{B039E9E2-7CC2-4CAC-A823-CA72EC371DE4}"/>
    <cellStyle name="40% - Accent1 10 2 2 4 3" xfId="21755" xr:uid="{00000000-0005-0000-0000-0000492A0000}"/>
    <cellStyle name="40% - Accent1 10 2 2 4 3 2" xfId="45587" xr:uid="{C3497654-A512-49F1-A481-2518C4E5EF55}"/>
    <cellStyle name="40% - Accent1 10 2 2 4 4" xfId="29709" xr:uid="{B5E49171-9369-4EBF-8F17-D6E42FA8B64E}"/>
    <cellStyle name="40% - Accent1 10 2 2 5" xfId="9376" xr:uid="{00000000-0005-0000-0000-00004A2A0000}"/>
    <cellStyle name="40% - Accent1 10 2 2 5 2" xfId="17334" xr:uid="{00000000-0005-0000-0000-00004B2A0000}"/>
    <cellStyle name="40% - Accent1 10 2 2 5 2 2" xfId="41174" xr:uid="{6C9F5366-E3A4-46FD-A398-1835C6D5F93C}"/>
    <cellStyle name="40% - Accent1 10 2 2 5 3" xfId="25278" xr:uid="{00000000-0005-0000-0000-00004C2A0000}"/>
    <cellStyle name="40% - Accent1 10 2 2 5 3 2" xfId="49110" xr:uid="{B2714C42-7FC4-4846-9CF2-B6A6A826BCE6}"/>
    <cellStyle name="40% - Accent1 10 2 2 5 4" xfId="33233" xr:uid="{5ED24104-C53A-4D93-BD63-92E12054482C}"/>
    <cellStyle name="40% - Accent1 10 2 2 6" xfId="10272" xr:uid="{00000000-0005-0000-0000-00004D2A0000}"/>
    <cellStyle name="40% - Accent1 10 2 2 6 2" xfId="34121" xr:uid="{0389CB84-42AA-438D-B0A5-42B504051AF8}"/>
    <cellStyle name="40% - Accent1 10 2 2 7" xfId="18227" xr:uid="{00000000-0005-0000-0000-00004E2A0000}"/>
    <cellStyle name="40% - Accent1 10 2 2 7 2" xfId="42059" xr:uid="{69191B4D-EAE3-4F7D-9DCA-ADEC9A9DBDCD}"/>
    <cellStyle name="40% - Accent1 10 2 2 8" xfId="26179" xr:uid="{AD070066-5BDA-4861-B968-FD31EDE6291E}"/>
    <cellStyle name="40% - Accent1 10 2 2_Exh G" xfId="2680" xr:uid="{00000000-0005-0000-0000-00004F2A0000}"/>
    <cellStyle name="40% - Accent1 10 2 3" xfId="1355" xr:uid="{00000000-0005-0000-0000-0000502A0000}"/>
    <cellStyle name="40% - Accent1 10 2 3 2" xfId="4882" xr:uid="{00000000-0005-0000-0000-0000512A0000}"/>
    <cellStyle name="40% - Accent1 10 2 3 2 2" xfId="8473" xr:uid="{00000000-0005-0000-0000-0000522A0000}"/>
    <cellStyle name="40% - Accent1 10 2 3 2 2 2" xfId="16443" xr:uid="{00000000-0005-0000-0000-0000532A0000}"/>
    <cellStyle name="40% - Accent1 10 2 3 2 2 2 2" xfId="40285" xr:uid="{EDA9DDAE-4ABE-43DB-B0A7-4B6725CB7834}"/>
    <cellStyle name="40% - Accent1 10 2 3 2 2 3" xfId="24389" xr:uid="{00000000-0005-0000-0000-0000542A0000}"/>
    <cellStyle name="40% - Accent1 10 2 3 2 2 3 2" xfId="48221" xr:uid="{4BD6E3EF-9492-4FA6-9FB1-85B995915307}"/>
    <cellStyle name="40% - Accent1 10 2 3 2 2 4" xfId="32344" xr:uid="{702D06D6-2134-4F4A-92EC-C32DAB3F9F9E}"/>
    <cellStyle name="40% - Accent1 10 2 3 2 3" xfId="12905" xr:uid="{00000000-0005-0000-0000-0000552A0000}"/>
    <cellStyle name="40% - Accent1 10 2 3 2 3 2" xfId="36754" xr:uid="{C45B9AE9-9356-48A6-9871-65CFBF863762}"/>
    <cellStyle name="40% - Accent1 10 2 3 2 4" xfId="20860" xr:uid="{00000000-0005-0000-0000-0000562A0000}"/>
    <cellStyle name="40% - Accent1 10 2 3 2 4 2" xfId="44692" xr:uid="{EF0BC9A0-DCE0-44E6-BFD3-8AC2077711BF}"/>
    <cellStyle name="40% - Accent1 10 2 3 2 5" xfId="28813" xr:uid="{9A49167D-AC9D-4356-9ECC-205B00E1E332}"/>
    <cellStyle name="40% - Accent1 10 2 3 3" xfId="6714" xr:uid="{00000000-0005-0000-0000-0000572A0000}"/>
    <cellStyle name="40% - Accent1 10 2 3 3 2" xfId="14685" xr:uid="{00000000-0005-0000-0000-0000582A0000}"/>
    <cellStyle name="40% - Accent1 10 2 3 3 2 2" xfId="38527" xr:uid="{C34370CE-DD37-4D17-ACF0-EEAAFBBE87DB}"/>
    <cellStyle name="40% - Accent1 10 2 3 3 3" xfId="22632" xr:uid="{00000000-0005-0000-0000-0000592A0000}"/>
    <cellStyle name="40% - Accent1 10 2 3 3 3 2" xfId="46464" xr:uid="{32692ED4-18A9-4503-B9D5-9F68C91D1F41}"/>
    <cellStyle name="40% - Accent1 10 2 3 3 4" xfId="30586" xr:uid="{9F05B0E6-1514-4C24-8566-655671C37DBD}"/>
    <cellStyle name="40% - Accent1 10 2 3 4" xfId="11149" xr:uid="{00000000-0005-0000-0000-00005A2A0000}"/>
    <cellStyle name="40% - Accent1 10 2 3 4 2" xfId="34998" xr:uid="{5C1C1A38-BA5A-43C6-B8F8-5018A4DC75AC}"/>
    <cellStyle name="40% - Accent1 10 2 3 5" xfId="19104" xr:uid="{00000000-0005-0000-0000-00005B2A0000}"/>
    <cellStyle name="40% - Accent1 10 2 3 5 2" xfId="42936" xr:uid="{8B006678-082A-431E-AA28-0D8301C7C2E1}"/>
    <cellStyle name="40% - Accent1 10 2 3 6" xfId="27056" xr:uid="{8711210B-8BDF-41F0-BAEF-BD3C12CAA0C8}"/>
    <cellStyle name="40% - Accent1 10 2 3_Exh G" xfId="2682" xr:uid="{00000000-0005-0000-0000-00005C2A0000}"/>
    <cellStyle name="40% - Accent1 10 2 4" xfId="4003" xr:uid="{00000000-0005-0000-0000-00005D2A0000}"/>
    <cellStyle name="40% - Accent1 10 2 4 2" xfId="7595" xr:uid="{00000000-0005-0000-0000-00005E2A0000}"/>
    <cellStyle name="40% - Accent1 10 2 4 2 2" xfId="15565" xr:uid="{00000000-0005-0000-0000-00005F2A0000}"/>
    <cellStyle name="40% - Accent1 10 2 4 2 2 2" xfId="39407" xr:uid="{C66F56F0-13B0-4173-8CC2-DED1D4B6D005}"/>
    <cellStyle name="40% - Accent1 10 2 4 2 3" xfId="23511" xr:uid="{00000000-0005-0000-0000-0000602A0000}"/>
    <cellStyle name="40% - Accent1 10 2 4 2 3 2" xfId="47343" xr:uid="{D0744742-8B69-4DDB-9B3A-C61BC6B9D817}"/>
    <cellStyle name="40% - Accent1 10 2 4 2 4" xfId="31466" xr:uid="{B5EE781C-DEC1-4FBF-8320-7089CD9593BA}"/>
    <cellStyle name="40% - Accent1 10 2 4 3" xfId="12027" xr:uid="{00000000-0005-0000-0000-0000612A0000}"/>
    <cellStyle name="40% - Accent1 10 2 4 3 2" xfId="35876" xr:uid="{BBD36367-B2BD-4186-8A16-C0FED8B77A52}"/>
    <cellStyle name="40% - Accent1 10 2 4 4" xfId="19982" xr:uid="{00000000-0005-0000-0000-0000622A0000}"/>
    <cellStyle name="40% - Accent1 10 2 4 4 2" xfId="43814" xr:uid="{192AE36B-7227-49E1-AD72-589B536E901B}"/>
    <cellStyle name="40% - Accent1 10 2 4 5" xfId="27935" xr:uid="{B8533D43-D8B9-4E4E-BB1A-07ABC30F7686}"/>
    <cellStyle name="40% - Accent1 10 2 5" xfId="5823" xr:uid="{00000000-0005-0000-0000-0000632A0000}"/>
    <cellStyle name="40% - Accent1 10 2 5 2" xfId="13806" xr:uid="{00000000-0005-0000-0000-0000642A0000}"/>
    <cellStyle name="40% - Accent1 10 2 5 2 2" xfId="37649" xr:uid="{44BC2C71-3DEC-4AD0-85E5-C76DC051D724}"/>
    <cellStyle name="40% - Accent1 10 2 5 3" xfId="21754" xr:uid="{00000000-0005-0000-0000-0000652A0000}"/>
    <cellStyle name="40% - Accent1 10 2 5 3 2" xfId="45586" xr:uid="{B60179AF-C61B-4B28-9EA2-5BA3C545DD3D}"/>
    <cellStyle name="40% - Accent1 10 2 5 4" xfId="29708" xr:uid="{7102A232-BB6E-4012-8955-B20EDCE617A1}"/>
    <cellStyle name="40% - Accent1 10 2 6" xfId="9375" xr:uid="{00000000-0005-0000-0000-0000662A0000}"/>
    <cellStyle name="40% - Accent1 10 2 6 2" xfId="17333" xr:uid="{00000000-0005-0000-0000-0000672A0000}"/>
    <cellStyle name="40% - Accent1 10 2 6 2 2" xfId="41173" xr:uid="{1648D1FC-FD08-413C-A73B-57A1367D9C26}"/>
    <cellStyle name="40% - Accent1 10 2 6 3" xfId="25277" xr:uid="{00000000-0005-0000-0000-0000682A0000}"/>
    <cellStyle name="40% - Accent1 10 2 6 3 2" xfId="49109" xr:uid="{B9D48AF7-DC9C-4045-9F7D-477744BC2617}"/>
    <cellStyle name="40% - Accent1 10 2 6 4" xfId="33232" xr:uid="{D4F60164-4E02-4F87-A348-33BBBB2636C0}"/>
    <cellStyle name="40% - Accent1 10 2 7" xfId="10271" xr:uid="{00000000-0005-0000-0000-0000692A0000}"/>
    <cellStyle name="40% - Accent1 10 2 7 2" xfId="34120" xr:uid="{85A8C066-15D7-4269-8759-A390C2F6E647}"/>
    <cellStyle name="40% - Accent1 10 2 8" xfId="18226" xr:uid="{00000000-0005-0000-0000-00006A2A0000}"/>
    <cellStyle name="40% - Accent1 10 2 8 2" xfId="42058" xr:uid="{9DD60AA5-0218-4FCA-999A-504A4A494711}"/>
    <cellStyle name="40% - Accent1 10 2 9" xfId="26178" xr:uid="{759FF138-F78A-4494-ACE5-8FAD47AED39C}"/>
    <cellStyle name="40% - Accent1 10 2_Exh G" xfId="2679" xr:uid="{00000000-0005-0000-0000-00006B2A0000}"/>
    <cellStyle name="40% - Accent1 10 3" xfId="331" xr:uid="{00000000-0005-0000-0000-00006C2A0000}"/>
    <cellStyle name="40% - Accent1 10 3 2" xfId="1357" xr:uid="{00000000-0005-0000-0000-00006D2A0000}"/>
    <cellStyle name="40% - Accent1 10 3 2 2" xfId="4884" xr:uid="{00000000-0005-0000-0000-00006E2A0000}"/>
    <cellStyle name="40% - Accent1 10 3 2 2 2" xfId="8475" xr:uid="{00000000-0005-0000-0000-00006F2A0000}"/>
    <cellStyle name="40% - Accent1 10 3 2 2 2 2" xfId="16445" xr:uid="{00000000-0005-0000-0000-0000702A0000}"/>
    <cellStyle name="40% - Accent1 10 3 2 2 2 2 2" xfId="40287" xr:uid="{B61859F5-6A8B-4365-ADAA-0A733FE42EDA}"/>
    <cellStyle name="40% - Accent1 10 3 2 2 2 3" xfId="24391" xr:uid="{00000000-0005-0000-0000-0000712A0000}"/>
    <cellStyle name="40% - Accent1 10 3 2 2 2 3 2" xfId="48223" xr:uid="{70DC1FDE-8020-4B52-A97E-1678FA47FEBC}"/>
    <cellStyle name="40% - Accent1 10 3 2 2 2 4" xfId="32346" xr:uid="{E3532366-4864-4853-A984-40AF5A1D315A}"/>
    <cellStyle name="40% - Accent1 10 3 2 2 3" xfId="12907" xr:uid="{00000000-0005-0000-0000-0000722A0000}"/>
    <cellStyle name="40% - Accent1 10 3 2 2 3 2" xfId="36756" xr:uid="{018CB71D-B9E6-4FDD-8200-BCBF507A0E88}"/>
    <cellStyle name="40% - Accent1 10 3 2 2 4" xfId="20862" xr:uid="{00000000-0005-0000-0000-0000732A0000}"/>
    <cellStyle name="40% - Accent1 10 3 2 2 4 2" xfId="44694" xr:uid="{6E11E6E6-ADC3-4F99-A5A5-30A416EF9E0D}"/>
    <cellStyle name="40% - Accent1 10 3 2 2 5" xfId="28815" xr:uid="{E4435784-9A98-4933-849F-BECEBE98A6C5}"/>
    <cellStyle name="40% - Accent1 10 3 2 3" xfId="6716" xr:uid="{00000000-0005-0000-0000-0000742A0000}"/>
    <cellStyle name="40% - Accent1 10 3 2 3 2" xfId="14687" xr:uid="{00000000-0005-0000-0000-0000752A0000}"/>
    <cellStyle name="40% - Accent1 10 3 2 3 2 2" xfId="38529" xr:uid="{50994E66-75C6-42EB-B53A-017E8C1D3E20}"/>
    <cellStyle name="40% - Accent1 10 3 2 3 3" xfId="22634" xr:uid="{00000000-0005-0000-0000-0000762A0000}"/>
    <cellStyle name="40% - Accent1 10 3 2 3 3 2" xfId="46466" xr:uid="{94DCABCD-FC60-4A05-9121-791F5AF025EF}"/>
    <cellStyle name="40% - Accent1 10 3 2 3 4" xfId="30588" xr:uid="{8CA1A5C0-A76A-46D5-A8C2-F51D25FC7CF5}"/>
    <cellStyle name="40% - Accent1 10 3 2 4" xfId="11151" xr:uid="{00000000-0005-0000-0000-0000772A0000}"/>
    <cellStyle name="40% - Accent1 10 3 2 4 2" xfId="35000" xr:uid="{A03DA389-01B8-46F6-A2CD-E6B9527387D1}"/>
    <cellStyle name="40% - Accent1 10 3 2 5" xfId="19106" xr:uid="{00000000-0005-0000-0000-0000782A0000}"/>
    <cellStyle name="40% - Accent1 10 3 2 5 2" xfId="42938" xr:uid="{19B530C7-E41A-4943-8CC9-789B31B88078}"/>
    <cellStyle name="40% - Accent1 10 3 2 6" xfId="27058" xr:uid="{0BBEFD6B-9971-41A1-B80A-A26743E77023}"/>
    <cellStyle name="40% - Accent1 10 3 2_Exh G" xfId="2684" xr:uid="{00000000-0005-0000-0000-0000792A0000}"/>
    <cellStyle name="40% - Accent1 10 3 3" xfId="4005" xr:uid="{00000000-0005-0000-0000-00007A2A0000}"/>
    <cellStyle name="40% - Accent1 10 3 3 2" xfId="7597" xr:uid="{00000000-0005-0000-0000-00007B2A0000}"/>
    <cellStyle name="40% - Accent1 10 3 3 2 2" xfId="15567" xr:uid="{00000000-0005-0000-0000-00007C2A0000}"/>
    <cellStyle name="40% - Accent1 10 3 3 2 2 2" xfId="39409" xr:uid="{3C7C0880-0F03-4F8D-AB9F-1E24AAA83F22}"/>
    <cellStyle name="40% - Accent1 10 3 3 2 3" xfId="23513" xr:uid="{00000000-0005-0000-0000-00007D2A0000}"/>
    <cellStyle name="40% - Accent1 10 3 3 2 3 2" xfId="47345" xr:uid="{D3522E51-82DE-4C45-AD2D-AB98B1D05F92}"/>
    <cellStyle name="40% - Accent1 10 3 3 2 4" xfId="31468" xr:uid="{DE028ACD-FEBF-487A-9EFD-B6E217B791D8}"/>
    <cellStyle name="40% - Accent1 10 3 3 3" xfId="12029" xr:uid="{00000000-0005-0000-0000-00007E2A0000}"/>
    <cellStyle name="40% - Accent1 10 3 3 3 2" xfId="35878" xr:uid="{F117C190-CB44-4DCA-B843-46E8F6FA9931}"/>
    <cellStyle name="40% - Accent1 10 3 3 4" xfId="19984" xr:uid="{00000000-0005-0000-0000-00007F2A0000}"/>
    <cellStyle name="40% - Accent1 10 3 3 4 2" xfId="43816" xr:uid="{0E562905-9F82-4E96-9F8C-8E9C4E1F9BEC}"/>
    <cellStyle name="40% - Accent1 10 3 3 5" xfId="27937" xr:uid="{7C9A8455-3FAF-4E81-8F15-C8F7CB2070CC}"/>
    <cellStyle name="40% - Accent1 10 3 4" xfId="5825" xr:uid="{00000000-0005-0000-0000-0000802A0000}"/>
    <cellStyle name="40% - Accent1 10 3 4 2" xfId="13808" xr:uid="{00000000-0005-0000-0000-0000812A0000}"/>
    <cellStyle name="40% - Accent1 10 3 4 2 2" xfId="37651" xr:uid="{42E2976A-8FD5-43DD-8A79-347AF6B36605}"/>
    <cellStyle name="40% - Accent1 10 3 4 3" xfId="21756" xr:uid="{00000000-0005-0000-0000-0000822A0000}"/>
    <cellStyle name="40% - Accent1 10 3 4 3 2" xfId="45588" xr:uid="{B7726297-D2C0-4772-BAC2-7F5645F4981F}"/>
    <cellStyle name="40% - Accent1 10 3 4 4" xfId="29710" xr:uid="{51FE0D52-57F1-4057-9EE8-CFCDEC28D41B}"/>
    <cellStyle name="40% - Accent1 10 3 5" xfId="9377" xr:uid="{00000000-0005-0000-0000-0000832A0000}"/>
    <cellStyle name="40% - Accent1 10 3 5 2" xfId="17335" xr:uid="{00000000-0005-0000-0000-0000842A0000}"/>
    <cellStyle name="40% - Accent1 10 3 5 2 2" xfId="41175" xr:uid="{5D83967E-267E-4DA2-B468-BE564C65D03C}"/>
    <cellStyle name="40% - Accent1 10 3 5 3" xfId="25279" xr:uid="{00000000-0005-0000-0000-0000852A0000}"/>
    <cellStyle name="40% - Accent1 10 3 5 3 2" xfId="49111" xr:uid="{FF098BED-2F22-41CE-AC6E-B5CEDAC11827}"/>
    <cellStyle name="40% - Accent1 10 3 5 4" xfId="33234" xr:uid="{D2FBFFDE-7101-4085-A8EE-80EE5B52033A}"/>
    <cellStyle name="40% - Accent1 10 3 6" xfId="10273" xr:uid="{00000000-0005-0000-0000-0000862A0000}"/>
    <cellStyle name="40% - Accent1 10 3 6 2" xfId="34122" xr:uid="{EF22C09B-59B9-4AB5-94A3-2F2435A8D79E}"/>
    <cellStyle name="40% - Accent1 10 3 7" xfId="18228" xr:uid="{00000000-0005-0000-0000-0000872A0000}"/>
    <cellStyle name="40% - Accent1 10 3 7 2" xfId="42060" xr:uid="{B6E37A5C-98C3-428E-A347-D883B928ACCF}"/>
    <cellStyle name="40% - Accent1 10 3 8" xfId="26180" xr:uid="{06AC06AB-7D4E-4AC5-B692-DD5E32CDE298}"/>
    <cellStyle name="40% - Accent1 10 3_Exh G" xfId="2683" xr:uid="{00000000-0005-0000-0000-0000882A0000}"/>
    <cellStyle name="40% - Accent1 10 4" xfId="931" xr:uid="{00000000-0005-0000-0000-0000892A0000}"/>
    <cellStyle name="40% - Accent1 10 5" xfId="1354" xr:uid="{00000000-0005-0000-0000-00008A2A0000}"/>
    <cellStyle name="40% - Accent1 10 5 2" xfId="4881" xr:uid="{00000000-0005-0000-0000-00008B2A0000}"/>
    <cellStyle name="40% - Accent1 10 5 2 2" xfId="8472" xr:uid="{00000000-0005-0000-0000-00008C2A0000}"/>
    <cellStyle name="40% - Accent1 10 5 2 2 2" xfId="16442" xr:uid="{00000000-0005-0000-0000-00008D2A0000}"/>
    <cellStyle name="40% - Accent1 10 5 2 2 2 2" xfId="40284" xr:uid="{2C5580CC-649A-4B05-9F2B-07CACA81F705}"/>
    <cellStyle name="40% - Accent1 10 5 2 2 3" xfId="24388" xr:uid="{00000000-0005-0000-0000-00008E2A0000}"/>
    <cellStyle name="40% - Accent1 10 5 2 2 3 2" xfId="48220" xr:uid="{F44DA05A-BC1B-4D49-A505-870038A4A627}"/>
    <cellStyle name="40% - Accent1 10 5 2 2 4" xfId="32343" xr:uid="{A3253FFA-BB2F-4380-8EC6-734863F4A48E}"/>
    <cellStyle name="40% - Accent1 10 5 2 3" xfId="12904" xr:uid="{00000000-0005-0000-0000-00008F2A0000}"/>
    <cellStyle name="40% - Accent1 10 5 2 3 2" xfId="36753" xr:uid="{87D80B58-E288-4508-BC05-D91112A69FBE}"/>
    <cellStyle name="40% - Accent1 10 5 2 4" xfId="20859" xr:uid="{00000000-0005-0000-0000-0000902A0000}"/>
    <cellStyle name="40% - Accent1 10 5 2 4 2" xfId="44691" xr:uid="{3FA75D94-AE41-437E-A3F9-0BCC095906F8}"/>
    <cellStyle name="40% - Accent1 10 5 2 5" xfId="28812" xr:uid="{0480C8FF-FE0A-41E8-B53D-6AEF79A87C7B}"/>
    <cellStyle name="40% - Accent1 10 5 3" xfId="6713" xr:uid="{00000000-0005-0000-0000-0000912A0000}"/>
    <cellStyle name="40% - Accent1 10 5 3 2" xfId="14684" xr:uid="{00000000-0005-0000-0000-0000922A0000}"/>
    <cellStyle name="40% - Accent1 10 5 3 2 2" xfId="38526" xr:uid="{4F5D4EE5-3666-444F-856F-A566904EFC33}"/>
    <cellStyle name="40% - Accent1 10 5 3 3" xfId="22631" xr:uid="{00000000-0005-0000-0000-0000932A0000}"/>
    <cellStyle name="40% - Accent1 10 5 3 3 2" xfId="46463" xr:uid="{55077A27-A719-4CB7-A369-E9DCA4B0D7B9}"/>
    <cellStyle name="40% - Accent1 10 5 3 4" xfId="30585" xr:uid="{78BDA80F-57CB-4B70-BF3F-9C305CFB1F9C}"/>
    <cellStyle name="40% - Accent1 10 5 4" xfId="11148" xr:uid="{00000000-0005-0000-0000-0000942A0000}"/>
    <cellStyle name="40% - Accent1 10 5 4 2" xfId="34997" xr:uid="{163CC2EC-37D6-4308-BDEF-CBFB464ED21E}"/>
    <cellStyle name="40% - Accent1 10 5 5" xfId="19103" xr:uid="{00000000-0005-0000-0000-0000952A0000}"/>
    <cellStyle name="40% - Accent1 10 5 5 2" xfId="42935" xr:uid="{22C52C22-C67A-42A2-B2A2-679DAF72D0FB}"/>
    <cellStyle name="40% - Accent1 10 5 6" xfId="27055" xr:uid="{865E9EC9-F171-4971-9E10-E3F606DA37AA}"/>
    <cellStyle name="40% - Accent1 10 5_Exh G" xfId="2685" xr:uid="{00000000-0005-0000-0000-0000962A0000}"/>
    <cellStyle name="40% - Accent1 10 6" xfId="4002" xr:uid="{00000000-0005-0000-0000-0000972A0000}"/>
    <cellStyle name="40% - Accent1 10 6 2" xfId="7594" xr:uid="{00000000-0005-0000-0000-0000982A0000}"/>
    <cellStyle name="40% - Accent1 10 6 2 2" xfId="15564" xr:uid="{00000000-0005-0000-0000-0000992A0000}"/>
    <cellStyle name="40% - Accent1 10 6 2 2 2" xfId="39406" xr:uid="{165E1EAD-158C-46E4-BC8A-EBD5C7AEC905}"/>
    <cellStyle name="40% - Accent1 10 6 2 3" xfId="23510" xr:uid="{00000000-0005-0000-0000-00009A2A0000}"/>
    <cellStyle name="40% - Accent1 10 6 2 3 2" xfId="47342" xr:uid="{3FC72C12-E922-488E-814E-E517EB5139B5}"/>
    <cellStyle name="40% - Accent1 10 6 2 4" xfId="31465" xr:uid="{BAC21C14-2F78-46D5-83E5-9920481F8F0C}"/>
    <cellStyle name="40% - Accent1 10 6 3" xfId="12026" xr:uid="{00000000-0005-0000-0000-00009B2A0000}"/>
    <cellStyle name="40% - Accent1 10 6 3 2" xfId="35875" xr:uid="{45488617-D56E-4C0A-9054-F8D7841790D8}"/>
    <cellStyle name="40% - Accent1 10 6 4" xfId="19981" xr:uid="{00000000-0005-0000-0000-00009C2A0000}"/>
    <cellStyle name="40% - Accent1 10 6 4 2" xfId="43813" xr:uid="{6C16FECD-A29C-4721-A3E3-CC2CAA81C996}"/>
    <cellStyle name="40% - Accent1 10 6 5" xfId="27934" xr:uid="{ABE19A2C-9386-47EB-9C14-ACB2FC63BFA2}"/>
    <cellStyle name="40% - Accent1 10 7" xfId="5822" xr:uid="{00000000-0005-0000-0000-00009D2A0000}"/>
    <cellStyle name="40% - Accent1 10 7 2" xfId="13805" xr:uid="{00000000-0005-0000-0000-00009E2A0000}"/>
    <cellStyle name="40% - Accent1 10 7 2 2" xfId="37648" xr:uid="{2CD232CC-4851-4AA5-9FCA-8792B433C713}"/>
    <cellStyle name="40% - Accent1 10 7 3" xfId="21753" xr:uid="{00000000-0005-0000-0000-00009F2A0000}"/>
    <cellStyle name="40% - Accent1 10 7 3 2" xfId="45585" xr:uid="{4F378802-41B6-40DF-AE02-936AF1FEC3CE}"/>
    <cellStyle name="40% - Accent1 10 7 4" xfId="29707" xr:uid="{BFE613BD-7478-45F1-9A53-7AA362A76BC0}"/>
    <cellStyle name="40% - Accent1 10 8" xfId="9374" xr:uid="{00000000-0005-0000-0000-0000A02A0000}"/>
    <cellStyle name="40% - Accent1 10 8 2" xfId="17332" xr:uid="{00000000-0005-0000-0000-0000A12A0000}"/>
    <cellStyle name="40% - Accent1 10 8 2 2" xfId="41172" xr:uid="{F611E3F8-B053-43ED-A1F0-438CFDDEFDAD}"/>
    <cellStyle name="40% - Accent1 10 8 3" xfId="25276" xr:uid="{00000000-0005-0000-0000-0000A22A0000}"/>
    <cellStyle name="40% - Accent1 10 8 3 2" xfId="49108" xr:uid="{8CE0A3B3-534A-4A8F-B292-8D4124585F5B}"/>
    <cellStyle name="40% - Accent1 10 8 4" xfId="33231" xr:uid="{18F2DE9B-A364-4BF1-AD07-A5581BE2674A}"/>
    <cellStyle name="40% - Accent1 10 9" xfId="10270" xr:uid="{00000000-0005-0000-0000-0000A32A0000}"/>
    <cellStyle name="40% - Accent1 10 9 2" xfId="34119" xr:uid="{AE51B6E6-9064-4577-92BD-ED0402EAF437}"/>
    <cellStyle name="40% - Accent1 10_Exh G" xfId="2678" xr:uid="{00000000-0005-0000-0000-0000A42A0000}"/>
    <cellStyle name="40% - Accent1 11" xfId="332" xr:uid="{00000000-0005-0000-0000-0000A52A0000}"/>
    <cellStyle name="40% - Accent1 11 10" xfId="26181" xr:uid="{707C7E89-9EC9-46E5-A4E5-7898A0581BE4}"/>
    <cellStyle name="40% - Accent1 11 2" xfId="333" xr:uid="{00000000-0005-0000-0000-0000A62A0000}"/>
    <cellStyle name="40% - Accent1 11 2 2" xfId="334" xr:uid="{00000000-0005-0000-0000-0000A72A0000}"/>
    <cellStyle name="40% - Accent1 11 2 2 2" xfId="1360" xr:uid="{00000000-0005-0000-0000-0000A82A0000}"/>
    <cellStyle name="40% - Accent1 11 2 2 2 2" xfId="4887" xr:uid="{00000000-0005-0000-0000-0000A92A0000}"/>
    <cellStyle name="40% - Accent1 11 2 2 2 2 2" xfId="8478" xr:uid="{00000000-0005-0000-0000-0000AA2A0000}"/>
    <cellStyle name="40% - Accent1 11 2 2 2 2 2 2" xfId="16448" xr:uid="{00000000-0005-0000-0000-0000AB2A0000}"/>
    <cellStyle name="40% - Accent1 11 2 2 2 2 2 2 2" xfId="40290" xr:uid="{BE9F2B70-4DB5-4F9A-819F-E3CAF15A2A8E}"/>
    <cellStyle name="40% - Accent1 11 2 2 2 2 2 3" xfId="24394" xr:uid="{00000000-0005-0000-0000-0000AC2A0000}"/>
    <cellStyle name="40% - Accent1 11 2 2 2 2 2 3 2" xfId="48226" xr:uid="{24772238-51E1-4233-87C2-EE9CBF9B4584}"/>
    <cellStyle name="40% - Accent1 11 2 2 2 2 2 4" xfId="32349" xr:uid="{8C6A8F18-140F-4745-93F1-A86096DCC4EF}"/>
    <cellStyle name="40% - Accent1 11 2 2 2 2 3" xfId="12910" xr:uid="{00000000-0005-0000-0000-0000AD2A0000}"/>
    <cellStyle name="40% - Accent1 11 2 2 2 2 3 2" xfId="36759" xr:uid="{4D31B718-7C59-4CDD-8D4A-80965780EAF2}"/>
    <cellStyle name="40% - Accent1 11 2 2 2 2 4" xfId="20865" xr:uid="{00000000-0005-0000-0000-0000AE2A0000}"/>
    <cellStyle name="40% - Accent1 11 2 2 2 2 4 2" xfId="44697" xr:uid="{127E94B9-91BB-41CC-A5E0-E5C68C5380CF}"/>
    <cellStyle name="40% - Accent1 11 2 2 2 2 5" xfId="28818" xr:uid="{1E10C3A7-8EE3-4157-A055-170E4BA4EC53}"/>
    <cellStyle name="40% - Accent1 11 2 2 2 3" xfId="6719" xr:uid="{00000000-0005-0000-0000-0000AF2A0000}"/>
    <cellStyle name="40% - Accent1 11 2 2 2 3 2" xfId="14690" xr:uid="{00000000-0005-0000-0000-0000B02A0000}"/>
    <cellStyle name="40% - Accent1 11 2 2 2 3 2 2" xfId="38532" xr:uid="{6449F2C0-28F9-4816-BB01-CC0E29577EEB}"/>
    <cellStyle name="40% - Accent1 11 2 2 2 3 3" xfId="22637" xr:uid="{00000000-0005-0000-0000-0000B12A0000}"/>
    <cellStyle name="40% - Accent1 11 2 2 2 3 3 2" xfId="46469" xr:uid="{BA52E222-2400-416B-80B8-92F6DA39B220}"/>
    <cellStyle name="40% - Accent1 11 2 2 2 3 4" xfId="30591" xr:uid="{A95BBBB1-1BC9-419B-9536-C6B508261E18}"/>
    <cellStyle name="40% - Accent1 11 2 2 2 4" xfId="11154" xr:uid="{00000000-0005-0000-0000-0000B22A0000}"/>
    <cellStyle name="40% - Accent1 11 2 2 2 4 2" xfId="35003" xr:uid="{07D4915C-595B-403F-8EED-294F50909D34}"/>
    <cellStyle name="40% - Accent1 11 2 2 2 5" xfId="19109" xr:uid="{00000000-0005-0000-0000-0000B32A0000}"/>
    <cellStyle name="40% - Accent1 11 2 2 2 5 2" xfId="42941" xr:uid="{D1A33CBB-CF1D-4280-8AB4-4703AD739AC9}"/>
    <cellStyle name="40% - Accent1 11 2 2 2 6" xfId="27061" xr:uid="{5C3A5D69-92A7-428B-B322-56D3B0F18EEC}"/>
    <cellStyle name="40% - Accent1 11 2 2 2_Exh G" xfId="2689" xr:uid="{00000000-0005-0000-0000-0000B42A0000}"/>
    <cellStyle name="40% - Accent1 11 2 2 3" xfId="4008" xr:uid="{00000000-0005-0000-0000-0000B52A0000}"/>
    <cellStyle name="40% - Accent1 11 2 2 3 2" xfId="7600" xr:uid="{00000000-0005-0000-0000-0000B62A0000}"/>
    <cellStyle name="40% - Accent1 11 2 2 3 2 2" xfId="15570" xr:uid="{00000000-0005-0000-0000-0000B72A0000}"/>
    <cellStyle name="40% - Accent1 11 2 2 3 2 2 2" xfId="39412" xr:uid="{31A77995-9B3D-4E47-AD02-C8472CA0377F}"/>
    <cellStyle name="40% - Accent1 11 2 2 3 2 3" xfId="23516" xr:uid="{00000000-0005-0000-0000-0000B82A0000}"/>
    <cellStyle name="40% - Accent1 11 2 2 3 2 3 2" xfId="47348" xr:uid="{A72682EC-91C1-4A64-86BE-533E3D5696BD}"/>
    <cellStyle name="40% - Accent1 11 2 2 3 2 4" xfId="31471" xr:uid="{4688901D-D329-44E2-A777-73A278D9DD11}"/>
    <cellStyle name="40% - Accent1 11 2 2 3 3" xfId="12032" xr:uid="{00000000-0005-0000-0000-0000B92A0000}"/>
    <cellStyle name="40% - Accent1 11 2 2 3 3 2" xfId="35881" xr:uid="{8E8BDD67-44FE-4BC7-B4D2-E1A0A7604222}"/>
    <cellStyle name="40% - Accent1 11 2 2 3 4" xfId="19987" xr:uid="{00000000-0005-0000-0000-0000BA2A0000}"/>
    <cellStyle name="40% - Accent1 11 2 2 3 4 2" xfId="43819" xr:uid="{83A00FE4-42B1-4835-9120-E4E56B2F3324}"/>
    <cellStyle name="40% - Accent1 11 2 2 3 5" xfId="27940" xr:uid="{F93E253F-67DA-4090-9D3D-5B028247D686}"/>
    <cellStyle name="40% - Accent1 11 2 2 4" xfId="5828" xr:uid="{00000000-0005-0000-0000-0000BB2A0000}"/>
    <cellStyle name="40% - Accent1 11 2 2 4 2" xfId="13811" xr:uid="{00000000-0005-0000-0000-0000BC2A0000}"/>
    <cellStyle name="40% - Accent1 11 2 2 4 2 2" xfId="37654" xr:uid="{28952740-A5EF-4296-A6C8-7B3B2C816249}"/>
    <cellStyle name="40% - Accent1 11 2 2 4 3" xfId="21759" xr:uid="{00000000-0005-0000-0000-0000BD2A0000}"/>
    <cellStyle name="40% - Accent1 11 2 2 4 3 2" xfId="45591" xr:uid="{B2DE3F73-124A-431B-9611-79598C9C4122}"/>
    <cellStyle name="40% - Accent1 11 2 2 4 4" xfId="29713" xr:uid="{76ADD984-1828-4811-81FB-DEDAD7B4C13A}"/>
    <cellStyle name="40% - Accent1 11 2 2 5" xfId="9380" xr:uid="{00000000-0005-0000-0000-0000BE2A0000}"/>
    <cellStyle name="40% - Accent1 11 2 2 5 2" xfId="17338" xr:uid="{00000000-0005-0000-0000-0000BF2A0000}"/>
    <cellStyle name="40% - Accent1 11 2 2 5 2 2" xfId="41178" xr:uid="{A4FE704E-2BF1-4B6E-B4BA-B0C1B50A264B}"/>
    <cellStyle name="40% - Accent1 11 2 2 5 3" xfId="25282" xr:uid="{00000000-0005-0000-0000-0000C02A0000}"/>
    <cellStyle name="40% - Accent1 11 2 2 5 3 2" xfId="49114" xr:uid="{08877340-C933-4C00-B39B-5E75815A2C88}"/>
    <cellStyle name="40% - Accent1 11 2 2 5 4" xfId="33237" xr:uid="{F5459CB7-5BCA-442B-8112-D2013C17FFA6}"/>
    <cellStyle name="40% - Accent1 11 2 2 6" xfId="10276" xr:uid="{00000000-0005-0000-0000-0000C12A0000}"/>
    <cellStyle name="40% - Accent1 11 2 2 6 2" xfId="34125" xr:uid="{F17214DC-E98E-4B32-8204-DB8834F8B5F7}"/>
    <cellStyle name="40% - Accent1 11 2 2 7" xfId="18231" xr:uid="{00000000-0005-0000-0000-0000C22A0000}"/>
    <cellStyle name="40% - Accent1 11 2 2 7 2" xfId="42063" xr:uid="{E780428A-6C7F-4D3C-BF55-26DBFD7994C7}"/>
    <cellStyle name="40% - Accent1 11 2 2 8" xfId="26183" xr:uid="{95089F35-D3CB-4B3A-8D64-C32B90730A5D}"/>
    <cellStyle name="40% - Accent1 11 2 2_Exh G" xfId="2688" xr:uid="{00000000-0005-0000-0000-0000C32A0000}"/>
    <cellStyle name="40% - Accent1 11 2 3" xfId="1359" xr:uid="{00000000-0005-0000-0000-0000C42A0000}"/>
    <cellStyle name="40% - Accent1 11 2 3 2" xfId="4886" xr:uid="{00000000-0005-0000-0000-0000C52A0000}"/>
    <cellStyle name="40% - Accent1 11 2 3 2 2" xfId="8477" xr:uid="{00000000-0005-0000-0000-0000C62A0000}"/>
    <cellStyle name="40% - Accent1 11 2 3 2 2 2" xfId="16447" xr:uid="{00000000-0005-0000-0000-0000C72A0000}"/>
    <cellStyle name="40% - Accent1 11 2 3 2 2 2 2" xfId="40289" xr:uid="{374C604E-7CDF-498D-9411-E587330AE201}"/>
    <cellStyle name="40% - Accent1 11 2 3 2 2 3" xfId="24393" xr:uid="{00000000-0005-0000-0000-0000C82A0000}"/>
    <cellStyle name="40% - Accent1 11 2 3 2 2 3 2" xfId="48225" xr:uid="{02F21E66-9D4C-46CA-873F-7534B41D9E0E}"/>
    <cellStyle name="40% - Accent1 11 2 3 2 2 4" xfId="32348" xr:uid="{E010FEEB-659B-420B-AA6D-262E34873074}"/>
    <cellStyle name="40% - Accent1 11 2 3 2 3" xfId="12909" xr:uid="{00000000-0005-0000-0000-0000C92A0000}"/>
    <cellStyle name="40% - Accent1 11 2 3 2 3 2" xfId="36758" xr:uid="{DBC5119A-9828-4830-B6F3-BADCF7E06020}"/>
    <cellStyle name="40% - Accent1 11 2 3 2 4" xfId="20864" xr:uid="{00000000-0005-0000-0000-0000CA2A0000}"/>
    <cellStyle name="40% - Accent1 11 2 3 2 4 2" xfId="44696" xr:uid="{E87C338C-1E3C-4D5B-A1C6-5A1D337A6160}"/>
    <cellStyle name="40% - Accent1 11 2 3 2 5" xfId="28817" xr:uid="{42845891-7D84-4787-8663-0832BA6FB2D5}"/>
    <cellStyle name="40% - Accent1 11 2 3 3" xfId="6718" xr:uid="{00000000-0005-0000-0000-0000CB2A0000}"/>
    <cellStyle name="40% - Accent1 11 2 3 3 2" xfId="14689" xr:uid="{00000000-0005-0000-0000-0000CC2A0000}"/>
    <cellStyle name="40% - Accent1 11 2 3 3 2 2" xfId="38531" xr:uid="{440094FD-2F2D-4DD9-8FAB-44BB014BD4EC}"/>
    <cellStyle name="40% - Accent1 11 2 3 3 3" xfId="22636" xr:uid="{00000000-0005-0000-0000-0000CD2A0000}"/>
    <cellStyle name="40% - Accent1 11 2 3 3 3 2" xfId="46468" xr:uid="{2A621832-52FF-4243-A6F3-6068ABBDB439}"/>
    <cellStyle name="40% - Accent1 11 2 3 3 4" xfId="30590" xr:uid="{216E0D4C-E03F-4713-BBD0-3AAED86E7A1B}"/>
    <cellStyle name="40% - Accent1 11 2 3 4" xfId="11153" xr:uid="{00000000-0005-0000-0000-0000CE2A0000}"/>
    <cellStyle name="40% - Accent1 11 2 3 4 2" xfId="35002" xr:uid="{FA7C729F-DD27-401C-A16C-48F459160E51}"/>
    <cellStyle name="40% - Accent1 11 2 3 5" xfId="19108" xr:uid="{00000000-0005-0000-0000-0000CF2A0000}"/>
    <cellStyle name="40% - Accent1 11 2 3 5 2" xfId="42940" xr:uid="{EE14FC14-C77C-4BA5-9049-8199163FACAF}"/>
    <cellStyle name="40% - Accent1 11 2 3 6" xfId="27060" xr:uid="{E4AFEF46-9829-40B3-86C6-B2F8917BADB8}"/>
    <cellStyle name="40% - Accent1 11 2 3_Exh G" xfId="2690" xr:uid="{00000000-0005-0000-0000-0000D02A0000}"/>
    <cellStyle name="40% - Accent1 11 2 4" xfId="4007" xr:uid="{00000000-0005-0000-0000-0000D12A0000}"/>
    <cellStyle name="40% - Accent1 11 2 4 2" xfId="7599" xr:uid="{00000000-0005-0000-0000-0000D22A0000}"/>
    <cellStyle name="40% - Accent1 11 2 4 2 2" xfId="15569" xr:uid="{00000000-0005-0000-0000-0000D32A0000}"/>
    <cellStyle name="40% - Accent1 11 2 4 2 2 2" xfId="39411" xr:uid="{75A26144-3E7A-44E4-B38D-97DD68BCF4DA}"/>
    <cellStyle name="40% - Accent1 11 2 4 2 3" xfId="23515" xr:uid="{00000000-0005-0000-0000-0000D42A0000}"/>
    <cellStyle name="40% - Accent1 11 2 4 2 3 2" xfId="47347" xr:uid="{25FB0D39-E0E5-4C10-9C17-4231681FEA72}"/>
    <cellStyle name="40% - Accent1 11 2 4 2 4" xfId="31470" xr:uid="{6FBD5F7F-9BB4-4AA2-B01F-B03414F131D1}"/>
    <cellStyle name="40% - Accent1 11 2 4 3" xfId="12031" xr:uid="{00000000-0005-0000-0000-0000D52A0000}"/>
    <cellStyle name="40% - Accent1 11 2 4 3 2" xfId="35880" xr:uid="{023429B0-E14F-41AE-B80D-E19ADAC90070}"/>
    <cellStyle name="40% - Accent1 11 2 4 4" xfId="19986" xr:uid="{00000000-0005-0000-0000-0000D62A0000}"/>
    <cellStyle name="40% - Accent1 11 2 4 4 2" xfId="43818" xr:uid="{CBDE3825-CBF4-4414-812E-A01697482112}"/>
    <cellStyle name="40% - Accent1 11 2 4 5" xfId="27939" xr:uid="{8430C6DD-32F4-4EA3-BD86-09646B646E27}"/>
    <cellStyle name="40% - Accent1 11 2 5" xfId="5827" xr:uid="{00000000-0005-0000-0000-0000D72A0000}"/>
    <cellStyle name="40% - Accent1 11 2 5 2" xfId="13810" xr:uid="{00000000-0005-0000-0000-0000D82A0000}"/>
    <cellStyle name="40% - Accent1 11 2 5 2 2" xfId="37653" xr:uid="{130B1E91-0D42-4DF8-9387-9F3515165533}"/>
    <cellStyle name="40% - Accent1 11 2 5 3" xfId="21758" xr:uid="{00000000-0005-0000-0000-0000D92A0000}"/>
    <cellStyle name="40% - Accent1 11 2 5 3 2" xfId="45590" xr:uid="{0E9F01D6-5536-4BC9-B39F-CA846395F5FD}"/>
    <cellStyle name="40% - Accent1 11 2 5 4" xfId="29712" xr:uid="{5E452932-9EEC-4FBE-9CA2-88D8A2413BCC}"/>
    <cellStyle name="40% - Accent1 11 2 6" xfId="9379" xr:uid="{00000000-0005-0000-0000-0000DA2A0000}"/>
    <cellStyle name="40% - Accent1 11 2 6 2" xfId="17337" xr:uid="{00000000-0005-0000-0000-0000DB2A0000}"/>
    <cellStyle name="40% - Accent1 11 2 6 2 2" xfId="41177" xr:uid="{42958B25-24AE-4CD7-B6D3-18F92EE7D712}"/>
    <cellStyle name="40% - Accent1 11 2 6 3" xfId="25281" xr:uid="{00000000-0005-0000-0000-0000DC2A0000}"/>
    <cellStyle name="40% - Accent1 11 2 6 3 2" xfId="49113" xr:uid="{6C7AB376-06B2-435D-BDED-DA8719BB9590}"/>
    <cellStyle name="40% - Accent1 11 2 6 4" xfId="33236" xr:uid="{DB02A498-C2D4-410C-A372-3962A30B9AD5}"/>
    <cellStyle name="40% - Accent1 11 2 7" xfId="10275" xr:uid="{00000000-0005-0000-0000-0000DD2A0000}"/>
    <cellStyle name="40% - Accent1 11 2 7 2" xfId="34124" xr:uid="{02727727-8AE3-46F2-9B21-F7A54E34C8AC}"/>
    <cellStyle name="40% - Accent1 11 2 8" xfId="18230" xr:uid="{00000000-0005-0000-0000-0000DE2A0000}"/>
    <cellStyle name="40% - Accent1 11 2 8 2" xfId="42062" xr:uid="{C4A43F3D-C6D7-4DF7-B254-3F5FF5B5837C}"/>
    <cellStyle name="40% - Accent1 11 2 9" xfId="26182" xr:uid="{2762D9BF-5300-42A0-862E-E5670F110BB7}"/>
    <cellStyle name="40% - Accent1 11 2_Exh G" xfId="2687" xr:uid="{00000000-0005-0000-0000-0000DF2A0000}"/>
    <cellStyle name="40% - Accent1 11 3" xfId="335" xr:uid="{00000000-0005-0000-0000-0000E02A0000}"/>
    <cellStyle name="40% - Accent1 11 3 2" xfId="1361" xr:uid="{00000000-0005-0000-0000-0000E12A0000}"/>
    <cellStyle name="40% - Accent1 11 3 2 2" xfId="4888" xr:uid="{00000000-0005-0000-0000-0000E22A0000}"/>
    <cellStyle name="40% - Accent1 11 3 2 2 2" xfId="8479" xr:uid="{00000000-0005-0000-0000-0000E32A0000}"/>
    <cellStyle name="40% - Accent1 11 3 2 2 2 2" xfId="16449" xr:uid="{00000000-0005-0000-0000-0000E42A0000}"/>
    <cellStyle name="40% - Accent1 11 3 2 2 2 2 2" xfId="40291" xr:uid="{BCE71A1D-4AAD-4A06-B8BF-BD78CAFF819A}"/>
    <cellStyle name="40% - Accent1 11 3 2 2 2 3" xfId="24395" xr:uid="{00000000-0005-0000-0000-0000E52A0000}"/>
    <cellStyle name="40% - Accent1 11 3 2 2 2 3 2" xfId="48227" xr:uid="{B45E564A-6845-4F8C-A6EB-B13DDC97A90F}"/>
    <cellStyle name="40% - Accent1 11 3 2 2 2 4" xfId="32350" xr:uid="{C4A47BC8-4D0F-45C6-A045-244C090EE000}"/>
    <cellStyle name="40% - Accent1 11 3 2 2 3" xfId="12911" xr:uid="{00000000-0005-0000-0000-0000E62A0000}"/>
    <cellStyle name="40% - Accent1 11 3 2 2 3 2" xfId="36760" xr:uid="{E4170503-3156-4BB0-AA1C-30A94455E12C}"/>
    <cellStyle name="40% - Accent1 11 3 2 2 4" xfId="20866" xr:uid="{00000000-0005-0000-0000-0000E72A0000}"/>
    <cellStyle name="40% - Accent1 11 3 2 2 4 2" xfId="44698" xr:uid="{EF72D5C8-9E48-45F5-AAEC-06B4839957D9}"/>
    <cellStyle name="40% - Accent1 11 3 2 2 5" xfId="28819" xr:uid="{DBF47E12-3838-4714-8894-1D1AC0487152}"/>
    <cellStyle name="40% - Accent1 11 3 2 3" xfId="6720" xr:uid="{00000000-0005-0000-0000-0000E82A0000}"/>
    <cellStyle name="40% - Accent1 11 3 2 3 2" xfId="14691" xr:uid="{00000000-0005-0000-0000-0000E92A0000}"/>
    <cellStyle name="40% - Accent1 11 3 2 3 2 2" xfId="38533" xr:uid="{F07F6A0B-AE09-44A2-95CE-91D8EE286B13}"/>
    <cellStyle name="40% - Accent1 11 3 2 3 3" xfId="22638" xr:uid="{00000000-0005-0000-0000-0000EA2A0000}"/>
    <cellStyle name="40% - Accent1 11 3 2 3 3 2" xfId="46470" xr:uid="{79D7C6E7-8874-4EF6-B903-70B8A2F02F7D}"/>
    <cellStyle name="40% - Accent1 11 3 2 3 4" xfId="30592" xr:uid="{04FD71EE-EE16-445F-8A82-F21B77BD72F7}"/>
    <cellStyle name="40% - Accent1 11 3 2 4" xfId="11155" xr:uid="{00000000-0005-0000-0000-0000EB2A0000}"/>
    <cellStyle name="40% - Accent1 11 3 2 4 2" xfId="35004" xr:uid="{520E3AE5-3A34-4197-BF00-88AEE4F43A81}"/>
    <cellStyle name="40% - Accent1 11 3 2 5" xfId="19110" xr:uid="{00000000-0005-0000-0000-0000EC2A0000}"/>
    <cellStyle name="40% - Accent1 11 3 2 5 2" xfId="42942" xr:uid="{1572D9F8-9F5D-4DCC-9538-B970A86AE810}"/>
    <cellStyle name="40% - Accent1 11 3 2 6" xfId="27062" xr:uid="{7B80A152-CF0D-4ECB-A0EA-386E389CA236}"/>
    <cellStyle name="40% - Accent1 11 3 2_Exh G" xfId="2692" xr:uid="{00000000-0005-0000-0000-0000ED2A0000}"/>
    <cellStyle name="40% - Accent1 11 3 3" xfId="4009" xr:uid="{00000000-0005-0000-0000-0000EE2A0000}"/>
    <cellStyle name="40% - Accent1 11 3 3 2" xfId="7601" xr:uid="{00000000-0005-0000-0000-0000EF2A0000}"/>
    <cellStyle name="40% - Accent1 11 3 3 2 2" xfId="15571" xr:uid="{00000000-0005-0000-0000-0000F02A0000}"/>
    <cellStyle name="40% - Accent1 11 3 3 2 2 2" xfId="39413" xr:uid="{36FDBA56-BBB9-402F-A26C-CABC670A752A}"/>
    <cellStyle name="40% - Accent1 11 3 3 2 3" xfId="23517" xr:uid="{00000000-0005-0000-0000-0000F12A0000}"/>
    <cellStyle name="40% - Accent1 11 3 3 2 3 2" xfId="47349" xr:uid="{6FAE38D1-7962-4C0F-997C-A92A1C658559}"/>
    <cellStyle name="40% - Accent1 11 3 3 2 4" xfId="31472" xr:uid="{BE300F2D-3B2B-47FC-98F9-C6E26F305615}"/>
    <cellStyle name="40% - Accent1 11 3 3 3" xfId="12033" xr:uid="{00000000-0005-0000-0000-0000F22A0000}"/>
    <cellStyle name="40% - Accent1 11 3 3 3 2" xfId="35882" xr:uid="{397B5025-C94A-4570-89B1-507B2906B94F}"/>
    <cellStyle name="40% - Accent1 11 3 3 4" xfId="19988" xr:uid="{00000000-0005-0000-0000-0000F32A0000}"/>
    <cellStyle name="40% - Accent1 11 3 3 4 2" xfId="43820" xr:uid="{AC0CEAFE-EB7F-48C7-BEC1-D91BB1061CC3}"/>
    <cellStyle name="40% - Accent1 11 3 3 5" xfId="27941" xr:uid="{FCE3B681-69EB-4A1F-A528-FB6B9EBB2C1A}"/>
    <cellStyle name="40% - Accent1 11 3 4" xfId="5829" xr:uid="{00000000-0005-0000-0000-0000F42A0000}"/>
    <cellStyle name="40% - Accent1 11 3 4 2" xfId="13812" xr:uid="{00000000-0005-0000-0000-0000F52A0000}"/>
    <cellStyle name="40% - Accent1 11 3 4 2 2" xfId="37655" xr:uid="{5503C350-C35D-430C-A160-F7E2D89D6172}"/>
    <cellStyle name="40% - Accent1 11 3 4 3" xfId="21760" xr:uid="{00000000-0005-0000-0000-0000F62A0000}"/>
    <cellStyle name="40% - Accent1 11 3 4 3 2" xfId="45592" xr:uid="{DBBC121B-9493-4C40-B8AD-10882225C188}"/>
    <cellStyle name="40% - Accent1 11 3 4 4" xfId="29714" xr:uid="{B394561E-ED78-4733-98AC-EB81CEBDA9C0}"/>
    <cellStyle name="40% - Accent1 11 3 5" xfId="9381" xr:uid="{00000000-0005-0000-0000-0000F72A0000}"/>
    <cellStyle name="40% - Accent1 11 3 5 2" xfId="17339" xr:uid="{00000000-0005-0000-0000-0000F82A0000}"/>
    <cellStyle name="40% - Accent1 11 3 5 2 2" xfId="41179" xr:uid="{6F2A8C2B-2C71-47C1-BC46-27CAFBC29480}"/>
    <cellStyle name="40% - Accent1 11 3 5 3" xfId="25283" xr:uid="{00000000-0005-0000-0000-0000F92A0000}"/>
    <cellStyle name="40% - Accent1 11 3 5 3 2" xfId="49115" xr:uid="{7A0A012D-8F19-4445-AB5B-38FBF1830054}"/>
    <cellStyle name="40% - Accent1 11 3 5 4" xfId="33238" xr:uid="{EEBA5583-7166-4AA0-ADD3-6255252FB122}"/>
    <cellStyle name="40% - Accent1 11 3 6" xfId="10277" xr:uid="{00000000-0005-0000-0000-0000FA2A0000}"/>
    <cellStyle name="40% - Accent1 11 3 6 2" xfId="34126" xr:uid="{1BAC233D-5B97-4B8B-B7E0-23609C5F5073}"/>
    <cellStyle name="40% - Accent1 11 3 7" xfId="18232" xr:uid="{00000000-0005-0000-0000-0000FB2A0000}"/>
    <cellStyle name="40% - Accent1 11 3 7 2" xfId="42064" xr:uid="{241179A4-FF57-4375-9033-3A851BD36369}"/>
    <cellStyle name="40% - Accent1 11 3 8" xfId="26184" xr:uid="{72E8ACBA-5A1E-4B67-B14F-FEC108BB4536}"/>
    <cellStyle name="40% - Accent1 11 3_Exh G" xfId="2691" xr:uid="{00000000-0005-0000-0000-0000FC2A0000}"/>
    <cellStyle name="40% - Accent1 11 4" xfId="1358" xr:uid="{00000000-0005-0000-0000-0000FD2A0000}"/>
    <cellStyle name="40% - Accent1 11 4 2" xfId="4885" xr:uid="{00000000-0005-0000-0000-0000FE2A0000}"/>
    <cellStyle name="40% - Accent1 11 4 2 2" xfId="8476" xr:uid="{00000000-0005-0000-0000-0000FF2A0000}"/>
    <cellStyle name="40% - Accent1 11 4 2 2 2" xfId="16446" xr:uid="{00000000-0005-0000-0000-0000002B0000}"/>
    <cellStyle name="40% - Accent1 11 4 2 2 2 2" xfId="40288" xr:uid="{3E8CA59A-F8A6-4A47-85EC-901D88B25490}"/>
    <cellStyle name="40% - Accent1 11 4 2 2 3" xfId="24392" xr:uid="{00000000-0005-0000-0000-0000012B0000}"/>
    <cellStyle name="40% - Accent1 11 4 2 2 3 2" xfId="48224" xr:uid="{B2D3CF5C-0911-4F00-97AF-56726AAE175C}"/>
    <cellStyle name="40% - Accent1 11 4 2 2 4" xfId="32347" xr:uid="{80BB6CB1-9024-4F5A-9521-E0E08C8FACEC}"/>
    <cellStyle name="40% - Accent1 11 4 2 3" xfId="12908" xr:uid="{00000000-0005-0000-0000-0000022B0000}"/>
    <cellStyle name="40% - Accent1 11 4 2 3 2" xfId="36757" xr:uid="{D3A03F60-8274-4CC0-9847-8DFE3CC92307}"/>
    <cellStyle name="40% - Accent1 11 4 2 4" xfId="20863" xr:uid="{00000000-0005-0000-0000-0000032B0000}"/>
    <cellStyle name="40% - Accent1 11 4 2 4 2" xfId="44695" xr:uid="{43BEC236-748B-4A2D-971D-B906482FB834}"/>
    <cellStyle name="40% - Accent1 11 4 2 5" xfId="28816" xr:uid="{5BE80E1D-9392-4315-BEB4-4F7D1367F890}"/>
    <cellStyle name="40% - Accent1 11 4 3" xfId="6717" xr:uid="{00000000-0005-0000-0000-0000042B0000}"/>
    <cellStyle name="40% - Accent1 11 4 3 2" xfId="14688" xr:uid="{00000000-0005-0000-0000-0000052B0000}"/>
    <cellStyle name="40% - Accent1 11 4 3 2 2" xfId="38530" xr:uid="{477E640F-4A94-4A2E-96D9-D56EF6844770}"/>
    <cellStyle name="40% - Accent1 11 4 3 3" xfId="22635" xr:uid="{00000000-0005-0000-0000-0000062B0000}"/>
    <cellStyle name="40% - Accent1 11 4 3 3 2" xfId="46467" xr:uid="{75242EBD-12A6-4C41-8FF9-08850C7955F9}"/>
    <cellStyle name="40% - Accent1 11 4 3 4" xfId="30589" xr:uid="{4EA5B647-0E0B-41D4-B9DC-09FFED78E4D3}"/>
    <cellStyle name="40% - Accent1 11 4 4" xfId="11152" xr:uid="{00000000-0005-0000-0000-0000072B0000}"/>
    <cellStyle name="40% - Accent1 11 4 4 2" xfId="35001" xr:uid="{BA074AB8-4E7D-45BC-B0AF-99B5E4A493B7}"/>
    <cellStyle name="40% - Accent1 11 4 5" xfId="19107" xr:uid="{00000000-0005-0000-0000-0000082B0000}"/>
    <cellStyle name="40% - Accent1 11 4 5 2" xfId="42939" xr:uid="{B94629A7-9C3A-4430-91DA-130077023C30}"/>
    <cellStyle name="40% - Accent1 11 4 6" xfId="27059" xr:uid="{117D656B-DEFB-43D1-BABC-5D438FFA8994}"/>
    <cellStyle name="40% - Accent1 11 4_Exh G" xfId="2693" xr:uid="{00000000-0005-0000-0000-0000092B0000}"/>
    <cellStyle name="40% - Accent1 11 5" xfId="4006" xr:uid="{00000000-0005-0000-0000-00000A2B0000}"/>
    <cellStyle name="40% - Accent1 11 5 2" xfId="7598" xr:uid="{00000000-0005-0000-0000-00000B2B0000}"/>
    <cellStyle name="40% - Accent1 11 5 2 2" xfId="15568" xr:uid="{00000000-0005-0000-0000-00000C2B0000}"/>
    <cellStyle name="40% - Accent1 11 5 2 2 2" xfId="39410" xr:uid="{A71EA058-A2D0-4667-895B-7E3BEAC6842D}"/>
    <cellStyle name="40% - Accent1 11 5 2 3" xfId="23514" xr:uid="{00000000-0005-0000-0000-00000D2B0000}"/>
    <cellStyle name="40% - Accent1 11 5 2 3 2" xfId="47346" xr:uid="{014F54C9-43DA-4981-906E-6E55E8E4BFBA}"/>
    <cellStyle name="40% - Accent1 11 5 2 4" xfId="31469" xr:uid="{58B2DF34-47ED-47BE-AF17-8E843F8E73CF}"/>
    <cellStyle name="40% - Accent1 11 5 3" xfId="12030" xr:uid="{00000000-0005-0000-0000-00000E2B0000}"/>
    <cellStyle name="40% - Accent1 11 5 3 2" xfId="35879" xr:uid="{3B784523-232C-4C3D-9311-4D0DDE2C3A28}"/>
    <cellStyle name="40% - Accent1 11 5 4" xfId="19985" xr:uid="{00000000-0005-0000-0000-00000F2B0000}"/>
    <cellStyle name="40% - Accent1 11 5 4 2" xfId="43817" xr:uid="{676EDB0D-8696-4D41-9019-80A2AF6C2864}"/>
    <cellStyle name="40% - Accent1 11 5 5" xfId="27938" xr:uid="{95FB2BF1-EECF-41C8-A875-E5856E1C7A72}"/>
    <cellStyle name="40% - Accent1 11 6" xfId="5826" xr:uid="{00000000-0005-0000-0000-0000102B0000}"/>
    <cellStyle name="40% - Accent1 11 6 2" xfId="13809" xr:uid="{00000000-0005-0000-0000-0000112B0000}"/>
    <cellStyle name="40% - Accent1 11 6 2 2" xfId="37652" xr:uid="{7E8B10F1-CD93-4F37-90B1-746378854E01}"/>
    <cellStyle name="40% - Accent1 11 6 3" xfId="21757" xr:uid="{00000000-0005-0000-0000-0000122B0000}"/>
    <cellStyle name="40% - Accent1 11 6 3 2" xfId="45589" xr:uid="{7B23B7FA-EB65-466C-BD74-005CF72A50F9}"/>
    <cellStyle name="40% - Accent1 11 6 4" xfId="29711" xr:uid="{B9614461-FFF2-46D0-84F5-F6BC55800E20}"/>
    <cellStyle name="40% - Accent1 11 7" xfId="9378" xr:uid="{00000000-0005-0000-0000-0000132B0000}"/>
    <cellStyle name="40% - Accent1 11 7 2" xfId="17336" xr:uid="{00000000-0005-0000-0000-0000142B0000}"/>
    <cellStyle name="40% - Accent1 11 7 2 2" xfId="41176" xr:uid="{077F8043-4582-49B6-962B-5E2C9AF2C17E}"/>
    <cellStyle name="40% - Accent1 11 7 3" xfId="25280" xr:uid="{00000000-0005-0000-0000-0000152B0000}"/>
    <cellStyle name="40% - Accent1 11 7 3 2" xfId="49112" xr:uid="{FF401853-839D-465C-A93D-768B669228CC}"/>
    <cellStyle name="40% - Accent1 11 7 4" xfId="33235" xr:uid="{28443650-1576-44FF-9EDC-109A80CA8706}"/>
    <cellStyle name="40% - Accent1 11 8" xfId="10274" xr:uid="{00000000-0005-0000-0000-0000162B0000}"/>
    <cellStyle name="40% - Accent1 11 8 2" xfId="34123" xr:uid="{625EE659-FA0E-4918-8F81-CA70901002EC}"/>
    <cellStyle name="40% - Accent1 11 9" xfId="18229" xr:uid="{00000000-0005-0000-0000-0000172B0000}"/>
    <cellStyle name="40% - Accent1 11 9 2" xfId="42061" xr:uid="{DE0C51BA-4FCE-40EE-8E7C-369B97C02B8D}"/>
    <cellStyle name="40% - Accent1 11_Exh G" xfId="2686" xr:uid="{00000000-0005-0000-0000-0000182B0000}"/>
    <cellStyle name="40% - Accent1 12" xfId="336" xr:uid="{00000000-0005-0000-0000-0000192B0000}"/>
    <cellStyle name="40% - Accent1 12 10" xfId="26185" xr:uid="{25128521-C535-44A6-882D-3C18335B37A9}"/>
    <cellStyle name="40% - Accent1 12 2" xfId="337" xr:uid="{00000000-0005-0000-0000-00001A2B0000}"/>
    <cellStyle name="40% - Accent1 12 2 2" xfId="338" xr:uid="{00000000-0005-0000-0000-00001B2B0000}"/>
    <cellStyle name="40% - Accent1 12 2 2 2" xfId="1364" xr:uid="{00000000-0005-0000-0000-00001C2B0000}"/>
    <cellStyle name="40% - Accent1 12 2 2 2 2" xfId="4891" xr:uid="{00000000-0005-0000-0000-00001D2B0000}"/>
    <cellStyle name="40% - Accent1 12 2 2 2 2 2" xfId="8482" xr:uid="{00000000-0005-0000-0000-00001E2B0000}"/>
    <cellStyle name="40% - Accent1 12 2 2 2 2 2 2" xfId="16452" xr:uid="{00000000-0005-0000-0000-00001F2B0000}"/>
    <cellStyle name="40% - Accent1 12 2 2 2 2 2 2 2" xfId="40294" xr:uid="{B8FFF91B-D159-4CF7-A35E-0C35B6DC3E48}"/>
    <cellStyle name="40% - Accent1 12 2 2 2 2 2 3" xfId="24398" xr:uid="{00000000-0005-0000-0000-0000202B0000}"/>
    <cellStyle name="40% - Accent1 12 2 2 2 2 2 3 2" xfId="48230" xr:uid="{C402CBA0-E34C-4991-9D06-048A7FA16E12}"/>
    <cellStyle name="40% - Accent1 12 2 2 2 2 2 4" xfId="32353" xr:uid="{503B7094-A8E4-4EE2-B73B-F2C5F56F47A2}"/>
    <cellStyle name="40% - Accent1 12 2 2 2 2 3" xfId="12914" xr:uid="{00000000-0005-0000-0000-0000212B0000}"/>
    <cellStyle name="40% - Accent1 12 2 2 2 2 3 2" xfId="36763" xr:uid="{C82BFFA3-7985-4AB4-BCDE-6985BB61B7ED}"/>
    <cellStyle name="40% - Accent1 12 2 2 2 2 4" xfId="20869" xr:uid="{00000000-0005-0000-0000-0000222B0000}"/>
    <cellStyle name="40% - Accent1 12 2 2 2 2 4 2" xfId="44701" xr:uid="{C2B07D1D-B49A-4BF0-B2FF-EDDF875481A5}"/>
    <cellStyle name="40% - Accent1 12 2 2 2 2 5" xfId="28822" xr:uid="{F3433B2A-84D7-49AD-860C-7719C73C6C1A}"/>
    <cellStyle name="40% - Accent1 12 2 2 2 3" xfId="6723" xr:uid="{00000000-0005-0000-0000-0000232B0000}"/>
    <cellStyle name="40% - Accent1 12 2 2 2 3 2" xfId="14694" xr:uid="{00000000-0005-0000-0000-0000242B0000}"/>
    <cellStyle name="40% - Accent1 12 2 2 2 3 2 2" xfId="38536" xr:uid="{E01D64E3-DBBC-4106-BCD0-FF280C63C9BC}"/>
    <cellStyle name="40% - Accent1 12 2 2 2 3 3" xfId="22641" xr:uid="{00000000-0005-0000-0000-0000252B0000}"/>
    <cellStyle name="40% - Accent1 12 2 2 2 3 3 2" xfId="46473" xr:uid="{F8CB87C3-DAC7-4C94-9EBC-BEA7BFDC7035}"/>
    <cellStyle name="40% - Accent1 12 2 2 2 3 4" xfId="30595" xr:uid="{23E0D12B-8300-4C5F-8D29-FF08EE9AE0B8}"/>
    <cellStyle name="40% - Accent1 12 2 2 2 4" xfId="11158" xr:uid="{00000000-0005-0000-0000-0000262B0000}"/>
    <cellStyle name="40% - Accent1 12 2 2 2 4 2" xfId="35007" xr:uid="{1CB68A56-7A09-4FDF-824F-277B6BE7F9AB}"/>
    <cellStyle name="40% - Accent1 12 2 2 2 5" xfId="19113" xr:uid="{00000000-0005-0000-0000-0000272B0000}"/>
    <cellStyle name="40% - Accent1 12 2 2 2 5 2" xfId="42945" xr:uid="{96B9025C-8AF4-48E6-B6A7-A6841B1DE07F}"/>
    <cellStyle name="40% - Accent1 12 2 2 2 6" xfId="27065" xr:uid="{BF938B39-1611-4D9C-80CF-B6FE29033FD4}"/>
    <cellStyle name="40% - Accent1 12 2 2 2_Exh G" xfId="2697" xr:uid="{00000000-0005-0000-0000-0000282B0000}"/>
    <cellStyle name="40% - Accent1 12 2 2 3" xfId="4012" xr:uid="{00000000-0005-0000-0000-0000292B0000}"/>
    <cellStyle name="40% - Accent1 12 2 2 3 2" xfId="7604" xr:uid="{00000000-0005-0000-0000-00002A2B0000}"/>
    <cellStyle name="40% - Accent1 12 2 2 3 2 2" xfId="15574" xr:uid="{00000000-0005-0000-0000-00002B2B0000}"/>
    <cellStyle name="40% - Accent1 12 2 2 3 2 2 2" xfId="39416" xr:uid="{1B7378AC-28A3-4217-9F79-BC0AF2ED4E00}"/>
    <cellStyle name="40% - Accent1 12 2 2 3 2 3" xfId="23520" xr:uid="{00000000-0005-0000-0000-00002C2B0000}"/>
    <cellStyle name="40% - Accent1 12 2 2 3 2 3 2" xfId="47352" xr:uid="{F6848D2F-7E37-41D3-B887-6259645A942A}"/>
    <cellStyle name="40% - Accent1 12 2 2 3 2 4" xfId="31475" xr:uid="{48A224CA-1AB4-4F48-87F8-BCEAA075E3EB}"/>
    <cellStyle name="40% - Accent1 12 2 2 3 3" xfId="12036" xr:uid="{00000000-0005-0000-0000-00002D2B0000}"/>
    <cellStyle name="40% - Accent1 12 2 2 3 3 2" xfId="35885" xr:uid="{4151F367-1C22-426E-A94F-5DD57C40D5B1}"/>
    <cellStyle name="40% - Accent1 12 2 2 3 4" xfId="19991" xr:uid="{00000000-0005-0000-0000-00002E2B0000}"/>
    <cellStyle name="40% - Accent1 12 2 2 3 4 2" xfId="43823" xr:uid="{D158917E-4EC8-41DA-BF4F-00FD159B557A}"/>
    <cellStyle name="40% - Accent1 12 2 2 3 5" xfId="27944" xr:uid="{B04D27EE-34FC-4E6B-8663-DA291CDDD3E7}"/>
    <cellStyle name="40% - Accent1 12 2 2 4" xfId="5832" xr:uid="{00000000-0005-0000-0000-00002F2B0000}"/>
    <cellStyle name="40% - Accent1 12 2 2 4 2" xfId="13815" xr:uid="{00000000-0005-0000-0000-0000302B0000}"/>
    <cellStyle name="40% - Accent1 12 2 2 4 2 2" xfId="37658" xr:uid="{D9A8C9BA-F3EF-43BE-AB1D-CD9B644AD7D1}"/>
    <cellStyle name="40% - Accent1 12 2 2 4 3" xfId="21763" xr:uid="{00000000-0005-0000-0000-0000312B0000}"/>
    <cellStyle name="40% - Accent1 12 2 2 4 3 2" xfId="45595" xr:uid="{C9B3B642-32A7-4E84-A7E5-8FA40A26DB76}"/>
    <cellStyle name="40% - Accent1 12 2 2 4 4" xfId="29717" xr:uid="{3602177A-0C52-4FF6-BEF3-B61553E92621}"/>
    <cellStyle name="40% - Accent1 12 2 2 5" xfId="9384" xr:uid="{00000000-0005-0000-0000-0000322B0000}"/>
    <cellStyle name="40% - Accent1 12 2 2 5 2" xfId="17342" xr:uid="{00000000-0005-0000-0000-0000332B0000}"/>
    <cellStyle name="40% - Accent1 12 2 2 5 2 2" xfId="41182" xr:uid="{FE0F75B2-0128-4E5F-886B-BCD502C176FB}"/>
    <cellStyle name="40% - Accent1 12 2 2 5 3" xfId="25286" xr:uid="{00000000-0005-0000-0000-0000342B0000}"/>
    <cellStyle name="40% - Accent1 12 2 2 5 3 2" xfId="49118" xr:uid="{C99DDD45-DFE9-4AFC-9A96-3A889BCD620B}"/>
    <cellStyle name="40% - Accent1 12 2 2 5 4" xfId="33241" xr:uid="{878AE708-15E6-43BB-BFC3-53A1A3F20920}"/>
    <cellStyle name="40% - Accent1 12 2 2 6" xfId="10280" xr:uid="{00000000-0005-0000-0000-0000352B0000}"/>
    <cellStyle name="40% - Accent1 12 2 2 6 2" xfId="34129" xr:uid="{3C1BD2A3-B604-4076-AF69-D1A613FC0E9D}"/>
    <cellStyle name="40% - Accent1 12 2 2 7" xfId="18235" xr:uid="{00000000-0005-0000-0000-0000362B0000}"/>
    <cellStyle name="40% - Accent1 12 2 2 7 2" xfId="42067" xr:uid="{B23A94C5-EBB1-48D5-B898-574985010749}"/>
    <cellStyle name="40% - Accent1 12 2 2 8" xfId="26187" xr:uid="{03E16F82-CAB7-4A32-845C-2FEA8D40A98F}"/>
    <cellStyle name="40% - Accent1 12 2 2_Exh G" xfId="2696" xr:uid="{00000000-0005-0000-0000-0000372B0000}"/>
    <cellStyle name="40% - Accent1 12 2 3" xfId="1363" xr:uid="{00000000-0005-0000-0000-0000382B0000}"/>
    <cellStyle name="40% - Accent1 12 2 3 2" xfId="4890" xr:uid="{00000000-0005-0000-0000-0000392B0000}"/>
    <cellStyle name="40% - Accent1 12 2 3 2 2" xfId="8481" xr:uid="{00000000-0005-0000-0000-00003A2B0000}"/>
    <cellStyle name="40% - Accent1 12 2 3 2 2 2" xfId="16451" xr:uid="{00000000-0005-0000-0000-00003B2B0000}"/>
    <cellStyle name="40% - Accent1 12 2 3 2 2 2 2" xfId="40293" xr:uid="{E1E02727-8561-4E55-AEC1-3CB90FBAAD14}"/>
    <cellStyle name="40% - Accent1 12 2 3 2 2 3" xfId="24397" xr:uid="{00000000-0005-0000-0000-00003C2B0000}"/>
    <cellStyle name="40% - Accent1 12 2 3 2 2 3 2" xfId="48229" xr:uid="{E3F37CB7-9BE1-4AAD-A5CD-607384AED508}"/>
    <cellStyle name="40% - Accent1 12 2 3 2 2 4" xfId="32352" xr:uid="{D406BEFC-CC0D-4DAF-9E16-4FB24C0DDF87}"/>
    <cellStyle name="40% - Accent1 12 2 3 2 3" xfId="12913" xr:uid="{00000000-0005-0000-0000-00003D2B0000}"/>
    <cellStyle name="40% - Accent1 12 2 3 2 3 2" xfId="36762" xr:uid="{94BD52C4-B7D2-420E-A976-3FC85AB64F15}"/>
    <cellStyle name="40% - Accent1 12 2 3 2 4" xfId="20868" xr:uid="{00000000-0005-0000-0000-00003E2B0000}"/>
    <cellStyle name="40% - Accent1 12 2 3 2 4 2" xfId="44700" xr:uid="{7942268B-5C06-478E-A050-AA3CCAFFA66C}"/>
    <cellStyle name="40% - Accent1 12 2 3 2 5" xfId="28821" xr:uid="{50A11994-1AF0-45F2-8E7C-23B068BF7253}"/>
    <cellStyle name="40% - Accent1 12 2 3 3" xfId="6722" xr:uid="{00000000-0005-0000-0000-00003F2B0000}"/>
    <cellStyle name="40% - Accent1 12 2 3 3 2" xfId="14693" xr:uid="{00000000-0005-0000-0000-0000402B0000}"/>
    <cellStyle name="40% - Accent1 12 2 3 3 2 2" xfId="38535" xr:uid="{66B11180-2E6E-4BD9-9E27-1B48FBFF87B4}"/>
    <cellStyle name="40% - Accent1 12 2 3 3 3" xfId="22640" xr:uid="{00000000-0005-0000-0000-0000412B0000}"/>
    <cellStyle name="40% - Accent1 12 2 3 3 3 2" xfId="46472" xr:uid="{17FCC653-4491-4230-A609-78F04A4B3896}"/>
    <cellStyle name="40% - Accent1 12 2 3 3 4" xfId="30594" xr:uid="{1EE93DD3-C773-4EB8-B385-83A14F12D0E9}"/>
    <cellStyle name="40% - Accent1 12 2 3 4" xfId="11157" xr:uid="{00000000-0005-0000-0000-0000422B0000}"/>
    <cellStyle name="40% - Accent1 12 2 3 4 2" xfId="35006" xr:uid="{8CFE9791-17CE-4EE3-ADA5-8EED8493C0DE}"/>
    <cellStyle name="40% - Accent1 12 2 3 5" xfId="19112" xr:uid="{00000000-0005-0000-0000-0000432B0000}"/>
    <cellStyle name="40% - Accent1 12 2 3 5 2" xfId="42944" xr:uid="{69062FD6-77F9-4B37-A26B-781496D2C0F5}"/>
    <cellStyle name="40% - Accent1 12 2 3 6" xfId="27064" xr:uid="{C315B829-AD4F-495D-AF0C-E14FC8FE3521}"/>
    <cellStyle name="40% - Accent1 12 2 3_Exh G" xfId="2698" xr:uid="{00000000-0005-0000-0000-0000442B0000}"/>
    <cellStyle name="40% - Accent1 12 2 4" xfId="4011" xr:uid="{00000000-0005-0000-0000-0000452B0000}"/>
    <cellStyle name="40% - Accent1 12 2 4 2" xfId="7603" xr:uid="{00000000-0005-0000-0000-0000462B0000}"/>
    <cellStyle name="40% - Accent1 12 2 4 2 2" xfId="15573" xr:uid="{00000000-0005-0000-0000-0000472B0000}"/>
    <cellStyle name="40% - Accent1 12 2 4 2 2 2" xfId="39415" xr:uid="{9369ED0E-4DF6-4165-86F1-3CCD63C5DDB1}"/>
    <cellStyle name="40% - Accent1 12 2 4 2 3" xfId="23519" xr:uid="{00000000-0005-0000-0000-0000482B0000}"/>
    <cellStyle name="40% - Accent1 12 2 4 2 3 2" xfId="47351" xr:uid="{AD3D0634-2441-4B7D-BF65-6A64A9FD2A8A}"/>
    <cellStyle name="40% - Accent1 12 2 4 2 4" xfId="31474" xr:uid="{22AC3B23-4286-443A-A89E-98F4403B3075}"/>
    <cellStyle name="40% - Accent1 12 2 4 3" xfId="12035" xr:uid="{00000000-0005-0000-0000-0000492B0000}"/>
    <cellStyle name="40% - Accent1 12 2 4 3 2" xfId="35884" xr:uid="{FCFD9997-1E02-4118-85CB-987F305B449E}"/>
    <cellStyle name="40% - Accent1 12 2 4 4" xfId="19990" xr:uid="{00000000-0005-0000-0000-00004A2B0000}"/>
    <cellStyle name="40% - Accent1 12 2 4 4 2" xfId="43822" xr:uid="{21EA9EAA-561D-4EA6-B4A3-F2B91FE94488}"/>
    <cellStyle name="40% - Accent1 12 2 4 5" xfId="27943" xr:uid="{7562D348-85EF-4E49-8B60-6A886E75F416}"/>
    <cellStyle name="40% - Accent1 12 2 5" xfId="5831" xr:uid="{00000000-0005-0000-0000-00004B2B0000}"/>
    <cellStyle name="40% - Accent1 12 2 5 2" xfId="13814" xr:uid="{00000000-0005-0000-0000-00004C2B0000}"/>
    <cellStyle name="40% - Accent1 12 2 5 2 2" xfId="37657" xr:uid="{E6491D61-A298-466E-9EC4-38471F7BB26C}"/>
    <cellStyle name="40% - Accent1 12 2 5 3" xfId="21762" xr:uid="{00000000-0005-0000-0000-00004D2B0000}"/>
    <cellStyle name="40% - Accent1 12 2 5 3 2" xfId="45594" xr:uid="{C81F1C1C-55C2-4E5D-A1C7-123216296D08}"/>
    <cellStyle name="40% - Accent1 12 2 5 4" xfId="29716" xr:uid="{A1D08606-8026-4B65-85F4-44E48DFF93E0}"/>
    <cellStyle name="40% - Accent1 12 2 6" xfId="9383" xr:uid="{00000000-0005-0000-0000-00004E2B0000}"/>
    <cellStyle name="40% - Accent1 12 2 6 2" xfId="17341" xr:uid="{00000000-0005-0000-0000-00004F2B0000}"/>
    <cellStyle name="40% - Accent1 12 2 6 2 2" xfId="41181" xr:uid="{8C0BEE87-27FC-4018-B0AB-1B45D4FE6895}"/>
    <cellStyle name="40% - Accent1 12 2 6 3" xfId="25285" xr:uid="{00000000-0005-0000-0000-0000502B0000}"/>
    <cellStyle name="40% - Accent1 12 2 6 3 2" xfId="49117" xr:uid="{03D7A98E-FFE7-4945-B412-BF516766B8D1}"/>
    <cellStyle name="40% - Accent1 12 2 6 4" xfId="33240" xr:uid="{2256B0A5-E486-4D25-BCF8-80FDD40EDAC7}"/>
    <cellStyle name="40% - Accent1 12 2 7" xfId="10279" xr:uid="{00000000-0005-0000-0000-0000512B0000}"/>
    <cellStyle name="40% - Accent1 12 2 7 2" xfId="34128" xr:uid="{3847FCE3-27EF-4808-A108-7F36458DF179}"/>
    <cellStyle name="40% - Accent1 12 2 8" xfId="18234" xr:uid="{00000000-0005-0000-0000-0000522B0000}"/>
    <cellStyle name="40% - Accent1 12 2 8 2" xfId="42066" xr:uid="{78F74069-CF72-45CE-9B04-035673ADACD3}"/>
    <cellStyle name="40% - Accent1 12 2 9" xfId="26186" xr:uid="{CDC12D57-E9A3-4FC8-A906-6622A26EA308}"/>
    <cellStyle name="40% - Accent1 12 2_Exh G" xfId="2695" xr:uid="{00000000-0005-0000-0000-0000532B0000}"/>
    <cellStyle name="40% - Accent1 12 3" xfId="339" xr:uid="{00000000-0005-0000-0000-0000542B0000}"/>
    <cellStyle name="40% - Accent1 12 3 2" xfId="1365" xr:uid="{00000000-0005-0000-0000-0000552B0000}"/>
    <cellStyle name="40% - Accent1 12 3 2 2" xfId="4892" xr:uid="{00000000-0005-0000-0000-0000562B0000}"/>
    <cellStyle name="40% - Accent1 12 3 2 2 2" xfId="8483" xr:uid="{00000000-0005-0000-0000-0000572B0000}"/>
    <cellStyle name="40% - Accent1 12 3 2 2 2 2" xfId="16453" xr:uid="{00000000-0005-0000-0000-0000582B0000}"/>
    <cellStyle name="40% - Accent1 12 3 2 2 2 2 2" xfId="40295" xr:uid="{2CABB58C-7A8B-4F67-A20D-1E211A8C21A5}"/>
    <cellStyle name="40% - Accent1 12 3 2 2 2 3" xfId="24399" xr:uid="{00000000-0005-0000-0000-0000592B0000}"/>
    <cellStyle name="40% - Accent1 12 3 2 2 2 3 2" xfId="48231" xr:uid="{778B5314-4D49-424D-A648-2E8FDA14016E}"/>
    <cellStyle name="40% - Accent1 12 3 2 2 2 4" xfId="32354" xr:uid="{EB785149-3883-420E-92A6-DF5A80758B6E}"/>
    <cellStyle name="40% - Accent1 12 3 2 2 3" xfId="12915" xr:uid="{00000000-0005-0000-0000-00005A2B0000}"/>
    <cellStyle name="40% - Accent1 12 3 2 2 3 2" xfId="36764" xr:uid="{F3CCEA30-39DC-4A17-964C-57DA264A8728}"/>
    <cellStyle name="40% - Accent1 12 3 2 2 4" xfId="20870" xr:uid="{00000000-0005-0000-0000-00005B2B0000}"/>
    <cellStyle name="40% - Accent1 12 3 2 2 4 2" xfId="44702" xr:uid="{390C7B36-4486-4AFE-BA9E-0CEE902DB85A}"/>
    <cellStyle name="40% - Accent1 12 3 2 2 5" xfId="28823" xr:uid="{BF1F435A-D9E1-45D5-A294-07FDB90B9CE9}"/>
    <cellStyle name="40% - Accent1 12 3 2 3" xfId="6724" xr:uid="{00000000-0005-0000-0000-00005C2B0000}"/>
    <cellStyle name="40% - Accent1 12 3 2 3 2" xfId="14695" xr:uid="{00000000-0005-0000-0000-00005D2B0000}"/>
    <cellStyle name="40% - Accent1 12 3 2 3 2 2" xfId="38537" xr:uid="{F4B0982A-2A36-4B2C-8834-E0FFF5D795E2}"/>
    <cellStyle name="40% - Accent1 12 3 2 3 3" xfId="22642" xr:uid="{00000000-0005-0000-0000-00005E2B0000}"/>
    <cellStyle name="40% - Accent1 12 3 2 3 3 2" xfId="46474" xr:uid="{E77A7DF7-F8A6-46B2-9A98-148BAFB3B412}"/>
    <cellStyle name="40% - Accent1 12 3 2 3 4" xfId="30596" xr:uid="{F1E40424-36F4-4760-B329-A368799926CB}"/>
    <cellStyle name="40% - Accent1 12 3 2 4" xfId="11159" xr:uid="{00000000-0005-0000-0000-00005F2B0000}"/>
    <cellStyle name="40% - Accent1 12 3 2 4 2" xfId="35008" xr:uid="{918DA342-E550-4F5B-9B28-56140B4C19F3}"/>
    <cellStyle name="40% - Accent1 12 3 2 5" xfId="19114" xr:uid="{00000000-0005-0000-0000-0000602B0000}"/>
    <cellStyle name="40% - Accent1 12 3 2 5 2" xfId="42946" xr:uid="{002DC82D-E31B-4D32-8C0B-2A3D3D62EAF9}"/>
    <cellStyle name="40% - Accent1 12 3 2 6" xfId="27066" xr:uid="{3F0CBEFA-B6E2-40D2-8224-87F3C9C4879C}"/>
    <cellStyle name="40% - Accent1 12 3 2_Exh G" xfId="2700" xr:uid="{00000000-0005-0000-0000-0000612B0000}"/>
    <cellStyle name="40% - Accent1 12 3 3" xfId="4013" xr:uid="{00000000-0005-0000-0000-0000622B0000}"/>
    <cellStyle name="40% - Accent1 12 3 3 2" xfId="7605" xr:uid="{00000000-0005-0000-0000-0000632B0000}"/>
    <cellStyle name="40% - Accent1 12 3 3 2 2" xfId="15575" xr:uid="{00000000-0005-0000-0000-0000642B0000}"/>
    <cellStyle name="40% - Accent1 12 3 3 2 2 2" xfId="39417" xr:uid="{76BF15F3-9E61-4525-8617-E52CCC103F25}"/>
    <cellStyle name="40% - Accent1 12 3 3 2 3" xfId="23521" xr:uid="{00000000-0005-0000-0000-0000652B0000}"/>
    <cellStyle name="40% - Accent1 12 3 3 2 3 2" xfId="47353" xr:uid="{9E47AAF5-69E1-44E3-8041-3197587EC937}"/>
    <cellStyle name="40% - Accent1 12 3 3 2 4" xfId="31476" xr:uid="{81B03437-3612-4796-B0CD-8BAD1CDAFB14}"/>
    <cellStyle name="40% - Accent1 12 3 3 3" xfId="12037" xr:uid="{00000000-0005-0000-0000-0000662B0000}"/>
    <cellStyle name="40% - Accent1 12 3 3 3 2" xfId="35886" xr:uid="{0D90EA0F-5C54-481C-9352-43830F5B6722}"/>
    <cellStyle name="40% - Accent1 12 3 3 4" xfId="19992" xr:uid="{00000000-0005-0000-0000-0000672B0000}"/>
    <cellStyle name="40% - Accent1 12 3 3 4 2" xfId="43824" xr:uid="{07BA962F-997D-4C7B-8C19-10125236E187}"/>
    <cellStyle name="40% - Accent1 12 3 3 5" xfId="27945" xr:uid="{057932DB-8E29-448E-8D76-532657407673}"/>
    <cellStyle name="40% - Accent1 12 3 4" xfId="5833" xr:uid="{00000000-0005-0000-0000-0000682B0000}"/>
    <cellStyle name="40% - Accent1 12 3 4 2" xfId="13816" xr:uid="{00000000-0005-0000-0000-0000692B0000}"/>
    <cellStyle name="40% - Accent1 12 3 4 2 2" xfId="37659" xr:uid="{8D0272E6-5CCA-406D-8424-21C3FDD4A853}"/>
    <cellStyle name="40% - Accent1 12 3 4 3" xfId="21764" xr:uid="{00000000-0005-0000-0000-00006A2B0000}"/>
    <cellStyle name="40% - Accent1 12 3 4 3 2" xfId="45596" xr:uid="{17C97F00-7350-4463-AB26-C4C5AB71BDD2}"/>
    <cellStyle name="40% - Accent1 12 3 4 4" xfId="29718" xr:uid="{A65BE3B7-4FDE-41DF-87EB-54F5A916F84F}"/>
    <cellStyle name="40% - Accent1 12 3 5" xfId="9385" xr:uid="{00000000-0005-0000-0000-00006B2B0000}"/>
    <cellStyle name="40% - Accent1 12 3 5 2" xfId="17343" xr:uid="{00000000-0005-0000-0000-00006C2B0000}"/>
    <cellStyle name="40% - Accent1 12 3 5 2 2" xfId="41183" xr:uid="{EC944321-58B4-49B5-A334-36E67494892A}"/>
    <cellStyle name="40% - Accent1 12 3 5 3" xfId="25287" xr:uid="{00000000-0005-0000-0000-00006D2B0000}"/>
    <cellStyle name="40% - Accent1 12 3 5 3 2" xfId="49119" xr:uid="{78A0F900-2A32-4BEB-B0DC-367BA3CA203C}"/>
    <cellStyle name="40% - Accent1 12 3 5 4" xfId="33242" xr:uid="{1D01293A-CB2D-4518-9654-A03F6C4EAD4B}"/>
    <cellStyle name="40% - Accent1 12 3 6" xfId="10281" xr:uid="{00000000-0005-0000-0000-00006E2B0000}"/>
    <cellStyle name="40% - Accent1 12 3 6 2" xfId="34130" xr:uid="{8E5C28A5-F29C-435E-8197-AF20E14412AA}"/>
    <cellStyle name="40% - Accent1 12 3 7" xfId="18236" xr:uid="{00000000-0005-0000-0000-00006F2B0000}"/>
    <cellStyle name="40% - Accent1 12 3 7 2" xfId="42068" xr:uid="{2D163D5C-96F3-4693-A9E2-4C7D62BF6702}"/>
    <cellStyle name="40% - Accent1 12 3 8" xfId="26188" xr:uid="{F9B5B6E0-CE45-4CB0-9556-2FB220AC9950}"/>
    <cellStyle name="40% - Accent1 12 3_Exh G" xfId="2699" xr:uid="{00000000-0005-0000-0000-0000702B0000}"/>
    <cellStyle name="40% - Accent1 12 4" xfId="1362" xr:uid="{00000000-0005-0000-0000-0000712B0000}"/>
    <cellStyle name="40% - Accent1 12 4 2" xfId="4889" xr:uid="{00000000-0005-0000-0000-0000722B0000}"/>
    <cellStyle name="40% - Accent1 12 4 2 2" xfId="8480" xr:uid="{00000000-0005-0000-0000-0000732B0000}"/>
    <cellStyle name="40% - Accent1 12 4 2 2 2" xfId="16450" xr:uid="{00000000-0005-0000-0000-0000742B0000}"/>
    <cellStyle name="40% - Accent1 12 4 2 2 2 2" xfId="40292" xr:uid="{46061F55-9A78-4567-9470-6116FC8F8200}"/>
    <cellStyle name="40% - Accent1 12 4 2 2 3" xfId="24396" xr:uid="{00000000-0005-0000-0000-0000752B0000}"/>
    <cellStyle name="40% - Accent1 12 4 2 2 3 2" xfId="48228" xr:uid="{C97712C1-D889-4AEA-A6BC-D32A87588505}"/>
    <cellStyle name="40% - Accent1 12 4 2 2 4" xfId="32351" xr:uid="{928D969E-6FAF-4959-B31E-0A1ECA41BE96}"/>
    <cellStyle name="40% - Accent1 12 4 2 3" xfId="12912" xr:uid="{00000000-0005-0000-0000-0000762B0000}"/>
    <cellStyle name="40% - Accent1 12 4 2 3 2" xfId="36761" xr:uid="{29F4DC10-2029-4749-874B-E094E3931DDE}"/>
    <cellStyle name="40% - Accent1 12 4 2 4" xfId="20867" xr:uid="{00000000-0005-0000-0000-0000772B0000}"/>
    <cellStyle name="40% - Accent1 12 4 2 4 2" xfId="44699" xr:uid="{E2F9D8D9-4540-4ADB-B713-23D3CC0B6583}"/>
    <cellStyle name="40% - Accent1 12 4 2 5" xfId="28820" xr:uid="{73489031-2894-4243-BDB9-E9170D94B914}"/>
    <cellStyle name="40% - Accent1 12 4 3" xfId="6721" xr:uid="{00000000-0005-0000-0000-0000782B0000}"/>
    <cellStyle name="40% - Accent1 12 4 3 2" xfId="14692" xr:uid="{00000000-0005-0000-0000-0000792B0000}"/>
    <cellStyle name="40% - Accent1 12 4 3 2 2" xfId="38534" xr:uid="{A21C3345-2932-4D36-A578-AB0A6AD89C00}"/>
    <cellStyle name="40% - Accent1 12 4 3 3" xfId="22639" xr:uid="{00000000-0005-0000-0000-00007A2B0000}"/>
    <cellStyle name="40% - Accent1 12 4 3 3 2" xfId="46471" xr:uid="{1E6D5334-943A-4773-8628-72FEAA4C5FD9}"/>
    <cellStyle name="40% - Accent1 12 4 3 4" xfId="30593" xr:uid="{84280A14-D076-48DD-AF79-98D7F6936CC1}"/>
    <cellStyle name="40% - Accent1 12 4 4" xfId="11156" xr:uid="{00000000-0005-0000-0000-00007B2B0000}"/>
    <cellStyle name="40% - Accent1 12 4 4 2" xfId="35005" xr:uid="{76AC3F87-34B9-4188-856D-68742735CC02}"/>
    <cellStyle name="40% - Accent1 12 4 5" xfId="19111" xr:uid="{00000000-0005-0000-0000-00007C2B0000}"/>
    <cellStyle name="40% - Accent1 12 4 5 2" xfId="42943" xr:uid="{549F0378-0614-4A97-B218-9E1D58743501}"/>
    <cellStyle name="40% - Accent1 12 4 6" xfId="27063" xr:uid="{9551F7CF-EE44-4462-9408-06441A9770C4}"/>
    <cellStyle name="40% - Accent1 12 4_Exh G" xfId="2701" xr:uid="{00000000-0005-0000-0000-00007D2B0000}"/>
    <cellStyle name="40% - Accent1 12 5" xfId="4010" xr:uid="{00000000-0005-0000-0000-00007E2B0000}"/>
    <cellStyle name="40% - Accent1 12 5 2" xfId="7602" xr:uid="{00000000-0005-0000-0000-00007F2B0000}"/>
    <cellStyle name="40% - Accent1 12 5 2 2" xfId="15572" xr:uid="{00000000-0005-0000-0000-0000802B0000}"/>
    <cellStyle name="40% - Accent1 12 5 2 2 2" xfId="39414" xr:uid="{21EB9E85-70E3-4A34-B84C-B25BEE6DEA1B}"/>
    <cellStyle name="40% - Accent1 12 5 2 3" xfId="23518" xr:uid="{00000000-0005-0000-0000-0000812B0000}"/>
    <cellStyle name="40% - Accent1 12 5 2 3 2" xfId="47350" xr:uid="{353CBBCB-702D-4578-A871-0951F4D3C055}"/>
    <cellStyle name="40% - Accent1 12 5 2 4" xfId="31473" xr:uid="{53EC4EAA-3F1A-4C40-9B5A-B8A93A46AA21}"/>
    <cellStyle name="40% - Accent1 12 5 3" xfId="12034" xr:uid="{00000000-0005-0000-0000-0000822B0000}"/>
    <cellStyle name="40% - Accent1 12 5 3 2" xfId="35883" xr:uid="{F7B610E0-8687-4C08-8AF7-678863C58DD3}"/>
    <cellStyle name="40% - Accent1 12 5 4" xfId="19989" xr:uid="{00000000-0005-0000-0000-0000832B0000}"/>
    <cellStyle name="40% - Accent1 12 5 4 2" xfId="43821" xr:uid="{CE62FFE3-3A7C-4AFF-A9F4-9580BEA39FF0}"/>
    <cellStyle name="40% - Accent1 12 5 5" xfId="27942" xr:uid="{5E8159B8-123D-46FB-A366-F8FDD02ABC57}"/>
    <cellStyle name="40% - Accent1 12 6" xfId="5830" xr:uid="{00000000-0005-0000-0000-0000842B0000}"/>
    <cellStyle name="40% - Accent1 12 6 2" xfId="13813" xr:uid="{00000000-0005-0000-0000-0000852B0000}"/>
    <cellStyle name="40% - Accent1 12 6 2 2" xfId="37656" xr:uid="{8FD893D6-4793-4A33-85EA-C1065B95F6A1}"/>
    <cellStyle name="40% - Accent1 12 6 3" xfId="21761" xr:uid="{00000000-0005-0000-0000-0000862B0000}"/>
    <cellStyle name="40% - Accent1 12 6 3 2" xfId="45593" xr:uid="{5067B1CD-5A5F-4456-8DDF-16B8D31EDF82}"/>
    <cellStyle name="40% - Accent1 12 6 4" xfId="29715" xr:uid="{91061AB1-1015-4501-853C-ECA9F758BD3F}"/>
    <cellStyle name="40% - Accent1 12 7" xfId="9382" xr:uid="{00000000-0005-0000-0000-0000872B0000}"/>
    <cellStyle name="40% - Accent1 12 7 2" xfId="17340" xr:uid="{00000000-0005-0000-0000-0000882B0000}"/>
    <cellStyle name="40% - Accent1 12 7 2 2" xfId="41180" xr:uid="{84CBFEBD-FB33-4BB9-8668-61263DCEAB7E}"/>
    <cellStyle name="40% - Accent1 12 7 3" xfId="25284" xr:uid="{00000000-0005-0000-0000-0000892B0000}"/>
    <cellStyle name="40% - Accent1 12 7 3 2" xfId="49116" xr:uid="{DFE41AE0-DDF8-4F7F-89B1-76FAEFFB9B9B}"/>
    <cellStyle name="40% - Accent1 12 7 4" xfId="33239" xr:uid="{5CEBA8CA-8B3F-4CEB-81D2-BDA3B1CB9675}"/>
    <cellStyle name="40% - Accent1 12 8" xfId="10278" xr:uid="{00000000-0005-0000-0000-00008A2B0000}"/>
    <cellStyle name="40% - Accent1 12 8 2" xfId="34127" xr:uid="{86ACF1CD-301C-400D-AE76-300F4E810A83}"/>
    <cellStyle name="40% - Accent1 12 9" xfId="18233" xr:uid="{00000000-0005-0000-0000-00008B2B0000}"/>
    <cellStyle name="40% - Accent1 12 9 2" xfId="42065" xr:uid="{9BB80828-977B-418A-A372-07E64DF0AD9D}"/>
    <cellStyle name="40% - Accent1 12_Exh G" xfId="2694" xr:uid="{00000000-0005-0000-0000-00008C2B0000}"/>
    <cellStyle name="40% - Accent1 13" xfId="340" xr:uid="{00000000-0005-0000-0000-00008D2B0000}"/>
    <cellStyle name="40% - Accent1 13 10" xfId="26189" xr:uid="{2C21B766-B967-4053-845E-1CA9B5C19EED}"/>
    <cellStyle name="40% - Accent1 13 2" xfId="341" xr:uid="{00000000-0005-0000-0000-00008E2B0000}"/>
    <cellStyle name="40% - Accent1 13 2 2" xfId="342" xr:uid="{00000000-0005-0000-0000-00008F2B0000}"/>
    <cellStyle name="40% - Accent1 13 2 2 2" xfId="1368" xr:uid="{00000000-0005-0000-0000-0000902B0000}"/>
    <cellStyle name="40% - Accent1 13 2 2 2 2" xfId="4895" xr:uid="{00000000-0005-0000-0000-0000912B0000}"/>
    <cellStyle name="40% - Accent1 13 2 2 2 2 2" xfId="8486" xr:uid="{00000000-0005-0000-0000-0000922B0000}"/>
    <cellStyle name="40% - Accent1 13 2 2 2 2 2 2" xfId="16456" xr:uid="{00000000-0005-0000-0000-0000932B0000}"/>
    <cellStyle name="40% - Accent1 13 2 2 2 2 2 2 2" xfId="40298" xr:uid="{BB849AC3-DD5E-416A-B8F3-53C8CD04CA57}"/>
    <cellStyle name="40% - Accent1 13 2 2 2 2 2 3" xfId="24402" xr:uid="{00000000-0005-0000-0000-0000942B0000}"/>
    <cellStyle name="40% - Accent1 13 2 2 2 2 2 3 2" xfId="48234" xr:uid="{810C3568-4C9A-4700-AD35-37841B0DBF33}"/>
    <cellStyle name="40% - Accent1 13 2 2 2 2 2 4" xfId="32357" xr:uid="{20099A59-3B95-400F-B53E-7E0DD965DAE5}"/>
    <cellStyle name="40% - Accent1 13 2 2 2 2 3" xfId="12918" xr:uid="{00000000-0005-0000-0000-0000952B0000}"/>
    <cellStyle name="40% - Accent1 13 2 2 2 2 3 2" xfId="36767" xr:uid="{A1726E35-3E5E-48D0-871B-CB8A77DB0B6C}"/>
    <cellStyle name="40% - Accent1 13 2 2 2 2 4" xfId="20873" xr:uid="{00000000-0005-0000-0000-0000962B0000}"/>
    <cellStyle name="40% - Accent1 13 2 2 2 2 4 2" xfId="44705" xr:uid="{030FBF29-C529-4BFC-87A4-A87F56B05FAE}"/>
    <cellStyle name="40% - Accent1 13 2 2 2 2 5" xfId="28826" xr:uid="{85E58469-490D-4C1B-B8B6-79D585DB1577}"/>
    <cellStyle name="40% - Accent1 13 2 2 2 3" xfId="6727" xr:uid="{00000000-0005-0000-0000-0000972B0000}"/>
    <cellStyle name="40% - Accent1 13 2 2 2 3 2" xfId="14698" xr:uid="{00000000-0005-0000-0000-0000982B0000}"/>
    <cellStyle name="40% - Accent1 13 2 2 2 3 2 2" xfId="38540" xr:uid="{F4D07095-790A-4572-AFFF-946091C86373}"/>
    <cellStyle name="40% - Accent1 13 2 2 2 3 3" xfId="22645" xr:uid="{00000000-0005-0000-0000-0000992B0000}"/>
    <cellStyle name="40% - Accent1 13 2 2 2 3 3 2" xfId="46477" xr:uid="{C3378762-C000-4474-942F-77A79DCE60C2}"/>
    <cellStyle name="40% - Accent1 13 2 2 2 3 4" xfId="30599" xr:uid="{3F35CF47-7692-4E0B-9EAA-432E925098AE}"/>
    <cellStyle name="40% - Accent1 13 2 2 2 4" xfId="11162" xr:uid="{00000000-0005-0000-0000-00009A2B0000}"/>
    <cellStyle name="40% - Accent1 13 2 2 2 4 2" xfId="35011" xr:uid="{4587566A-ED7A-4F89-9E54-D5218BFBD168}"/>
    <cellStyle name="40% - Accent1 13 2 2 2 5" xfId="19117" xr:uid="{00000000-0005-0000-0000-00009B2B0000}"/>
    <cellStyle name="40% - Accent1 13 2 2 2 5 2" xfId="42949" xr:uid="{D7B1A5AB-A720-4B60-B679-AF1BE727462B}"/>
    <cellStyle name="40% - Accent1 13 2 2 2 6" xfId="27069" xr:uid="{977EFB63-B12B-433F-96CE-A0A5D098AF46}"/>
    <cellStyle name="40% - Accent1 13 2 2 2_Exh G" xfId="2705" xr:uid="{00000000-0005-0000-0000-00009C2B0000}"/>
    <cellStyle name="40% - Accent1 13 2 2 3" xfId="4016" xr:uid="{00000000-0005-0000-0000-00009D2B0000}"/>
    <cellStyle name="40% - Accent1 13 2 2 3 2" xfId="7608" xr:uid="{00000000-0005-0000-0000-00009E2B0000}"/>
    <cellStyle name="40% - Accent1 13 2 2 3 2 2" xfId="15578" xr:uid="{00000000-0005-0000-0000-00009F2B0000}"/>
    <cellStyle name="40% - Accent1 13 2 2 3 2 2 2" xfId="39420" xr:uid="{D3989951-0538-4CCE-8594-EDE114FE8266}"/>
    <cellStyle name="40% - Accent1 13 2 2 3 2 3" xfId="23524" xr:uid="{00000000-0005-0000-0000-0000A02B0000}"/>
    <cellStyle name="40% - Accent1 13 2 2 3 2 3 2" xfId="47356" xr:uid="{F493D0C4-D7E7-4B39-BD20-9DC4C6DD132A}"/>
    <cellStyle name="40% - Accent1 13 2 2 3 2 4" xfId="31479" xr:uid="{1CF6A0EB-9FA2-4C5B-86EC-382115D767B7}"/>
    <cellStyle name="40% - Accent1 13 2 2 3 3" xfId="12040" xr:uid="{00000000-0005-0000-0000-0000A12B0000}"/>
    <cellStyle name="40% - Accent1 13 2 2 3 3 2" xfId="35889" xr:uid="{0F808F9A-61EF-4F12-89D5-AF4D85ED0EAF}"/>
    <cellStyle name="40% - Accent1 13 2 2 3 4" xfId="19995" xr:uid="{00000000-0005-0000-0000-0000A22B0000}"/>
    <cellStyle name="40% - Accent1 13 2 2 3 4 2" xfId="43827" xr:uid="{CC0CB5EB-1BBF-4794-A4BB-5D8286375ADB}"/>
    <cellStyle name="40% - Accent1 13 2 2 3 5" xfId="27948" xr:uid="{5693054A-3752-4058-8EEF-00847961A942}"/>
    <cellStyle name="40% - Accent1 13 2 2 4" xfId="5836" xr:uid="{00000000-0005-0000-0000-0000A32B0000}"/>
    <cellStyle name="40% - Accent1 13 2 2 4 2" xfId="13819" xr:uid="{00000000-0005-0000-0000-0000A42B0000}"/>
    <cellStyle name="40% - Accent1 13 2 2 4 2 2" xfId="37662" xr:uid="{A2C68EA7-E12C-44D5-AE41-35B0984AE716}"/>
    <cellStyle name="40% - Accent1 13 2 2 4 3" xfId="21767" xr:uid="{00000000-0005-0000-0000-0000A52B0000}"/>
    <cellStyle name="40% - Accent1 13 2 2 4 3 2" xfId="45599" xr:uid="{4D462447-EC3F-4F9D-9CA4-515DEF8DC37C}"/>
    <cellStyle name="40% - Accent1 13 2 2 4 4" xfId="29721" xr:uid="{0801D0B7-A200-4EDC-95CE-3A76F07EBE2B}"/>
    <cellStyle name="40% - Accent1 13 2 2 5" xfId="9388" xr:uid="{00000000-0005-0000-0000-0000A62B0000}"/>
    <cellStyle name="40% - Accent1 13 2 2 5 2" xfId="17346" xr:uid="{00000000-0005-0000-0000-0000A72B0000}"/>
    <cellStyle name="40% - Accent1 13 2 2 5 2 2" xfId="41186" xr:uid="{D7E1C4C2-FE32-49DB-8FF2-16C6F1C8F3A3}"/>
    <cellStyle name="40% - Accent1 13 2 2 5 3" xfId="25290" xr:uid="{00000000-0005-0000-0000-0000A82B0000}"/>
    <cellStyle name="40% - Accent1 13 2 2 5 3 2" xfId="49122" xr:uid="{6555DEB4-ACE4-42C6-B00E-975CC17EB7B8}"/>
    <cellStyle name="40% - Accent1 13 2 2 5 4" xfId="33245" xr:uid="{AD9D108F-8F1B-4EC2-8E28-50F26890447B}"/>
    <cellStyle name="40% - Accent1 13 2 2 6" xfId="10284" xr:uid="{00000000-0005-0000-0000-0000A92B0000}"/>
    <cellStyle name="40% - Accent1 13 2 2 6 2" xfId="34133" xr:uid="{B25582CC-6621-44E9-8066-2DA3A915CAC4}"/>
    <cellStyle name="40% - Accent1 13 2 2 7" xfId="18239" xr:uid="{00000000-0005-0000-0000-0000AA2B0000}"/>
    <cellStyle name="40% - Accent1 13 2 2 7 2" xfId="42071" xr:uid="{70CD03C0-53E7-4C22-923A-A76FFF3E6DDE}"/>
    <cellStyle name="40% - Accent1 13 2 2 8" xfId="26191" xr:uid="{BBABA065-3982-455F-AE3B-9C0A8E34D1D2}"/>
    <cellStyle name="40% - Accent1 13 2 2_Exh G" xfId="2704" xr:uid="{00000000-0005-0000-0000-0000AB2B0000}"/>
    <cellStyle name="40% - Accent1 13 2 3" xfId="1367" xr:uid="{00000000-0005-0000-0000-0000AC2B0000}"/>
    <cellStyle name="40% - Accent1 13 2 3 2" xfId="4894" xr:uid="{00000000-0005-0000-0000-0000AD2B0000}"/>
    <cellStyle name="40% - Accent1 13 2 3 2 2" xfId="8485" xr:uid="{00000000-0005-0000-0000-0000AE2B0000}"/>
    <cellStyle name="40% - Accent1 13 2 3 2 2 2" xfId="16455" xr:uid="{00000000-0005-0000-0000-0000AF2B0000}"/>
    <cellStyle name="40% - Accent1 13 2 3 2 2 2 2" xfId="40297" xr:uid="{FBF68C03-0DC4-4424-81E8-EFB230778A79}"/>
    <cellStyle name="40% - Accent1 13 2 3 2 2 3" xfId="24401" xr:uid="{00000000-0005-0000-0000-0000B02B0000}"/>
    <cellStyle name="40% - Accent1 13 2 3 2 2 3 2" xfId="48233" xr:uid="{0B17B63E-D9B7-4EFE-8613-4C0D80D7EF33}"/>
    <cellStyle name="40% - Accent1 13 2 3 2 2 4" xfId="32356" xr:uid="{803C5EC8-978F-4068-8B9B-7E89FCA9653A}"/>
    <cellStyle name="40% - Accent1 13 2 3 2 3" xfId="12917" xr:uid="{00000000-0005-0000-0000-0000B12B0000}"/>
    <cellStyle name="40% - Accent1 13 2 3 2 3 2" xfId="36766" xr:uid="{F80A533A-EE95-4F1B-9A12-619E8053B3EA}"/>
    <cellStyle name="40% - Accent1 13 2 3 2 4" xfId="20872" xr:uid="{00000000-0005-0000-0000-0000B22B0000}"/>
    <cellStyle name="40% - Accent1 13 2 3 2 4 2" xfId="44704" xr:uid="{26A67A88-7AD1-4911-A6E2-FF06FF8581F4}"/>
    <cellStyle name="40% - Accent1 13 2 3 2 5" xfId="28825" xr:uid="{A530E86C-6F08-4D2A-AF5C-236445E92BA1}"/>
    <cellStyle name="40% - Accent1 13 2 3 3" xfId="6726" xr:uid="{00000000-0005-0000-0000-0000B32B0000}"/>
    <cellStyle name="40% - Accent1 13 2 3 3 2" xfId="14697" xr:uid="{00000000-0005-0000-0000-0000B42B0000}"/>
    <cellStyle name="40% - Accent1 13 2 3 3 2 2" xfId="38539" xr:uid="{3D7BD96A-4DBE-46CC-AA34-1EE96F58800F}"/>
    <cellStyle name="40% - Accent1 13 2 3 3 3" xfId="22644" xr:uid="{00000000-0005-0000-0000-0000B52B0000}"/>
    <cellStyle name="40% - Accent1 13 2 3 3 3 2" xfId="46476" xr:uid="{1C0D4D61-8F70-4655-95AD-E2901B546B1C}"/>
    <cellStyle name="40% - Accent1 13 2 3 3 4" xfId="30598" xr:uid="{5C7A7293-26EF-4889-856C-7CCE7A5B4B43}"/>
    <cellStyle name="40% - Accent1 13 2 3 4" xfId="11161" xr:uid="{00000000-0005-0000-0000-0000B62B0000}"/>
    <cellStyle name="40% - Accent1 13 2 3 4 2" xfId="35010" xr:uid="{897C5E3E-181D-4E1A-9833-A2F199DD21D6}"/>
    <cellStyle name="40% - Accent1 13 2 3 5" xfId="19116" xr:uid="{00000000-0005-0000-0000-0000B72B0000}"/>
    <cellStyle name="40% - Accent1 13 2 3 5 2" xfId="42948" xr:uid="{AE483599-D96B-4A8A-9495-36DAF46C5945}"/>
    <cellStyle name="40% - Accent1 13 2 3 6" xfId="27068" xr:uid="{7F0BB576-18F5-40FA-87DF-C93E46942806}"/>
    <cellStyle name="40% - Accent1 13 2 3_Exh G" xfId="2706" xr:uid="{00000000-0005-0000-0000-0000B82B0000}"/>
    <cellStyle name="40% - Accent1 13 2 4" xfId="4015" xr:uid="{00000000-0005-0000-0000-0000B92B0000}"/>
    <cellStyle name="40% - Accent1 13 2 4 2" xfId="7607" xr:uid="{00000000-0005-0000-0000-0000BA2B0000}"/>
    <cellStyle name="40% - Accent1 13 2 4 2 2" xfId="15577" xr:uid="{00000000-0005-0000-0000-0000BB2B0000}"/>
    <cellStyle name="40% - Accent1 13 2 4 2 2 2" xfId="39419" xr:uid="{3089157A-E08D-4875-B279-4F2B7104D6D9}"/>
    <cellStyle name="40% - Accent1 13 2 4 2 3" xfId="23523" xr:uid="{00000000-0005-0000-0000-0000BC2B0000}"/>
    <cellStyle name="40% - Accent1 13 2 4 2 3 2" xfId="47355" xr:uid="{CC72C3D7-E22D-46AC-A286-43428C22EC16}"/>
    <cellStyle name="40% - Accent1 13 2 4 2 4" xfId="31478" xr:uid="{F3FD648B-D7CE-4CB6-8757-43E40E495B42}"/>
    <cellStyle name="40% - Accent1 13 2 4 3" xfId="12039" xr:uid="{00000000-0005-0000-0000-0000BD2B0000}"/>
    <cellStyle name="40% - Accent1 13 2 4 3 2" xfId="35888" xr:uid="{ADA8B473-BE63-4B5C-A2E6-6B241562789C}"/>
    <cellStyle name="40% - Accent1 13 2 4 4" xfId="19994" xr:uid="{00000000-0005-0000-0000-0000BE2B0000}"/>
    <cellStyle name="40% - Accent1 13 2 4 4 2" xfId="43826" xr:uid="{713281C4-0FC4-4A8C-9DAE-80806993170F}"/>
    <cellStyle name="40% - Accent1 13 2 4 5" xfId="27947" xr:uid="{A2145C60-1776-4565-9BA3-4911C90FC571}"/>
    <cellStyle name="40% - Accent1 13 2 5" xfId="5835" xr:uid="{00000000-0005-0000-0000-0000BF2B0000}"/>
    <cellStyle name="40% - Accent1 13 2 5 2" xfId="13818" xr:uid="{00000000-0005-0000-0000-0000C02B0000}"/>
    <cellStyle name="40% - Accent1 13 2 5 2 2" xfId="37661" xr:uid="{D58389E3-A272-493F-8355-4C88E8E76DCA}"/>
    <cellStyle name="40% - Accent1 13 2 5 3" xfId="21766" xr:uid="{00000000-0005-0000-0000-0000C12B0000}"/>
    <cellStyle name="40% - Accent1 13 2 5 3 2" xfId="45598" xr:uid="{981753CD-B1B7-4033-BE3C-408969F8DA4E}"/>
    <cellStyle name="40% - Accent1 13 2 5 4" xfId="29720" xr:uid="{15703DB4-12A3-4CBE-A222-F912D91844E3}"/>
    <cellStyle name="40% - Accent1 13 2 6" xfId="9387" xr:uid="{00000000-0005-0000-0000-0000C22B0000}"/>
    <cellStyle name="40% - Accent1 13 2 6 2" xfId="17345" xr:uid="{00000000-0005-0000-0000-0000C32B0000}"/>
    <cellStyle name="40% - Accent1 13 2 6 2 2" xfId="41185" xr:uid="{36BFB176-F9CC-4B99-993A-B2198FE39780}"/>
    <cellStyle name="40% - Accent1 13 2 6 3" xfId="25289" xr:uid="{00000000-0005-0000-0000-0000C42B0000}"/>
    <cellStyle name="40% - Accent1 13 2 6 3 2" xfId="49121" xr:uid="{2257AD02-FF66-46DB-83DC-0B41AE4DA72F}"/>
    <cellStyle name="40% - Accent1 13 2 6 4" xfId="33244" xr:uid="{FB4467FF-BDA1-4E6C-ACD8-4E52F02B65AA}"/>
    <cellStyle name="40% - Accent1 13 2 7" xfId="10283" xr:uid="{00000000-0005-0000-0000-0000C52B0000}"/>
    <cellStyle name="40% - Accent1 13 2 7 2" xfId="34132" xr:uid="{31987023-ED8E-4482-BA31-84081143F987}"/>
    <cellStyle name="40% - Accent1 13 2 8" xfId="18238" xr:uid="{00000000-0005-0000-0000-0000C62B0000}"/>
    <cellStyle name="40% - Accent1 13 2 8 2" xfId="42070" xr:uid="{842CC0FD-7BE4-4934-A967-02E73F4AEF3F}"/>
    <cellStyle name="40% - Accent1 13 2 9" xfId="26190" xr:uid="{2350C1A6-453C-456E-B2C2-BDB22B15FC84}"/>
    <cellStyle name="40% - Accent1 13 2_Exh G" xfId="2703" xr:uid="{00000000-0005-0000-0000-0000C72B0000}"/>
    <cellStyle name="40% - Accent1 13 3" xfId="343" xr:uid="{00000000-0005-0000-0000-0000C82B0000}"/>
    <cellStyle name="40% - Accent1 13 3 2" xfId="1369" xr:uid="{00000000-0005-0000-0000-0000C92B0000}"/>
    <cellStyle name="40% - Accent1 13 3 2 2" xfId="4896" xr:uid="{00000000-0005-0000-0000-0000CA2B0000}"/>
    <cellStyle name="40% - Accent1 13 3 2 2 2" xfId="8487" xr:uid="{00000000-0005-0000-0000-0000CB2B0000}"/>
    <cellStyle name="40% - Accent1 13 3 2 2 2 2" xfId="16457" xr:uid="{00000000-0005-0000-0000-0000CC2B0000}"/>
    <cellStyle name="40% - Accent1 13 3 2 2 2 2 2" xfId="40299" xr:uid="{0B090B7D-E450-47F8-99F6-479FA58FAAE1}"/>
    <cellStyle name="40% - Accent1 13 3 2 2 2 3" xfId="24403" xr:uid="{00000000-0005-0000-0000-0000CD2B0000}"/>
    <cellStyle name="40% - Accent1 13 3 2 2 2 3 2" xfId="48235" xr:uid="{840F0EA7-7C48-4DB9-94A7-75C6BF799121}"/>
    <cellStyle name="40% - Accent1 13 3 2 2 2 4" xfId="32358" xr:uid="{145E36FE-C2F6-4C3A-B036-AD6B53EB2D9E}"/>
    <cellStyle name="40% - Accent1 13 3 2 2 3" xfId="12919" xr:uid="{00000000-0005-0000-0000-0000CE2B0000}"/>
    <cellStyle name="40% - Accent1 13 3 2 2 3 2" xfId="36768" xr:uid="{5740A999-EFB1-49B8-9276-60692089A51E}"/>
    <cellStyle name="40% - Accent1 13 3 2 2 4" xfId="20874" xr:uid="{00000000-0005-0000-0000-0000CF2B0000}"/>
    <cellStyle name="40% - Accent1 13 3 2 2 4 2" xfId="44706" xr:uid="{D46ABEA6-CBC5-41D6-B09A-A4BFA7B47CE9}"/>
    <cellStyle name="40% - Accent1 13 3 2 2 5" xfId="28827" xr:uid="{A48D628B-30A4-422E-9220-47087E102EC8}"/>
    <cellStyle name="40% - Accent1 13 3 2 3" xfId="6728" xr:uid="{00000000-0005-0000-0000-0000D02B0000}"/>
    <cellStyle name="40% - Accent1 13 3 2 3 2" xfId="14699" xr:uid="{00000000-0005-0000-0000-0000D12B0000}"/>
    <cellStyle name="40% - Accent1 13 3 2 3 2 2" xfId="38541" xr:uid="{7953161B-5E31-40AD-9EEB-B69A8DF42058}"/>
    <cellStyle name="40% - Accent1 13 3 2 3 3" xfId="22646" xr:uid="{00000000-0005-0000-0000-0000D22B0000}"/>
    <cellStyle name="40% - Accent1 13 3 2 3 3 2" xfId="46478" xr:uid="{889BE76B-1FBB-4EF4-B562-93D082D4B4E7}"/>
    <cellStyle name="40% - Accent1 13 3 2 3 4" xfId="30600" xr:uid="{D3E17CFF-1611-406F-8CD2-4A3C5B576D91}"/>
    <cellStyle name="40% - Accent1 13 3 2 4" xfId="11163" xr:uid="{00000000-0005-0000-0000-0000D32B0000}"/>
    <cellStyle name="40% - Accent1 13 3 2 4 2" xfId="35012" xr:uid="{48DD4CB2-9B19-4861-9B14-7E2CEC94036A}"/>
    <cellStyle name="40% - Accent1 13 3 2 5" xfId="19118" xr:uid="{00000000-0005-0000-0000-0000D42B0000}"/>
    <cellStyle name="40% - Accent1 13 3 2 5 2" xfId="42950" xr:uid="{5DF88025-F114-4A48-9033-4AB357DEBB3D}"/>
    <cellStyle name="40% - Accent1 13 3 2 6" xfId="27070" xr:uid="{EFA4F098-7185-457A-AF42-DF97C9EAC3F7}"/>
    <cellStyle name="40% - Accent1 13 3 2_Exh G" xfId="2708" xr:uid="{00000000-0005-0000-0000-0000D52B0000}"/>
    <cellStyle name="40% - Accent1 13 3 3" xfId="4017" xr:uid="{00000000-0005-0000-0000-0000D62B0000}"/>
    <cellStyle name="40% - Accent1 13 3 3 2" xfId="7609" xr:uid="{00000000-0005-0000-0000-0000D72B0000}"/>
    <cellStyle name="40% - Accent1 13 3 3 2 2" xfId="15579" xr:uid="{00000000-0005-0000-0000-0000D82B0000}"/>
    <cellStyle name="40% - Accent1 13 3 3 2 2 2" xfId="39421" xr:uid="{B103BF23-9824-4AE2-92CE-35BC70713FD7}"/>
    <cellStyle name="40% - Accent1 13 3 3 2 3" xfId="23525" xr:uid="{00000000-0005-0000-0000-0000D92B0000}"/>
    <cellStyle name="40% - Accent1 13 3 3 2 3 2" xfId="47357" xr:uid="{8FD811B3-952E-4716-ABEC-D8E637B9559A}"/>
    <cellStyle name="40% - Accent1 13 3 3 2 4" xfId="31480" xr:uid="{E8784582-2162-40DD-89BE-22DCD6DBCF16}"/>
    <cellStyle name="40% - Accent1 13 3 3 3" xfId="12041" xr:uid="{00000000-0005-0000-0000-0000DA2B0000}"/>
    <cellStyle name="40% - Accent1 13 3 3 3 2" xfId="35890" xr:uid="{B8620DF2-EEE6-41AA-8982-F0BC84BC337A}"/>
    <cellStyle name="40% - Accent1 13 3 3 4" xfId="19996" xr:uid="{00000000-0005-0000-0000-0000DB2B0000}"/>
    <cellStyle name="40% - Accent1 13 3 3 4 2" xfId="43828" xr:uid="{32A6352F-F417-4AC4-B1E0-0BF872390950}"/>
    <cellStyle name="40% - Accent1 13 3 3 5" xfId="27949" xr:uid="{6FA11932-932D-4DE0-9FC6-6564193F818C}"/>
    <cellStyle name="40% - Accent1 13 3 4" xfId="5837" xr:uid="{00000000-0005-0000-0000-0000DC2B0000}"/>
    <cellStyle name="40% - Accent1 13 3 4 2" xfId="13820" xr:uid="{00000000-0005-0000-0000-0000DD2B0000}"/>
    <cellStyle name="40% - Accent1 13 3 4 2 2" xfId="37663" xr:uid="{81646C8C-75BB-4B39-8D30-E359736F71A4}"/>
    <cellStyle name="40% - Accent1 13 3 4 3" xfId="21768" xr:uid="{00000000-0005-0000-0000-0000DE2B0000}"/>
    <cellStyle name="40% - Accent1 13 3 4 3 2" xfId="45600" xr:uid="{08DEF4A6-E917-4617-9E3A-E07F3A409465}"/>
    <cellStyle name="40% - Accent1 13 3 4 4" xfId="29722" xr:uid="{B66920E2-2D1C-45A7-8903-BF09640404EF}"/>
    <cellStyle name="40% - Accent1 13 3 5" xfId="9389" xr:uid="{00000000-0005-0000-0000-0000DF2B0000}"/>
    <cellStyle name="40% - Accent1 13 3 5 2" xfId="17347" xr:uid="{00000000-0005-0000-0000-0000E02B0000}"/>
    <cellStyle name="40% - Accent1 13 3 5 2 2" xfId="41187" xr:uid="{F2D62BBA-6DCA-45C8-A875-D02023E08D20}"/>
    <cellStyle name="40% - Accent1 13 3 5 3" xfId="25291" xr:uid="{00000000-0005-0000-0000-0000E12B0000}"/>
    <cellStyle name="40% - Accent1 13 3 5 3 2" xfId="49123" xr:uid="{B5F6D43F-E363-4F32-A27D-88B412340A13}"/>
    <cellStyle name="40% - Accent1 13 3 5 4" xfId="33246" xr:uid="{52EDDAA4-F6F6-45B4-AE43-BFA882EAB1F0}"/>
    <cellStyle name="40% - Accent1 13 3 6" xfId="10285" xr:uid="{00000000-0005-0000-0000-0000E22B0000}"/>
    <cellStyle name="40% - Accent1 13 3 6 2" xfId="34134" xr:uid="{117FAE46-B229-41B2-9BC6-388DBC4F73C1}"/>
    <cellStyle name="40% - Accent1 13 3 7" xfId="18240" xr:uid="{00000000-0005-0000-0000-0000E32B0000}"/>
    <cellStyle name="40% - Accent1 13 3 7 2" xfId="42072" xr:uid="{04F96D19-731B-4C08-861E-EB35E1070790}"/>
    <cellStyle name="40% - Accent1 13 3 8" xfId="26192" xr:uid="{F3431723-075C-4293-9D09-B68B8B0F1D64}"/>
    <cellStyle name="40% - Accent1 13 3_Exh G" xfId="2707" xr:uid="{00000000-0005-0000-0000-0000E42B0000}"/>
    <cellStyle name="40% - Accent1 13 4" xfId="1366" xr:uid="{00000000-0005-0000-0000-0000E52B0000}"/>
    <cellStyle name="40% - Accent1 13 4 2" xfId="4893" xr:uid="{00000000-0005-0000-0000-0000E62B0000}"/>
    <cellStyle name="40% - Accent1 13 4 2 2" xfId="8484" xr:uid="{00000000-0005-0000-0000-0000E72B0000}"/>
    <cellStyle name="40% - Accent1 13 4 2 2 2" xfId="16454" xr:uid="{00000000-0005-0000-0000-0000E82B0000}"/>
    <cellStyle name="40% - Accent1 13 4 2 2 2 2" xfId="40296" xr:uid="{BDABF43C-8EB8-4A53-8A2D-D0E84FBF5261}"/>
    <cellStyle name="40% - Accent1 13 4 2 2 3" xfId="24400" xr:uid="{00000000-0005-0000-0000-0000E92B0000}"/>
    <cellStyle name="40% - Accent1 13 4 2 2 3 2" xfId="48232" xr:uid="{9223A466-60C0-4386-A7F4-4015F924BE20}"/>
    <cellStyle name="40% - Accent1 13 4 2 2 4" xfId="32355" xr:uid="{CA1D1423-CC8C-4352-9D31-4E20D721608A}"/>
    <cellStyle name="40% - Accent1 13 4 2 3" xfId="12916" xr:uid="{00000000-0005-0000-0000-0000EA2B0000}"/>
    <cellStyle name="40% - Accent1 13 4 2 3 2" xfId="36765" xr:uid="{7D5228E4-4E5F-4AC5-8714-5A7BE9A99DBF}"/>
    <cellStyle name="40% - Accent1 13 4 2 4" xfId="20871" xr:uid="{00000000-0005-0000-0000-0000EB2B0000}"/>
    <cellStyle name="40% - Accent1 13 4 2 4 2" xfId="44703" xr:uid="{CB46A262-D70E-4DCC-8EB6-38049329CF38}"/>
    <cellStyle name="40% - Accent1 13 4 2 5" xfId="28824" xr:uid="{FC05D7CD-EA9B-414A-8465-62191824B876}"/>
    <cellStyle name="40% - Accent1 13 4 3" xfId="6725" xr:uid="{00000000-0005-0000-0000-0000EC2B0000}"/>
    <cellStyle name="40% - Accent1 13 4 3 2" xfId="14696" xr:uid="{00000000-0005-0000-0000-0000ED2B0000}"/>
    <cellStyle name="40% - Accent1 13 4 3 2 2" xfId="38538" xr:uid="{D4454728-E1D7-4E52-8773-60281EDAF1A4}"/>
    <cellStyle name="40% - Accent1 13 4 3 3" xfId="22643" xr:uid="{00000000-0005-0000-0000-0000EE2B0000}"/>
    <cellStyle name="40% - Accent1 13 4 3 3 2" xfId="46475" xr:uid="{14295F8A-AB74-48E8-A499-1F9EE9527532}"/>
    <cellStyle name="40% - Accent1 13 4 3 4" xfId="30597" xr:uid="{644C5A83-6E6F-4650-97D2-A4213FD74B7E}"/>
    <cellStyle name="40% - Accent1 13 4 4" xfId="11160" xr:uid="{00000000-0005-0000-0000-0000EF2B0000}"/>
    <cellStyle name="40% - Accent1 13 4 4 2" xfId="35009" xr:uid="{968FFA09-5044-4BF9-BA3B-8CC53CE3F46F}"/>
    <cellStyle name="40% - Accent1 13 4 5" xfId="19115" xr:uid="{00000000-0005-0000-0000-0000F02B0000}"/>
    <cellStyle name="40% - Accent1 13 4 5 2" xfId="42947" xr:uid="{BF3BE0BC-DE0F-4D08-BC55-5307635871F7}"/>
    <cellStyle name="40% - Accent1 13 4 6" xfId="27067" xr:uid="{4F1786F0-A750-49FC-834F-B1C634AF247C}"/>
    <cellStyle name="40% - Accent1 13 4_Exh G" xfId="2709" xr:uid="{00000000-0005-0000-0000-0000F12B0000}"/>
    <cellStyle name="40% - Accent1 13 5" xfId="4014" xr:uid="{00000000-0005-0000-0000-0000F22B0000}"/>
    <cellStyle name="40% - Accent1 13 5 2" xfId="7606" xr:uid="{00000000-0005-0000-0000-0000F32B0000}"/>
    <cellStyle name="40% - Accent1 13 5 2 2" xfId="15576" xr:uid="{00000000-0005-0000-0000-0000F42B0000}"/>
    <cellStyle name="40% - Accent1 13 5 2 2 2" xfId="39418" xr:uid="{6AB7D7D2-8AED-4618-98A8-7AD2DAE2FDF8}"/>
    <cellStyle name="40% - Accent1 13 5 2 3" xfId="23522" xr:uid="{00000000-0005-0000-0000-0000F52B0000}"/>
    <cellStyle name="40% - Accent1 13 5 2 3 2" xfId="47354" xr:uid="{20157C17-BBC4-46F2-AED5-FA36FB426943}"/>
    <cellStyle name="40% - Accent1 13 5 2 4" xfId="31477" xr:uid="{CD588764-DB34-4A71-B415-92EB52A6B60C}"/>
    <cellStyle name="40% - Accent1 13 5 3" xfId="12038" xr:uid="{00000000-0005-0000-0000-0000F62B0000}"/>
    <cellStyle name="40% - Accent1 13 5 3 2" xfId="35887" xr:uid="{115DB61A-2FD3-4106-9716-BFA5AE6665A0}"/>
    <cellStyle name="40% - Accent1 13 5 4" xfId="19993" xr:uid="{00000000-0005-0000-0000-0000F72B0000}"/>
    <cellStyle name="40% - Accent1 13 5 4 2" xfId="43825" xr:uid="{FD2DBC47-5EE1-4192-B8D7-187885C001E0}"/>
    <cellStyle name="40% - Accent1 13 5 5" xfId="27946" xr:uid="{D8BE9E2A-CBE4-4489-A429-CE96371EBCD2}"/>
    <cellStyle name="40% - Accent1 13 6" xfId="5834" xr:uid="{00000000-0005-0000-0000-0000F82B0000}"/>
    <cellStyle name="40% - Accent1 13 6 2" xfId="13817" xr:uid="{00000000-0005-0000-0000-0000F92B0000}"/>
    <cellStyle name="40% - Accent1 13 6 2 2" xfId="37660" xr:uid="{36832408-6B5D-4779-9A2F-47DB71BC4B62}"/>
    <cellStyle name="40% - Accent1 13 6 3" xfId="21765" xr:uid="{00000000-0005-0000-0000-0000FA2B0000}"/>
    <cellStyle name="40% - Accent1 13 6 3 2" xfId="45597" xr:uid="{8F4118C1-F98C-4851-9C2B-B8AD40A0AF04}"/>
    <cellStyle name="40% - Accent1 13 6 4" xfId="29719" xr:uid="{9CF5D26D-2DE1-4BB1-972A-6A417C5F1BA9}"/>
    <cellStyle name="40% - Accent1 13 7" xfId="9386" xr:uid="{00000000-0005-0000-0000-0000FB2B0000}"/>
    <cellStyle name="40% - Accent1 13 7 2" xfId="17344" xr:uid="{00000000-0005-0000-0000-0000FC2B0000}"/>
    <cellStyle name="40% - Accent1 13 7 2 2" xfId="41184" xr:uid="{64CA04ED-CC93-4A56-A105-0ADB6FF812E8}"/>
    <cellStyle name="40% - Accent1 13 7 3" xfId="25288" xr:uid="{00000000-0005-0000-0000-0000FD2B0000}"/>
    <cellStyle name="40% - Accent1 13 7 3 2" xfId="49120" xr:uid="{9B2762D8-A960-4769-AFC0-618E8DE0CC89}"/>
    <cellStyle name="40% - Accent1 13 7 4" xfId="33243" xr:uid="{4DB92423-8189-48F1-8234-C217F4C1E624}"/>
    <cellStyle name="40% - Accent1 13 8" xfId="10282" xr:uid="{00000000-0005-0000-0000-0000FE2B0000}"/>
    <cellStyle name="40% - Accent1 13 8 2" xfId="34131" xr:uid="{2DC67374-2058-40B6-8F9E-EC06F5DBD2CD}"/>
    <cellStyle name="40% - Accent1 13 9" xfId="18237" xr:uid="{00000000-0005-0000-0000-0000FF2B0000}"/>
    <cellStyle name="40% - Accent1 13 9 2" xfId="42069" xr:uid="{A04B8B70-4B97-41A9-8204-A6C83D7641F7}"/>
    <cellStyle name="40% - Accent1 13_Exh G" xfId="2702" xr:uid="{00000000-0005-0000-0000-0000002C0000}"/>
    <cellStyle name="40% - Accent1 14" xfId="344" xr:uid="{00000000-0005-0000-0000-0000012C0000}"/>
    <cellStyle name="40% - Accent1 14 2" xfId="345" xr:uid="{00000000-0005-0000-0000-0000022C0000}"/>
    <cellStyle name="40% - Accent1 14 2 2" xfId="1371" xr:uid="{00000000-0005-0000-0000-0000032C0000}"/>
    <cellStyle name="40% - Accent1 14 2 2 2" xfId="4898" xr:uid="{00000000-0005-0000-0000-0000042C0000}"/>
    <cellStyle name="40% - Accent1 14 2 2 2 2" xfId="8489" xr:uid="{00000000-0005-0000-0000-0000052C0000}"/>
    <cellStyle name="40% - Accent1 14 2 2 2 2 2" xfId="16459" xr:uid="{00000000-0005-0000-0000-0000062C0000}"/>
    <cellStyle name="40% - Accent1 14 2 2 2 2 2 2" xfId="40301" xr:uid="{87104470-A657-4AB2-B327-A51AFC763C69}"/>
    <cellStyle name="40% - Accent1 14 2 2 2 2 3" xfId="24405" xr:uid="{00000000-0005-0000-0000-0000072C0000}"/>
    <cellStyle name="40% - Accent1 14 2 2 2 2 3 2" xfId="48237" xr:uid="{E17CF2D2-14C2-4C99-A30F-EE2C8767C7B1}"/>
    <cellStyle name="40% - Accent1 14 2 2 2 2 4" xfId="32360" xr:uid="{FED0B036-C2EB-44C4-B1E8-4BC976F99A70}"/>
    <cellStyle name="40% - Accent1 14 2 2 2 3" xfId="12921" xr:uid="{00000000-0005-0000-0000-0000082C0000}"/>
    <cellStyle name="40% - Accent1 14 2 2 2 3 2" xfId="36770" xr:uid="{FDCF2673-A205-4E2E-B412-B3CFF5CE49B0}"/>
    <cellStyle name="40% - Accent1 14 2 2 2 4" xfId="20876" xr:uid="{00000000-0005-0000-0000-0000092C0000}"/>
    <cellStyle name="40% - Accent1 14 2 2 2 4 2" xfId="44708" xr:uid="{1BD2FCA3-5C04-44BE-A058-C5A55AC0C9B4}"/>
    <cellStyle name="40% - Accent1 14 2 2 2 5" xfId="28829" xr:uid="{097431BF-497A-4978-8AAD-87BD15BE4DB0}"/>
    <cellStyle name="40% - Accent1 14 2 2 3" xfId="6730" xr:uid="{00000000-0005-0000-0000-00000A2C0000}"/>
    <cellStyle name="40% - Accent1 14 2 2 3 2" xfId="14701" xr:uid="{00000000-0005-0000-0000-00000B2C0000}"/>
    <cellStyle name="40% - Accent1 14 2 2 3 2 2" xfId="38543" xr:uid="{CB781DE5-CBFE-4F2D-9126-680D9827DB86}"/>
    <cellStyle name="40% - Accent1 14 2 2 3 3" xfId="22648" xr:uid="{00000000-0005-0000-0000-00000C2C0000}"/>
    <cellStyle name="40% - Accent1 14 2 2 3 3 2" xfId="46480" xr:uid="{E3A2A9D2-47F2-421E-B951-2A5C364A228B}"/>
    <cellStyle name="40% - Accent1 14 2 2 3 4" xfId="30602" xr:uid="{AF977612-F4BC-4141-BF45-0803F88F2C16}"/>
    <cellStyle name="40% - Accent1 14 2 2 4" xfId="11165" xr:uid="{00000000-0005-0000-0000-00000D2C0000}"/>
    <cellStyle name="40% - Accent1 14 2 2 4 2" xfId="35014" xr:uid="{1AF247F2-85CE-4BD0-B338-39E4BD7B1B5B}"/>
    <cellStyle name="40% - Accent1 14 2 2 5" xfId="19120" xr:uid="{00000000-0005-0000-0000-00000E2C0000}"/>
    <cellStyle name="40% - Accent1 14 2 2 5 2" xfId="42952" xr:uid="{B1AB9826-D9BD-44E5-81B4-74B7A2B8A88E}"/>
    <cellStyle name="40% - Accent1 14 2 2 6" xfId="27072" xr:uid="{3F4FB976-C224-4088-8DFD-26936B1994D1}"/>
    <cellStyle name="40% - Accent1 14 2 2_Exh G" xfId="2712" xr:uid="{00000000-0005-0000-0000-00000F2C0000}"/>
    <cellStyle name="40% - Accent1 14 2 3" xfId="4019" xr:uid="{00000000-0005-0000-0000-0000102C0000}"/>
    <cellStyle name="40% - Accent1 14 2 3 2" xfId="7611" xr:uid="{00000000-0005-0000-0000-0000112C0000}"/>
    <cellStyle name="40% - Accent1 14 2 3 2 2" xfId="15581" xr:uid="{00000000-0005-0000-0000-0000122C0000}"/>
    <cellStyle name="40% - Accent1 14 2 3 2 2 2" xfId="39423" xr:uid="{D6C7D14D-5A16-4D93-BED6-78084697B904}"/>
    <cellStyle name="40% - Accent1 14 2 3 2 3" xfId="23527" xr:uid="{00000000-0005-0000-0000-0000132C0000}"/>
    <cellStyle name="40% - Accent1 14 2 3 2 3 2" xfId="47359" xr:uid="{52765E57-7635-4912-ABA5-52D1B1F15046}"/>
    <cellStyle name="40% - Accent1 14 2 3 2 4" xfId="31482" xr:uid="{6941F91B-2F58-4BBC-B2E3-1AD98AC5B160}"/>
    <cellStyle name="40% - Accent1 14 2 3 3" xfId="12043" xr:uid="{00000000-0005-0000-0000-0000142C0000}"/>
    <cellStyle name="40% - Accent1 14 2 3 3 2" xfId="35892" xr:uid="{3E1D42E3-D942-421F-9959-3544082875BD}"/>
    <cellStyle name="40% - Accent1 14 2 3 4" xfId="19998" xr:uid="{00000000-0005-0000-0000-0000152C0000}"/>
    <cellStyle name="40% - Accent1 14 2 3 4 2" xfId="43830" xr:uid="{F0A17CDE-8252-4B3F-8FA6-C5D898E77D1F}"/>
    <cellStyle name="40% - Accent1 14 2 3 5" xfId="27951" xr:uid="{8AF91631-632F-42FB-92FC-6B582CD44EC9}"/>
    <cellStyle name="40% - Accent1 14 2 4" xfId="5839" xr:uid="{00000000-0005-0000-0000-0000162C0000}"/>
    <cellStyle name="40% - Accent1 14 2 4 2" xfId="13822" xr:uid="{00000000-0005-0000-0000-0000172C0000}"/>
    <cellStyle name="40% - Accent1 14 2 4 2 2" xfId="37665" xr:uid="{48B9B603-755A-4322-829E-B2D36BD57F87}"/>
    <cellStyle name="40% - Accent1 14 2 4 3" xfId="21770" xr:uid="{00000000-0005-0000-0000-0000182C0000}"/>
    <cellStyle name="40% - Accent1 14 2 4 3 2" xfId="45602" xr:uid="{1B75415C-65F6-48CF-8922-F9C16AD49ED7}"/>
    <cellStyle name="40% - Accent1 14 2 4 4" xfId="29724" xr:uid="{05468922-B9C8-429C-B009-74CFD8C44847}"/>
    <cellStyle name="40% - Accent1 14 2 5" xfId="9391" xr:uid="{00000000-0005-0000-0000-0000192C0000}"/>
    <cellStyle name="40% - Accent1 14 2 5 2" xfId="17349" xr:uid="{00000000-0005-0000-0000-00001A2C0000}"/>
    <cellStyle name="40% - Accent1 14 2 5 2 2" xfId="41189" xr:uid="{CE634446-F385-4CDB-84EA-648F96ED3DCD}"/>
    <cellStyle name="40% - Accent1 14 2 5 3" xfId="25293" xr:uid="{00000000-0005-0000-0000-00001B2C0000}"/>
    <cellStyle name="40% - Accent1 14 2 5 3 2" xfId="49125" xr:uid="{BCA42AE4-6690-44C7-B05A-82BB3742CE4B}"/>
    <cellStyle name="40% - Accent1 14 2 5 4" xfId="33248" xr:uid="{3AEB5237-DB3B-479E-8A14-BEAE72DCDA50}"/>
    <cellStyle name="40% - Accent1 14 2 6" xfId="10287" xr:uid="{00000000-0005-0000-0000-00001C2C0000}"/>
    <cellStyle name="40% - Accent1 14 2 6 2" xfId="34136" xr:uid="{AF976491-FFFB-4FD3-BB7D-121F6B094A5C}"/>
    <cellStyle name="40% - Accent1 14 2 7" xfId="18242" xr:uid="{00000000-0005-0000-0000-00001D2C0000}"/>
    <cellStyle name="40% - Accent1 14 2 7 2" xfId="42074" xr:uid="{7D436649-5E58-4FCF-9EFC-8AB391437E5C}"/>
    <cellStyle name="40% - Accent1 14 2 8" xfId="26194" xr:uid="{5FAD468B-BC4E-4CA2-A4CA-8EA1C80E438E}"/>
    <cellStyle name="40% - Accent1 14 2_Exh G" xfId="2711" xr:uid="{00000000-0005-0000-0000-00001E2C0000}"/>
    <cellStyle name="40% - Accent1 14 3" xfId="1370" xr:uid="{00000000-0005-0000-0000-00001F2C0000}"/>
    <cellStyle name="40% - Accent1 14 3 2" xfId="4897" xr:uid="{00000000-0005-0000-0000-0000202C0000}"/>
    <cellStyle name="40% - Accent1 14 3 2 2" xfId="8488" xr:uid="{00000000-0005-0000-0000-0000212C0000}"/>
    <cellStyle name="40% - Accent1 14 3 2 2 2" xfId="16458" xr:uid="{00000000-0005-0000-0000-0000222C0000}"/>
    <cellStyle name="40% - Accent1 14 3 2 2 2 2" xfId="40300" xr:uid="{F40CD6F6-9342-43EE-8302-C331EDA94BD6}"/>
    <cellStyle name="40% - Accent1 14 3 2 2 3" xfId="24404" xr:uid="{00000000-0005-0000-0000-0000232C0000}"/>
    <cellStyle name="40% - Accent1 14 3 2 2 3 2" xfId="48236" xr:uid="{FD94D855-30EB-4020-A624-D59417BC7211}"/>
    <cellStyle name="40% - Accent1 14 3 2 2 4" xfId="32359" xr:uid="{C73D4BB4-F994-42CD-8ECC-E6FE93E25A58}"/>
    <cellStyle name="40% - Accent1 14 3 2 3" xfId="12920" xr:uid="{00000000-0005-0000-0000-0000242C0000}"/>
    <cellStyle name="40% - Accent1 14 3 2 3 2" xfId="36769" xr:uid="{9987ED91-8032-4C96-9301-22FD12B09FB6}"/>
    <cellStyle name="40% - Accent1 14 3 2 4" xfId="20875" xr:uid="{00000000-0005-0000-0000-0000252C0000}"/>
    <cellStyle name="40% - Accent1 14 3 2 4 2" xfId="44707" xr:uid="{F0D31AE3-A025-4477-A8C5-B76CA2EC4794}"/>
    <cellStyle name="40% - Accent1 14 3 2 5" xfId="28828" xr:uid="{BC3DE1C9-530C-48F5-AC06-700A8601B1C4}"/>
    <cellStyle name="40% - Accent1 14 3 3" xfId="6729" xr:uid="{00000000-0005-0000-0000-0000262C0000}"/>
    <cellStyle name="40% - Accent1 14 3 3 2" xfId="14700" xr:uid="{00000000-0005-0000-0000-0000272C0000}"/>
    <cellStyle name="40% - Accent1 14 3 3 2 2" xfId="38542" xr:uid="{8BDE055D-6266-47D9-B202-12E0CA2CD0DA}"/>
    <cellStyle name="40% - Accent1 14 3 3 3" xfId="22647" xr:uid="{00000000-0005-0000-0000-0000282C0000}"/>
    <cellStyle name="40% - Accent1 14 3 3 3 2" xfId="46479" xr:uid="{A1B470B7-1D02-4EB3-BF18-B6B9E0F9C5ED}"/>
    <cellStyle name="40% - Accent1 14 3 3 4" xfId="30601" xr:uid="{7D6979C0-5650-47B5-A8B5-6BB745D1809C}"/>
    <cellStyle name="40% - Accent1 14 3 4" xfId="11164" xr:uid="{00000000-0005-0000-0000-0000292C0000}"/>
    <cellStyle name="40% - Accent1 14 3 4 2" xfId="35013" xr:uid="{F02A9D24-0076-4546-8351-917F547ADD46}"/>
    <cellStyle name="40% - Accent1 14 3 5" xfId="19119" xr:uid="{00000000-0005-0000-0000-00002A2C0000}"/>
    <cellStyle name="40% - Accent1 14 3 5 2" xfId="42951" xr:uid="{857973E8-D87E-4B0C-8E23-7643050A4107}"/>
    <cellStyle name="40% - Accent1 14 3 6" xfId="27071" xr:uid="{9EAD8105-9316-4B1B-8AA1-DBC7C56D0FCA}"/>
    <cellStyle name="40% - Accent1 14 3_Exh G" xfId="2713" xr:uid="{00000000-0005-0000-0000-00002B2C0000}"/>
    <cellStyle name="40% - Accent1 14 4" xfId="4018" xr:uid="{00000000-0005-0000-0000-00002C2C0000}"/>
    <cellStyle name="40% - Accent1 14 4 2" xfId="7610" xr:uid="{00000000-0005-0000-0000-00002D2C0000}"/>
    <cellStyle name="40% - Accent1 14 4 2 2" xfId="15580" xr:uid="{00000000-0005-0000-0000-00002E2C0000}"/>
    <cellStyle name="40% - Accent1 14 4 2 2 2" xfId="39422" xr:uid="{BDBAE078-5B9B-4234-B96B-6A6B5A40F94B}"/>
    <cellStyle name="40% - Accent1 14 4 2 3" xfId="23526" xr:uid="{00000000-0005-0000-0000-00002F2C0000}"/>
    <cellStyle name="40% - Accent1 14 4 2 3 2" xfId="47358" xr:uid="{836BBA9D-1142-49C9-B68C-7544CBFAB541}"/>
    <cellStyle name="40% - Accent1 14 4 2 4" xfId="31481" xr:uid="{827634C3-CDC2-4269-B8D5-7648D5961E50}"/>
    <cellStyle name="40% - Accent1 14 4 3" xfId="12042" xr:uid="{00000000-0005-0000-0000-0000302C0000}"/>
    <cellStyle name="40% - Accent1 14 4 3 2" xfId="35891" xr:uid="{E510AE90-5336-436F-8128-49170C60DC65}"/>
    <cellStyle name="40% - Accent1 14 4 4" xfId="19997" xr:uid="{00000000-0005-0000-0000-0000312C0000}"/>
    <cellStyle name="40% - Accent1 14 4 4 2" xfId="43829" xr:uid="{1177B5D0-6F86-403E-9082-D02447EEF056}"/>
    <cellStyle name="40% - Accent1 14 4 5" xfId="27950" xr:uid="{8A64EBEC-D7F0-458D-BA5F-7DFC50A5E940}"/>
    <cellStyle name="40% - Accent1 14 5" xfId="5838" xr:uid="{00000000-0005-0000-0000-0000322C0000}"/>
    <cellStyle name="40% - Accent1 14 5 2" xfId="13821" xr:uid="{00000000-0005-0000-0000-0000332C0000}"/>
    <cellStyle name="40% - Accent1 14 5 2 2" xfId="37664" xr:uid="{CE6C5E29-8389-4253-8584-F99C68A47133}"/>
    <cellStyle name="40% - Accent1 14 5 3" xfId="21769" xr:uid="{00000000-0005-0000-0000-0000342C0000}"/>
    <cellStyle name="40% - Accent1 14 5 3 2" xfId="45601" xr:uid="{544FAE66-60C4-4B4F-830E-2E64631154BB}"/>
    <cellStyle name="40% - Accent1 14 5 4" xfId="29723" xr:uid="{F092E038-7A65-43AC-A424-94E8977C2A36}"/>
    <cellStyle name="40% - Accent1 14 6" xfId="9390" xr:uid="{00000000-0005-0000-0000-0000352C0000}"/>
    <cellStyle name="40% - Accent1 14 6 2" xfId="17348" xr:uid="{00000000-0005-0000-0000-0000362C0000}"/>
    <cellStyle name="40% - Accent1 14 6 2 2" xfId="41188" xr:uid="{D9496537-7B83-442E-B167-B6E654F89DBC}"/>
    <cellStyle name="40% - Accent1 14 6 3" xfId="25292" xr:uid="{00000000-0005-0000-0000-0000372C0000}"/>
    <cellStyle name="40% - Accent1 14 6 3 2" xfId="49124" xr:uid="{17DA15E6-34EA-4B9D-890A-C71497E553FA}"/>
    <cellStyle name="40% - Accent1 14 6 4" xfId="33247" xr:uid="{4FBBC5DA-564C-476B-854A-372463D4991E}"/>
    <cellStyle name="40% - Accent1 14 7" xfId="10286" xr:uid="{00000000-0005-0000-0000-0000382C0000}"/>
    <cellStyle name="40% - Accent1 14 7 2" xfId="34135" xr:uid="{BA5CD4A6-9EA1-4BCD-899A-6302D68B10F7}"/>
    <cellStyle name="40% - Accent1 14 8" xfId="18241" xr:uid="{00000000-0005-0000-0000-0000392C0000}"/>
    <cellStyle name="40% - Accent1 14 8 2" xfId="42073" xr:uid="{788D91CD-AFC6-4681-B061-343A004E162F}"/>
    <cellStyle name="40% - Accent1 14 9" xfId="26193" xr:uid="{696AB30C-DBB9-4897-9103-BF5B63304655}"/>
    <cellStyle name="40% - Accent1 14_Exh G" xfId="2710" xr:uid="{00000000-0005-0000-0000-00003A2C0000}"/>
    <cellStyle name="40% - Accent1 15" xfId="346" xr:uid="{00000000-0005-0000-0000-00003B2C0000}"/>
    <cellStyle name="40% - Accent1 15 2" xfId="1372" xr:uid="{00000000-0005-0000-0000-00003C2C0000}"/>
    <cellStyle name="40% - Accent1 15 2 2" xfId="4899" xr:uid="{00000000-0005-0000-0000-00003D2C0000}"/>
    <cellStyle name="40% - Accent1 15 2 2 2" xfId="8490" xr:uid="{00000000-0005-0000-0000-00003E2C0000}"/>
    <cellStyle name="40% - Accent1 15 2 2 2 2" xfId="16460" xr:uid="{00000000-0005-0000-0000-00003F2C0000}"/>
    <cellStyle name="40% - Accent1 15 2 2 2 2 2" xfId="40302" xr:uid="{2D8A777E-9204-4B5C-9CEE-97E8DBC00E55}"/>
    <cellStyle name="40% - Accent1 15 2 2 2 3" xfId="24406" xr:uid="{00000000-0005-0000-0000-0000402C0000}"/>
    <cellStyle name="40% - Accent1 15 2 2 2 3 2" xfId="48238" xr:uid="{D7DCE69E-499E-4CA5-A3BB-3ED77AF7CC31}"/>
    <cellStyle name="40% - Accent1 15 2 2 2 4" xfId="32361" xr:uid="{E7650D0D-C4F5-4DBB-8BC5-6AB257370FAD}"/>
    <cellStyle name="40% - Accent1 15 2 2 3" xfId="12922" xr:uid="{00000000-0005-0000-0000-0000412C0000}"/>
    <cellStyle name="40% - Accent1 15 2 2 3 2" xfId="36771" xr:uid="{84CF4A67-28F9-431C-AB3C-BE0CD608BF33}"/>
    <cellStyle name="40% - Accent1 15 2 2 4" xfId="20877" xr:uid="{00000000-0005-0000-0000-0000422C0000}"/>
    <cellStyle name="40% - Accent1 15 2 2 4 2" xfId="44709" xr:uid="{E4C3DDCA-8BBD-407E-BF22-B3AC09F62F18}"/>
    <cellStyle name="40% - Accent1 15 2 2 5" xfId="28830" xr:uid="{C52BA2CB-F2B9-467C-89B5-BCFC43953410}"/>
    <cellStyle name="40% - Accent1 15 2 3" xfId="6731" xr:uid="{00000000-0005-0000-0000-0000432C0000}"/>
    <cellStyle name="40% - Accent1 15 2 3 2" xfId="14702" xr:uid="{00000000-0005-0000-0000-0000442C0000}"/>
    <cellStyle name="40% - Accent1 15 2 3 2 2" xfId="38544" xr:uid="{78D1B055-808E-4DA5-99F8-A2C38C8FDCB2}"/>
    <cellStyle name="40% - Accent1 15 2 3 3" xfId="22649" xr:uid="{00000000-0005-0000-0000-0000452C0000}"/>
    <cellStyle name="40% - Accent1 15 2 3 3 2" xfId="46481" xr:uid="{E9F4219E-81F9-4707-8457-B245E3579ECE}"/>
    <cellStyle name="40% - Accent1 15 2 3 4" xfId="30603" xr:uid="{1D0D75DC-71D3-4D5A-A432-7250EB32E79E}"/>
    <cellStyle name="40% - Accent1 15 2 4" xfId="11166" xr:uid="{00000000-0005-0000-0000-0000462C0000}"/>
    <cellStyle name="40% - Accent1 15 2 4 2" xfId="35015" xr:uid="{C7A8B9BC-E9B4-43CB-B1CA-F66F65EFA689}"/>
    <cellStyle name="40% - Accent1 15 2 5" xfId="19121" xr:uid="{00000000-0005-0000-0000-0000472C0000}"/>
    <cellStyle name="40% - Accent1 15 2 5 2" xfId="42953" xr:uid="{D378FD8F-89A6-40A6-9899-278B1FC9935A}"/>
    <cellStyle name="40% - Accent1 15 2 6" xfId="27073" xr:uid="{56809605-6280-47BE-8549-17CACF5CF16A}"/>
    <cellStyle name="40% - Accent1 15 2_Exh G" xfId="2715" xr:uid="{00000000-0005-0000-0000-0000482C0000}"/>
    <cellStyle name="40% - Accent1 15 3" xfId="4020" xr:uid="{00000000-0005-0000-0000-0000492C0000}"/>
    <cellStyle name="40% - Accent1 15 3 2" xfId="7612" xr:uid="{00000000-0005-0000-0000-00004A2C0000}"/>
    <cellStyle name="40% - Accent1 15 3 2 2" xfId="15582" xr:uid="{00000000-0005-0000-0000-00004B2C0000}"/>
    <cellStyle name="40% - Accent1 15 3 2 2 2" xfId="39424" xr:uid="{16CAD086-41A9-4C27-8B95-114874055D5E}"/>
    <cellStyle name="40% - Accent1 15 3 2 3" xfId="23528" xr:uid="{00000000-0005-0000-0000-00004C2C0000}"/>
    <cellStyle name="40% - Accent1 15 3 2 3 2" xfId="47360" xr:uid="{0107536A-0690-4202-BFCB-9379610E04D7}"/>
    <cellStyle name="40% - Accent1 15 3 2 4" xfId="31483" xr:uid="{A3F455AE-CBDC-408C-A72B-053E0BB5DBBC}"/>
    <cellStyle name="40% - Accent1 15 3 3" xfId="12044" xr:uid="{00000000-0005-0000-0000-00004D2C0000}"/>
    <cellStyle name="40% - Accent1 15 3 3 2" xfId="35893" xr:uid="{262C24FD-BB2C-4C88-A74A-C5A1A6A4A6D3}"/>
    <cellStyle name="40% - Accent1 15 3 4" xfId="19999" xr:uid="{00000000-0005-0000-0000-00004E2C0000}"/>
    <cellStyle name="40% - Accent1 15 3 4 2" xfId="43831" xr:uid="{6F821D85-9449-420A-A8A9-64C90BB1A60F}"/>
    <cellStyle name="40% - Accent1 15 3 5" xfId="27952" xr:uid="{11BD0E81-6AE7-4154-947F-BE63E406033D}"/>
    <cellStyle name="40% - Accent1 15 4" xfId="5840" xr:uid="{00000000-0005-0000-0000-00004F2C0000}"/>
    <cellStyle name="40% - Accent1 15 4 2" xfId="13823" xr:uid="{00000000-0005-0000-0000-0000502C0000}"/>
    <cellStyle name="40% - Accent1 15 4 2 2" xfId="37666" xr:uid="{FF5750B6-D2B9-44AA-B3F4-4C7C19BCB453}"/>
    <cellStyle name="40% - Accent1 15 4 3" xfId="21771" xr:uid="{00000000-0005-0000-0000-0000512C0000}"/>
    <cellStyle name="40% - Accent1 15 4 3 2" xfId="45603" xr:uid="{29CF4D4B-F595-458D-A290-30F21567EBCA}"/>
    <cellStyle name="40% - Accent1 15 4 4" xfId="29725" xr:uid="{5AE558DE-1ABC-4090-905C-DEA91AABD99F}"/>
    <cellStyle name="40% - Accent1 15 5" xfId="9392" xr:uid="{00000000-0005-0000-0000-0000522C0000}"/>
    <cellStyle name="40% - Accent1 15 5 2" xfId="17350" xr:uid="{00000000-0005-0000-0000-0000532C0000}"/>
    <cellStyle name="40% - Accent1 15 5 2 2" xfId="41190" xr:uid="{37F492D2-8795-497B-935A-EE660BE3BDAC}"/>
    <cellStyle name="40% - Accent1 15 5 3" xfId="25294" xr:uid="{00000000-0005-0000-0000-0000542C0000}"/>
    <cellStyle name="40% - Accent1 15 5 3 2" xfId="49126" xr:uid="{FF7B33A9-B8F9-4F13-82A8-23F7CA0F7303}"/>
    <cellStyle name="40% - Accent1 15 5 4" xfId="33249" xr:uid="{9F02433F-DDE1-4FC3-8653-E23ECD7FFE52}"/>
    <cellStyle name="40% - Accent1 15 6" xfId="10288" xr:uid="{00000000-0005-0000-0000-0000552C0000}"/>
    <cellStyle name="40% - Accent1 15 6 2" xfId="34137" xr:uid="{191DAD3F-13FD-49AE-AFCA-04F11651161F}"/>
    <cellStyle name="40% - Accent1 15 7" xfId="18243" xr:uid="{00000000-0005-0000-0000-0000562C0000}"/>
    <cellStyle name="40% - Accent1 15 7 2" xfId="42075" xr:uid="{7BC7A201-E81E-436D-912E-B87F238F071D}"/>
    <cellStyle name="40% - Accent1 15 8" xfId="26195" xr:uid="{9B276D86-3300-44BA-A76E-CD41A95133E9}"/>
    <cellStyle name="40% - Accent1 15_Exh G" xfId="2714" xr:uid="{00000000-0005-0000-0000-0000572C0000}"/>
    <cellStyle name="40% - Accent1 16" xfId="846" xr:uid="{00000000-0005-0000-0000-0000582C0000}"/>
    <cellStyle name="40% - Accent1 16 2" xfId="1781" xr:uid="{00000000-0005-0000-0000-0000592C0000}"/>
    <cellStyle name="40% - Accent1 16 2 2" xfId="5301" xr:uid="{00000000-0005-0000-0000-00005A2C0000}"/>
    <cellStyle name="40% - Accent1 16 2 2 2" xfId="8892" xr:uid="{00000000-0005-0000-0000-00005B2C0000}"/>
    <cellStyle name="40% - Accent1 16 2 2 2 2" xfId="16862" xr:uid="{00000000-0005-0000-0000-00005C2C0000}"/>
    <cellStyle name="40% - Accent1 16 2 2 2 2 2" xfId="40704" xr:uid="{BDA3AD83-B70F-4F43-BB89-1BB6A0A24151}"/>
    <cellStyle name="40% - Accent1 16 2 2 2 3" xfId="24808" xr:uid="{00000000-0005-0000-0000-00005D2C0000}"/>
    <cellStyle name="40% - Accent1 16 2 2 2 3 2" xfId="48640" xr:uid="{D68596D9-1B98-4744-9277-D7CDF3A420C6}"/>
    <cellStyle name="40% - Accent1 16 2 2 2 4" xfId="32763" xr:uid="{2B22B5F0-F5B7-46BD-A6B6-3B658CACA9D0}"/>
    <cellStyle name="40% - Accent1 16 2 2 3" xfId="13324" xr:uid="{00000000-0005-0000-0000-00005E2C0000}"/>
    <cellStyle name="40% - Accent1 16 2 2 3 2" xfId="37173" xr:uid="{ED6E0A12-2EE4-4917-8F91-675EAA2FD57F}"/>
    <cellStyle name="40% - Accent1 16 2 2 4" xfId="21279" xr:uid="{00000000-0005-0000-0000-00005F2C0000}"/>
    <cellStyle name="40% - Accent1 16 2 2 4 2" xfId="45111" xr:uid="{3CAF8FA1-45D9-4E8B-AA97-2554821E23BC}"/>
    <cellStyle name="40% - Accent1 16 2 2 5" xfId="29232" xr:uid="{9138E89D-4FA7-4F62-B2E0-A2158E565352}"/>
    <cellStyle name="40% - Accent1 16 2 3" xfId="7133" xr:uid="{00000000-0005-0000-0000-0000602C0000}"/>
    <cellStyle name="40% - Accent1 16 2 3 2" xfId="15104" xr:uid="{00000000-0005-0000-0000-0000612C0000}"/>
    <cellStyle name="40% - Accent1 16 2 3 2 2" xfId="38946" xr:uid="{181B0488-8C22-4C5F-B165-3748A9164E1D}"/>
    <cellStyle name="40% - Accent1 16 2 3 3" xfId="23051" xr:uid="{00000000-0005-0000-0000-0000622C0000}"/>
    <cellStyle name="40% - Accent1 16 2 3 3 2" xfId="46883" xr:uid="{2BAF3631-2A74-4826-B483-2969F52B9540}"/>
    <cellStyle name="40% - Accent1 16 2 3 4" xfId="31005" xr:uid="{388DD64B-C506-43F4-85D1-86F3A8E53484}"/>
    <cellStyle name="40% - Accent1 16 2 4" xfId="11568" xr:uid="{00000000-0005-0000-0000-0000632C0000}"/>
    <cellStyle name="40% - Accent1 16 2 4 2" xfId="35417" xr:uid="{1516234B-CB44-4BEF-9AA4-5BC6755DCC13}"/>
    <cellStyle name="40% - Accent1 16 2 5" xfId="19523" xr:uid="{00000000-0005-0000-0000-0000642C0000}"/>
    <cellStyle name="40% - Accent1 16 2 5 2" xfId="43355" xr:uid="{BAFD9109-A23A-4D63-AACD-437CDDFE50BF}"/>
    <cellStyle name="40% - Accent1 16 2 6" xfId="27475" xr:uid="{14DF08FB-BEFB-48C4-A424-F6CC309BB486}"/>
    <cellStyle name="40% - Accent1 16 2_Exh G" xfId="2717" xr:uid="{00000000-0005-0000-0000-0000652C0000}"/>
    <cellStyle name="40% - Accent1 16 3" xfId="4422" xr:uid="{00000000-0005-0000-0000-0000662C0000}"/>
    <cellStyle name="40% - Accent1 16 3 2" xfId="8014" xr:uid="{00000000-0005-0000-0000-0000672C0000}"/>
    <cellStyle name="40% - Accent1 16 3 2 2" xfId="15984" xr:uid="{00000000-0005-0000-0000-0000682C0000}"/>
    <cellStyle name="40% - Accent1 16 3 2 2 2" xfId="39826" xr:uid="{76F9FDC3-428D-4505-BA8A-F1BCA474EFD4}"/>
    <cellStyle name="40% - Accent1 16 3 2 3" xfId="23930" xr:uid="{00000000-0005-0000-0000-0000692C0000}"/>
    <cellStyle name="40% - Accent1 16 3 2 3 2" xfId="47762" xr:uid="{E1946B75-2B22-4B79-920D-701672505D72}"/>
    <cellStyle name="40% - Accent1 16 3 2 4" xfId="31885" xr:uid="{15735860-4B34-4A1C-95BD-78F126C5BD71}"/>
    <cellStyle name="40% - Accent1 16 3 3" xfId="12446" xr:uid="{00000000-0005-0000-0000-00006A2C0000}"/>
    <cellStyle name="40% - Accent1 16 3 3 2" xfId="36295" xr:uid="{FE58CD97-308E-4379-94C1-C0811BABB086}"/>
    <cellStyle name="40% - Accent1 16 3 4" xfId="20401" xr:uid="{00000000-0005-0000-0000-00006B2C0000}"/>
    <cellStyle name="40% - Accent1 16 3 4 2" xfId="44233" xr:uid="{760FE7AF-AA9C-4E2D-9C63-76E31CF739A8}"/>
    <cellStyle name="40% - Accent1 16 3 5" xfId="28354" xr:uid="{6303C5F3-14B1-428A-92FA-66B630D9E254}"/>
    <cellStyle name="40% - Accent1 16 4" xfId="6252" xr:uid="{00000000-0005-0000-0000-00006C2C0000}"/>
    <cellStyle name="40% - Accent1 16 4 2" xfId="14226" xr:uid="{00000000-0005-0000-0000-00006D2C0000}"/>
    <cellStyle name="40% - Accent1 16 4 2 2" xfId="38068" xr:uid="{F31DF934-7BD8-4DC4-954B-36A90F6D3F59}"/>
    <cellStyle name="40% - Accent1 16 4 3" xfId="22173" xr:uid="{00000000-0005-0000-0000-00006E2C0000}"/>
    <cellStyle name="40% - Accent1 16 4 3 2" xfId="46005" xr:uid="{19D5F308-2A65-45D2-BA27-92CABBAB9782}"/>
    <cellStyle name="40% - Accent1 16 4 4" xfId="30127" xr:uid="{C1EE49B1-FDDD-4588-B10D-CD409EA67CA5}"/>
    <cellStyle name="40% - Accent1 16 5" xfId="9794" xr:uid="{00000000-0005-0000-0000-00006F2C0000}"/>
    <cellStyle name="40% - Accent1 16 5 2" xfId="17752" xr:uid="{00000000-0005-0000-0000-0000702C0000}"/>
    <cellStyle name="40% - Accent1 16 5 2 2" xfId="41592" xr:uid="{D9B9C7A5-9966-4013-9091-F9A790769131}"/>
    <cellStyle name="40% - Accent1 16 5 3" xfId="25696" xr:uid="{00000000-0005-0000-0000-0000712C0000}"/>
    <cellStyle name="40% - Accent1 16 5 3 2" xfId="49528" xr:uid="{56CDD400-1462-4761-8A98-5A30DD595B0F}"/>
    <cellStyle name="40% - Accent1 16 5 4" xfId="33651" xr:uid="{C2040136-54C9-4348-B630-747902CA282D}"/>
    <cellStyle name="40% - Accent1 16 6" xfId="10690" xr:uid="{00000000-0005-0000-0000-0000722C0000}"/>
    <cellStyle name="40% - Accent1 16 6 2" xfId="34539" xr:uid="{9395CB6F-39AF-46E2-A8AC-64EE253BF0F3}"/>
    <cellStyle name="40% - Accent1 16 7" xfId="18645" xr:uid="{00000000-0005-0000-0000-0000732C0000}"/>
    <cellStyle name="40% - Accent1 16 7 2" xfId="42477" xr:uid="{BB338D1B-8588-4F78-B6FF-18B520B13581}"/>
    <cellStyle name="40% - Accent1 16 8" xfId="26597" xr:uid="{93757296-1B7D-4A97-BBCA-7BF3E233B89E}"/>
    <cellStyle name="40% - Accent1 16_Exh G" xfId="2716" xr:uid="{00000000-0005-0000-0000-0000742C0000}"/>
    <cellStyle name="40% - Accent1 17" xfId="49784" xr:uid="{F62B029B-2D75-4EA3-A495-2FD429FA3D0B}"/>
    <cellStyle name="40% - Accent1 18" xfId="49824" xr:uid="{8753501D-D411-4F07-854B-A9B0F447B2DA}"/>
    <cellStyle name="40% - Accent1 2" xfId="347" xr:uid="{00000000-0005-0000-0000-0000752C0000}"/>
    <cellStyle name="40% - Accent1 2 10" xfId="18244" xr:uid="{00000000-0005-0000-0000-0000762C0000}"/>
    <cellStyle name="40% - Accent1 2 10 2" xfId="42076" xr:uid="{977A785D-7E1A-4420-9A37-56574E0845A5}"/>
    <cellStyle name="40% - Accent1 2 11" xfId="26196" xr:uid="{0E1EBE02-0BD4-41C5-B0C1-36196ED8AC60}"/>
    <cellStyle name="40% - Accent1 2 12" xfId="49769" xr:uid="{66CA3E8F-B26B-4EC7-BF6A-1F1190FF6009}"/>
    <cellStyle name="40% - Accent1 2 13" xfId="49797" xr:uid="{A53EC18E-CC7F-4DF8-8627-8B66CCBC3A52}"/>
    <cellStyle name="40% - Accent1 2 14" xfId="49838" xr:uid="{FBE15D05-F5DA-48A6-B9AE-8D6635C79801}"/>
    <cellStyle name="40% - Accent1 2 2" xfId="348" xr:uid="{00000000-0005-0000-0000-0000772C0000}"/>
    <cellStyle name="40% - Accent1 2 2 10" xfId="26197" xr:uid="{0A10AB0A-3A14-4FC4-83C6-3BF3A9CBA005}"/>
    <cellStyle name="40% - Accent1 2 2 2" xfId="349" xr:uid="{00000000-0005-0000-0000-0000782C0000}"/>
    <cellStyle name="40% - Accent1 2 2 2 2" xfId="1375" xr:uid="{00000000-0005-0000-0000-0000792C0000}"/>
    <cellStyle name="40% - Accent1 2 2 2 2 2" xfId="4902" xr:uid="{00000000-0005-0000-0000-00007A2C0000}"/>
    <cellStyle name="40% - Accent1 2 2 2 2 2 2" xfId="8493" xr:uid="{00000000-0005-0000-0000-00007B2C0000}"/>
    <cellStyle name="40% - Accent1 2 2 2 2 2 2 2" xfId="16463" xr:uid="{00000000-0005-0000-0000-00007C2C0000}"/>
    <cellStyle name="40% - Accent1 2 2 2 2 2 2 2 2" xfId="40305" xr:uid="{73DC8F9D-43EE-4863-B051-0CD679B2D440}"/>
    <cellStyle name="40% - Accent1 2 2 2 2 2 2 3" xfId="24409" xr:uid="{00000000-0005-0000-0000-00007D2C0000}"/>
    <cellStyle name="40% - Accent1 2 2 2 2 2 2 3 2" xfId="48241" xr:uid="{609B6C0F-02F6-4743-AA7A-643F5BCF5D55}"/>
    <cellStyle name="40% - Accent1 2 2 2 2 2 2 4" xfId="32364" xr:uid="{8B5E97B2-B179-4158-9D78-3E1363963983}"/>
    <cellStyle name="40% - Accent1 2 2 2 2 2 3" xfId="12925" xr:uid="{00000000-0005-0000-0000-00007E2C0000}"/>
    <cellStyle name="40% - Accent1 2 2 2 2 2 3 2" xfId="36774" xr:uid="{F7394FB2-AA0B-4B82-A871-0023C5885FCC}"/>
    <cellStyle name="40% - Accent1 2 2 2 2 2 4" xfId="20880" xr:uid="{00000000-0005-0000-0000-00007F2C0000}"/>
    <cellStyle name="40% - Accent1 2 2 2 2 2 4 2" xfId="44712" xr:uid="{A0985960-0589-4939-B507-8553835F61E3}"/>
    <cellStyle name="40% - Accent1 2 2 2 2 2 5" xfId="28833" xr:uid="{CF61C1C8-1BCB-4097-B56D-AD73ACA5BCFE}"/>
    <cellStyle name="40% - Accent1 2 2 2 2 3" xfId="6734" xr:uid="{00000000-0005-0000-0000-0000802C0000}"/>
    <cellStyle name="40% - Accent1 2 2 2 2 3 2" xfId="14705" xr:uid="{00000000-0005-0000-0000-0000812C0000}"/>
    <cellStyle name="40% - Accent1 2 2 2 2 3 2 2" xfId="38547" xr:uid="{AAF99EFC-14A8-4DE7-ABBC-F93ACCBCFA84}"/>
    <cellStyle name="40% - Accent1 2 2 2 2 3 3" xfId="22652" xr:uid="{00000000-0005-0000-0000-0000822C0000}"/>
    <cellStyle name="40% - Accent1 2 2 2 2 3 3 2" xfId="46484" xr:uid="{5E6F2646-8CD3-403D-8B1A-CD018AC21D5E}"/>
    <cellStyle name="40% - Accent1 2 2 2 2 3 4" xfId="30606" xr:uid="{1C032694-F522-4434-B4B2-324AFA85D45E}"/>
    <cellStyle name="40% - Accent1 2 2 2 2 4" xfId="11169" xr:uid="{00000000-0005-0000-0000-0000832C0000}"/>
    <cellStyle name="40% - Accent1 2 2 2 2 4 2" xfId="35018" xr:uid="{49E3AEDE-4255-491A-9067-99ADFEAFE7F8}"/>
    <cellStyle name="40% - Accent1 2 2 2 2 5" xfId="19124" xr:uid="{00000000-0005-0000-0000-0000842C0000}"/>
    <cellStyle name="40% - Accent1 2 2 2 2 5 2" xfId="42956" xr:uid="{8BE7E400-0611-48E1-9A90-2C00DDD011B8}"/>
    <cellStyle name="40% - Accent1 2 2 2 2 6" xfId="27076" xr:uid="{0284CE80-A8FA-4E16-A180-09D811D1205F}"/>
    <cellStyle name="40% - Accent1 2 2 2 2_Exh G" xfId="2721" xr:uid="{00000000-0005-0000-0000-0000852C0000}"/>
    <cellStyle name="40% - Accent1 2 2 2 3" xfId="4023" xr:uid="{00000000-0005-0000-0000-0000862C0000}"/>
    <cellStyle name="40% - Accent1 2 2 2 3 2" xfId="7615" xr:uid="{00000000-0005-0000-0000-0000872C0000}"/>
    <cellStyle name="40% - Accent1 2 2 2 3 2 2" xfId="15585" xr:uid="{00000000-0005-0000-0000-0000882C0000}"/>
    <cellStyle name="40% - Accent1 2 2 2 3 2 2 2" xfId="39427" xr:uid="{63C7BDBC-46D0-407A-B61B-A7E814CCBCA3}"/>
    <cellStyle name="40% - Accent1 2 2 2 3 2 3" xfId="23531" xr:uid="{00000000-0005-0000-0000-0000892C0000}"/>
    <cellStyle name="40% - Accent1 2 2 2 3 2 3 2" xfId="47363" xr:uid="{53AF6A8B-B18D-4434-B212-DDBEF374AC58}"/>
    <cellStyle name="40% - Accent1 2 2 2 3 2 4" xfId="31486" xr:uid="{68318727-33F9-4661-B6B7-BADC011E2A68}"/>
    <cellStyle name="40% - Accent1 2 2 2 3 3" xfId="12047" xr:uid="{00000000-0005-0000-0000-00008A2C0000}"/>
    <cellStyle name="40% - Accent1 2 2 2 3 3 2" xfId="35896" xr:uid="{7CFA1C96-52D3-4505-AD09-E07230AC468C}"/>
    <cellStyle name="40% - Accent1 2 2 2 3 4" xfId="20002" xr:uid="{00000000-0005-0000-0000-00008B2C0000}"/>
    <cellStyle name="40% - Accent1 2 2 2 3 4 2" xfId="43834" xr:uid="{3338609B-1654-4BAF-A6E0-20B51748507D}"/>
    <cellStyle name="40% - Accent1 2 2 2 3 5" xfId="27955" xr:uid="{0F2E3E79-1D71-42E7-9E49-523AD37003C4}"/>
    <cellStyle name="40% - Accent1 2 2 2 4" xfId="5843" xr:uid="{00000000-0005-0000-0000-00008C2C0000}"/>
    <cellStyle name="40% - Accent1 2 2 2 4 2" xfId="13826" xr:uid="{00000000-0005-0000-0000-00008D2C0000}"/>
    <cellStyle name="40% - Accent1 2 2 2 4 2 2" xfId="37669" xr:uid="{AD0FD8DA-3AE1-455F-A46E-63C117E428B4}"/>
    <cellStyle name="40% - Accent1 2 2 2 4 3" xfId="21774" xr:uid="{00000000-0005-0000-0000-00008E2C0000}"/>
    <cellStyle name="40% - Accent1 2 2 2 4 3 2" xfId="45606" xr:uid="{DBE5E248-B6FD-434F-ABB6-A01EA7C3086D}"/>
    <cellStyle name="40% - Accent1 2 2 2 4 4" xfId="29728" xr:uid="{FBD27365-D8AF-49B7-B61F-B5FB92D90EB4}"/>
    <cellStyle name="40% - Accent1 2 2 2 5" xfId="9395" xr:uid="{00000000-0005-0000-0000-00008F2C0000}"/>
    <cellStyle name="40% - Accent1 2 2 2 5 2" xfId="17353" xr:uid="{00000000-0005-0000-0000-0000902C0000}"/>
    <cellStyle name="40% - Accent1 2 2 2 5 2 2" xfId="41193" xr:uid="{5808E865-6DCF-4CBF-BBBF-9A4A7C639EB5}"/>
    <cellStyle name="40% - Accent1 2 2 2 5 3" xfId="25297" xr:uid="{00000000-0005-0000-0000-0000912C0000}"/>
    <cellStyle name="40% - Accent1 2 2 2 5 3 2" xfId="49129" xr:uid="{8E081AEC-D255-4910-A767-711ED9356DFB}"/>
    <cellStyle name="40% - Accent1 2 2 2 5 4" xfId="33252" xr:uid="{6C23E0DD-0A23-4878-8C45-9A1602483715}"/>
    <cellStyle name="40% - Accent1 2 2 2 6" xfId="10291" xr:uid="{00000000-0005-0000-0000-0000922C0000}"/>
    <cellStyle name="40% - Accent1 2 2 2 6 2" xfId="34140" xr:uid="{5328FD38-4A62-410B-B220-54DD361D75D9}"/>
    <cellStyle name="40% - Accent1 2 2 2 7" xfId="18246" xr:uid="{00000000-0005-0000-0000-0000932C0000}"/>
    <cellStyle name="40% - Accent1 2 2 2 7 2" xfId="42078" xr:uid="{E179B083-87FE-4891-A60C-AC96395D2EE1}"/>
    <cellStyle name="40% - Accent1 2 2 2 8" xfId="26198" xr:uid="{9E723558-6757-4FF8-B654-84DBFDCA30CE}"/>
    <cellStyle name="40% - Accent1 2 2 2_Exh G" xfId="2720" xr:uid="{00000000-0005-0000-0000-0000942C0000}"/>
    <cellStyle name="40% - Accent1 2 2 3" xfId="933" xr:uid="{00000000-0005-0000-0000-0000952C0000}"/>
    <cellStyle name="40% - Accent1 2 2 3 2" xfId="1853" xr:uid="{00000000-0005-0000-0000-0000962C0000}"/>
    <cellStyle name="40% - Accent1 2 2 3 2 2" xfId="5370" xr:uid="{00000000-0005-0000-0000-0000972C0000}"/>
    <cellStyle name="40% - Accent1 2 2 3 2 2 2" xfId="8961" xr:uid="{00000000-0005-0000-0000-0000982C0000}"/>
    <cellStyle name="40% - Accent1 2 2 3 2 2 2 2" xfId="16931" xr:uid="{00000000-0005-0000-0000-0000992C0000}"/>
    <cellStyle name="40% - Accent1 2 2 3 2 2 2 2 2" xfId="40773" xr:uid="{15C69D2B-78AC-4D23-9AFE-D513B91983FF}"/>
    <cellStyle name="40% - Accent1 2 2 3 2 2 2 3" xfId="24877" xr:uid="{00000000-0005-0000-0000-00009A2C0000}"/>
    <cellStyle name="40% - Accent1 2 2 3 2 2 2 3 2" xfId="48709" xr:uid="{039F0B0F-E2BE-40E9-9BAF-AB42684D6112}"/>
    <cellStyle name="40% - Accent1 2 2 3 2 2 2 4" xfId="32832" xr:uid="{67425376-C95E-4A34-9B27-469F4166CB15}"/>
    <cellStyle name="40% - Accent1 2 2 3 2 2 3" xfId="13393" xr:uid="{00000000-0005-0000-0000-00009B2C0000}"/>
    <cellStyle name="40% - Accent1 2 2 3 2 2 3 2" xfId="37242" xr:uid="{F9F5C719-745E-40ED-A4A7-64CEBAB09DC7}"/>
    <cellStyle name="40% - Accent1 2 2 3 2 2 4" xfId="21348" xr:uid="{00000000-0005-0000-0000-00009C2C0000}"/>
    <cellStyle name="40% - Accent1 2 2 3 2 2 4 2" xfId="45180" xr:uid="{46FA57D9-2B93-462E-A69D-31C84F014876}"/>
    <cellStyle name="40% - Accent1 2 2 3 2 2 5" xfId="29301" xr:uid="{0C9F0C35-1A91-451F-A549-B0D5D4F136EB}"/>
    <cellStyle name="40% - Accent1 2 2 3 2 3" xfId="7202" xr:uid="{00000000-0005-0000-0000-00009D2C0000}"/>
    <cellStyle name="40% - Accent1 2 2 3 2 3 2" xfId="15173" xr:uid="{00000000-0005-0000-0000-00009E2C0000}"/>
    <cellStyle name="40% - Accent1 2 2 3 2 3 2 2" xfId="39015" xr:uid="{2CE79B7C-77F6-4E2F-97DB-1663DD9A9990}"/>
    <cellStyle name="40% - Accent1 2 2 3 2 3 3" xfId="23120" xr:uid="{00000000-0005-0000-0000-00009F2C0000}"/>
    <cellStyle name="40% - Accent1 2 2 3 2 3 3 2" xfId="46952" xr:uid="{65298026-349D-48DA-AEA8-011FC29016DF}"/>
    <cellStyle name="40% - Accent1 2 2 3 2 3 4" xfId="31074" xr:uid="{9456E5B2-9A4B-4592-B99D-3DBC11622587}"/>
    <cellStyle name="40% - Accent1 2 2 3 2 4" xfId="11637" xr:uid="{00000000-0005-0000-0000-0000A02C0000}"/>
    <cellStyle name="40% - Accent1 2 2 3 2 4 2" xfId="35486" xr:uid="{6E55C69F-1634-47D5-A24B-E41922C1D6F5}"/>
    <cellStyle name="40% - Accent1 2 2 3 2 5" xfId="19592" xr:uid="{00000000-0005-0000-0000-0000A12C0000}"/>
    <cellStyle name="40% - Accent1 2 2 3 2 5 2" xfId="43424" xr:uid="{F00EB269-7251-4A18-81D5-17378E74F437}"/>
    <cellStyle name="40% - Accent1 2 2 3 2 6" xfId="27544" xr:uid="{C197DF5A-1D7D-44B7-BEC8-EB47401EBD3D}"/>
    <cellStyle name="40% - Accent1 2 2 3 2_Exh G" xfId="2723" xr:uid="{00000000-0005-0000-0000-0000A22C0000}"/>
    <cellStyle name="40% - Accent1 2 2 3 3" xfId="4491" xr:uid="{00000000-0005-0000-0000-0000A32C0000}"/>
    <cellStyle name="40% - Accent1 2 2 3 3 2" xfId="8083" xr:uid="{00000000-0005-0000-0000-0000A42C0000}"/>
    <cellStyle name="40% - Accent1 2 2 3 3 2 2" xfId="16053" xr:uid="{00000000-0005-0000-0000-0000A52C0000}"/>
    <cellStyle name="40% - Accent1 2 2 3 3 2 2 2" xfId="39895" xr:uid="{6F0D5655-87EA-449E-9115-3F4C00493823}"/>
    <cellStyle name="40% - Accent1 2 2 3 3 2 3" xfId="23999" xr:uid="{00000000-0005-0000-0000-0000A62C0000}"/>
    <cellStyle name="40% - Accent1 2 2 3 3 2 3 2" xfId="47831" xr:uid="{E0A2C749-1B1B-4252-AAE2-DA90B9039D17}"/>
    <cellStyle name="40% - Accent1 2 2 3 3 2 4" xfId="31954" xr:uid="{43A50C59-F4CB-43A7-809D-5C402294D968}"/>
    <cellStyle name="40% - Accent1 2 2 3 3 3" xfId="12515" xr:uid="{00000000-0005-0000-0000-0000A72C0000}"/>
    <cellStyle name="40% - Accent1 2 2 3 3 3 2" xfId="36364" xr:uid="{2A39C872-F05C-46AA-A8D8-A265A81235ED}"/>
    <cellStyle name="40% - Accent1 2 2 3 3 4" xfId="20470" xr:uid="{00000000-0005-0000-0000-0000A82C0000}"/>
    <cellStyle name="40% - Accent1 2 2 3 3 4 2" xfId="44302" xr:uid="{C028AA8E-DDF4-4E8C-940B-B908D79D6B13}"/>
    <cellStyle name="40% - Accent1 2 2 3 3 5" xfId="28423" xr:uid="{D1E05FD3-AF8C-456D-8346-01B1A083F685}"/>
    <cellStyle name="40% - Accent1 2 2 3 4" xfId="6321" xr:uid="{00000000-0005-0000-0000-0000A92C0000}"/>
    <cellStyle name="40% - Accent1 2 2 3 4 2" xfId="14295" xr:uid="{00000000-0005-0000-0000-0000AA2C0000}"/>
    <cellStyle name="40% - Accent1 2 2 3 4 2 2" xfId="38137" xr:uid="{E4D871E8-3A49-42DF-A92C-F8F0CD564831}"/>
    <cellStyle name="40% - Accent1 2 2 3 4 3" xfId="22242" xr:uid="{00000000-0005-0000-0000-0000AB2C0000}"/>
    <cellStyle name="40% - Accent1 2 2 3 4 3 2" xfId="46074" xr:uid="{C777410C-E9B4-4C84-ACBB-D1B4FCB3A4E0}"/>
    <cellStyle name="40% - Accent1 2 2 3 4 4" xfId="30196" xr:uid="{382517D4-B22A-45E1-9774-EC414D2E6E5D}"/>
    <cellStyle name="40% - Accent1 2 2 3 5" xfId="9863" xr:uid="{00000000-0005-0000-0000-0000AC2C0000}"/>
    <cellStyle name="40% - Accent1 2 2 3 5 2" xfId="17821" xr:uid="{00000000-0005-0000-0000-0000AD2C0000}"/>
    <cellStyle name="40% - Accent1 2 2 3 5 2 2" xfId="41661" xr:uid="{28AC4830-8C47-4D15-9C1D-70EC0C88731D}"/>
    <cellStyle name="40% - Accent1 2 2 3 5 3" xfId="25765" xr:uid="{00000000-0005-0000-0000-0000AE2C0000}"/>
    <cellStyle name="40% - Accent1 2 2 3 5 3 2" xfId="49597" xr:uid="{B533BB4B-67B5-44E3-84CD-5B4CC7AD6376}"/>
    <cellStyle name="40% - Accent1 2 2 3 5 4" xfId="33720" xr:uid="{3AD98191-B249-4C17-A562-2582C03686EA}"/>
    <cellStyle name="40% - Accent1 2 2 3 6" xfId="10759" xr:uid="{00000000-0005-0000-0000-0000AF2C0000}"/>
    <cellStyle name="40% - Accent1 2 2 3 6 2" xfId="34608" xr:uid="{C67CF8C9-8D3C-4B92-B7F0-D2D9C2AD45E9}"/>
    <cellStyle name="40% - Accent1 2 2 3 7" xfId="18714" xr:uid="{00000000-0005-0000-0000-0000B02C0000}"/>
    <cellStyle name="40% - Accent1 2 2 3 7 2" xfId="42546" xr:uid="{E75C1605-18EF-421B-A0A8-1FFB7140EF72}"/>
    <cellStyle name="40% - Accent1 2 2 3 8" xfId="26666" xr:uid="{614F831D-5383-4317-AAA9-049DD108E6CC}"/>
    <cellStyle name="40% - Accent1 2 2 3_Exh G" xfId="2722" xr:uid="{00000000-0005-0000-0000-0000B12C0000}"/>
    <cellStyle name="40% - Accent1 2 2 4" xfId="1374" xr:uid="{00000000-0005-0000-0000-0000B22C0000}"/>
    <cellStyle name="40% - Accent1 2 2 4 2" xfId="4901" xr:uid="{00000000-0005-0000-0000-0000B32C0000}"/>
    <cellStyle name="40% - Accent1 2 2 4 2 2" xfId="8492" xr:uid="{00000000-0005-0000-0000-0000B42C0000}"/>
    <cellStyle name="40% - Accent1 2 2 4 2 2 2" xfId="16462" xr:uid="{00000000-0005-0000-0000-0000B52C0000}"/>
    <cellStyle name="40% - Accent1 2 2 4 2 2 2 2" xfId="40304" xr:uid="{4BF54455-5F3E-4760-ACDD-D25CA2B1CB13}"/>
    <cellStyle name="40% - Accent1 2 2 4 2 2 3" xfId="24408" xr:uid="{00000000-0005-0000-0000-0000B62C0000}"/>
    <cellStyle name="40% - Accent1 2 2 4 2 2 3 2" xfId="48240" xr:uid="{77949361-AA27-4F0D-9790-BBA17FFE3984}"/>
    <cellStyle name="40% - Accent1 2 2 4 2 2 4" xfId="32363" xr:uid="{CA307BA6-4D4E-4665-95B2-01B448330ADB}"/>
    <cellStyle name="40% - Accent1 2 2 4 2 3" xfId="12924" xr:uid="{00000000-0005-0000-0000-0000B72C0000}"/>
    <cellStyle name="40% - Accent1 2 2 4 2 3 2" xfId="36773" xr:uid="{423081FC-47A4-4FCF-8133-B2F3750EADCE}"/>
    <cellStyle name="40% - Accent1 2 2 4 2 4" xfId="20879" xr:uid="{00000000-0005-0000-0000-0000B82C0000}"/>
    <cellStyle name="40% - Accent1 2 2 4 2 4 2" xfId="44711" xr:uid="{344BC026-D3DB-456A-B2F3-91528EC4752B}"/>
    <cellStyle name="40% - Accent1 2 2 4 2 5" xfId="28832" xr:uid="{2224D63E-658F-4169-A496-9FD4772157B8}"/>
    <cellStyle name="40% - Accent1 2 2 4 3" xfId="6733" xr:uid="{00000000-0005-0000-0000-0000B92C0000}"/>
    <cellStyle name="40% - Accent1 2 2 4 3 2" xfId="14704" xr:uid="{00000000-0005-0000-0000-0000BA2C0000}"/>
    <cellStyle name="40% - Accent1 2 2 4 3 2 2" xfId="38546" xr:uid="{EF2EFAF5-5EC9-4B8E-8DBE-54EB2FA7E59E}"/>
    <cellStyle name="40% - Accent1 2 2 4 3 3" xfId="22651" xr:uid="{00000000-0005-0000-0000-0000BB2C0000}"/>
    <cellStyle name="40% - Accent1 2 2 4 3 3 2" xfId="46483" xr:uid="{DB4BEFE8-9081-476B-A8FF-33A4553A914A}"/>
    <cellStyle name="40% - Accent1 2 2 4 3 4" xfId="30605" xr:uid="{45F5C74C-6060-4E53-8A3E-89260327CF62}"/>
    <cellStyle name="40% - Accent1 2 2 4 4" xfId="11168" xr:uid="{00000000-0005-0000-0000-0000BC2C0000}"/>
    <cellStyle name="40% - Accent1 2 2 4 4 2" xfId="35017" xr:uid="{DF9DAB48-CBE0-4BE5-BE75-3D1FAC954F6B}"/>
    <cellStyle name="40% - Accent1 2 2 4 5" xfId="19123" xr:uid="{00000000-0005-0000-0000-0000BD2C0000}"/>
    <cellStyle name="40% - Accent1 2 2 4 5 2" xfId="42955" xr:uid="{4953AAE8-A257-4F1D-890C-A79BC3CDD497}"/>
    <cellStyle name="40% - Accent1 2 2 4 6" xfId="27075" xr:uid="{D95B14F9-C74F-4058-B498-3CD9CE7A76AF}"/>
    <cellStyle name="40% - Accent1 2 2 4_Exh G" xfId="2724" xr:uid="{00000000-0005-0000-0000-0000BE2C0000}"/>
    <cellStyle name="40% - Accent1 2 2 5" xfId="4022" xr:uid="{00000000-0005-0000-0000-0000BF2C0000}"/>
    <cellStyle name="40% - Accent1 2 2 5 2" xfId="7614" xr:uid="{00000000-0005-0000-0000-0000C02C0000}"/>
    <cellStyle name="40% - Accent1 2 2 5 2 2" xfId="15584" xr:uid="{00000000-0005-0000-0000-0000C12C0000}"/>
    <cellStyle name="40% - Accent1 2 2 5 2 2 2" xfId="39426" xr:uid="{A164E0E7-4003-4900-8CB6-CB21B869BA53}"/>
    <cellStyle name="40% - Accent1 2 2 5 2 3" xfId="23530" xr:uid="{00000000-0005-0000-0000-0000C22C0000}"/>
    <cellStyle name="40% - Accent1 2 2 5 2 3 2" xfId="47362" xr:uid="{BA5A37CD-B9FB-4506-AF7D-3235E0EA5FE2}"/>
    <cellStyle name="40% - Accent1 2 2 5 2 4" xfId="31485" xr:uid="{645AE1CC-A63F-411C-8C54-889B58992848}"/>
    <cellStyle name="40% - Accent1 2 2 5 3" xfId="12046" xr:uid="{00000000-0005-0000-0000-0000C32C0000}"/>
    <cellStyle name="40% - Accent1 2 2 5 3 2" xfId="35895" xr:uid="{731929CF-9A2A-4609-B3E7-E112E7F4DCD6}"/>
    <cellStyle name="40% - Accent1 2 2 5 4" xfId="20001" xr:uid="{00000000-0005-0000-0000-0000C42C0000}"/>
    <cellStyle name="40% - Accent1 2 2 5 4 2" xfId="43833" xr:uid="{100E1568-8F7A-419C-B258-AA345BACB3EF}"/>
    <cellStyle name="40% - Accent1 2 2 5 5" xfId="27954" xr:uid="{31DED3D8-1D5E-4ADE-9557-DAC1F73F99C5}"/>
    <cellStyle name="40% - Accent1 2 2 6" xfId="5842" xr:uid="{00000000-0005-0000-0000-0000C52C0000}"/>
    <cellStyle name="40% - Accent1 2 2 6 2" xfId="13825" xr:uid="{00000000-0005-0000-0000-0000C62C0000}"/>
    <cellStyle name="40% - Accent1 2 2 6 2 2" xfId="37668" xr:uid="{C7C4BC27-C8E9-43DA-BB16-304E8D8F67D9}"/>
    <cellStyle name="40% - Accent1 2 2 6 3" xfId="21773" xr:uid="{00000000-0005-0000-0000-0000C72C0000}"/>
    <cellStyle name="40% - Accent1 2 2 6 3 2" xfId="45605" xr:uid="{3564730E-FBA5-4024-9BCA-A4D6BAFF5700}"/>
    <cellStyle name="40% - Accent1 2 2 6 4" xfId="29727" xr:uid="{7D639023-78C7-464C-B327-0702B8E195E5}"/>
    <cellStyle name="40% - Accent1 2 2 7" xfId="9394" xr:uid="{00000000-0005-0000-0000-0000C82C0000}"/>
    <cellStyle name="40% - Accent1 2 2 7 2" xfId="17352" xr:uid="{00000000-0005-0000-0000-0000C92C0000}"/>
    <cellStyle name="40% - Accent1 2 2 7 2 2" xfId="41192" xr:uid="{F071217C-9C56-41E6-9C04-32EE34787C3B}"/>
    <cellStyle name="40% - Accent1 2 2 7 3" xfId="25296" xr:uid="{00000000-0005-0000-0000-0000CA2C0000}"/>
    <cellStyle name="40% - Accent1 2 2 7 3 2" xfId="49128" xr:uid="{9E23E0EC-72F4-4748-A75E-51FBF6BD6658}"/>
    <cellStyle name="40% - Accent1 2 2 7 4" xfId="33251" xr:uid="{24595C46-9E0B-42D3-B7B6-D7359349BE73}"/>
    <cellStyle name="40% - Accent1 2 2 8" xfId="10290" xr:uid="{00000000-0005-0000-0000-0000CB2C0000}"/>
    <cellStyle name="40% - Accent1 2 2 8 2" xfId="34139" xr:uid="{D00B3D6A-4729-4416-B559-549DE79DF24C}"/>
    <cellStyle name="40% - Accent1 2 2 9" xfId="18245" xr:uid="{00000000-0005-0000-0000-0000CC2C0000}"/>
    <cellStyle name="40% - Accent1 2 2 9 2" xfId="42077" xr:uid="{95D3C290-F605-469B-88D9-075C21F70EDF}"/>
    <cellStyle name="40% - Accent1 2 2_Exh G" xfId="2719" xr:uid="{00000000-0005-0000-0000-0000CD2C0000}"/>
    <cellStyle name="40% - Accent1 2 3" xfId="350" xr:uid="{00000000-0005-0000-0000-0000CE2C0000}"/>
    <cellStyle name="40% - Accent1 2 3 2" xfId="1376" xr:uid="{00000000-0005-0000-0000-0000CF2C0000}"/>
    <cellStyle name="40% - Accent1 2 3 2 2" xfId="4903" xr:uid="{00000000-0005-0000-0000-0000D02C0000}"/>
    <cellStyle name="40% - Accent1 2 3 2 2 2" xfId="8494" xr:uid="{00000000-0005-0000-0000-0000D12C0000}"/>
    <cellStyle name="40% - Accent1 2 3 2 2 2 2" xfId="16464" xr:uid="{00000000-0005-0000-0000-0000D22C0000}"/>
    <cellStyle name="40% - Accent1 2 3 2 2 2 2 2" xfId="40306" xr:uid="{4AC5A39D-CCD1-49CE-BD7F-F111F02C9247}"/>
    <cellStyle name="40% - Accent1 2 3 2 2 2 3" xfId="24410" xr:uid="{00000000-0005-0000-0000-0000D32C0000}"/>
    <cellStyle name="40% - Accent1 2 3 2 2 2 3 2" xfId="48242" xr:uid="{4D6CFA55-217E-4B03-BEFA-23D6205012E4}"/>
    <cellStyle name="40% - Accent1 2 3 2 2 2 4" xfId="32365" xr:uid="{47ABF898-3DFE-41C5-A405-23AF8A80DF5B}"/>
    <cellStyle name="40% - Accent1 2 3 2 2 3" xfId="12926" xr:uid="{00000000-0005-0000-0000-0000D42C0000}"/>
    <cellStyle name="40% - Accent1 2 3 2 2 3 2" xfId="36775" xr:uid="{FFAEA65E-CF18-4BA4-992A-00B2651F94A1}"/>
    <cellStyle name="40% - Accent1 2 3 2 2 4" xfId="20881" xr:uid="{00000000-0005-0000-0000-0000D52C0000}"/>
    <cellStyle name="40% - Accent1 2 3 2 2 4 2" xfId="44713" xr:uid="{800E9F0E-A474-421F-8FBC-0BB27C22EC44}"/>
    <cellStyle name="40% - Accent1 2 3 2 2 5" xfId="28834" xr:uid="{5D3129B5-FED4-4181-93A4-1E7C4807809F}"/>
    <cellStyle name="40% - Accent1 2 3 2 3" xfId="6735" xr:uid="{00000000-0005-0000-0000-0000D62C0000}"/>
    <cellStyle name="40% - Accent1 2 3 2 3 2" xfId="14706" xr:uid="{00000000-0005-0000-0000-0000D72C0000}"/>
    <cellStyle name="40% - Accent1 2 3 2 3 2 2" xfId="38548" xr:uid="{A2DCBEA8-CF83-44B2-A466-2A2A32622394}"/>
    <cellStyle name="40% - Accent1 2 3 2 3 3" xfId="22653" xr:uid="{00000000-0005-0000-0000-0000D82C0000}"/>
    <cellStyle name="40% - Accent1 2 3 2 3 3 2" xfId="46485" xr:uid="{82AFC694-C51A-44CE-A307-346459974571}"/>
    <cellStyle name="40% - Accent1 2 3 2 3 4" xfId="30607" xr:uid="{61F3638A-7158-440F-9180-6387E3AC084C}"/>
    <cellStyle name="40% - Accent1 2 3 2 4" xfId="11170" xr:uid="{00000000-0005-0000-0000-0000D92C0000}"/>
    <cellStyle name="40% - Accent1 2 3 2 4 2" xfId="35019" xr:uid="{17EFE260-7258-432E-A585-F09C4F87D4D2}"/>
    <cellStyle name="40% - Accent1 2 3 2 5" xfId="19125" xr:uid="{00000000-0005-0000-0000-0000DA2C0000}"/>
    <cellStyle name="40% - Accent1 2 3 2 5 2" xfId="42957" xr:uid="{3A17A93B-466B-4DE5-B7DE-C9C5F4A8EDC7}"/>
    <cellStyle name="40% - Accent1 2 3 2 6" xfId="27077" xr:uid="{439B6B20-5785-4A04-898A-2BDB922BEE5A}"/>
    <cellStyle name="40% - Accent1 2 3 2_Exh G" xfId="2726" xr:uid="{00000000-0005-0000-0000-0000DB2C0000}"/>
    <cellStyle name="40% - Accent1 2 3 3" xfId="4024" xr:uid="{00000000-0005-0000-0000-0000DC2C0000}"/>
    <cellStyle name="40% - Accent1 2 3 3 2" xfId="7616" xr:uid="{00000000-0005-0000-0000-0000DD2C0000}"/>
    <cellStyle name="40% - Accent1 2 3 3 2 2" xfId="15586" xr:uid="{00000000-0005-0000-0000-0000DE2C0000}"/>
    <cellStyle name="40% - Accent1 2 3 3 2 2 2" xfId="39428" xr:uid="{56DD4A44-CEC1-427B-8D6D-CC36DE74B5E0}"/>
    <cellStyle name="40% - Accent1 2 3 3 2 3" xfId="23532" xr:uid="{00000000-0005-0000-0000-0000DF2C0000}"/>
    <cellStyle name="40% - Accent1 2 3 3 2 3 2" xfId="47364" xr:uid="{E2EDE807-DB96-41C4-A7DB-B6EF9A0F1A5B}"/>
    <cellStyle name="40% - Accent1 2 3 3 2 4" xfId="31487" xr:uid="{B9BFB996-C473-4BAA-9608-4B88D6B1B538}"/>
    <cellStyle name="40% - Accent1 2 3 3 3" xfId="12048" xr:uid="{00000000-0005-0000-0000-0000E02C0000}"/>
    <cellStyle name="40% - Accent1 2 3 3 3 2" xfId="35897" xr:uid="{1CA11FD2-503E-4556-82E9-16563AE323E1}"/>
    <cellStyle name="40% - Accent1 2 3 3 4" xfId="20003" xr:uid="{00000000-0005-0000-0000-0000E12C0000}"/>
    <cellStyle name="40% - Accent1 2 3 3 4 2" xfId="43835" xr:uid="{B0631AD2-6FD1-4A57-A11F-41F4ED1378ED}"/>
    <cellStyle name="40% - Accent1 2 3 3 5" xfId="27956" xr:uid="{AF5E5581-3248-4DDC-80E4-C4C8A88F4681}"/>
    <cellStyle name="40% - Accent1 2 3 4" xfId="5844" xr:uid="{00000000-0005-0000-0000-0000E22C0000}"/>
    <cellStyle name="40% - Accent1 2 3 4 2" xfId="13827" xr:uid="{00000000-0005-0000-0000-0000E32C0000}"/>
    <cellStyle name="40% - Accent1 2 3 4 2 2" xfId="37670" xr:uid="{C0B27A94-24FF-4BA8-9DBC-EC3A96717CB6}"/>
    <cellStyle name="40% - Accent1 2 3 4 3" xfId="21775" xr:uid="{00000000-0005-0000-0000-0000E42C0000}"/>
    <cellStyle name="40% - Accent1 2 3 4 3 2" xfId="45607" xr:uid="{9B3F45A9-C6B8-4983-BD00-A2AF887D86A8}"/>
    <cellStyle name="40% - Accent1 2 3 4 4" xfId="29729" xr:uid="{FB740005-0D37-4533-BFEA-92888D295D8D}"/>
    <cellStyle name="40% - Accent1 2 3 5" xfId="9396" xr:uid="{00000000-0005-0000-0000-0000E52C0000}"/>
    <cellStyle name="40% - Accent1 2 3 5 2" xfId="17354" xr:uid="{00000000-0005-0000-0000-0000E62C0000}"/>
    <cellStyle name="40% - Accent1 2 3 5 2 2" xfId="41194" xr:uid="{7F65118C-23EB-4D17-B5C1-DDC5E5A6101C}"/>
    <cellStyle name="40% - Accent1 2 3 5 3" xfId="25298" xr:uid="{00000000-0005-0000-0000-0000E72C0000}"/>
    <cellStyle name="40% - Accent1 2 3 5 3 2" xfId="49130" xr:uid="{6524D961-FB1A-49DB-A1ED-6B72689D20EF}"/>
    <cellStyle name="40% - Accent1 2 3 5 4" xfId="33253" xr:uid="{CB185479-B5FE-4F80-9C4A-3D0E530AEE97}"/>
    <cellStyle name="40% - Accent1 2 3 6" xfId="10292" xr:uid="{00000000-0005-0000-0000-0000E82C0000}"/>
    <cellStyle name="40% - Accent1 2 3 6 2" xfId="34141" xr:uid="{842DCBD2-DE86-4166-A753-59680648CD62}"/>
    <cellStyle name="40% - Accent1 2 3 7" xfId="18247" xr:uid="{00000000-0005-0000-0000-0000E92C0000}"/>
    <cellStyle name="40% - Accent1 2 3 7 2" xfId="42079" xr:uid="{832354F9-5CB6-4A17-AB3F-5F4F5B7A7A6B}"/>
    <cellStyle name="40% - Accent1 2 3 8" xfId="26199" xr:uid="{82C4D182-E95A-4227-B298-0165B19EFE69}"/>
    <cellStyle name="40% - Accent1 2 3_Exh G" xfId="2725" xr:uid="{00000000-0005-0000-0000-0000EA2C0000}"/>
    <cellStyle name="40% - Accent1 2 4" xfId="932" xr:uid="{00000000-0005-0000-0000-0000EB2C0000}"/>
    <cellStyle name="40% - Accent1 2 4 2" xfId="1852" xr:uid="{00000000-0005-0000-0000-0000EC2C0000}"/>
    <cellStyle name="40% - Accent1 2 4 2 2" xfId="5369" xr:uid="{00000000-0005-0000-0000-0000ED2C0000}"/>
    <cellStyle name="40% - Accent1 2 4 2 2 2" xfId="8960" xr:uid="{00000000-0005-0000-0000-0000EE2C0000}"/>
    <cellStyle name="40% - Accent1 2 4 2 2 2 2" xfId="16930" xr:uid="{00000000-0005-0000-0000-0000EF2C0000}"/>
    <cellStyle name="40% - Accent1 2 4 2 2 2 2 2" xfId="40772" xr:uid="{E2805DD0-D875-40B3-BF73-32280A812AFC}"/>
    <cellStyle name="40% - Accent1 2 4 2 2 2 3" xfId="24876" xr:uid="{00000000-0005-0000-0000-0000F02C0000}"/>
    <cellStyle name="40% - Accent1 2 4 2 2 2 3 2" xfId="48708" xr:uid="{C195C0DB-5D42-4A2A-AACD-544AFDD5C4CF}"/>
    <cellStyle name="40% - Accent1 2 4 2 2 2 4" xfId="32831" xr:uid="{AC895517-82EF-4642-912C-C1C46EF23E09}"/>
    <cellStyle name="40% - Accent1 2 4 2 2 3" xfId="13392" xr:uid="{00000000-0005-0000-0000-0000F12C0000}"/>
    <cellStyle name="40% - Accent1 2 4 2 2 3 2" xfId="37241" xr:uid="{A3697657-0A53-4B46-A025-B5CDB51384ED}"/>
    <cellStyle name="40% - Accent1 2 4 2 2 4" xfId="21347" xr:uid="{00000000-0005-0000-0000-0000F22C0000}"/>
    <cellStyle name="40% - Accent1 2 4 2 2 4 2" xfId="45179" xr:uid="{338650BC-75D9-4F64-B88B-06EF92EC38E3}"/>
    <cellStyle name="40% - Accent1 2 4 2 2 5" xfId="29300" xr:uid="{F5B1FAFD-017E-4C5D-9DEE-17C87094B1BB}"/>
    <cellStyle name="40% - Accent1 2 4 2 3" xfId="7201" xr:uid="{00000000-0005-0000-0000-0000F32C0000}"/>
    <cellStyle name="40% - Accent1 2 4 2 3 2" xfId="15172" xr:uid="{00000000-0005-0000-0000-0000F42C0000}"/>
    <cellStyle name="40% - Accent1 2 4 2 3 2 2" xfId="39014" xr:uid="{6B3AEA35-CADC-4B6F-8C80-01781D86B410}"/>
    <cellStyle name="40% - Accent1 2 4 2 3 3" xfId="23119" xr:uid="{00000000-0005-0000-0000-0000F52C0000}"/>
    <cellStyle name="40% - Accent1 2 4 2 3 3 2" xfId="46951" xr:uid="{9EA6AC17-90EB-48C6-BD5A-9B6937841F89}"/>
    <cellStyle name="40% - Accent1 2 4 2 3 4" xfId="31073" xr:uid="{D113E044-F1A6-40D2-915B-0A6D6A04F0E6}"/>
    <cellStyle name="40% - Accent1 2 4 2 4" xfId="11636" xr:uid="{00000000-0005-0000-0000-0000F62C0000}"/>
    <cellStyle name="40% - Accent1 2 4 2 4 2" xfId="35485" xr:uid="{4660386E-F682-409B-8A73-622D7308067B}"/>
    <cellStyle name="40% - Accent1 2 4 2 5" xfId="19591" xr:uid="{00000000-0005-0000-0000-0000F72C0000}"/>
    <cellStyle name="40% - Accent1 2 4 2 5 2" xfId="43423" xr:uid="{6C189DFC-C655-4883-A281-86216C2AF2E3}"/>
    <cellStyle name="40% - Accent1 2 4 2 6" xfId="27543" xr:uid="{104D462D-DFBB-4AF8-8A6A-19DBE29BBF46}"/>
    <cellStyle name="40% - Accent1 2 4 2_Exh G" xfId="2728" xr:uid="{00000000-0005-0000-0000-0000F82C0000}"/>
    <cellStyle name="40% - Accent1 2 4 3" xfId="4490" xr:uid="{00000000-0005-0000-0000-0000F92C0000}"/>
    <cellStyle name="40% - Accent1 2 4 3 2" xfId="8082" xr:uid="{00000000-0005-0000-0000-0000FA2C0000}"/>
    <cellStyle name="40% - Accent1 2 4 3 2 2" xfId="16052" xr:uid="{00000000-0005-0000-0000-0000FB2C0000}"/>
    <cellStyle name="40% - Accent1 2 4 3 2 2 2" xfId="39894" xr:uid="{4CC5670A-CABE-497B-A6F9-4782F26EDD43}"/>
    <cellStyle name="40% - Accent1 2 4 3 2 3" xfId="23998" xr:uid="{00000000-0005-0000-0000-0000FC2C0000}"/>
    <cellStyle name="40% - Accent1 2 4 3 2 3 2" xfId="47830" xr:uid="{9ADEFC88-6287-4D09-8F23-6BAA8C80B732}"/>
    <cellStyle name="40% - Accent1 2 4 3 2 4" xfId="31953" xr:uid="{5C43613E-5674-4463-981F-A9AA4F11FE1E}"/>
    <cellStyle name="40% - Accent1 2 4 3 3" xfId="12514" xr:uid="{00000000-0005-0000-0000-0000FD2C0000}"/>
    <cellStyle name="40% - Accent1 2 4 3 3 2" xfId="36363" xr:uid="{33096C8B-5706-4468-86CA-7069AB58F090}"/>
    <cellStyle name="40% - Accent1 2 4 3 4" xfId="20469" xr:uid="{00000000-0005-0000-0000-0000FE2C0000}"/>
    <cellStyle name="40% - Accent1 2 4 3 4 2" xfId="44301" xr:uid="{D09BF769-2839-492F-A660-3E5D9BA1B09B}"/>
    <cellStyle name="40% - Accent1 2 4 3 5" xfId="28422" xr:uid="{A0BC90DF-81B5-42A0-BFDD-16F9BAC19644}"/>
    <cellStyle name="40% - Accent1 2 4 4" xfId="6320" xr:uid="{00000000-0005-0000-0000-0000FF2C0000}"/>
    <cellStyle name="40% - Accent1 2 4 4 2" xfId="14294" xr:uid="{00000000-0005-0000-0000-0000002D0000}"/>
    <cellStyle name="40% - Accent1 2 4 4 2 2" xfId="38136" xr:uid="{7D640BFB-5485-46BA-86DF-4F8B25C549E5}"/>
    <cellStyle name="40% - Accent1 2 4 4 3" xfId="22241" xr:uid="{00000000-0005-0000-0000-0000012D0000}"/>
    <cellStyle name="40% - Accent1 2 4 4 3 2" xfId="46073" xr:uid="{2E67F8FA-A1DD-490E-8EA8-A224B7E953A0}"/>
    <cellStyle name="40% - Accent1 2 4 4 4" xfId="30195" xr:uid="{AEABD62A-FF14-4816-83A7-0B7F3568CA46}"/>
    <cellStyle name="40% - Accent1 2 4 5" xfId="9862" xr:uid="{00000000-0005-0000-0000-0000022D0000}"/>
    <cellStyle name="40% - Accent1 2 4 5 2" xfId="17820" xr:uid="{00000000-0005-0000-0000-0000032D0000}"/>
    <cellStyle name="40% - Accent1 2 4 5 2 2" xfId="41660" xr:uid="{9EA3B90F-9B56-4E0D-9937-3C4E663D1AB9}"/>
    <cellStyle name="40% - Accent1 2 4 5 3" xfId="25764" xr:uid="{00000000-0005-0000-0000-0000042D0000}"/>
    <cellStyle name="40% - Accent1 2 4 5 3 2" xfId="49596" xr:uid="{FEC2F1B7-1368-4B40-9098-E0408BBD2C55}"/>
    <cellStyle name="40% - Accent1 2 4 5 4" xfId="33719" xr:uid="{E74E56E1-A150-456B-9362-7FF9AE7811C8}"/>
    <cellStyle name="40% - Accent1 2 4 6" xfId="10758" xr:uid="{00000000-0005-0000-0000-0000052D0000}"/>
    <cellStyle name="40% - Accent1 2 4 6 2" xfId="34607" xr:uid="{D38C5D60-780B-43DD-984D-A31C134B2EBA}"/>
    <cellStyle name="40% - Accent1 2 4 7" xfId="18713" xr:uid="{00000000-0005-0000-0000-0000062D0000}"/>
    <cellStyle name="40% - Accent1 2 4 7 2" xfId="42545" xr:uid="{F4D4B247-BBFF-4CEA-9E7D-43C9EA99A49B}"/>
    <cellStyle name="40% - Accent1 2 4 8" xfId="26665" xr:uid="{DF807AC7-99FD-4FDB-8120-30FC3297EA11}"/>
    <cellStyle name="40% - Accent1 2 4_Exh G" xfId="2727" xr:uid="{00000000-0005-0000-0000-0000072D0000}"/>
    <cellStyle name="40% - Accent1 2 5" xfId="1373" xr:uid="{00000000-0005-0000-0000-0000082D0000}"/>
    <cellStyle name="40% - Accent1 2 5 2" xfId="4900" xr:uid="{00000000-0005-0000-0000-0000092D0000}"/>
    <cellStyle name="40% - Accent1 2 5 2 2" xfId="8491" xr:uid="{00000000-0005-0000-0000-00000A2D0000}"/>
    <cellStyle name="40% - Accent1 2 5 2 2 2" xfId="16461" xr:uid="{00000000-0005-0000-0000-00000B2D0000}"/>
    <cellStyle name="40% - Accent1 2 5 2 2 2 2" xfId="40303" xr:uid="{74A3950C-FBE9-4573-95E1-1228E5AEDEB8}"/>
    <cellStyle name="40% - Accent1 2 5 2 2 3" xfId="24407" xr:uid="{00000000-0005-0000-0000-00000C2D0000}"/>
    <cellStyle name="40% - Accent1 2 5 2 2 3 2" xfId="48239" xr:uid="{BAAF404A-3C6B-4D6E-A137-C70453F01DC6}"/>
    <cellStyle name="40% - Accent1 2 5 2 2 4" xfId="32362" xr:uid="{014AB447-6EF0-46A3-8C30-D5D53040C517}"/>
    <cellStyle name="40% - Accent1 2 5 2 3" xfId="12923" xr:uid="{00000000-0005-0000-0000-00000D2D0000}"/>
    <cellStyle name="40% - Accent1 2 5 2 3 2" xfId="36772" xr:uid="{5C2C2DA5-1AE5-4D7C-8EBA-FEB8BBA2428C}"/>
    <cellStyle name="40% - Accent1 2 5 2 4" xfId="20878" xr:uid="{00000000-0005-0000-0000-00000E2D0000}"/>
    <cellStyle name="40% - Accent1 2 5 2 4 2" xfId="44710" xr:uid="{351BD091-F07B-4525-A1C3-551A4EBB5BFA}"/>
    <cellStyle name="40% - Accent1 2 5 2 5" xfId="28831" xr:uid="{D049232C-3FB8-47BE-965B-A604CAFE569F}"/>
    <cellStyle name="40% - Accent1 2 5 3" xfId="6732" xr:uid="{00000000-0005-0000-0000-00000F2D0000}"/>
    <cellStyle name="40% - Accent1 2 5 3 2" xfId="14703" xr:uid="{00000000-0005-0000-0000-0000102D0000}"/>
    <cellStyle name="40% - Accent1 2 5 3 2 2" xfId="38545" xr:uid="{64CAA785-04E5-486F-A681-83AAAF05C9CA}"/>
    <cellStyle name="40% - Accent1 2 5 3 3" xfId="22650" xr:uid="{00000000-0005-0000-0000-0000112D0000}"/>
    <cellStyle name="40% - Accent1 2 5 3 3 2" xfId="46482" xr:uid="{912742DF-BEFF-4848-A55A-85557EDEDF44}"/>
    <cellStyle name="40% - Accent1 2 5 3 4" xfId="30604" xr:uid="{329BDD89-B03D-4F15-9DA5-CBC2C9545DC3}"/>
    <cellStyle name="40% - Accent1 2 5 4" xfId="11167" xr:uid="{00000000-0005-0000-0000-0000122D0000}"/>
    <cellStyle name="40% - Accent1 2 5 4 2" xfId="35016" xr:uid="{12104F93-CE7C-438A-8D07-D4C77F4A7DA2}"/>
    <cellStyle name="40% - Accent1 2 5 5" xfId="19122" xr:uid="{00000000-0005-0000-0000-0000132D0000}"/>
    <cellStyle name="40% - Accent1 2 5 5 2" xfId="42954" xr:uid="{533F61F8-B202-4A98-8A7E-37F2893587C8}"/>
    <cellStyle name="40% - Accent1 2 5 6" xfId="27074" xr:uid="{DDF796E7-485C-4136-B4F9-710D79ED7078}"/>
    <cellStyle name="40% - Accent1 2 5_Exh G" xfId="2729" xr:uid="{00000000-0005-0000-0000-0000142D0000}"/>
    <cellStyle name="40% - Accent1 2 6" xfId="4021" xr:uid="{00000000-0005-0000-0000-0000152D0000}"/>
    <cellStyle name="40% - Accent1 2 6 2" xfId="7613" xr:uid="{00000000-0005-0000-0000-0000162D0000}"/>
    <cellStyle name="40% - Accent1 2 6 2 2" xfId="15583" xr:uid="{00000000-0005-0000-0000-0000172D0000}"/>
    <cellStyle name="40% - Accent1 2 6 2 2 2" xfId="39425" xr:uid="{B792BE06-CC4E-4D1D-B616-D8CCE526F7CA}"/>
    <cellStyle name="40% - Accent1 2 6 2 3" xfId="23529" xr:uid="{00000000-0005-0000-0000-0000182D0000}"/>
    <cellStyle name="40% - Accent1 2 6 2 3 2" xfId="47361" xr:uid="{C8118BCF-A7AA-42FA-A5A8-588414C10F1E}"/>
    <cellStyle name="40% - Accent1 2 6 2 4" xfId="31484" xr:uid="{5A32E3BF-35BB-480A-BC39-708879533978}"/>
    <cellStyle name="40% - Accent1 2 6 3" xfId="12045" xr:uid="{00000000-0005-0000-0000-0000192D0000}"/>
    <cellStyle name="40% - Accent1 2 6 3 2" xfId="35894" xr:uid="{C122EF4B-0D62-4104-B277-F6FD161F9DEC}"/>
    <cellStyle name="40% - Accent1 2 6 4" xfId="20000" xr:uid="{00000000-0005-0000-0000-00001A2D0000}"/>
    <cellStyle name="40% - Accent1 2 6 4 2" xfId="43832" xr:uid="{DD1275EA-D7FB-42F2-A87A-F6CA65A9ECD3}"/>
    <cellStyle name="40% - Accent1 2 6 5" xfId="27953" xr:uid="{2CAB883E-B7B3-4916-8056-51C170FB4FBB}"/>
    <cellStyle name="40% - Accent1 2 7" xfId="5841" xr:uid="{00000000-0005-0000-0000-00001B2D0000}"/>
    <cellStyle name="40% - Accent1 2 7 2" xfId="13824" xr:uid="{00000000-0005-0000-0000-00001C2D0000}"/>
    <cellStyle name="40% - Accent1 2 7 2 2" xfId="37667" xr:uid="{BAE988B5-D8EC-4CF6-AA53-57E94D906C12}"/>
    <cellStyle name="40% - Accent1 2 7 3" xfId="21772" xr:uid="{00000000-0005-0000-0000-00001D2D0000}"/>
    <cellStyle name="40% - Accent1 2 7 3 2" xfId="45604" xr:uid="{B70C3ED4-0576-444C-B1F0-051709DFA9F1}"/>
    <cellStyle name="40% - Accent1 2 7 4" xfId="29726" xr:uid="{B8E42D8F-247F-4A38-AA89-4651D8ADA0F5}"/>
    <cellStyle name="40% - Accent1 2 8" xfId="9393" xr:uid="{00000000-0005-0000-0000-00001E2D0000}"/>
    <cellStyle name="40% - Accent1 2 8 2" xfId="17351" xr:uid="{00000000-0005-0000-0000-00001F2D0000}"/>
    <cellStyle name="40% - Accent1 2 8 2 2" xfId="41191" xr:uid="{140C7031-2A99-4536-81E1-D225B0E11382}"/>
    <cellStyle name="40% - Accent1 2 8 3" xfId="25295" xr:uid="{00000000-0005-0000-0000-0000202D0000}"/>
    <cellStyle name="40% - Accent1 2 8 3 2" xfId="49127" xr:uid="{BBA62C54-1A18-42A8-BA90-3A4D40862FF2}"/>
    <cellStyle name="40% - Accent1 2 8 4" xfId="33250" xr:uid="{29A7BCA3-F14A-46C7-B789-FD0500C70594}"/>
    <cellStyle name="40% - Accent1 2 9" xfId="10289" xr:uid="{00000000-0005-0000-0000-0000212D0000}"/>
    <cellStyle name="40% - Accent1 2 9 2" xfId="34138" xr:uid="{A996F5DC-EAC5-48D0-A68C-E82FF2325CDD}"/>
    <cellStyle name="40% - Accent1 2_Exh G" xfId="2718" xr:uid="{00000000-0005-0000-0000-0000222D0000}"/>
    <cellStyle name="40% - Accent1 3" xfId="351" xr:uid="{00000000-0005-0000-0000-0000232D0000}"/>
    <cellStyle name="40% - Accent1 3 10" xfId="18248" xr:uid="{00000000-0005-0000-0000-0000242D0000}"/>
    <cellStyle name="40% - Accent1 3 10 2" xfId="42080" xr:uid="{88C32D16-5971-4C4B-8DFD-6946D9487CA6}"/>
    <cellStyle name="40% - Accent1 3 11" xfId="26200" xr:uid="{587504AA-860A-4CE1-AA97-B67049AD925F}"/>
    <cellStyle name="40% - Accent1 3 12" xfId="49755" xr:uid="{34093A2A-A300-4429-974F-9F9A80591ECC}"/>
    <cellStyle name="40% - Accent1 3 13" xfId="49809" xr:uid="{85D4948B-FEB0-46FC-8349-D362A10CEA58}"/>
    <cellStyle name="40% - Accent1 3 2" xfId="352" xr:uid="{00000000-0005-0000-0000-0000252D0000}"/>
    <cellStyle name="40% - Accent1 3 2 10" xfId="26201" xr:uid="{EBAC224A-35DC-4BC7-B830-0EBF099B6ADA}"/>
    <cellStyle name="40% - Accent1 3 2 2" xfId="353" xr:uid="{00000000-0005-0000-0000-0000262D0000}"/>
    <cellStyle name="40% - Accent1 3 2 2 2" xfId="1379" xr:uid="{00000000-0005-0000-0000-0000272D0000}"/>
    <cellStyle name="40% - Accent1 3 2 2 2 2" xfId="4906" xr:uid="{00000000-0005-0000-0000-0000282D0000}"/>
    <cellStyle name="40% - Accent1 3 2 2 2 2 2" xfId="8497" xr:uid="{00000000-0005-0000-0000-0000292D0000}"/>
    <cellStyle name="40% - Accent1 3 2 2 2 2 2 2" xfId="16467" xr:uid="{00000000-0005-0000-0000-00002A2D0000}"/>
    <cellStyle name="40% - Accent1 3 2 2 2 2 2 2 2" xfId="40309" xr:uid="{1B84F009-46D3-4B9C-9B82-450BE6C034CB}"/>
    <cellStyle name="40% - Accent1 3 2 2 2 2 2 3" xfId="24413" xr:uid="{00000000-0005-0000-0000-00002B2D0000}"/>
    <cellStyle name="40% - Accent1 3 2 2 2 2 2 3 2" xfId="48245" xr:uid="{2ED907B4-E874-4F69-9C17-25E662F1C834}"/>
    <cellStyle name="40% - Accent1 3 2 2 2 2 2 4" xfId="32368" xr:uid="{89F82CFA-B49B-4240-B81A-A8095C79748F}"/>
    <cellStyle name="40% - Accent1 3 2 2 2 2 3" xfId="12929" xr:uid="{00000000-0005-0000-0000-00002C2D0000}"/>
    <cellStyle name="40% - Accent1 3 2 2 2 2 3 2" xfId="36778" xr:uid="{12A2F608-A1C5-40A8-833C-69E76E8A454F}"/>
    <cellStyle name="40% - Accent1 3 2 2 2 2 4" xfId="20884" xr:uid="{00000000-0005-0000-0000-00002D2D0000}"/>
    <cellStyle name="40% - Accent1 3 2 2 2 2 4 2" xfId="44716" xr:uid="{7698659B-5138-485E-8124-DDD3E7C615BD}"/>
    <cellStyle name="40% - Accent1 3 2 2 2 2 5" xfId="28837" xr:uid="{8C4C99AC-EB55-4613-923C-048751FDB322}"/>
    <cellStyle name="40% - Accent1 3 2 2 2 3" xfId="6738" xr:uid="{00000000-0005-0000-0000-00002E2D0000}"/>
    <cellStyle name="40% - Accent1 3 2 2 2 3 2" xfId="14709" xr:uid="{00000000-0005-0000-0000-00002F2D0000}"/>
    <cellStyle name="40% - Accent1 3 2 2 2 3 2 2" xfId="38551" xr:uid="{CF35FBA3-ED4D-4F3F-AC08-EAD147C6F3F1}"/>
    <cellStyle name="40% - Accent1 3 2 2 2 3 3" xfId="22656" xr:uid="{00000000-0005-0000-0000-0000302D0000}"/>
    <cellStyle name="40% - Accent1 3 2 2 2 3 3 2" xfId="46488" xr:uid="{A27232BD-FFC3-4EAC-822D-1195D9F59E6F}"/>
    <cellStyle name="40% - Accent1 3 2 2 2 3 4" xfId="30610" xr:uid="{4D59CA00-2E3A-45E0-AF4D-2CFE255904BC}"/>
    <cellStyle name="40% - Accent1 3 2 2 2 4" xfId="11173" xr:uid="{00000000-0005-0000-0000-0000312D0000}"/>
    <cellStyle name="40% - Accent1 3 2 2 2 4 2" xfId="35022" xr:uid="{07FF9199-51F0-487D-884C-DEC6B161FCF9}"/>
    <cellStyle name="40% - Accent1 3 2 2 2 5" xfId="19128" xr:uid="{00000000-0005-0000-0000-0000322D0000}"/>
    <cellStyle name="40% - Accent1 3 2 2 2 5 2" xfId="42960" xr:uid="{1544F5E1-3429-417D-8E49-21E91E364CA1}"/>
    <cellStyle name="40% - Accent1 3 2 2 2 6" xfId="27080" xr:uid="{30BC1510-2BB2-4EC2-A2C0-33B3D57377A9}"/>
    <cellStyle name="40% - Accent1 3 2 2 2_Exh G" xfId="2733" xr:uid="{00000000-0005-0000-0000-0000332D0000}"/>
    <cellStyle name="40% - Accent1 3 2 2 3" xfId="4027" xr:uid="{00000000-0005-0000-0000-0000342D0000}"/>
    <cellStyle name="40% - Accent1 3 2 2 3 2" xfId="7619" xr:uid="{00000000-0005-0000-0000-0000352D0000}"/>
    <cellStyle name="40% - Accent1 3 2 2 3 2 2" xfId="15589" xr:uid="{00000000-0005-0000-0000-0000362D0000}"/>
    <cellStyle name="40% - Accent1 3 2 2 3 2 2 2" xfId="39431" xr:uid="{48613444-DD92-4FFD-8147-E38297EF34E4}"/>
    <cellStyle name="40% - Accent1 3 2 2 3 2 3" xfId="23535" xr:uid="{00000000-0005-0000-0000-0000372D0000}"/>
    <cellStyle name="40% - Accent1 3 2 2 3 2 3 2" xfId="47367" xr:uid="{E6F69653-F3C2-4EAE-941C-8DEE2DE58CF4}"/>
    <cellStyle name="40% - Accent1 3 2 2 3 2 4" xfId="31490" xr:uid="{4BDA52B5-2745-4D79-9426-164153F6FB25}"/>
    <cellStyle name="40% - Accent1 3 2 2 3 3" xfId="12051" xr:uid="{00000000-0005-0000-0000-0000382D0000}"/>
    <cellStyle name="40% - Accent1 3 2 2 3 3 2" xfId="35900" xr:uid="{03F010E2-7632-4041-B1D6-D64D6E86A8C1}"/>
    <cellStyle name="40% - Accent1 3 2 2 3 4" xfId="20006" xr:uid="{00000000-0005-0000-0000-0000392D0000}"/>
    <cellStyle name="40% - Accent1 3 2 2 3 4 2" xfId="43838" xr:uid="{98D4BB7D-C5D2-485B-B9F7-6E90BEA2E3BC}"/>
    <cellStyle name="40% - Accent1 3 2 2 3 5" xfId="27959" xr:uid="{9C8DAAB8-901C-42C8-AD94-BFC913D821F7}"/>
    <cellStyle name="40% - Accent1 3 2 2 4" xfId="5847" xr:uid="{00000000-0005-0000-0000-00003A2D0000}"/>
    <cellStyle name="40% - Accent1 3 2 2 4 2" xfId="13830" xr:uid="{00000000-0005-0000-0000-00003B2D0000}"/>
    <cellStyle name="40% - Accent1 3 2 2 4 2 2" xfId="37673" xr:uid="{9015B360-B329-4886-B159-CC98935CB3AD}"/>
    <cellStyle name="40% - Accent1 3 2 2 4 3" xfId="21778" xr:uid="{00000000-0005-0000-0000-00003C2D0000}"/>
    <cellStyle name="40% - Accent1 3 2 2 4 3 2" xfId="45610" xr:uid="{28EC0654-D760-4872-B044-873EB809538C}"/>
    <cellStyle name="40% - Accent1 3 2 2 4 4" xfId="29732" xr:uid="{D5DA0317-4D11-46CF-BF07-BE8772ADAE52}"/>
    <cellStyle name="40% - Accent1 3 2 2 5" xfId="9399" xr:uid="{00000000-0005-0000-0000-00003D2D0000}"/>
    <cellStyle name="40% - Accent1 3 2 2 5 2" xfId="17357" xr:uid="{00000000-0005-0000-0000-00003E2D0000}"/>
    <cellStyle name="40% - Accent1 3 2 2 5 2 2" xfId="41197" xr:uid="{FFE76FC4-6D0D-432D-AEA9-E21BF85716B6}"/>
    <cellStyle name="40% - Accent1 3 2 2 5 3" xfId="25301" xr:uid="{00000000-0005-0000-0000-00003F2D0000}"/>
    <cellStyle name="40% - Accent1 3 2 2 5 3 2" xfId="49133" xr:uid="{75AB7AF5-C4CF-4CB9-824A-02042987E14A}"/>
    <cellStyle name="40% - Accent1 3 2 2 5 4" xfId="33256" xr:uid="{CEF26250-63AD-490E-918E-94DF426A666A}"/>
    <cellStyle name="40% - Accent1 3 2 2 6" xfId="10295" xr:uid="{00000000-0005-0000-0000-0000402D0000}"/>
    <cellStyle name="40% - Accent1 3 2 2 6 2" xfId="34144" xr:uid="{C4B7241E-78C8-4D17-B178-4E2915326DF3}"/>
    <cellStyle name="40% - Accent1 3 2 2 7" xfId="18250" xr:uid="{00000000-0005-0000-0000-0000412D0000}"/>
    <cellStyle name="40% - Accent1 3 2 2 7 2" xfId="42082" xr:uid="{2FD9524D-FF7E-4ABF-A09D-9F4432B91753}"/>
    <cellStyle name="40% - Accent1 3 2 2 8" xfId="26202" xr:uid="{9C55BED7-993E-4716-9775-5312C730C485}"/>
    <cellStyle name="40% - Accent1 3 2 2_Exh G" xfId="2732" xr:uid="{00000000-0005-0000-0000-0000422D0000}"/>
    <cellStyle name="40% - Accent1 3 2 3" xfId="935" xr:uid="{00000000-0005-0000-0000-0000432D0000}"/>
    <cellStyle name="40% - Accent1 3 2 3 2" xfId="1855" xr:uid="{00000000-0005-0000-0000-0000442D0000}"/>
    <cellStyle name="40% - Accent1 3 2 3 2 2" xfId="5372" xr:uid="{00000000-0005-0000-0000-0000452D0000}"/>
    <cellStyle name="40% - Accent1 3 2 3 2 2 2" xfId="8963" xr:uid="{00000000-0005-0000-0000-0000462D0000}"/>
    <cellStyle name="40% - Accent1 3 2 3 2 2 2 2" xfId="16933" xr:uid="{00000000-0005-0000-0000-0000472D0000}"/>
    <cellStyle name="40% - Accent1 3 2 3 2 2 2 2 2" xfId="40775" xr:uid="{5EBEFC2F-BEF6-4D76-AFC6-45EE919096A3}"/>
    <cellStyle name="40% - Accent1 3 2 3 2 2 2 3" xfId="24879" xr:uid="{00000000-0005-0000-0000-0000482D0000}"/>
    <cellStyle name="40% - Accent1 3 2 3 2 2 2 3 2" xfId="48711" xr:uid="{8A8A27D3-A09C-4699-8AA2-36772E1CEAD6}"/>
    <cellStyle name="40% - Accent1 3 2 3 2 2 2 4" xfId="32834" xr:uid="{8D1DCE2C-C87B-4763-B9C4-B7A07AB80492}"/>
    <cellStyle name="40% - Accent1 3 2 3 2 2 3" xfId="13395" xr:uid="{00000000-0005-0000-0000-0000492D0000}"/>
    <cellStyle name="40% - Accent1 3 2 3 2 2 3 2" xfId="37244" xr:uid="{81169A6C-3786-4F94-A37F-D853F72DE638}"/>
    <cellStyle name="40% - Accent1 3 2 3 2 2 4" xfId="21350" xr:uid="{00000000-0005-0000-0000-00004A2D0000}"/>
    <cellStyle name="40% - Accent1 3 2 3 2 2 4 2" xfId="45182" xr:uid="{C0EC95CE-48A7-4F77-8F01-1257370E64E8}"/>
    <cellStyle name="40% - Accent1 3 2 3 2 2 5" xfId="29303" xr:uid="{20BC84A7-320A-4865-B2EF-833B168C5FF5}"/>
    <cellStyle name="40% - Accent1 3 2 3 2 3" xfId="7204" xr:uid="{00000000-0005-0000-0000-00004B2D0000}"/>
    <cellStyle name="40% - Accent1 3 2 3 2 3 2" xfId="15175" xr:uid="{00000000-0005-0000-0000-00004C2D0000}"/>
    <cellStyle name="40% - Accent1 3 2 3 2 3 2 2" xfId="39017" xr:uid="{CE8FFF50-5F40-4041-964F-8A5F0549AD41}"/>
    <cellStyle name="40% - Accent1 3 2 3 2 3 3" xfId="23122" xr:uid="{00000000-0005-0000-0000-00004D2D0000}"/>
    <cellStyle name="40% - Accent1 3 2 3 2 3 3 2" xfId="46954" xr:uid="{E1D17043-33D0-4E70-BFE4-9FF924C22F60}"/>
    <cellStyle name="40% - Accent1 3 2 3 2 3 4" xfId="31076" xr:uid="{7CA370E5-E760-4273-9237-E8B532DEC16D}"/>
    <cellStyle name="40% - Accent1 3 2 3 2 4" xfId="11639" xr:uid="{00000000-0005-0000-0000-00004E2D0000}"/>
    <cellStyle name="40% - Accent1 3 2 3 2 4 2" xfId="35488" xr:uid="{F12AC818-AB6D-4951-A4D0-2930292F81E3}"/>
    <cellStyle name="40% - Accent1 3 2 3 2 5" xfId="19594" xr:uid="{00000000-0005-0000-0000-00004F2D0000}"/>
    <cellStyle name="40% - Accent1 3 2 3 2 5 2" xfId="43426" xr:uid="{9C475DFA-B467-451A-9D70-AE2CEA8B3B07}"/>
    <cellStyle name="40% - Accent1 3 2 3 2 6" xfId="27546" xr:uid="{B190624C-B93E-432E-BE21-8B04185F777D}"/>
    <cellStyle name="40% - Accent1 3 2 3 2_Exh G" xfId="2735" xr:uid="{00000000-0005-0000-0000-0000502D0000}"/>
    <cellStyle name="40% - Accent1 3 2 3 3" xfId="4493" xr:uid="{00000000-0005-0000-0000-0000512D0000}"/>
    <cellStyle name="40% - Accent1 3 2 3 3 2" xfId="8085" xr:uid="{00000000-0005-0000-0000-0000522D0000}"/>
    <cellStyle name="40% - Accent1 3 2 3 3 2 2" xfId="16055" xr:uid="{00000000-0005-0000-0000-0000532D0000}"/>
    <cellStyle name="40% - Accent1 3 2 3 3 2 2 2" xfId="39897" xr:uid="{200EAF5F-B82E-45AA-ABEF-3462BD908670}"/>
    <cellStyle name="40% - Accent1 3 2 3 3 2 3" xfId="24001" xr:uid="{00000000-0005-0000-0000-0000542D0000}"/>
    <cellStyle name="40% - Accent1 3 2 3 3 2 3 2" xfId="47833" xr:uid="{77CFC545-EEE5-4B57-B851-8E311C4DEF0E}"/>
    <cellStyle name="40% - Accent1 3 2 3 3 2 4" xfId="31956" xr:uid="{F0042D81-9855-4DDF-9332-0AC3CA6634DC}"/>
    <cellStyle name="40% - Accent1 3 2 3 3 3" xfId="12517" xr:uid="{00000000-0005-0000-0000-0000552D0000}"/>
    <cellStyle name="40% - Accent1 3 2 3 3 3 2" xfId="36366" xr:uid="{BE573B63-CC58-4C52-983D-2E9B991115A8}"/>
    <cellStyle name="40% - Accent1 3 2 3 3 4" xfId="20472" xr:uid="{00000000-0005-0000-0000-0000562D0000}"/>
    <cellStyle name="40% - Accent1 3 2 3 3 4 2" xfId="44304" xr:uid="{ADF40F6C-26DA-464B-B863-FBAEC2E20D88}"/>
    <cellStyle name="40% - Accent1 3 2 3 3 5" xfId="28425" xr:uid="{355F20B2-9E9C-4995-90F0-DA8F98910A9A}"/>
    <cellStyle name="40% - Accent1 3 2 3 4" xfId="6323" xr:uid="{00000000-0005-0000-0000-0000572D0000}"/>
    <cellStyle name="40% - Accent1 3 2 3 4 2" xfId="14297" xr:uid="{00000000-0005-0000-0000-0000582D0000}"/>
    <cellStyle name="40% - Accent1 3 2 3 4 2 2" xfId="38139" xr:uid="{58623540-7BBE-4F9F-8727-5B280FBF73C6}"/>
    <cellStyle name="40% - Accent1 3 2 3 4 3" xfId="22244" xr:uid="{00000000-0005-0000-0000-0000592D0000}"/>
    <cellStyle name="40% - Accent1 3 2 3 4 3 2" xfId="46076" xr:uid="{CE73E067-4857-4A89-B6CC-D371A0913A96}"/>
    <cellStyle name="40% - Accent1 3 2 3 4 4" xfId="30198" xr:uid="{21499C75-151F-475C-8166-914AF7DCB9E3}"/>
    <cellStyle name="40% - Accent1 3 2 3 5" xfId="9865" xr:uid="{00000000-0005-0000-0000-00005A2D0000}"/>
    <cellStyle name="40% - Accent1 3 2 3 5 2" xfId="17823" xr:uid="{00000000-0005-0000-0000-00005B2D0000}"/>
    <cellStyle name="40% - Accent1 3 2 3 5 2 2" xfId="41663" xr:uid="{6DE21360-93B6-4F5E-B0E8-07BA860112C1}"/>
    <cellStyle name="40% - Accent1 3 2 3 5 3" xfId="25767" xr:uid="{00000000-0005-0000-0000-00005C2D0000}"/>
    <cellStyle name="40% - Accent1 3 2 3 5 3 2" xfId="49599" xr:uid="{B28FEFDC-502E-408E-AC0F-1DD3FA67BE96}"/>
    <cellStyle name="40% - Accent1 3 2 3 5 4" xfId="33722" xr:uid="{63011B49-2722-4B15-B321-BDD931C4AA24}"/>
    <cellStyle name="40% - Accent1 3 2 3 6" xfId="10761" xr:uid="{00000000-0005-0000-0000-00005D2D0000}"/>
    <cellStyle name="40% - Accent1 3 2 3 6 2" xfId="34610" xr:uid="{37EB3A90-266C-4FF9-B74E-50601EAB8189}"/>
    <cellStyle name="40% - Accent1 3 2 3 7" xfId="18716" xr:uid="{00000000-0005-0000-0000-00005E2D0000}"/>
    <cellStyle name="40% - Accent1 3 2 3 7 2" xfId="42548" xr:uid="{C4123015-F521-4875-AF9D-0D0C7789D42A}"/>
    <cellStyle name="40% - Accent1 3 2 3 8" xfId="26668" xr:uid="{39BD6A0A-48E1-4627-A722-3550D5DF3882}"/>
    <cellStyle name="40% - Accent1 3 2 3_Exh G" xfId="2734" xr:uid="{00000000-0005-0000-0000-00005F2D0000}"/>
    <cellStyle name="40% - Accent1 3 2 4" xfId="1378" xr:uid="{00000000-0005-0000-0000-0000602D0000}"/>
    <cellStyle name="40% - Accent1 3 2 4 2" xfId="4905" xr:uid="{00000000-0005-0000-0000-0000612D0000}"/>
    <cellStyle name="40% - Accent1 3 2 4 2 2" xfId="8496" xr:uid="{00000000-0005-0000-0000-0000622D0000}"/>
    <cellStyle name="40% - Accent1 3 2 4 2 2 2" xfId="16466" xr:uid="{00000000-0005-0000-0000-0000632D0000}"/>
    <cellStyle name="40% - Accent1 3 2 4 2 2 2 2" xfId="40308" xr:uid="{A1A35BBF-E95C-4266-90E2-569A767726B5}"/>
    <cellStyle name="40% - Accent1 3 2 4 2 2 3" xfId="24412" xr:uid="{00000000-0005-0000-0000-0000642D0000}"/>
    <cellStyle name="40% - Accent1 3 2 4 2 2 3 2" xfId="48244" xr:uid="{46C514AA-54AA-41AF-B169-48B3A0EA8559}"/>
    <cellStyle name="40% - Accent1 3 2 4 2 2 4" xfId="32367" xr:uid="{4A21F1F5-7D6A-4594-BAD3-7D7903FA2B33}"/>
    <cellStyle name="40% - Accent1 3 2 4 2 3" xfId="12928" xr:uid="{00000000-0005-0000-0000-0000652D0000}"/>
    <cellStyle name="40% - Accent1 3 2 4 2 3 2" xfId="36777" xr:uid="{FAB703B1-17D2-4D90-BB84-C1F5C2074D63}"/>
    <cellStyle name="40% - Accent1 3 2 4 2 4" xfId="20883" xr:uid="{00000000-0005-0000-0000-0000662D0000}"/>
    <cellStyle name="40% - Accent1 3 2 4 2 4 2" xfId="44715" xr:uid="{D659DF6F-3586-4EEC-955F-A60057483875}"/>
    <cellStyle name="40% - Accent1 3 2 4 2 5" xfId="28836" xr:uid="{223F746E-C271-4DC7-ABE2-FD7D53284333}"/>
    <cellStyle name="40% - Accent1 3 2 4 3" xfId="6737" xr:uid="{00000000-0005-0000-0000-0000672D0000}"/>
    <cellStyle name="40% - Accent1 3 2 4 3 2" xfId="14708" xr:uid="{00000000-0005-0000-0000-0000682D0000}"/>
    <cellStyle name="40% - Accent1 3 2 4 3 2 2" xfId="38550" xr:uid="{A1F36158-457C-4645-BA6F-F6E13730E914}"/>
    <cellStyle name="40% - Accent1 3 2 4 3 3" xfId="22655" xr:uid="{00000000-0005-0000-0000-0000692D0000}"/>
    <cellStyle name="40% - Accent1 3 2 4 3 3 2" xfId="46487" xr:uid="{84ABB91C-A01D-4474-8AE2-4925A96CD893}"/>
    <cellStyle name="40% - Accent1 3 2 4 3 4" xfId="30609" xr:uid="{71C4C0BE-B1D6-4E92-81ED-8F9A7BFAFF53}"/>
    <cellStyle name="40% - Accent1 3 2 4 4" xfId="11172" xr:uid="{00000000-0005-0000-0000-00006A2D0000}"/>
    <cellStyle name="40% - Accent1 3 2 4 4 2" xfId="35021" xr:uid="{DD052BB1-2228-4F34-9BD0-401D5CD6183B}"/>
    <cellStyle name="40% - Accent1 3 2 4 5" xfId="19127" xr:uid="{00000000-0005-0000-0000-00006B2D0000}"/>
    <cellStyle name="40% - Accent1 3 2 4 5 2" xfId="42959" xr:uid="{B2BE58B9-311B-4791-AA87-BB4FDA1754AF}"/>
    <cellStyle name="40% - Accent1 3 2 4 6" xfId="27079" xr:uid="{911C2561-74B2-41EF-9225-90A9CE4E6883}"/>
    <cellStyle name="40% - Accent1 3 2 4_Exh G" xfId="2736" xr:uid="{00000000-0005-0000-0000-00006C2D0000}"/>
    <cellStyle name="40% - Accent1 3 2 5" xfId="4026" xr:uid="{00000000-0005-0000-0000-00006D2D0000}"/>
    <cellStyle name="40% - Accent1 3 2 5 2" xfId="7618" xr:uid="{00000000-0005-0000-0000-00006E2D0000}"/>
    <cellStyle name="40% - Accent1 3 2 5 2 2" xfId="15588" xr:uid="{00000000-0005-0000-0000-00006F2D0000}"/>
    <cellStyle name="40% - Accent1 3 2 5 2 2 2" xfId="39430" xr:uid="{1305FEEB-183B-4D5B-945E-E33E6480239B}"/>
    <cellStyle name="40% - Accent1 3 2 5 2 3" xfId="23534" xr:uid="{00000000-0005-0000-0000-0000702D0000}"/>
    <cellStyle name="40% - Accent1 3 2 5 2 3 2" xfId="47366" xr:uid="{CD491F91-050D-4076-B07E-06E201527D52}"/>
    <cellStyle name="40% - Accent1 3 2 5 2 4" xfId="31489" xr:uid="{DE605829-E4F4-4CB1-973F-1034E8AF58AB}"/>
    <cellStyle name="40% - Accent1 3 2 5 3" xfId="12050" xr:uid="{00000000-0005-0000-0000-0000712D0000}"/>
    <cellStyle name="40% - Accent1 3 2 5 3 2" xfId="35899" xr:uid="{5A7B483D-B51D-4F49-9989-152DA224FE30}"/>
    <cellStyle name="40% - Accent1 3 2 5 4" xfId="20005" xr:uid="{00000000-0005-0000-0000-0000722D0000}"/>
    <cellStyle name="40% - Accent1 3 2 5 4 2" xfId="43837" xr:uid="{996FA5D6-C0FB-4087-B19E-55B401D3F2CB}"/>
    <cellStyle name="40% - Accent1 3 2 5 5" xfId="27958" xr:uid="{03774E48-0DD5-4B7F-9F9B-ED7BAD10889B}"/>
    <cellStyle name="40% - Accent1 3 2 6" xfId="5846" xr:uid="{00000000-0005-0000-0000-0000732D0000}"/>
    <cellStyle name="40% - Accent1 3 2 6 2" xfId="13829" xr:uid="{00000000-0005-0000-0000-0000742D0000}"/>
    <cellStyle name="40% - Accent1 3 2 6 2 2" xfId="37672" xr:uid="{D691E5D1-542E-4627-B282-0CCBCB4FDF68}"/>
    <cellStyle name="40% - Accent1 3 2 6 3" xfId="21777" xr:uid="{00000000-0005-0000-0000-0000752D0000}"/>
    <cellStyle name="40% - Accent1 3 2 6 3 2" xfId="45609" xr:uid="{B66CEC74-4656-43C8-A25E-C11E21E1C6B2}"/>
    <cellStyle name="40% - Accent1 3 2 6 4" xfId="29731" xr:uid="{84651C8D-7811-46ED-A218-CCAAC7277116}"/>
    <cellStyle name="40% - Accent1 3 2 7" xfId="9398" xr:uid="{00000000-0005-0000-0000-0000762D0000}"/>
    <cellStyle name="40% - Accent1 3 2 7 2" xfId="17356" xr:uid="{00000000-0005-0000-0000-0000772D0000}"/>
    <cellStyle name="40% - Accent1 3 2 7 2 2" xfId="41196" xr:uid="{29D5CF39-77CC-45B2-B433-E66321D78269}"/>
    <cellStyle name="40% - Accent1 3 2 7 3" xfId="25300" xr:uid="{00000000-0005-0000-0000-0000782D0000}"/>
    <cellStyle name="40% - Accent1 3 2 7 3 2" xfId="49132" xr:uid="{09BD13D0-3638-40D7-81B5-BA731B8876A2}"/>
    <cellStyle name="40% - Accent1 3 2 7 4" xfId="33255" xr:uid="{C1769E09-9795-4E34-937A-6DDCB3678013}"/>
    <cellStyle name="40% - Accent1 3 2 8" xfId="10294" xr:uid="{00000000-0005-0000-0000-0000792D0000}"/>
    <cellStyle name="40% - Accent1 3 2 8 2" xfId="34143" xr:uid="{27423313-5AEC-40D0-9E27-653BD0E05433}"/>
    <cellStyle name="40% - Accent1 3 2 9" xfId="18249" xr:uid="{00000000-0005-0000-0000-00007A2D0000}"/>
    <cellStyle name="40% - Accent1 3 2 9 2" xfId="42081" xr:uid="{FA58AF15-72A5-4699-AF03-CAFF0D65A0DE}"/>
    <cellStyle name="40% - Accent1 3 2_Exh G" xfId="2731" xr:uid="{00000000-0005-0000-0000-00007B2D0000}"/>
    <cellStyle name="40% - Accent1 3 3" xfId="354" xr:uid="{00000000-0005-0000-0000-00007C2D0000}"/>
    <cellStyle name="40% - Accent1 3 3 2" xfId="1380" xr:uid="{00000000-0005-0000-0000-00007D2D0000}"/>
    <cellStyle name="40% - Accent1 3 3 2 2" xfId="4907" xr:uid="{00000000-0005-0000-0000-00007E2D0000}"/>
    <cellStyle name="40% - Accent1 3 3 2 2 2" xfId="8498" xr:uid="{00000000-0005-0000-0000-00007F2D0000}"/>
    <cellStyle name="40% - Accent1 3 3 2 2 2 2" xfId="16468" xr:uid="{00000000-0005-0000-0000-0000802D0000}"/>
    <cellStyle name="40% - Accent1 3 3 2 2 2 2 2" xfId="40310" xr:uid="{584C3C52-0C16-409A-965A-7FE42C100283}"/>
    <cellStyle name="40% - Accent1 3 3 2 2 2 3" xfId="24414" xr:uid="{00000000-0005-0000-0000-0000812D0000}"/>
    <cellStyle name="40% - Accent1 3 3 2 2 2 3 2" xfId="48246" xr:uid="{65D8EE60-F0EC-443B-9036-EBCE3D271CC5}"/>
    <cellStyle name="40% - Accent1 3 3 2 2 2 4" xfId="32369" xr:uid="{99D626EA-6C2B-42AF-8184-9A6EC87003BB}"/>
    <cellStyle name="40% - Accent1 3 3 2 2 3" xfId="12930" xr:uid="{00000000-0005-0000-0000-0000822D0000}"/>
    <cellStyle name="40% - Accent1 3 3 2 2 3 2" xfId="36779" xr:uid="{EF9DE3C2-F4AD-4E8A-B318-94C6F49C4BA8}"/>
    <cellStyle name="40% - Accent1 3 3 2 2 4" xfId="20885" xr:uid="{00000000-0005-0000-0000-0000832D0000}"/>
    <cellStyle name="40% - Accent1 3 3 2 2 4 2" xfId="44717" xr:uid="{30492CD0-239B-4AAB-9A82-589FBAB50742}"/>
    <cellStyle name="40% - Accent1 3 3 2 2 5" xfId="28838" xr:uid="{F947C933-8137-4C67-B2EE-C2717CBF02C5}"/>
    <cellStyle name="40% - Accent1 3 3 2 3" xfId="6739" xr:uid="{00000000-0005-0000-0000-0000842D0000}"/>
    <cellStyle name="40% - Accent1 3 3 2 3 2" xfId="14710" xr:uid="{00000000-0005-0000-0000-0000852D0000}"/>
    <cellStyle name="40% - Accent1 3 3 2 3 2 2" xfId="38552" xr:uid="{F41A71F8-475D-4712-9756-93DAED59E69D}"/>
    <cellStyle name="40% - Accent1 3 3 2 3 3" xfId="22657" xr:uid="{00000000-0005-0000-0000-0000862D0000}"/>
    <cellStyle name="40% - Accent1 3 3 2 3 3 2" xfId="46489" xr:uid="{A45FAF35-71CB-46D3-ABF0-651CF43D909B}"/>
    <cellStyle name="40% - Accent1 3 3 2 3 4" xfId="30611" xr:uid="{A6CC9E63-7762-490E-A6B3-7A9508A936EC}"/>
    <cellStyle name="40% - Accent1 3 3 2 4" xfId="11174" xr:uid="{00000000-0005-0000-0000-0000872D0000}"/>
    <cellStyle name="40% - Accent1 3 3 2 4 2" xfId="35023" xr:uid="{DBB99E6F-1EE4-46A1-B3A2-0787FD9070DC}"/>
    <cellStyle name="40% - Accent1 3 3 2 5" xfId="19129" xr:uid="{00000000-0005-0000-0000-0000882D0000}"/>
    <cellStyle name="40% - Accent1 3 3 2 5 2" xfId="42961" xr:uid="{24E0397E-98BA-47D1-ADBC-55CE122D16BE}"/>
    <cellStyle name="40% - Accent1 3 3 2 6" xfId="27081" xr:uid="{C03D9A8C-F32B-4A10-BE25-F4AAE1E8FCB3}"/>
    <cellStyle name="40% - Accent1 3 3 2_Exh G" xfId="2738" xr:uid="{00000000-0005-0000-0000-0000892D0000}"/>
    <cellStyle name="40% - Accent1 3 3 3" xfId="4028" xr:uid="{00000000-0005-0000-0000-00008A2D0000}"/>
    <cellStyle name="40% - Accent1 3 3 3 2" xfId="7620" xr:uid="{00000000-0005-0000-0000-00008B2D0000}"/>
    <cellStyle name="40% - Accent1 3 3 3 2 2" xfId="15590" xr:uid="{00000000-0005-0000-0000-00008C2D0000}"/>
    <cellStyle name="40% - Accent1 3 3 3 2 2 2" xfId="39432" xr:uid="{79E09D26-696B-47F4-BBBB-88845AFA6867}"/>
    <cellStyle name="40% - Accent1 3 3 3 2 3" xfId="23536" xr:uid="{00000000-0005-0000-0000-00008D2D0000}"/>
    <cellStyle name="40% - Accent1 3 3 3 2 3 2" xfId="47368" xr:uid="{F8683A3D-1B7D-4BD3-8744-F3FEA3C23DD0}"/>
    <cellStyle name="40% - Accent1 3 3 3 2 4" xfId="31491" xr:uid="{42415DEB-1B4B-4DCC-9B38-D1079496AD4F}"/>
    <cellStyle name="40% - Accent1 3 3 3 3" xfId="12052" xr:uid="{00000000-0005-0000-0000-00008E2D0000}"/>
    <cellStyle name="40% - Accent1 3 3 3 3 2" xfId="35901" xr:uid="{D8B016D9-6C3B-42EC-8F3C-991D9FA17865}"/>
    <cellStyle name="40% - Accent1 3 3 3 4" xfId="20007" xr:uid="{00000000-0005-0000-0000-00008F2D0000}"/>
    <cellStyle name="40% - Accent1 3 3 3 4 2" xfId="43839" xr:uid="{EA46A27D-9B92-4291-937B-5FE11C7B0ABC}"/>
    <cellStyle name="40% - Accent1 3 3 3 5" xfId="27960" xr:uid="{D7EFB852-95F3-453A-A833-25DA5A5B51D9}"/>
    <cellStyle name="40% - Accent1 3 3 4" xfId="5848" xr:uid="{00000000-0005-0000-0000-0000902D0000}"/>
    <cellStyle name="40% - Accent1 3 3 4 2" xfId="13831" xr:uid="{00000000-0005-0000-0000-0000912D0000}"/>
    <cellStyle name="40% - Accent1 3 3 4 2 2" xfId="37674" xr:uid="{0F1AEE26-3850-461E-9603-757E41337158}"/>
    <cellStyle name="40% - Accent1 3 3 4 3" xfId="21779" xr:uid="{00000000-0005-0000-0000-0000922D0000}"/>
    <cellStyle name="40% - Accent1 3 3 4 3 2" xfId="45611" xr:uid="{C386CC1F-32B4-4BF2-900F-E88B7DA05FB5}"/>
    <cellStyle name="40% - Accent1 3 3 4 4" xfId="29733" xr:uid="{A7202E34-C479-4E30-86E2-8FD8305A19CD}"/>
    <cellStyle name="40% - Accent1 3 3 5" xfId="9400" xr:uid="{00000000-0005-0000-0000-0000932D0000}"/>
    <cellStyle name="40% - Accent1 3 3 5 2" xfId="17358" xr:uid="{00000000-0005-0000-0000-0000942D0000}"/>
    <cellStyle name="40% - Accent1 3 3 5 2 2" xfId="41198" xr:uid="{F2644C69-4741-450C-AD4B-B09FC6E70790}"/>
    <cellStyle name="40% - Accent1 3 3 5 3" xfId="25302" xr:uid="{00000000-0005-0000-0000-0000952D0000}"/>
    <cellStyle name="40% - Accent1 3 3 5 3 2" xfId="49134" xr:uid="{BCB9E334-FD30-43D9-84A2-D9CCBFF4F2BC}"/>
    <cellStyle name="40% - Accent1 3 3 5 4" xfId="33257" xr:uid="{1B52AFD7-09E3-4634-B01B-F8EC4DCCF005}"/>
    <cellStyle name="40% - Accent1 3 3 6" xfId="10296" xr:uid="{00000000-0005-0000-0000-0000962D0000}"/>
    <cellStyle name="40% - Accent1 3 3 6 2" xfId="34145" xr:uid="{E1218658-787F-45C2-9627-8071954AAEC3}"/>
    <cellStyle name="40% - Accent1 3 3 7" xfId="18251" xr:uid="{00000000-0005-0000-0000-0000972D0000}"/>
    <cellStyle name="40% - Accent1 3 3 7 2" xfId="42083" xr:uid="{9AB5EAE9-1490-4785-B312-44A76872FB04}"/>
    <cellStyle name="40% - Accent1 3 3 8" xfId="26203" xr:uid="{2D6D9324-9CE0-40E9-AEE0-E419C374848C}"/>
    <cellStyle name="40% - Accent1 3 3_Exh G" xfId="2737" xr:uid="{00000000-0005-0000-0000-0000982D0000}"/>
    <cellStyle name="40% - Accent1 3 4" xfId="934" xr:uid="{00000000-0005-0000-0000-0000992D0000}"/>
    <cellStyle name="40% - Accent1 3 4 2" xfId="1854" xr:uid="{00000000-0005-0000-0000-00009A2D0000}"/>
    <cellStyle name="40% - Accent1 3 4 2 2" xfId="5371" xr:uid="{00000000-0005-0000-0000-00009B2D0000}"/>
    <cellStyle name="40% - Accent1 3 4 2 2 2" xfId="8962" xr:uid="{00000000-0005-0000-0000-00009C2D0000}"/>
    <cellStyle name="40% - Accent1 3 4 2 2 2 2" xfId="16932" xr:uid="{00000000-0005-0000-0000-00009D2D0000}"/>
    <cellStyle name="40% - Accent1 3 4 2 2 2 2 2" xfId="40774" xr:uid="{6FBF1E98-0074-46F1-ADD9-BA006423EF54}"/>
    <cellStyle name="40% - Accent1 3 4 2 2 2 3" xfId="24878" xr:uid="{00000000-0005-0000-0000-00009E2D0000}"/>
    <cellStyle name="40% - Accent1 3 4 2 2 2 3 2" xfId="48710" xr:uid="{7ABBA43A-1678-4536-BBDF-3718C02CF574}"/>
    <cellStyle name="40% - Accent1 3 4 2 2 2 4" xfId="32833" xr:uid="{C0385E11-40AE-49FE-9238-CA623A610BEF}"/>
    <cellStyle name="40% - Accent1 3 4 2 2 3" xfId="13394" xr:uid="{00000000-0005-0000-0000-00009F2D0000}"/>
    <cellStyle name="40% - Accent1 3 4 2 2 3 2" xfId="37243" xr:uid="{8670B94E-A858-4F99-A1ED-9B5A5D948892}"/>
    <cellStyle name="40% - Accent1 3 4 2 2 4" xfId="21349" xr:uid="{00000000-0005-0000-0000-0000A02D0000}"/>
    <cellStyle name="40% - Accent1 3 4 2 2 4 2" xfId="45181" xr:uid="{4CDE5AD1-AD1A-435C-AC30-E63BC1271A34}"/>
    <cellStyle name="40% - Accent1 3 4 2 2 5" xfId="29302" xr:uid="{62019A35-F96E-45BA-B411-0DEADE4B9E89}"/>
    <cellStyle name="40% - Accent1 3 4 2 3" xfId="7203" xr:uid="{00000000-0005-0000-0000-0000A12D0000}"/>
    <cellStyle name="40% - Accent1 3 4 2 3 2" xfId="15174" xr:uid="{00000000-0005-0000-0000-0000A22D0000}"/>
    <cellStyle name="40% - Accent1 3 4 2 3 2 2" xfId="39016" xr:uid="{41FD417C-A19C-4935-84D2-976DACC764F9}"/>
    <cellStyle name="40% - Accent1 3 4 2 3 3" xfId="23121" xr:uid="{00000000-0005-0000-0000-0000A32D0000}"/>
    <cellStyle name="40% - Accent1 3 4 2 3 3 2" xfId="46953" xr:uid="{ECE9C300-67ED-4DD4-AB4F-98114E123789}"/>
    <cellStyle name="40% - Accent1 3 4 2 3 4" xfId="31075" xr:uid="{BC9706C4-7AE8-4302-B5FD-4CDC6D1F9FE2}"/>
    <cellStyle name="40% - Accent1 3 4 2 4" xfId="11638" xr:uid="{00000000-0005-0000-0000-0000A42D0000}"/>
    <cellStyle name="40% - Accent1 3 4 2 4 2" xfId="35487" xr:uid="{3F98A41A-7BFB-4613-8C02-6E3F8311C6B9}"/>
    <cellStyle name="40% - Accent1 3 4 2 5" xfId="19593" xr:uid="{00000000-0005-0000-0000-0000A52D0000}"/>
    <cellStyle name="40% - Accent1 3 4 2 5 2" xfId="43425" xr:uid="{8E3C614C-6E70-4090-BEC3-E2A859910B58}"/>
    <cellStyle name="40% - Accent1 3 4 2 6" xfId="27545" xr:uid="{05286C57-5520-485C-AF3B-9717EEDAA293}"/>
    <cellStyle name="40% - Accent1 3 4 2_Exh G" xfId="2740" xr:uid="{00000000-0005-0000-0000-0000A62D0000}"/>
    <cellStyle name="40% - Accent1 3 4 3" xfId="4492" xr:uid="{00000000-0005-0000-0000-0000A72D0000}"/>
    <cellStyle name="40% - Accent1 3 4 3 2" xfId="8084" xr:uid="{00000000-0005-0000-0000-0000A82D0000}"/>
    <cellStyle name="40% - Accent1 3 4 3 2 2" xfId="16054" xr:uid="{00000000-0005-0000-0000-0000A92D0000}"/>
    <cellStyle name="40% - Accent1 3 4 3 2 2 2" xfId="39896" xr:uid="{6BD43D99-8694-48DE-8C5F-C99CCA82E35F}"/>
    <cellStyle name="40% - Accent1 3 4 3 2 3" xfId="24000" xr:uid="{00000000-0005-0000-0000-0000AA2D0000}"/>
    <cellStyle name="40% - Accent1 3 4 3 2 3 2" xfId="47832" xr:uid="{95663CA1-3DD9-4C30-9BC0-8A4477FD7F2A}"/>
    <cellStyle name="40% - Accent1 3 4 3 2 4" xfId="31955" xr:uid="{34C4626E-7B0C-4FC1-8A57-740462920607}"/>
    <cellStyle name="40% - Accent1 3 4 3 3" xfId="12516" xr:uid="{00000000-0005-0000-0000-0000AB2D0000}"/>
    <cellStyle name="40% - Accent1 3 4 3 3 2" xfId="36365" xr:uid="{57B18111-FF1D-49A0-BD2C-1F201888B762}"/>
    <cellStyle name="40% - Accent1 3 4 3 4" xfId="20471" xr:uid="{00000000-0005-0000-0000-0000AC2D0000}"/>
    <cellStyle name="40% - Accent1 3 4 3 4 2" xfId="44303" xr:uid="{E8E7EC87-44AC-41DA-BFA5-463508C742BD}"/>
    <cellStyle name="40% - Accent1 3 4 3 5" xfId="28424" xr:uid="{09402F69-0857-4837-B74E-4B63330AC02D}"/>
    <cellStyle name="40% - Accent1 3 4 4" xfId="6322" xr:uid="{00000000-0005-0000-0000-0000AD2D0000}"/>
    <cellStyle name="40% - Accent1 3 4 4 2" xfId="14296" xr:uid="{00000000-0005-0000-0000-0000AE2D0000}"/>
    <cellStyle name="40% - Accent1 3 4 4 2 2" xfId="38138" xr:uid="{64FD70A4-16DD-4290-BEDD-68739FB33186}"/>
    <cellStyle name="40% - Accent1 3 4 4 3" xfId="22243" xr:uid="{00000000-0005-0000-0000-0000AF2D0000}"/>
    <cellStyle name="40% - Accent1 3 4 4 3 2" xfId="46075" xr:uid="{F64494CC-A1A1-4E08-BE0C-65600BCCF2DF}"/>
    <cellStyle name="40% - Accent1 3 4 4 4" xfId="30197" xr:uid="{841DD8F1-BB7F-448F-AA1C-F15B082ACBDE}"/>
    <cellStyle name="40% - Accent1 3 4 5" xfId="9864" xr:uid="{00000000-0005-0000-0000-0000B02D0000}"/>
    <cellStyle name="40% - Accent1 3 4 5 2" xfId="17822" xr:uid="{00000000-0005-0000-0000-0000B12D0000}"/>
    <cellStyle name="40% - Accent1 3 4 5 2 2" xfId="41662" xr:uid="{5D8CFFE1-F21D-43A9-B66D-44C37E8000DE}"/>
    <cellStyle name="40% - Accent1 3 4 5 3" xfId="25766" xr:uid="{00000000-0005-0000-0000-0000B22D0000}"/>
    <cellStyle name="40% - Accent1 3 4 5 3 2" xfId="49598" xr:uid="{ED0D97D0-04CC-48E2-BD14-2A155BAE28E3}"/>
    <cellStyle name="40% - Accent1 3 4 5 4" xfId="33721" xr:uid="{F5635F5A-F038-4B70-83FB-D76554079F2B}"/>
    <cellStyle name="40% - Accent1 3 4 6" xfId="10760" xr:uid="{00000000-0005-0000-0000-0000B32D0000}"/>
    <cellStyle name="40% - Accent1 3 4 6 2" xfId="34609" xr:uid="{C6D59F08-827E-4B6F-AB7E-7BE64CB51246}"/>
    <cellStyle name="40% - Accent1 3 4 7" xfId="18715" xr:uid="{00000000-0005-0000-0000-0000B42D0000}"/>
    <cellStyle name="40% - Accent1 3 4 7 2" xfId="42547" xr:uid="{59DCD510-355A-4969-9B56-8D98430EDB48}"/>
    <cellStyle name="40% - Accent1 3 4 8" xfId="26667" xr:uid="{85C57848-8A07-48C3-8104-E9B8432E1E5C}"/>
    <cellStyle name="40% - Accent1 3 4_Exh G" xfId="2739" xr:uid="{00000000-0005-0000-0000-0000B52D0000}"/>
    <cellStyle name="40% - Accent1 3 5" xfId="1377" xr:uid="{00000000-0005-0000-0000-0000B62D0000}"/>
    <cellStyle name="40% - Accent1 3 5 2" xfId="4904" xr:uid="{00000000-0005-0000-0000-0000B72D0000}"/>
    <cellStyle name="40% - Accent1 3 5 2 2" xfId="8495" xr:uid="{00000000-0005-0000-0000-0000B82D0000}"/>
    <cellStyle name="40% - Accent1 3 5 2 2 2" xfId="16465" xr:uid="{00000000-0005-0000-0000-0000B92D0000}"/>
    <cellStyle name="40% - Accent1 3 5 2 2 2 2" xfId="40307" xr:uid="{96E98865-13E9-4DEB-9ABC-49BA54A13E00}"/>
    <cellStyle name="40% - Accent1 3 5 2 2 3" xfId="24411" xr:uid="{00000000-0005-0000-0000-0000BA2D0000}"/>
    <cellStyle name="40% - Accent1 3 5 2 2 3 2" xfId="48243" xr:uid="{2B2BA2B6-34AB-47BF-93F4-6F8C7DF8DEAD}"/>
    <cellStyle name="40% - Accent1 3 5 2 2 4" xfId="32366" xr:uid="{78F21633-CF99-44E1-B240-8724776F01FE}"/>
    <cellStyle name="40% - Accent1 3 5 2 3" xfId="12927" xr:uid="{00000000-0005-0000-0000-0000BB2D0000}"/>
    <cellStyle name="40% - Accent1 3 5 2 3 2" xfId="36776" xr:uid="{129C7091-FBA7-4624-80A5-8BC14A598963}"/>
    <cellStyle name="40% - Accent1 3 5 2 4" xfId="20882" xr:uid="{00000000-0005-0000-0000-0000BC2D0000}"/>
    <cellStyle name="40% - Accent1 3 5 2 4 2" xfId="44714" xr:uid="{CBD34E86-C4C5-4F20-A7EF-5948AF305AE3}"/>
    <cellStyle name="40% - Accent1 3 5 2 5" xfId="28835" xr:uid="{222B21B9-C44E-49B6-A8F5-75F6F2BE4FDD}"/>
    <cellStyle name="40% - Accent1 3 5 3" xfId="6736" xr:uid="{00000000-0005-0000-0000-0000BD2D0000}"/>
    <cellStyle name="40% - Accent1 3 5 3 2" xfId="14707" xr:uid="{00000000-0005-0000-0000-0000BE2D0000}"/>
    <cellStyle name="40% - Accent1 3 5 3 2 2" xfId="38549" xr:uid="{79B0E28B-FB72-4FBF-8B23-937390502E7D}"/>
    <cellStyle name="40% - Accent1 3 5 3 3" xfId="22654" xr:uid="{00000000-0005-0000-0000-0000BF2D0000}"/>
    <cellStyle name="40% - Accent1 3 5 3 3 2" xfId="46486" xr:uid="{8E6DBFC6-7BB6-45F9-8840-2206044CD22C}"/>
    <cellStyle name="40% - Accent1 3 5 3 4" xfId="30608" xr:uid="{BA42FBF4-DAE6-4B7B-8FEB-CE795F888D67}"/>
    <cellStyle name="40% - Accent1 3 5 4" xfId="11171" xr:uid="{00000000-0005-0000-0000-0000C02D0000}"/>
    <cellStyle name="40% - Accent1 3 5 4 2" xfId="35020" xr:uid="{BCD8DCBC-A337-4995-A1D4-84D4918A361E}"/>
    <cellStyle name="40% - Accent1 3 5 5" xfId="19126" xr:uid="{00000000-0005-0000-0000-0000C12D0000}"/>
    <cellStyle name="40% - Accent1 3 5 5 2" xfId="42958" xr:uid="{5245C401-50B5-472F-80EF-0C6B4412B233}"/>
    <cellStyle name="40% - Accent1 3 5 6" xfId="27078" xr:uid="{212B60BE-A1BA-4213-83C3-AB6B2566FF04}"/>
    <cellStyle name="40% - Accent1 3 5_Exh G" xfId="2741" xr:uid="{00000000-0005-0000-0000-0000C22D0000}"/>
    <cellStyle name="40% - Accent1 3 6" xfId="4025" xr:uid="{00000000-0005-0000-0000-0000C32D0000}"/>
    <cellStyle name="40% - Accent1 3 6 2" xfId="7617" xr:uid="{00000000-0005-0000-0000-0000C42D0000}"/>
    <cellStyle name="40% - Accent1 3 6 2 2" xfId="15587" xr:uid="{00000000-0005-0000-0000-0000C52D0000}"/>
    <cellStyle name="40% - Accent1 3 6 2 2 2" xfId="39429" xr:uid="{2DC37F72-BCB7-4D4D-A52B-B30BDF51FED1}"/>
    <cellStyle name="40% - Accent1 3 6 2 3" xfId="23533" xr:uid="{00000000-0005-0000-0000-0000C62D0000}"/>
    <cellStyle name="40% - Accent1 3 6 2 3 2" xfId="47365" xr:uid="{95E90F13-CA42-4E54-B6AB-CB010524C264}"/>
    <cellStyle name="40% - Accent1 3 6 2 4" xfId="31488" xr:uid="{97077011-9633-48B8-9DA2-1E47EFD735C2}"/>
    <cellStyle name="40% - Accent1 3 6 3" xfId="12049" xr:uid="{00000000-0005-0000-0000-0000C72D0000}"/>
    <cellStyle name="40% - Accent1 3 6 3 2" xfId="35898" xr:uid="{3FBD26EE-29D5-4BC4-821C-EFB693C1EE7A}"/>
    <cellStyle name="40% - Accent1 3 6 4" xfId="20004" xr:uid="{00000000-0005-0000-0000-0000C82D0000}"/>
    <cellStyle name="40% - Accent1 3 6 4 2" xfId="43836" xr:uid="{257D5ECE-F275-4AC4-BBBD-1E980390E22A}"/>
    <cellStyle name="40% - Accent1 3 6 5" xfId="27957" xr:uid="{7E33A8C5-71E3-48C4-A120-76B6D9248237}"/>
    <cellStyle name="40% - Accent1 3 7" xfId="5845" xr:uid="{00000000-0005-0000-0000-0000C92D0000}"/>
    <cellStyle name="40% - Accent1 3 7 2" xfId="13828" xr:uid="{00000000-0005-0000-0000-0000CA2D0000}"/>
    <cellStyle name="40% - Accent1 3 7 2 2" xfId="37671" xr:uid="{4C5AC106-C6C1-49F0-A533-21E706182D81}"/>
    <cellStyle name="40% - Accent1 3 7 3" xfId="21776" xr:uid="{00000000-0005-0000-0000-0000CB2D0000}"/>
    <cellStyle name="40% - Accent1 3 7 3 2" xfId="45608" xr:uid="{C638BD45-4FA8-4211-90AE-61B877CDC055}"/>
    <cellStyle name="40% - Accent1 3 7 4" xfId="29730" xr:uid="{552B31A6-D9F6-43C1-AB4C-D8EEBC45434F}"/>
    <cellStyle name="40% - Accent1 3 8" xfId="9397" xr:uid="{00000000-0005-0000-0000-0000CC2D0000}"/>
    <cellStyle name="40% - Accent1 3 8 2" xfId="17355" xr:uid="{00000000-0005-0000-0000-0000CD2D0000}"/>
    <cellStyle name="40% - Accent1 3 8 2 2" xfId="41195" xr:uid="{E4D7E7C7-6166-48A1-B5C6-620BE0AD07B7}"/>
    <cellStyle name="40% - Accent1 3 8 3" xfId="25299" xr:uid="{00000000-0005-0000-0000-0000CE2D0000}"/>
    <cellStyle name="40% - Accent1 3 8 3 2" xfId="49131" xr:uid="{5AAFBB25-3EB0-4D38-A097-578BF9A95E24}"/>
    <cellStyle name="40% - Accent1 3 8 4" xfId="33254" xr:uid="{EF5DDF55-5736-4512-814C-B78AC3A65628}"/>
    <cellStyle name="40% - Accent1 3 9" xfId="10293" xr:uid="{00000000-0005-0000-0000-0000CF2D0000}"/>
    <cellStyle name="40% - Accent1 3 9 2" xfId="34142" xr:uid="{38EAD4C6-63BD-4CF3-B78C-1B57243D54F1}"/>
    <cellStyle name="40% - Accent1 3_Exh G" xfId="2730" xr:uid="{00000000-0005-0000-0000-0000D02D0000}"/>
    <cellStyle name="40% - Accent1 4" xfId="355" xr:uid="{00000000-0005-0000-0000-0000D12D0000}"/>
    <cellStyle name="40% - Accent1 4 10" xfId="18252" xr:uid="{00000000-0005-0000-0000-0000D22D0000}"/>
    <cellStyle name="40% - Accent1 4 10 2" xfId="42084" xr:uid="{8AB15C74-AEAA-458F-A9EA-519AE586F2E7}"/>
    <cellStyle name="40% - Accent1 4 11" xfId="26204" xr:uid="{750D5D7C-7EEB-49C4-B581-8A36F7DCDDBD}"/>
    <cellStyle name="40% - Accent1 4 2" xfId="356" xr:uid="{00000000-0005-0000-0000-0000D32D0000}"/>
    <cellStyle name="40% - Accent1 4 2 10" xfId="26205" xr:uid="{4A756F2B-4B97-400E-BC73-BBDB5BD234E1}"/>
    <cellStyle name="40% - Accent1 4 2 2" xfId="357" xr:uid="{00000000-0005-0000-0000-0000D42D0000}"/>
    <cellStyle name="40% - Accent1 4 2 2 2" xfId="1383" xr:uid="{00000000-0005-0000-0000-0000D52D0000}"/>
    <cellStyle name="40% - Accent1 4 2 2 2 2" xfId="4910" xr:uid="{00000000-0005-0000-0000-0000D62D0000}"/>
    <cellStyle name="40% - Accent1 4 2 2 2 2 2" xfId="8501" xr:uid="{00000000-0005-0000-0000-0000D72D0000}"/>
    <cellStyle name="40% - Accent1 4 2 2 2 2 2 2" xfId="16471" xr:uid="{00000000-0005-0000-0000-0000D82D0000}"/>
    <cellStyle name="40% - Accent1 4 2 2 2 2 2 2 2" xfId="40313" xr:uid="{242E1FD1-E23D-4818-9140-0BBEF439BF71}"/>
    <cellStyle name="40% - Accent1 4 2 2 2 2 2 3" xfId="24417" xr:uid="{00000000-0005-0000-0000-0000D92D0000}"/>
    <cellStyle name="40% - Accent1 4 2 2 2 2 2 3 2" xfId="48249" xr:uid="{965EFBFA-C294-4660-863E-C98E1F9FCD83}"/>
    <cellStyle name="40% - Accent1 4 2 2 2 2 2 4" xfId="32372" xr:uid="{B1F199D4-886F-4611-A1DB-CBE549BF9B09}"/>
    <cellStyle name="40% - Accent1 4 2 2 2 2 3" xfId="12933" xr:uid="{00000000-0005-0000-0000-0000DA2D0000}"/>
    <cellStyle name="40% - Accent1 4 2 2 2 2 3 2" xfId="36782" xr:uid="{97267764-E862-4918-B927-5359F7D91A7C}"/>
    <cellStyle name="40% - Accent1 4 2 2 2 2 4" xfId="20888" xr:uid="{00000000-0005-0000-0000-0000DB2D0000}"/>
    <cellStyle name="40% - Accent1 4 2 2 2 2 4 2" xfId="44720" xr:uid="{6A01973C-56BE-4B88-B719-9005B98FB088}"/>
    <cellStyle name="40% - Accent1 4 2 2 2 2 5" xfId="28841" xr:uid="{96AB3F70-B792-4D9E-8650-D7FE5A7986F2}"/>
    <cellStyle name="40% - Accent1 4 2 2 2 3" xfId="6742" xr:uid="{00000000-0005-0000-0000-0000DC2D0000}"/>
    <cellStyle name="40% - Accent1 4 2 2 2 3 2" xfId="14713" xr:uid="{00000000-0005-0000-0000-0000DD2D0000}"/>
    <cellStyle name="40% - Accent1 4 2 2 2 3 2 2" xfId="38555" xr:uid="{B872B6CA-F118-4C7F-8989-55E94AD9FF8C}"/>
    <cellStyle name="40% - Accent1 4 2 2 2 3 3" xfId="22660" xr:uid="{00000000-0005-0000-0000-0000DE2D0000}"/>
    <cellStyle name="40% - Accent1 4 2 2 2 3 3 2" xfId="46492" xr:uid="{09E7D144-8013-427D-9359-7C106394A61E}"/>
    <cellStyle name="40% - Accent1 4 2 2 2 3 4" xfId="30614" xr:uid="{D141B549-795A-4126-96E8-8A0DDD484E7F}"/>
    <cellStyle name="40% - Accent1 4 2 2 2 4" xfId="11177" xr:uid="{00000000-0005-0000-0000-0000DF2D0000}"/>
    <cellStyle name="40% - Accent1 4 2 2 2 4 2" xfId="35026" xr:uid="{BD5728BD-B8F3-48E7-B59E-E616301BAD5B}"/>
    <cellStyle name="40% - Accent1 4 2 2 2 5" xfId="19132" xr:uid="{00000000-0005-0000-0000-0000E02D0000}"/>
    <cellStyle name="40% - Accent1 4 2 2 2 5 2" xfId="42964" xr:uid="{4C40201F-628A-4445-B812-9F10BF159FCE}"/>
    <cellStyle name="40% - Accent1 4 2 2 2 6" xfId="27084" xr:uid="{796FB32C-CF4B-4F0E-AD1C-6E2104588A9A}"/>
    <cellStyle name="40% - Accent1 4 2 2 2_Exh G" xfId="2745" xr:uid="{00000000-0005-0000-0000-0000E12D0000}"/>
    <cellStyle name="40% - Accent1 4 2 2 3" xfId="4031" xr:uid="{00000000-0005-0000-0000-0000E22D0000}"/>
    <cellStyle name="40% - Accent1 4 2 2 3 2" xfId="7623" xr:uid="{00000000-0005-0000-0000-0000E32D0000}"/>
    <cellStyle name="40% - Accent1 4 2 2 3 2 2" xfId="15593" xr:uid="{00000000-0005-0000-0000-0000E42D0000}"/>
    <cellStyle name="40% - Accent1 4 2 2 3 2 2 2" xfId="39435" xr:uid="{D690EB5E-9A85-47FD-BDFC-E8E6EFC2595C}"/>
    <cellStyle name="40% - Accent1 4 2 2 3 2 3" xfId="23539" xr:uid="{00000000-0005-0000-0000-0000E52D0000}"/>
    <cellStyle name="40% - Accent1 4 2 2 3 2 3 2" xfId="47371" xr:uid="{A9BBFAD7-0BF5-44E6-88EC-4BE247BF0636}"/>
    <cellStyle name="40% - Accent1 4 2 2 3 2 4" xfId="31494" xr:uid="{048A9DA3-CA25-4FD4-AF2C-B3D34C1CB7A9}"/>
    <cellStyle name="40% - Accent1 4 2 2 3 3" xfId="12055" xr:uid="{00000000-0005-0000-0000-0000E62D0000}"/>
    <cellStyle name="40% - Accent1 4 2 2 3 3 2" xfId="35904" xr:uid="{7DDA4D61-68C3-421F-BEB0-F54257C8111D}"/>
    <cellStyle name="40% - Accent1 4 2 2 3 4" xfId="20010" xr:uid="{00000000-0005-0000-0000-0000E72D0000}"/>
    <cellStyle name="40% - Accent1 4 2 2 3 4 2" xfId="43842" xr:uid="{764C200E-D4F9-4158-86B9-925F318A4B29}"/>
    <cellStyle name="40% - Accent1 4 2 2 3 5" xfId="27963" xr:uid="{D105AEAF-6D8D-4CF6-BEAA-C063581B220E}"/>
    <cellStyle name="40% - Accent1 4 2 2 4" xfId="5851" xr:uid="{00000000-0005-0000-0000-0000E82D0000}"/>
    <cellStyle name="40% - Accent1 4 2 2 4 2" xfId="13834" xr:uid="{00000000-0005-0000-0000-0000E92D0000}"/>
    <cellStyle name="40% - Accent1 4 2 2 4 2 2" xfId="37677" xr:uid="{BA0696AE-68C9-4111-81DC-9BDB71D6B44F}"/>
    <cellStyle name="40% - Accent1 4 2 2 4 3" xfId="21782" xr:uid="{00000000-0005-0000-0000-0000EA2D0000}"/>
    <cellStyle name="40% - Accent1 4 2 2 4 3 2" xfId="45614" xr:uid="{9077A030-72D1-4B36-878B-DCF54212709E}"/>
    <cellStyle name="40% - Accent1 4 2 2 4 4" xfId="29736" xr:uid="{5A207929-B19B-4F04-9CAE-CE69B5232082}"/>
    <cellStyle name="40% - Accent1 4 2 2 5" xfId="9403" xr:uid="{00000000-0005-0000-0000-0000EB2D0000}"/>
    <cellStyle name="40% - Accent1 4 2 2 5 2" xfId="17361" xr:uid="{00000000-0005-0000-0000-0000EC2D0000}"/>
    <cellStyle name="40% - Accent1 4 2 2 5 2 2" xfId="41201" xr:uid="{B0615243-E162-4491-B598-91165C860A14}"/>
    <cellStyle name="40% - Accent1 4 2 2 5 3" xfId="25305" xr:uid="{00000000-0005-0000-0000-0000ED2D0000}"/>
    <cellStyle name="40% - Accent1 4 2 2 5 3 2" xfId="49137" xr:uid="{C1B08A9D-2024-4477-8EF2-5BAB9E25E503}"/>
    <cellStyle name="40% - Accent1 4 2 2 5 4" xfId="33260" xr:uid="{ED428F9D-61B9-48BD-923F-6EE2D6FD7534}"/>
    <cellStyle name="40% - Accent1 4 2 2 6" xfId="10299" xr:uid="{00000000-0005-0000-0000-0000EE2D0000}"/>
    <cellStyle name="40% - Accent1 4 2 2 6 2" xfId="34148" xr:uid="{7C6BA1F5-6F29-49C1-8D1D-D8EC6A463ED0}"/>
    <cellStyle name="40% - Accent1 4 2 2 7" xfId="18254" xr:uid="{00000000-0005-0000-0000-0000EF2D0000}"/>
    <cellStyle name="40% - Accent1 4 2 2 7 2" xfId="42086" xr:uid="{35814A27-E2F4-4930-85C8-53F9AF0CF823}"/>
    <cellStyle name="40% - Accent1 4 2 2 8" xfId="26206" xr:uid="{06DE5383-C15B-4576-9B52-0C4A020DB0B7}"/>
    <cellStyle name="40% - Accent1 4 2 2_Exh G" xfId="2744" xr:uid="{00000000-0005-0000-0000-0000F02D0000}"/>
    <cellStyle name="40% - Accent1 4 2 3" xfId="937" xr:uid="{00000000-0005-0000-0000-0000F12D0000}"/>
    <cellStyle name="40% - Accent1 4 2 3 2" xfId="1857" xr:uid="{00000000-0005-0000-0000-0000F22D0000}"/>
    <cellStyle name="40% - Accent1 4 2 3 2 2" xfId="5374" xr:uid="{00000000-0005-0000-0000-0000F32D0000}"/>
    <cellStyle name="40% - Accent1 4 2 3 2 2 2" xfId="8965" xr:uid="{00000000-0005-0000-0000-0000F42D0000}"/>
    <cellStyle name="40% - Accent1 4 2 3 2 2 2 2" xfId="16935" xr:uid="{00000000-0005-0000-0000-0000F52D0000}"/>
    <cellStyle name="40% - Accent1 4 2 3 2 2 2 2 2" xfId="40777" xr:uid="{BA74C154-7103-4433-B716-39BC7890A004}"/>
    <cellStyle name="40% - Accent1 4 2 3 2 2 2 3" xfId="24881" xr:uid="{00000000-0005-0000-0000-0000F62D0000}"/>
    <cellStyle name="40% - Accent1 4 2 3 2 2 2 3 2" xfId="48713" xr:uid="{89D27DEC-A00A-4427-9208-383F4EAA5907}"/>
    <cellStyle name="40% - Accent1 4 2 3 2 2 2 4" xfId="32836" xr:uid="{DA76F6C7-D01E-4223-A593-512DFF23C284}"/>
    <cellStyle name="40% - Accent1 4 2 3 2 2 3" xfId="13397" xr:uid="{00000000-0005-0000-0000-0000F72D0000}"/>
    <cellStyle name="40% - Accent1 4 2 3 2 2 3 2" xfId="37246" xr:uid="{FE974967-0BB9-46EE-880A-F34338778318}"/>
    <cellStyle name="40% - Accent1 4 2 3 2 2 4" xfId="21352" xr:uid="{00000000-0005-0000-0000-0000F82D0000}"/>
    <cellStyle name="40% - Accent1 4 2 3 2 2 4 2" xfId="45184" xr:uid="{B03827E6-60B0-4B45-83C8-428F99A6F442}"/>
    <cellStyle name="40% - Accent1 4 2 3 2 2 5" xfId="29305" xr:uid="{780792B0-658F-47E4-8F65-3218E51446C4}"/>
    <cellStyle name="40% - Accent1 4 2 3 2 3" xfId="7206" xr:uid="{00000000-0005-0000-0000-0000F92D0000}"/>
    <cellStyle name="40% - Accent1 4 2 3 2 3 2" xfId="15177" xr:uid="{00000000-0005-0000-0000-0000FA2D0000}"/>
    <cellStyle name="40% - Accent1 4 2 3 2 3 2 2" xfId="39019" xr:uid="{7494817D-0FCF-4E82-B752-50B126306D4D}"/>
    <cellStyle name="40% - Accent1 4 2 3 2 3 3" xfId="23124" xr:uid="{00000000-0005-0000-0000-0000FB2D0000}"/>
    <cellStyle name="40% - Accent1 4 2 3 2 3 3 2" xfId="46956" xr:uid="{F387AFEE-E81A-4462-9946-EE64431D5142}"/>
    <cellStyle name="40% - Accent1 4 2 3 2 3 4" xfId="31078" xr:uid="{89029B58-7336-4388-B77D-F4086C221E27}"/>
    <cellStyle name="40% - Accent1 4 2 3 2 4" xfId="11641" xr:uid="{00000000-0005-0000-0000-0000FC2D0000}"/>
    <cellStyle name="40% - Accent1 4 2 3 2 4 2" xfId="35490" xr:uid="{E2697938-79BB-4E72-86FC-BD091412A515}"/>
    <cellStyle name="40% - Accent1 4 2 3 2 5" xfId="19596" xr:uid="{00000000-0005-0000-0000-0000FD2D0000}"/>
    <cellStyle name="40% - Accent1 4 2 3 2 5 2" xfId="43428" xr:uid="{7B2532D6-3776-48EE-A474-5A9F5B4E99FD}"/>
    <cellStyle name="40% - Accent1 4 2 3 2 6" xfId="27548" xr:uid="{0770A697-E642-421D-A78F-71797DAFD94F}"/>
    <cellStyle name="40% - Accent1 4 2 3 2_Exh G" xfId="2747" xr:uid="{00000000-0005-0000-0000-0000FE2D0000}"/>
    <cellStyle name="40% - Accent1 4 2 3 3" xfId="4495" xr:uid="{00000000-0005-0000-0000-0000FF2D0000}"/>
    <cellStyle name="40% - Accent1 4 2 3 3 2" xfId="8087" xr:uid="{00000000-0005-0000-0000-0000002E0000}"/>
    <cellStyle name="40% - Accent1 4 2 3 3 2 2" xfId="16057" xr:uid="{00000000-0005-0000-0000-0000012E0000}"/>
    <cellStyle name="40% - Accent1 4 2 3 3 2 2 2" xfId="39899" xr:uid="{A6672A79-CE17-4691-AD23-AA823F35264F}"/>
    <cellStyle name="40% - Accent1 4 2 3 3 2 3" xfId="24003" xr:uid="{00000000-0005-0000-0000-0000022E0000}"/>
    <cellStyle name="40% - Accent1 4 2 3 3 2 3 2" xfId="47835" xr:uid="{5CEFF0E0-5002-40DC-8C91-DDC39957427A}"/>
    <cellStyle name="40% - Accent1 4 2 3 3 2 4" xfId="31958" xr:uid="{2A86A202-6738-4F9A-AE5B-DDD59C39B1AE}"/>
    <cellStyle name="40% - Accent1 4 2 3 3 3" xfId="12519" xr:uid="{00000000-0005-0000-0000-0000032E0000}"/>
    <cellStyle name="40% - Accent1 4 2 3 3 3 2" xfId="36368" xr:uid="{3D46C1ED-D87E-44EB-A621-46E43EA2254A}"/>
    <cellStyle name="40% - Accent1 4 2 3 3 4" xfId="20474" xr:uid="{00000000-0005-0000-0000-0000042E0000}"/>
    <cellStyle name="40% - Accent1 4 2 3 3 4 2" xfId="44306" xr:uid="{8A92B07D-3FF5-42CC-9782-FA425A4BD7E0}"/>
    <cellStyle name="40% - Accent1 4 2 3 3 5" xfId="28427" xr:uid="{3810349B-4995-466E-8F39-5C0C14AE11C2}"/>
    <cellStyle name="40% - Accent1 4 2 3 4" xfId="6325" xr:uid="{00000000-0005-0000-0000-0000052E0000}"/>
    <cellStyle name="40% - Accent1 4 2 3 4 2" xfId="14299" xr:uid="{00000000-0005-0000-0000-0000062E0000}"/>
    <cellStyle name="40% - Accent1 4 2 3 4 2 2" xfId="38141" xr:uid="{37407FB6-3AA7-456A-8A9B-F3618843E56D}"/>
    <cellStyle name="40% - Accent1 4 2 3 4 3" xfId="22246" xr:uid="{00000000-0005-0000-0000-0000072E0000}"/>
    <cellStyle name="40% - Accent1 4 2 3 4 3 2" xfId="46078" xr:uid="{9A73861C-9F6B-4B89-BFBF-14AF5C4D13B0}"/>
    <cellStyle name="40% - Accent1 4 2 3 4 4" xfId="30200" xr:uid="{37C72442-5273-4220-A16F-A508023CD240}"/>
    <cellStyle name="40% - Accent1 4 2 3 5" xfId="9867" xr:uid="{00000000-0005-0000-0000-0000082E0000}"/>
    <cellStyle name="40% - Accent1 4 2 3 5 2" xfId="17825" xr:uid="{00000000-0005-0000-0000-0000092E0000}"/>
    <cellStyle name="40% - Accent1 4 2 3 5 2 2" xfId="41665" xr:uid="{20A4B931-5517-42FC-9A6D-FD0273012774}"/>
    <cellStyle name="40% - Accent1 4 2 3 5 3" xfId="25769" xr:uid="{00000000-0005-0000-0000-00000A2E0000}"/>
    <cellStyle name="40% - Accent1 4 2 3 5 3 2" xfId="49601" xr:uid="{8723D959-6323-4E56-BC39-941CE8CCF797}"/>
    <cellStyle name="40% - Accent1 4 2 3 5 4" xfId="33724" xr:uid="{DE6D472E-4B81-4E31-873F-F6F9D6A40A0B}"/>
    <cellStyle name="40% - Accent1 4 2 3 6" xfId="10763" xr:uid="{00000000-0005-0000-0000-00000B2E0000}"/>
    <cellStyle name="40% - Accent1 4 2 3 6 2" xfId="34612" xr:uid="{432EDFCA-AE75-46F9-B257-A0FAA0488A7A}"/>
    <cellStyle name="40% - Accent1 4 2 3 7" xfId="18718" xr:uid="{00000000-0005-0000-0000-00000C2E0000}"/>
    <cellStyle name="40% - Accent1 4 2 3 7 2" xfId="42550" xr:uid="{75993D4F-524E-4600-AE43-DA532F9D6EE2}"/>
    <cellStyle name="40% - Accent1 4 2 3 8" xfId="26670" xr:uid="{E176C70B-2EC5-4CD1-AF72-932273EA3A8C}"/>
    <cellStyle name="40% - Accent1 4 2 3_Exh G" xfId="2746" xr:uid="{00000000-0005-0000-0000-00000D2E0000}"/>
    <cellStyle name="40% - Accent1 4 2 4" xfId="1382" xr:uid="{00000000-0005-0000-0000-00000E2E0000}"/>
    <cellStyle name="40% - Accent1 4 2 4 2" xfId="4909" xr:uid="{00000000-0005-0000-0000-00000F2E0000}"/>
    <cellStyle name="40% - Accent1 4 2 4 2 2" xfId="8500" xr:uid="{00000000-0005-0000-0000-0000102E0000}"/>
    <cellStyle name="40% - Accent1 4 2 4 2 2 2" xfId="16470" xr:uid="{00000000-0005-0000-0000-0000112E0000}"/>
    <cellStyle name="40% - Accent1 4 2 4 2 2 2 2" xfId="40312" xr:uid="{DE614F41-0484-402E-AC64-A92A0ADEB7E0}"/>
    <cellStyle name="40% - Accent1 4 2 4 2 2 3" xfId="24416" xr:uid="{00000000-0005-0000-0000-0000122E0000}"/>
    <cellStyle name="40% - Accent1 4 2 4 2 2 3 2" xfId="48248" xr:uid="{F89DC565-FCC4-4163-8A42-503E687FB310}"/>
    <cellStyle name="40% - Accent1 4 2 4 2 2 4" xfId="32371" xr:uid="{57FCEB0F-85A0-44E3-90B1-D1BE9EB4AE51}"/>
    <cellStyle name="40% - Accent1 4 2 4 2 3" xfId="12932" xr:uid="{00000000-0005-0000-0000-0000132E0000}"/>
    <cellStyle name="40% - Accent1 4 2 4 2 3 2" xfId="36781" xr:uid="{507BF25F-D043-4C99-9DCC-F409E2130C63}"/>
    <cellStyle name="40% - Accent1 4 2 4 2 4" xfId="20887" xr:uid="{00000000-0005-0000-0000-0000142E0000}"/>
    <cellStyle name="40% - Accent1 4 2 4 2 4 2" xfId="44719" xr:uid="{AA7C9970-76D0-4EF0-8B40-817C2AEEE2B3}"/>
    <cellStyle name="40% - Accent1 4 2 4 2 5" xfId="28840" xr:uid="{2B39030B-EA7A-4D01-948C-62F047DE1924}"/>
    <cellStyle name="40% - Accent1 4 2 4 3" xfId="6741" xr:uid="{00000000-0005-0000-0000-0000152E0000}"/>
    <cellStyle name="40% - Accent1 4 2 4 3 2" xfId="14712" xr:uid="{00000000-0005-0000-0000-0000162E0000}"/>
    <cellStyle name="40% - Accent1 4 2 4 3 2 2" xfId="38554" xr:uid="{8AECF963-F808-4E3D-88E1-EE9F5855BC08}"/>
    <cellStyle name="40% - Accent1 4 2 4 3 3" xfId="22659" xr:uid="{00000000-0005-0000-0000-0000172E0000}"/>
    <cellStyle name="40% - Accent1 4 2 4 3 3 2" xfId="46491" xr:uid="{2F53A9EC-ABFE-4566-A9FF-E3E2878EA027}"/>
    <cellStyle name="40% - Accent1 4 2 4 3 4" xfId="30613" xr:uid="{959E1A58-262D-43B3-9921-40B95C224F75}"/>
    <cellStyle name="40% - Accent1 4 2 4 4" xfId="11176" xr:uid="{00000000-0005-0000-0000-0000182E0000}"/>
    <cellStyle name="40% - Accent1 4 2 4 4 2" xfId="35025" xr:uid="{95409BC9-59E7-472E-A9B4-D9D006776F68}"/>
    <cellStyle name="40% - Accent1 4 2 4 5" xfId="19131" xr:uid="{00000000-0005-0000-0000-0000192E0000}"/>
    <cellStyle name="40% - Accent1 4 2 4 5 2" xfId="42963" xr:uid="{F8B644B3-82F3-480B-A17F-701FEB90D326}"/>
    <cellStyle name="40% - Accent1 4 2 4 6" xfId="27083" xr:uid="{E43C0CBB-B236-48BF-BF60-18F1066BEE66}"/>
    <cellStyle name="40% - Accent1 4 2 4_Exh G" xfId="2748" xr:uid="{00000000-0005-0000-0000-00001A2E0000}"/>
    <cellStyle name="40% - Accent1 4 2 5" xfId="4030" xr:uid="{00000000-0005-0000-0000-00001B2E0000}"/>
    <cellStyle name="40% - Accent1 4 2 5 2" xfId="7622" xr:uid="{00000000-0005-0000-0000-00001C2E0000}"/>
    <cellStyle name="40% - Accent1 4 2 5 2 2" xfId="15592" xr:uid="{00000000-0005-0000-0000-00001D2E0000}"/>
    <cellStyle name="40% - Accent1 4 2 5 2 2 2" xfId="39434" xr:uid="{F26C1010-5465-475B-AF59-19F4ADEE4921}"/>
    <cellStyle name="40% - Accent1 4 2 5 2 3" xfId="23538" xr:uid="{00000000-0005-0000-0000-00001E2E0000}"/>
    <cellStyle name="40% - Accent1 4 2 5 2 3 2" xfId="47370" xr:uid="{8E808D66-AF9C-465A-927B-2E8F7762AAED}"/>
    <cellStyle name="40% - Accent1 4 2 5 2 4" xfId="31493" xr:uid="{3324368B-B4D1-4968-B34D-A42492F2602A}"/>
    <cellStyle name="40% - Accent1 4 2 5 3" xfId="12054" xr:uid="{00000000-0005-0000-0000-00001F2E0000}"/>
    <cellStyle name="40% - Accent1 4 2 5 3 2" xfId="35903" xr:uid="{8D2FAF3A-06CC-4CD2-90FE-C9E901652FAC}"/>
    <cellStyle name="40% - Accent1 4 2 5 4" xfId="20009" xr:uid="{00000000-0005-0000-0000-0000202E0000}"/>
    <cellStyle name="40% - Accent1 4 2 5 4 2" xfId="43841" xr:uid="{C268BE00-760D-4387-9E82-23EE1089E69A}"/>
    <cellStyle name="40% - Accent1 4 2 5 5" xfId="27962" xr:uid="{19F21882-8FDD-4BA4-8C6C-923B0743E8CD}"/>
    <cellStyle name="40% - Accent1 4 2 6" xfId="5850" xr:uid="{00000000-0005-0000-0000-0000212E0000}"/>
    <cellStyle name="40% - Accent1 4 2 6 2" xfId="13833" xr:uid="{00000000-0005-0000-0000-0000222E0000}"/>
    <cellStyle name="40% - Accent1 4 2 6 2 2" xfId="37676" xr:uid="{887CB0D3-608B-4868-8AF3-B1C1988BADE4}"/>
    <cellStyle name="40% - Accent1 4 2 6 3" xfId="21781" xr:uid="{00000000-0005-0000-0000-0000232E0000}"/>
    <cellStyle name="40% - Accent1 4 2 6 3 2" xfId="45613" xr:uid="{90EA8E07-242F-4CA2-A817-DCA2A2830981}"/>
    <cellStyle name="40% - Accent1 4 2 6 4" xfId="29735" xr:uid="{0DCF0552-A1AA-482E-B339-1E5021DC2C21}"/>
    <cellStyle name="40% - Accent1 4 2 7" xfId="9402" xr:uid="{00000000-0005-0000-0000-0000242E0000}"/>
    <cellStyle name="40% - Accent1 4 2 7 2" xfId="17360" xr:uid="{00000000-0005-0000-0000-0000252E0000}"/>
    <cellStyle name="40% - Accent1 4 2 7 2 2" xfId="41200" xr:uid="{C5AD02D6-0264-4501-AFA9-E4549A413A97}"/>
    <cellStyle name="40% - Accent1 4 2 7 3" xfId="25304" xr:uid="{00000000-0005-0000-0000-0000262E0000}"/>
    <cellStyle name="40% - Accent1 4 2 7 3 2" xfId="49136" xr:uid="{6A062312-3F21-4188-A123-15BB377BE11B}"/>
    <cellStyle name="40% - Accent1 4 2 7 4" xfId="33259" xr:uid="{53E24515-2577-4A80-B67E-7C7B693296CB}"/>
    <cellStyle name="40% - Accent1 4 2 8" xfId="10298" xr:uid="{00000000-0005-0000-0000-0000272E0000}"/>
    <cellStyle name="40% - Accent1 4 2 8 2" xfId="34147" xr:uid="{AEAB8B87-5C69-4B89-9C8E-80CBFBF0FFD1}"/>
    <cellStyle name="40% - Accent1 4 2 9" xfId="18253" xr:uid="{00000000-0005-0000-0000-0000282E0000}"/>
    <cellStyle name="40% - Accent1 4 2 9 2" xfId="42085" xr:uid="{B67FC8CD-DEF5-43E8-BEE3-1ECB60534B49}"/>
    <cellStyle name="40% - Accent1 4 2_Exh G" xfId="2743" xr:uid="{00000000-0005-0000-0000-0000292E0000}"/>
    <cellStyle name="40% - Accent1 4 3" xfId="358" xr:uid="{00000000-0005-0000-0000-00002A2E0000}"/>
    <cellStyle name="40% - Accent1 4 3 2" xfId="1384" xr:uid="{00000000-0005-0000-0000-00002B2E0000}"/>
    <cellStyle name="40% - Accent1 4 3 2 2" xfId="4911" xr:uid="{00000000-0005-0000-0000-00002C2E0000}"/>
    <cellStyle name="40% - Accent1 4 3 2 2 2" xfId="8502" xr:uid="{00000000-0005-0000-0000-00002D2E0000}"/>
    <cellStyle name="40% - Accent1 4 3 2 2 2 2" xfId="16472" xr:uid="{00000000-0005-0000-0000-00002E2E0000}"/>
    <cellStyle name="40% - Accent1 4 3 2 2 2 2 2" xfId="40314" xr:uid="{536A271F-543D-4409-B31D-B59435BAFDB1}"/>
    <cellStyle name="40% - Accent1 4 3 2 2 2 3" xfId="24418" xr:uid="{00000000-0005-0000-0000-00002F2E0000}"/>
    <cellStyle name="40% - Accent1 4 3 2 2 2 3 2" xfId="48250" xr:uid="{F0C7C8F1-1F87-427E-8B38-D959408BFDE5}"/>
    <cellStyle name="40% - Accent1 4 3 2 2 2 4" xfId="32373" xr:uid="{0FA2EF1E-F6FC-4619-BAB8-15585FB12429}"/>
    <cellStyle name="40% - Accent1 4 3 2 2 3" xfId="12934" xr:uid="{00000000-0005-0000-0000-0000302E0000}"/>
    <cellStyle name="40% - Accent1 4 3 2 2 3 2" xfId="36783" xr:uid="{65907683-7A6D-4D08-904B-AA454B0BADB2}"/>
    <cellStyle name="40% - Accent1 4 3 2 2 4" xfId="20889" xr:uid="{00000000-0005-0000-0000-0000312E0000}"/>
    <cellStyle name="40% - Accent1 4 3 2 2 4 2" xfId="44721" xr:uid="{FA7F0B4A-B57E-4D83-BB2B-04993C413684}"/>
    <cellStyle name="40% - Accent1 4 3 2 2 5" xfId="28842" xr:uid="{335449B1-6F48-49B6-92A2-3114C844F136}"/>
    <cellStyle name="40% - Accent1 4 3 2 3" xfId="6743" xr:uid="{00000000-0005-0000-0000-0000322E0000}"/>
    <cellStyle name="40% - Accent1 4 3 2 3 2" xfId="14714" xr:uid="{00000000-0005-0000-0000-0000332E0000}"/>
    <cellStyle name="40% - Accent1 4 3 2 3 2 2" xfId="38556" xr:uid="{C19B7709-DA43-4DA1-B94C-502BF4E3E94F}"/>
    <cellStyle name="40% - Accent1 4 3 2 3 3" xfId="22661" xr:uid="{00000000-0005-0000-0000-0000342E0000}"/>
    <cellStyle name="40% - Accent1 4 3 2 3 3 2" xfId="46493" xr:uid="{5D0A5B88-A36E-45B3-8852-79B3BA4C96C1}"/>
    <cellStyle name="40% - Accent1 4 3 2 3 4" xfId="30615" xr:uid="{14A330B1-CDD3-4561-AFB6-5DA2AC71F00C}"/>
    <cellStyle name="40% - Accent1 4 3 2 4" xfId="11178" xr:uid="{00000000-0005-0000-0000-0000352E0000}"/>
    <cellStyle name="40% - Accent1 4 3 2 4 2" xfId="35027" xr:uid="{4D0261E2-C4D8-43A0-A460-B525B5890B6C}"/>
    <cellStyle name="40% - Accent1 4 3 2 5" xfId="19133" xr:uid="{00000000-0005-0000-0000-0000362E0000}"/>
    <cellStyle name="40% - Accent1 4 3 2 5 2" xfId="42965" xr:uid="{78B9C065-7E76-4F75-8E11-496F24BE5F18}"/>
    <cellStyle name="40% - Accent1 4 3 2 6" xfId="27085" xr:uid="{CAFC2F7B-0732-4835-BA6A-99424F8AADB2}"/>
    <cellStyle name="40% - Accent1 4 3 2_Exh G" xfId="2750" xr:uid="{00000000-0005-0000-0000-0000372E0000}"/>
    <cellStyle name="40% - Accent1 4 3 3" xfId="4032" xr:uid="{00000000-0005-0000-0000-0000382E0000}"/>
    <cellStyle name="40% - Accent1 4 3 3 2" xfId="7624" xr:uid="{00000000-0005-0000-0000-0000392E0000}"/>
    <cellStyle name="40% - Accent1 4 3 3 2 2" xfId="15594" xr:uid="{00000000-0005-0000-0000-00003A2E0000}"/>
    <cellStyle name="40% - Accent1 4 3 3 2 2 2" xfId="39436" xr:uid="{690D1705-C8C5-4DC3-BCBA-30883A46ECD1}"/>
    <cellStyle name="40% - Accent1 4 3 3 2 3" xfId="23540" xr:uid="{00000000-0005-0000-0000-00003B2E0000}"/>
    <cellStyle name="40% - Accent1 4 3 3 2 3 2" xfId="47372" xr:uid="{C2AB2407-CA94-4A6A-8CD7-F272CB75FBD3}"/>
    <cellStyle name="40% - Accent1 4 3 3 2 4" xfId="31495" xr:uid="{53190FCB-D0CD-45F8-84DA-206983EB8FC1}"/>
    <cellStyle name="40% - Accent1 4 3 3 3" xfId="12056" xr:uid="{00000000-0005-0000-0000-00003C2E0000}"/>
    <cellStyle name="40% - Accent1 4 3 3 3 2" xfId="35905" xr:uid="{B2A79AE5-6C89-471A-BE34-4DB5D61C7D99}"/>
    <cellStyle name="40% - Accent1 4 3 3 4" xfId="20011" xr:uid="{00000000-0005-0000-0000-00003D2E0000}"/>
    <cellStyle name="40% - Accent1 4 3 3 4 2" xfId="43843" xr:uid="{E51E97BB-53F5-4D3D-908C-C5BB9746FD63}"/>
    <cellStyle name="40% - Accent1 4 3 3 5" xfId="27964" xr:uid="{4A369DAE-A063-488A-A6C4-8838E2614A12}"/>
    <cellStyle name="40% - Accent1 4 3 4" xfId="5852" xr:uid="{00000000-0005-0000-0000-00003E2E0000}"/>
    <cellStyle name="40% - Accent1 4 3 4 2" xfId="13835" xr:uid="{00000000-0005-0000-0000-00003F2E0000}"/>
    <cellStyle name="40% - Accent1 4 3 4 2 2" xfId="37678" xr:uid="{E078E483-C919-4923-B9C0-AFF8A4FF89A3}"/>
    <cellStyle name="40% - Accent1 4 3 4 3" xfId="21783" xr:uid="{00000000-0005-0000-0000-0000402E0000}"/>
    <cellStyle name="40% - Accent1 4 3 4 3 2" xfId="45615" xr:uid="{4C34C3EE-CEE3-4BF3-AF31-5F028028578A}"/>
    <cellStyle name="40% - Accent1 4 3 4 4" xfId="29737" xr:uid="{92BDD455-9D8B-42DD-9DC8-1C4F543B5ED3}"/>
    <cellStyle name="40% - Accent1 4 3 5" xfId="9404" xr:uid="{00000000-0005-0000-0000-0000412E0000}"/>
    <cellStyle name="40% - Accent1 4 3 5 2" xfId="17362" xr:uid="{00000000-0005-0000-0000-0000422E0000}"/>
    <cellStyle name="40% - Accent1 4 3 5 2 2" xfId="41202" xr:uid="{2E3575A6-2DA7-4EF0-BD0D-BC5F963C699C}"/>
    <cellStyle name="40% - Accent1 4 3 5 3" xfId="25306" xr:uid="{00000000-0005-0000-0000-0000432E0000}"/>
    <cellStyle name="40% - Accent1 4 3 5 3 2" xfId="49138" xr:uid="{C0D9BF74-E0F3-44C2-9186-BCA693BBF73F}"/>
    <cellStyle name="40% - Accent1 4 3 5 4" xfId="33261" xr:uid="{CD442C0A-E488-4BD6-89FC-A37335286641}"/>
    <cellStyle name="40% - Accent1 4 3 6" xfId="10300" xr:uid="{00000000-0005-0000-0000-0000442E0000}"/>
    <cellStyle name="40% - Accent1 4 3 6 2" xfId="34149" xr:uid="{6846EB11-7B8A-480C-BC02-E372CAC40817}"/>
    <cellStyle name="40% - Accent1 4 3 7" xfId="18255" xr:uid="{00000000-0005-0000-0000-0000452E0000}"/>
    <cellStyle name="40% - Accent1 4 3 7 2" xfId="42087" xr:uid="{23EB82AA-FFE9-47C4-920B-2EDFB66AA567}"/>
    <cellStyle name="40% - Accent1 4 3 8" xfId="26207" xr:uid="{36D311BC-E08E-4CFC-982A-C9E0C0B6D79D}"/>
    <cellStyle name="40% - Accent1 4 3_Exh G" xfId="2749" xr:uid="{00000000-0005-0000-0000-0000462E0000}"/>
    <cellStyle name="40% - Accent1 4 4" xfId="936" xr:uid="{00000000-0005-0000-0000-0000472E0000}"/>
    <cellStyle name="40% - Accent1 4 4 2" xfId="1856" xr:uid="{00000000-0005-0000-0000-0000482E0000}"/>
    <cellStyle name="40% - Accent1 4 4 2 2" xfId="5373" xr:uid="{00000000-0005-0000-0000-0000492E0000}"/>
    <cellStyle name="40% - Accent1 4 4 2 2 2" xfId="8964" xr:uid="{00000000-0005-0000-0000-00004A2E0000}"/>
    <cellStyle name="40% - Accent1 4 4 2 2 2 2" xfId="16934" xr:uid="{00000000-0005-0000-0000-00004B2E0000}"/>
    <cellStyle name="40% - Accent1 4 4 2 2 2 2 2" xfId="40776" xr:uid="{E6E8E236-40BB-4726-B84F-F124374FDEBB}"/>
    <cellStyle name="40% - Accent1 4 4 2 2 2 3" xfId="24880" xr:uid="{00000000-0005-0000-0000-00004C2E0000}"/>
    <cellStyle name="40% - Accent1 4 4 2 2 2 3 2" xfId="48712" xr:uid="{A37742AD-5489-4722-A6DA-234F32F4B073}"/>
    <cellStyle name="40% - Accent1 4 4 2 2 2 4" xfId="32835" xr:uid="{C3320492-3870-431D-B251-DF2036E52574}"/>
    <cellStyle name="40% - Accent1 4 4 2 2 3" xfId="13396" xr:uid="{00000000-0005-0000-0000-00004D2E0000}"/>
    <cellStyle name="40% - Accent1 4 4 2 2 3 2" xfId="37245" xr:uid="{B16FA946-76B7-4A89-9B61-D99483A81340}"/>
    <cellStyle name="40% - Accent1 4 4 2 2 4" xfId="21351" xr:uid="{00000000-0005-0000-0000-00004E2E0000}"/>
    <cellStyle name="40% - Accent1 4 4 2 2 4 2" xfId="45183" xr:uid="{5BB486CB-37C5-45F8-A978-E76CC03437C3}"/>
    <cellStyle name="40% - Accent1 4 4 2 2 5" xfId="29304" xr:uid="{098A8C1B-C58C-4A59-A6FA-2A334844D991}"/>
    <cellStyle name="40% - Accent1 4 4 2 3" xfId="7205" xr:uid="{00000000-0005-0000-0000-00004F2E0000}"/>
    <cellStyle name="40% - Accent1 4 4 2 3 2" xfId="15176" xr:uid="{00000000-0005-0000-0000-0000502E0000}"/>
    <cellStyle name="40% - Accent1 4 4 2 3 2 2" xfId="39018" xr:uid="{092C8516-78E6-47E0-8497-5068FC50BDCE}"/>
    <cellStyle name="40% - Accent1 4 4 2 3 3" xfId="23123" xr:uid="{00000000-0005-0000-0000-0000512E0000}"/>
    <cellStyle name="40% - Accent1 4 4 2 3 3 2" xfId="46955" xr:uid="{34666B23-A0A7-479E-A358-2AB24D2D4A11}"/>
    <cellStyle name="40% - Accent1 4 4 2 3 4" xfId="31077" xr:uid="{9142E8FA-C98B-4107-ABD9-A37ED2444869}"/>
    <cellStyle name="40% - Accent1 4 4 2 4" xfId="11640" xr:uid="{00000000-0005-0000-0000-0000522E0000}"/>
    <cellStyle name="40% - Accent1 4 4 2 4 2" xfId="35489" xr:uid="{8212AC0F-A038-4BDD-B84B-0A9A2EF0DA54}"/>
    <cellStyle name="40% - Accent1 4 4 2 5" xfId="19595" xr:uid="{00000000-0005-0000-0000-0000532E0000}"/>
    <cellStyle name="40% - Accent1 4 4 2 5 2" xfId="43427" xr:uid="{03103247-18A5-440C-AD3A-45B93AE7BE26}"/>
    <cellStyle name="40% - Accent1 4 4 2 6" xfId="27547" xr:uid="{E815F873-8BA9-4F89-9D6C-82812B6F377F}"/>
    <cellStyle name="40% - Accent1 4 4 2_Exh G" xfId="2752" xr:uid="{00000000-0005-0000-0000-0000542E0000}"/>
    <cellStyle name="40% - Accent1 4 4 3" xfId="4494" xr:uid="{00000000-0005-0000-0000-0000552E0000}"/>
    <cellStyle name="40% - Accent1 4 4 3 2" xfId="8086" xr:uid="{00000000-0005-0000-0000-0000562E0000}"/>
    <cellStyle name="40% - Accent1 4 4 3 2 2" xfId="16056" xr:uid="{00000000-0005-0000-0000-0000572E0000}"/>
    <cellStyle name="40% - Accent1 4 4 3 2 2 2" xfId="39898" xr:uid="{B2C196D1-65F1-4893-BCB7-30300D1A157D}"/>
    <cellStyle name="40% - Accent1 4 4 3 2 3" xfId="24002" xr:uid="{00000000-0005-0000-0000-0000582E0000}"/>
    <cellStyle name="40% - Accent1 4 4 3 2 3 2" xfId="47834" xr:uid="{95FAD7BF-99D7-42A8-B6B1-89BC4C2D312F}"/>
    <cellStyle name="40% - Accent1 4 4 3 2 4" xfId="31957" xr:uid="{D53EB632-64B0-4958-A2BB-1C51FF73D898}"/>
    <cellStyle name="40% - Accent1 4 4 3 3" xfId="12518" xr:uid="{00000000-0005-0000-0000-0000592E0000}"/>
    <cellStyle name="40% - Accent1 4 4 3 3 2" xfId="36367" xr:uid="{055659CA-8167-4D7F-B2CD-30551B20C691}"/>
    <cellStyle name="40% - Accent1 4 4 3 4" xfId="20473" xr:uid="{00000000-0005-0000-0000-00005A2E0000}"/>
    <cellStyle name="40% - Accent1 4 4 3 4 2" xfId="44305" xr:uid="{8DCC20A4-073A-4C8D-BFC5-D3A4C10AFFFF}"/>
    <cellStyle name="40% - Accent1 4 4 3 5" xfId="28426" xr:uid="{6CF82CDA-F9B5-42A5-883C-8CBC43457C29}"/>
    <cellStyle name="40% - Accent1 4 4 4" xfId="6324" xr:uid="{00000000-0005-0000-0000-00005B2E0000}"/>
    <cellStyle name="40% - Accent1 4 4 4 2" xfId="14298" xr:uid="{00000000-0005-0000-0000-00005C2E0000}"/>
    <cellStyle name="40% - Accent1 4 4 4 2 2" xfId="38140" xr:uid="{21E27E65-AA14-497C-ABF1-E1AF8E6A3D56}"/>
    <cellStyle name="40% - Accent1 4 4 4 3" xfId="22245" xr:uid="{00000000-0005-0000-0000-00005D2E0000}"/>
    <cellStyle name="40% - Accent1 4 4 4 3 2" xfId="46077" xr:uid="{83AA426B-5484-4FA0-97E6-F1E7E63B6CBE}"/>
    <cellStyle name="40% - Accent1 4 4 4 4" xfId="30199" xr:uid="{EA3D3C94-7964-4F85-B46C-D649283AA7C6}"/>
    <cellStyle name="40% - Accent1 4 4 5" xfId="9866" xr:uid="{00000000-0005-0000-0000-00005E2E0000}"/>
    <cellStyle name="40% - Accent1 4 4 5 2" xfId="17824" xr:uid="{00000000-0005-0000-0000-00005F2E0000}"/>
    <cellStyle name="40% - Accent1 4 4 5 2 2" xfId="41664" xr:uid="{507062B6-03BF-4645-A596-228B01A8693A}"/>
    <cellStyle name="40% - Accent1 4 4 5 3" xfId="25768" xr:uid="{00000000-0005-0000-0000-0000602E0000}"/>
    <cellStyle name="40% - Accent1 4 4 5 3 2" xfId="49600" xr:uid="{18E0BEF4-2F7B-4838-8EED-880877BF93F2}"/>
    <cellStyle name="40% - Accent1 4 4 5 4" xfId="33723" xr:uid="{7C54996E-1D7B-4DEF-92A9-E40A4F74D535}"/>
    <cellStyle name="40% - Accent1 4 4 6" xfId="10762" xr:uid="{00000000-0005-0000-0000-0000612E0000}"/>
    <cellStyle name="40% - Accent1 4 4 6 2" xfId="34611" xr:uid="{254A172E-5334-450B-A63D-31FE5B27D008}"/>
    <cellStyle name="40% - Accent1 4 4 7" xfId="18717" xr:uid="{00000000-0005-0000-0000-0000622E0000}"/>
    <cellStyle name="40% - Accent1 4 4 7 2" xfId="42549" xr:uid="{E7D9F90F-3622-47A1-8CDE-955B79377083}"/>
    <cellStyle name="40% - Accent1 4 4 8" xfId="26669" xr:uid="{5EAD28B1-9781-46B9-9D19-FBBB3A9B205C}"/>
    <cellStyle name="40% - Accent1 4 4_Exh G" xfId="2751" xr:uid="{00000000-0005-0000-0000-0000632E0000}"/>
    <cellStyle name="40% - Accent1 4 5" xfId="1381" xr:uid="{00000000-0005-0000-0000-0000642E0000}"/>
    <cellStyle name="40% - Accent1 4 5 2" xfId="4908" xr:uid="{00000000-0005-0000-0000-0000652E0000}"/>
    <cellStyle name="40% - Accent1 4 5 2 2" xfId="8499" xr:uid="{00000000-0005-0000-0000-0000662E0000}"/>
    <cellStyle name="40% - Accent1 4 5 2 2 2" xfId="16469" xr:uid="{00000000-0005-0000-0000-0000672E0000}"/>
    <cellStyle name="40% - Accent1 4 5 2 2 2 2" xfId="40311" xr:uid="{645BE98A-6A27-4A17-9710-7BBFDA86C655}"/>
    <cellStyle name="40% - Accent1 4 5 2 2 3" xfId="24415" xr:uid="{00000000-0005-0000-0000-0000682E0000}"/>
    <cellStyle name="40% - Accent1 4 5 2 2 3 2" xfId="48247" xr:uid="{9EF3FD99-0CF0-4F3E-87A4-824355921F43}"/>
    <cellStyle name="40% - Accent1 4 5 2 2 4" xfId="32370" xr:uid="{06F119AF-A864-40C2-BECE-B91898B2AE74}"/>
    <cellStyle name="40% - Accent1 4 5 2 3" xfId="12931" xr:uid="{00000000-0005-0000-0000-0000692E0000}"/>
    <cellStyle name="40% - Accent1 4 5 2 3 2" xfId="36780" xr:uid="{92A76402-2096-4816-9A31-5A010897CB07}"/>
    <cellStyle name="40% - Accent1 4 5 2 4" xfId="20886" xr:uid="{00000000-0005-0000-0000-00006A2E0000}"/>
    <cellStyle name="40% - Accent1 4 5 2 4 2" xfId="44718" xr:uid="{90A2F6B3-3B39-41B0-9E8C-AB4DD771BEA2}"/>
    <cellStyle name="40% - Accent1 4 5 2 5" xfId="28839" xr:uid="{DAAA31D3-AE92-4B06-AC91-BD03709AD2E1}"/>
    <cellStyle name="40% - Accent1 4 5 3" xfId="6740" xr:uid="{00000000-0005-0000-0000-00006B2E0000}"/>
    <cellStyle name="40% - Accent1 4 5 3 2" xfId="14711" xr:uid="{00000000-0005-0000-0000-00006C2E0000}"/>
    <cellStyle name="40% - Accent1 4 5 3 2 2" xfId="38553" xr:uid="{A2FE45BB-7E9A-4D2B-8546-96A4CAD33C9D}"/>
    <cellStyle name="40% - Accent1 4 5 3 3" xfId="22658" xr:uid="{00000000-0005-0000-0000-00006D2E0000}"/>
    <cellStyle name="40% - Accent1 4 5 3 3 2" xfId="46490" xr:uid="{D8F56105-58EE-4F0F-9FE0-0A65A2E24ABE}"/>
    <cellStyle name="40% - Accent1 4 5 3 4" xfId="30612" xr:uid="{6D92D145-F404-4F35-90BB-BC227FD6E4B4}"/>
    <cellStyle name="40% - Accent1 4 5 4" xfId="11175" xr:uid="{00000000-0005-0000-0000-00006E2E0000}"/>
    <cellStyle name="40% - Accent1 4 5 4 2" xfId="35024" xr:uid="{3E357D49-7853-4D32-836B-82F350AE6801}"/>
    <cellStyle name="40% - Accent1 4 5 5" xfId="19130" xr:uid="{00000000-0005-0000-0000-00006F2E0000}"/>
    <cellStyle name="40% - Accent1 4 5 5 2" xfId="42962" xr:uid="{EACB39D7-5217-4831-AD49-F9DC2F5F97AD}"/>
    <cellStyle name="40% - Accent1 4 5 6" xfId="27082" xr:uid="{F00368F9-6D2D-40B9-8F63-F63AF290A5B5}"/>
    <cellStyle name="40% - Accent1 4 5_Exh G" xfId="2753" xr:uid="{00000000-0005-0000-0000-0000702E0000}"/>
    <cellStyle name="40% - Accent1 4 6" xfId="4029" xr:uid="{00000000-0005-0000-0000-0000712E0000}"/>
    <cellStyle name="40% - Accent1 4 6 2" xfId="7621" xr:uid="{00000000-0005-0000-0000-0000722E0000}"/>
    <cellStyle name="40% - Accent1 4 6 2 2" xfId="15591" xr:uid="{00000000-0005-0000-0000-0000732E0000}"/>
    <cellStyle name="40% - Accent1 4 6 2 2 2" xfId="39433" xr:uid="{20CC9A01-8956-4D2D-8B28-A0914A621B3D}"/>
    <cellStyle name="40% - Accent1 4 6 2 3" xfId="23537" xr:uid="{00000000-0005-0000-0000-0000742E0000}"/>
    <cellStyle name="40% - Accent1 4 6 2 3 2" xfId="47369" xr:uid="{DBD9B328-26E6-48B2-AE4F-DDCF2A988F52}"/>
    <cellStyle name="40% - Accent1 4 6 2 4" xfId="31492" xr:uid="{1AB7D069-6FCC-49EA-84E4-0BE6A5FF60DE}"/>
    <cellStyle name="40% - Accent1 4 6 3" xfId="12053" xr:uid="{00000000-0005-0000-0000-0000752E0000}"/>
    <cellStyle name="40% - Accent1 4 6 3 2" xfId="35902" xr:uid="{E2A8BE3C-1477-4B25-BDB5-9D16FB95E2B1}"/>
    <cellStyle name="40% - Accent1 4 6 4" xfId="20008" xr:uid="{00000000-0005-0000-0000-0000762E0000}"/>
    <cellStyle name="40% - Accent1 4 6 4 2" xfId="43840" xr:uid="{BE732CDC-20E6-4B2F-8236-627734D3001F}"/>
    <cellStyle name="40% - Accent1 4 6 5" xfId="27961" xr:uid="{58873098-1ABD-4519-8347-D26F06E07AE5}"/>
    <cellStyle name="40% - Accent1 4 7" xfId="5849" xr:uid="{00000000-0005-0000-0000-0000772E0000}"/>
    <cellStyle name="40% - Accent1 4 7 2" xfId="13832" xr:uid="{00000000-0005-0000-0000-0000782E0000}"/>
    <cellStyle name="40% - Accent1 4 7 2 2" xfId="37675" xr:uid="{0289BFCC-3215-4E91-8488-E5CEC9E00E68}"/>
    <cellStyle name="40% - Accent1 4 7 3" xfId="21780" xr:uid="{00000000-0005-0000-0000-0000792E0000}"/>
    <cellStyle name="40% - Accent1 4 7 3 2" xfId="45612" xr:uid="{B1A24B12-36B5-4CC1-95F9-DCA4F584B335}"/>
    <cellStyle name="40% - Accent1 4 7 4" xfId="29734" xr:uid="{953970AC-1FC7-40D3-A431-CF479C8CE656}"/>
    <cellStyle name="40% - Accent1 4 8" xfId="9401" xr:uid="{00000000-0005-0000-0000-00007A2E0000}"/>
    <cellStyle name="40% - Accent1 4 8 2" xfId="17359" xr:uid="{00000000-0005-0000-0000-00007B2E0000}"/>
    <cellStyle name="40% - Accent1 4 8 2 2" xfId="41199" xr:uid="{BA53BECC-8812-4974-B269-86A5B7958161}"/>
    <cellStyle name="40% - Accent1 4 8 3" xfId="25303" xr:uid="{00000000-0005-0000-0000-00007C2E0000}"/>
    <cellStyle name="40% - Accent1 4 8 3 2" xfId="49135" xr:uid="{2D791C13-06D2-496A-895B-37F861461450}"/>
    <cellStyle name="40% - Accent1 4 8 4" xfId="33258" xr:uid="{2EBE095F-F217-483F-B12E-F8E012449002}"/>
    <cellStyle name="40% - Accent1 4 9" xfId="10297" xr:uid="{00000000-0005-0000-0000-00007D2E0000}"/>
    <cellStyle name="40% - Accent1 4 9 2" xfId="34146" xr:uid="{189B4545-46EA-415D-8AD3-65D83B56AB38}"/>
    <cellStyle name="40% - Accent1 4_Exh G" xfId="2742" xr:uid="{00000000-0005-0000-0000-00007E2E0000}"/>
    <cellStyle name="40% - Accent1 5" xfId="359" xr:uid="{00000000-0005-0000-0000-00007F2E0000}"/>
    <cellStyle name="40% - Accent1 5 10" xfId="18256" xr:uid="{00000000-0005-0000-0000-0000802E0000}"/>
    <cellStyle name="40% - Accent1 5 10 2" xfId="42088" xr:uid="{01F4F4E9-2C8A-4B6A-817F-AA85FA0A317F}"/>
    <cellStyle name="40% - Accent1 5 11" xfId="26208" xr:uid="{3E2D2862-BCF1-44D8-AFD2-47F9DA801A61}"/>
    <cellStyle name="40% - Accent1 5 2" xfId="360" xr:uid="{00000000-0005-0000-0000-0000812E0000}"/>
    <cellStyle name="40% - Accent1 5 2 2" xfId="361" xr:uid="{00000000-0005-0000-0000-0000822E0000}"/>
    <cellStyle name="40% - Accent1 5 2 2 2" xfId="1387" xr:uid="{00000000-0005-0000-0000-0000832E0000}"/>
    <cellStyle name="40% - Accent1 5 2 2 2 2" xfId="4914" xr:uid="{00000000-0005-0000-0000-0000842E0000}"/>
    <cellStyle name="40% - Accent1 5 2 2 2 2 2" xfId="8505" xr:uid="{00000000-0005-0000-0000-0000852E0000}"/>
    <cellStyle name="40% - Accent1 5 2 2 2 2 2 2" xfId="16475" xr:uid="{00000000-0005-0000-0000-0000862E0000}"/>
    <cellStyle name="40% - Accent1 5 2 2 2 2 2 2 2" xfId="40317" xr:uid="{2508485F-A3CE-4453-9CBC-1AA8E0AADCDD}"/>
    <cellStyle name="40% - Accent1 5 2 2 2 2 2 3" xfId="24421" xr:uid="{00000000-0005-0000-0000-0000872E0000}"/>
    <cellStyle name="40% - Accent1 5 2 2 2 2 2 3 2" xfId="48253" xr:uid="{A37DE64E-3212-4574-883D-2DE6DE690DE6}"/>
    <cellStyle name="40% - Accent1 5 2 2 2 2 2 4" xfId="32376" xr:uid="{3D5C5B1F-BB32-4CAA-B1D3-E54D480447A1}"/>
    <cellStyle name="40% - Accent1 5 2 2 2 2 3" xfId="12937" xr:uid="{00000000-0005-0000-0000-0000882E0000}"/>
    <cellStyle name="40% - Accent1 5 2 2 2 2 3 2" xfId="36786" xr:uid="{F88321C1-57BA-4FE2-B93A-174383120218}"/>
    <cellStyle name="40% - Accent1 5 2 2 2 2 4" xfId="20892" xr:uid="{00000000-0005-0000-0000-0000892E0000}"/>
    <cellStyle name="40% - Accent1 5 2 2 2 2 4 2" xfId="44724" xr:uid="{AFFFE151-ECD5-4E8C-AF1A-9404FEA22DCF}"/>
    <cellStyle name="40% - Accent1 5 2 2 2 2 5" xfId="28845" xr:uid="{E14CA00E-FDFC-4CB8-8CE0-F63BAC25F73D}"/>
    <cellStyle name="40% - Accent1 5 2 2 2 3" xfId="6746" xr:uid="{00000000-0005-0000-0000-00008A2E0000}"/>
    <cellStyle name="40% - Accent1 5 2 2 2 3 2" xfId="14717" xr:uid="{00000000-0005-0000-0000-00008B2E0000}"/>
    <cellStyle name="40% - Accent1 5 2 2 2 3 2 2" xfId="38559" xr:uid="{61CE1602-69AE-46D1-B502-D21CE6083237}"/>
    <cellStyle name="40% - Accent1 5 2 2 2 3 3" xfId="22664" xr:uid="{00000000-0005-0000-0000-00008C2E0000}"/>
    <cellStyle name="40% - Accent1 5 2 2 2 3 3 2" xfId="46496" xr:uid="{8C06057F-D167-420F-87D8-2F4AC31A3FF1}"/>
    <cellStyle name="40% - Accent1 5 2 2 2 3 4" xfId="30618" xr:uid="{815232B2-8814-4AA3-BEE7-B75F5D1C033B}"/>
    <cellStyle name="40% - Accent1 5 2 2 2 4" xfId="11181" xr:uid="{00000000-0005-0000-0000-00008D2E0000}"/>
    <cellStyle name="40% - Accent1 5 2 2 2 4 2" xfId="35030" xr:uid="{DD301944-B1A2-4817-9107-0168C0694FA1}"/>
    <cellStyle name="40% - Accent1 5 2 2 2 5" xfId="19136" xr:uid="{00000000-0005-0000-0000-00008E2E0000}"/>
    <cellStyle name="40% - Accent1 5 2 2 2 5 2" xfId="42968" xr:uid="{89A8E27E-A606-4308-B5F6-8E92C893C0D8}"/>
    <cellStyle name="40% - Accent1 5 2 2 2 6" xfId="27088" xr:uid="{D5BB6DD6-696B-4E75-9F5F-9C5E652959C5}"/>
    <cellStyle name="40% - Accent1 5 2 2 2_Exh G" xfId="2757" xr:uid="{00000000-0005-0000-0000-00008F2E0000}"/>
    <cellStyle name="40% - Accent1 5 2 2 3" xfId="4035" xr:uid="{00000000-0005-0000-0000-0000902E0000}"/>
    <cellStyle name="40% - Accent1 5 2 2 3 2" xfId="7627" xr:uid="{00000000-0005-0000-0000-0000912E0000}"/>
    <cellStyle name="40% - Accent1 5 2 2 3 2 2" xfId="15597" xr:uid="{00000000-0005-0000-0000-0000922E0000}"/>
    <cellStyle name="40% - Accent1 5 2 2 3 2 2 2" xfId="39439" xr:uid="{5C2C05F7-1B20-4DF5-99A6-4A1B64D11236}"/>
    <cellStyle name="40% - Accent1 5 2 2 3 2 3" xfId="23543" xr:uid="{00000000-0005-0000-0000-0000932E0000}"/>
    <cellStyle name="40% - Accent1 5 2 2 3 2 3 2" xfId="47375" xr:uid="{334AFC2A-DF68-4DC6-98EE-2BA67069D327}"/>
    <cellStyle name="40% - Accent1 5 2 2 3 2 4" xfId="31498" xr:uid="{D984C4BD-A65E-4290-A911-736F42B42529}"/>
    <cellStyle name="40% - Accent1 5 2 2 3 3" xfId="12059" xr:uid="{00000000-0005-0000-0000-0000942E0000}"/>
    <cellStyle name="40% - Accent1 5 2 2 3 3 2" xfId="35908" xr:uid="{B680CDB2-B350-47EF-B41C-66EABF19228C}"/>
    <cellStyle name="40% - Accent1 5 2 2 3 4" xfId="20014" xr:uid="{00000000-0005-0000-0000-0000952E0000}"/>
    <cellStyle name="40% - Accent1 5 2 2 3 4 2" xfId="43846" xr:uid="{F181AA89-64D1-47F5-96AA-1ABE9A545A73}"/>
    <cellStyle name="40% - Accent1 5 2 2 3 5" xfId="27967" xr:uid="{DC1BA4A8-315F-429C-B6FA-E4A083115144}"/>
    <cellStyle name="40% - Accent1 5 2 2 4" xfId="5855" xr:uid="{00000000-0005-0000-0000-0000962E0000}"/>
    <cellStyle name="40% - Accent1 5 2 2 4 2" xfId="13838" xr:uid="{00000000-0005-0000-0000-0000972E0000}"/>
    <cellStyle name="40% - Accent1 5 2 2 4 2 2" xfId="37681" xr:uid="{4A50FA0D-0B47-4BDC-90D9-21315BC3C464}"/>
    <cellStyle name="40% - Accent1 5 2 2 4 3" xfId="21786" xr:uid="{00000000-0005-0000-0000-0000982E0000}"/>
    <cellStyle name="40% - Accent1 5 2 2 4 3 2" xfId="45618" xr:uid="{74F3709B-4CFB-4EAC-B12F-A039AD656A22}"/>
    <cellStyle name="40% - Accent1 5 2 2 4 4" xfId="29740" xr:uid="{CB8B9D45-FD90-436D-8E11-F7A6BE5634D6}"/>
    <cellStyle name="40% - Accent1 5 2 2 5" xfId="9407" xr:uid="{00000000-0005-0000-0000-0000992E0000}"/>
    <cellStyle name="40% - Accent1 5 2 2 5 2" xfId="17365" xr:uid="{00000000-0005-0000-0000-00009A2E0000}"/>
    <cellStyle name="40% - Accent1 5 2 2 5 2 2" xfId="41205" xr:uid="{487B1BD4-22E6-476B-905E-F99BA9D1C104}"/>
    <cellStyle name="40% - Accent1 5 2 2 5 3" xfId="25309" xr:uid="{00000000-0005-0000-0000-00009B2E0000}"/>
    <cellStyle name="40% - Accent1 5 2 2 5 3 2" xfId="49141" xr:uid="{B275C0A5-F7B1-48A8-A2D4-251A7522D530}"/>
    <cellStyle name="40% - Accent1 5 2 2 5 4" xfId="33264" xr:uid="{27D407DA-05C5-4CAA-87CF-BAC485089E78}"/>
    <cellStyle name="40% - Accent1 5 2 2 6" xfId="10303" xr:uid="{00000000-0005-0000-0000-00009C2E0000}"/>
    <cellStyle name="40% - Accent1 5 2 2 6 2" xfId="34152" xr:uid="{E704F2AE-7A23-48D0-916E-8745D19C4B29}"/>
    <cellStyle name="40% - Accent1 5 2 2 7" xfId="18258" xr:uid="{00000000-0005-0000-0000-00009D2E0000}"/>
    <cellStyle name="40% - Accent1 5 2 2 7 2" xfId="42090" xr:uid="{10B116BA-FB23-43C2-894D-F3854BD50355}"/>
    <cellStyle name="40% - Accent1 5 2 2 8" xfId="26210" xr:uid="{53981D6C-8D2D-4C15-B7BF-8A9EB1BD10D7}"/>
    <cellStyle name="40% - Accent1 5 2 2_Exh G" xfId="2756" xr:uid="{00000000-0005-0000-0000-00009E2E0000}"/>
    <cellStyle name="40% - Accent1 5 2 3" xfId="1386" xr:uid="{00000000-0005-0000-0000-00009F2E0000}"/>
    <cellStyle name="40% - Accent1 5 2 3 2" xfId="4913" xr:uid="{00000000-0005-0000-0000-0000A02E0000}"/>
    <cellStyle name="40% - Accent1 5 2 3 2 2" xfId="8504" xr:uid="{00000000-0005-0000-0000-0000A12E0000}"/>
    <cellStyle name="40% - Accent1 5 2 3 2 2 2" xfId="16474" xr:uid="{00000000-0005-0000-0000-0000A22E0000}"/>
    <cellStyle name="40% - Accent1 5 2 3 2 2 2 2" xfId="40316" xr:uid="{D250D782-485D-486D-98A8-443314C1BA2E}"/>
    <cellStyle name="40% - Accent1 5 2 3 2 2 3" xfId="24420" xr:uid="{00000000-0005-0000-0000-0000A32E0000}"/>
    <cellStyle name="40% - Accent1 5 2 3 2 2 3 2" xfId="48252" xr:uid="{9900F258-0238-4626-B471-7FFA090B73BC}"/>
    <cellStyle name="40% - Accent1 5 2 3 2 2 4" xfId="32375" xr:uid="{941CC0DD-AAD2-4A16-A0AD-FEEC7496341B}"/>
    <cellStyle name="40% - Accent1 5 2 3 2 3" xfId="12936" xr:uid="{00000000-0005-0000-0000-0000A42E0000}"/>
    <cellStyle name="40% - Accent1 5 2 3 2 3 2" xfId="36785" xr:uid="{BDB88805-38DE-48A1-841E-ABB47F0199E1}"/>
    <cellStyle name="40% - Accent1 5 2 3 2 4" xfId="20891" xr:uid="{00000000-0005-0000-0000-0000A52E0000}"/>
    <cellStyle name="40% - Accent1 5 2 3 2 4 2" xfId="44723" xr:uid="{F059FBBC-BA5A-468D-9CD5-D453CC1E4C93}"/>
    <cellStyle name="40% - Accent1 5 2 3 2 5" xfId="28844" xr:uid="{34C9EB77-90D3-4D8A-BB1C-2261E9E01F64}"/>
    <cellStyle name="40% - Accent1 5 2 3 3" xfId="6745" xr:uid="{00000000-0005-0000-0000-0000A62E0000}"/>
    <cellStyle name="40% - Accent1 5 2 3 3 2" xfId="14716" xr:uid="{00000000-0005-0000-0000-0000A72E0000}"/>
    <cellStyle name="40% - Accent1 5 2 3 3 2 2" xfId="38558" xr:uid="{E28C3894-F66F-4E0C-A2BB-59C74E332390}"/>
    <cellStyle name="40% - Accent1 5 2 3 3 3" xfId="22663" xr:uid="{00000000-0005-0000-0000-0000A82E0000}"/>
    <cellStyle name="40% - Accent1 5 2 3 3 3 2" xfId="46495" xr:uid="{5ED532F1-90FD-467E-A14D-0B6B68A2CB8A}"/>
    <cellStyle name="40% - Accent1 5 2 3 3 4" xfId="30617" xr:uid="{F97E0FC2-CC84-42CB-8859-5F27551FF6D5}"/>
    <cellStyle name="40% - Accent1 5 2 3 4" xfId="11180" xr:uid="{00000000-0005-0000-0000-0000A92E0000}"/>
    <cellStyle name="40% - Accent1 5 2 3 4 2" xfId="35029" xr:uid="{9100B6CE-6F0F-4B9A-9912-C04791EFE787}"/>
    <cellStyle name="40% - Accent1 5 2 3 5" xfId="19135" xr:uid="{00000000-0005-0000-0000-0000AA2E0000}"/>
    <cellStyle name="40% - Accent1 5 2 3 5 2" xfId="42967" xr:uid="{6625E04A-0907-4FD5-927A-E8CBC89EF147}"/>
    <cellStyle name="40% - Accent1 5 2 3 6" xfId="27087" xr:uid="{8AECC54F-AF48-45D1-8874-63681877E384}"/>
    <cellStyle name="40% - Accent1 5 2 3_Exh G" xfId="2758" xr:uid="{00000000-0005-0000-0000-0000AB2E0000}"/>
    <cellStyle name="40% - Accent1 5 2 4" xfId="4034" xr:uid="{00000000-0005-0000-0000-0000AC2E0000}"/>
    <cellStyle name="40% - Accent1 5 2 4 2" xfId="7626" xr:uid="{00000000-0005-0000-0000-0000AD2E0000}"/>
    <cellStyle name="40% - Accent1 5 2 4 2 2" xfId="15596" xr:uid="{00000000-0005-0000-0000-0000AE2E0000}"/>
    <cellStyle name="40% - Accent1 5 2 4 2 2 2" xfId="39438" xr:uid="{6B5BA506-D687-4134-888E-FA2582C4A157}"/>
    <cellStyle name="40% - Accent1 5 2 4 2 3" xfId="23542" xr:uid="{00000000-0005-0000-0000-0000AF2E0000}"/>
    <cellStyle name="40% - Accent1 5 2 4 2 3 2" xfId="47374" xr:uid="{4AFF1FE8-576D-4797-9009-9FD5847CD806}"/>
    <cellStyle name="40% - Accent1 5 2 4 2 4" xfId="31497" xr:uid="{EEBF150D-FF6F-42D0-A0AF-1C54BCBDCB3D}"/>
    <cellStyle name="40% - Accent1 5 2 4 3" xfId="12058" xr:uid="{00000000-0005-0000-0000-0000B02E0000}"/>
    <cellStyle name="40% - Accent1 5 2 4 3 2" xfId="35907" xr:uid="{789EC3E7-FF82-43F3-8DDC-06E18AF3F859}"/>
    <cellStyle name="40% - Accent1 5 2 4 4" xfId="20013" xr:uid="{00000000-0005-0000-0000-0000B12E0000}"/>
    <cellStyle name="40% - Accent1 5 2 4 4 2" xfId="43845" xr:uid="{FD8D4ED7-D546-4A0B-812E-8E33648036B5}"/>
    <cellStyle name="40% - Accent1 5 2 4 5" xfId="27966" xr:uid="{59D6C5B1-8603-49F9-BDFA-CB4CC12E4D2E}"/>
    <cellStyle name="40% - Accent1 5 2 5" xfId="5854" xr:uid="{00000000-0005-0000-0000-0000B22E0000}"/>
    <cellStyle name="40% - Accent1 5 2 5 2" xfId="13837" xr:uid="{00000000-0005-0000-0000-0000B32E0000}"/>
    <cellStyle name="40% - Accent1 5 2 5 2 2" xfId="37680" xr:uid="{59D547DA-22CB-4564-86C7-98D89F43E31F}"/>
    <cellStyle name="40% - Accent1 5 2 5 3" xfId="21785" xr:uid="{00000000-0005-0000-0000-0000B42E0000}"/>
    <cellStyle name="40% - Accent1 5 2 5 3 2" xfId="45617" xr:uid="{C908F712-56B5-428E-B555-1F8DC455E356}"/>
    <cellStyle name="40% - Accent1 5 2 5 4" xfId="29739" xr:uid="{84210EDF-0144-47D3-9A8A-FE55BB2C41EE}"/>
    <cellStyle name="40% - Accent1 5 2 6" xfId="9406" xr:uid="{00000000-0005-0000-0000-0000B52E0000}"/>
    <cellStyle name="40% - Accent1 5 2 6 2" xfId="17364" xr:uid="{00000000-0005-0000-0000-0000B62E0000}"/>
    <cellStyle name="40% - Accent1 5 2 6 2 2" xfId="41204" xr:uid="{9F9D731C-D837-4499-8888-FF288244D49A}"/>
    <cellStyle name="40% - Accent1 5 2 6 3" xfId="25308" xr:uid="{00000000-0005-0000-0000-0000B72E0000}"/>
    <cellStyle name="40% - Accent1 5 2 6 3 2" xfId="49140" xr:uid="{D442D805-D557-4AA2-ADDA-4A9B814F16BE}"/>
    <cellStyle name="40% - Accent1 5 2 6 4" xfId="33263" xr:uid="{DA928D3B-0184-4AF9-B809-C6B75FC2DB26}"/>
    <cellStyle name="40% - Accent1 5 2 7" xfId="10302" xr:uid="{00000000-0005-0000-0000-0000B82E0000}"/>
    <cellStyle name="40% - Accent1 5 2 7 2" xfId="34151" xr:uid="{CEB2E7A2-71BF-40D8-A471-F8B32EDF8E9B}"/>
    <cellStyle name="40% - Accent1 5 2 8" xfId="18257" xr:uid="{00000000-0005-0000-0000-0000B92E0000}"/>
    <cellStyle name="40% - Accent1 5 2 8 2" xfId="42089" xr:uid="{FC16A562-D81D-4897-94B3-C64F68D5E21F}"/>
    <cellStyle name="40% - Accent1 5 2 9" xfId="26209" xr:uid="{23FBD593-B2C3-4B76-B74D-82F22799244E}"/>
    <cellStyle name="40% - Accent1 5 2_Exh G" xfId="2755" xr:uid="{00000000-0005-0000-0000-0000BA2E0000}"/>
    <cellStyle name="40% - Accent1 5 3" xfId="362" xr:uid="{00000000-0005-0000-0000-0000BB2E0000}"/>
    <cellStyle name="40% - Accent1 5 3 2" xfId="1388" xr:uid="{00000000-0005-0000-0000-0000BC2E0000}"/>
    <cellStyle name="40% - Accent1 5 3 2 2" xfId="4915" xr:uid="{00000000-0005-0000-0000-0000BD2E0000}"/>
    <cellStyle name="40% - Accent1 5 3 2 2 2" xfId="8506" xr:uid="{00000000-0005-0000-0000-0000BE2E0000}"/>
    <cellStyle name="40% - Accent1 5 3 2 2 2 2" xfId="16476" xr:uid="{00000000-0005-0000-0000-0000BF2E0000}"/>
    <cellStyle name="40% - Accent1 5 3 2 2 2 2 2" xfId="40318" xr:uid="{11A33C1D-45C6-4DE0-87FA-9FC2E8E39D72}"/>
    <cellStyle name="40% - Accent1 5 3 2 2 2 3" xfId="24422" xr:uid="{00000000-0005-0000-0000-0000C02E0000}"/>
    <cellStyle name="40% - Accent1 5 3 2 2 2 3 2" xfId="48254" xr:uid="{85D3537A-0B44-4FFC-8E02-EE52A4FCE494}"/>
    <cellStyle name="40% - Accent1 5 3 2 2 2 4" xfId="32377" xr:uid="{053FE0F7-C99E-48A0-943E-E0991D8B4B02}"/>
    <cellStyle name="40% - Accent1 5 3 2 2 3" xfId="12938" xr:uid="{00000000-0005-0000-0000-0000C12E0000}"/>
    <cellStyle name="40% - Accent1 5 3 2 2 3 2" xfId="36787" xr:uid="{BC775E4D-7D5D-48CB-BCD7-1832D3D07107}"/>
    <cellStyle name="40% - Accent1 5 3 2 2 4" xfId="20893" xr:uid="{00000000-0005-0000-0000-0000C22E0000}"/>
    <cellStyle name="40% - Accent1 5 3 2 2 4 2" xfId="44725" xr:uid="{33702BE0-6950-4A3F-92C6-9B7537B30F85}"/>
    <cellStyle name="40% - Accent1 5 3 2 2 5" xfId="28846" xr:uid="{B407B614-9737-474F-8BCC-4936E3E5A462}"/>
    <cellStyle name="40% - Accent1 5 3 2 3" xfId="6747" xr:uid="{00000000-0005-0000-0000-0000C32E0000}"/>
    <cellStyle name="40% - Accent1 5 3 2 3 2" xfId="14718" xr:uid="{00000000-0005-0000-0000-0000C42E0000}"/>
    <cellStyle name="40% - Accent1 5 3 2 3 2 2" xfId="38560" xr:uid="{F042BBCD-5713-4858-8CEA-2328BD8F3D0D}"/>
    <cellStyle name="40% - Accent1 5 3 2 3 3" xfId="22665" xr:uid="{00000000-0005-0000-0000-0000C52E0000}"/>
    <cellStyle name="40% - Accent1 5 3 2 3 3 2" xfId="46497" xr:uid="{A2EC85A6-A42C-41B8-96C5-7283383A36A5}"/>
    <cellStyle name="40% - Accent1 5 3 2 3 4" xfId="30619" xr:uid="{A891E4CB-F708-40DB-89F8-253B3F6303DA}"/>
    <cellStyle name="40% - Accent1 5 3 2 4" xfId="11182" xr:uid="{00000000-0005-0000-0000-0000C62E0000}"/>
    <cellStyle name="40% - Accent1 5 3 2 4 2" xfId="35031" xr:uid="{434C9D12-FC52-43B0-8F1B-012F0E0170B7}"/>
    <cellStyle name="40% - Accent1 5 3 2 5" xfId="19137" xr:uid="{00000000-0005-0000-0000-0000C72E0000}"/>
    <cellStyle name="40% - Accent1 5 3 2 5 2" xfId="42969" xr:uid="{B77DE411-839D-497D-9AEB-E7289F1C3F90}"/>
    <cellStyle name="40% - Accent1 5 3 2 6" xfId="27089" xr:uid="{D3867ECB-FA62-4B31-B4A7-ED04810A0700}"/>
    <cellStyle name="40% - Accent1 5 3 2_Exh G" xfId="2760" xr:uid="{00000000-0005-0000-0000-0000C82E0000}"/>
    <cellStyle name="40% - Accent1 5 3 3" xfId="4036" xr:uid="{00000000-0005-0000-0000-0000C92E0000}"/>
    <cellStyle name="40% - Accent1 5 3 3 2" xfId="7628" xr:uid="{00000000-0005-0000-0000-0000CA2E0000}"/>
    <cellStyle name="40% - Accent1 5 3 3 2 2" xfId="15598" xr:uid="{00000000-0005-0000-0000-0000CB2E0000}"/>
    <cellStyle name="40% - Accent1 5 3 3 2 2 2" xfId="39440" xr:uid="{A176755F-1834-473A-84CE-C94E0BEFA8F2}"/>
    <cellStyle name="40% - Accent1 5 3 3 2 3" xfId="23544" xr:uid="{00000000-0005-0000-0000-0000CC2E0000}"/>
    <cellStyle name="40% - Accent1 5 3 3 2 3 2" xfId="47376" xr:uid="{DE8541A8-6D39-4ADF-873D-92FDADAE9CC4}"/>
    <cellStyle name="40% - Accent1 5 3 3 2 4" xfId="31499" xr:uid="{63CA9B91-17D0-4C20-8B84-66DEC9E1B83C}"/>
    <cellStyle name="40% - Accent1 5 3 3 3" xfId="12060" xr:uid="{00000000-0005-0000-0000-0000CD2E0000}"/>
    <cellStyle name="40% - Accent1 5 3 3 3 2" xfId="35909" xr:uid="{346F5927-E2B3-4664-A63E-9622E63F25EF}"/>
    <cellStyle name="40% - Accent1 5 3 3 4" xfId="20015" xr:uid="{00000000-0005-0000-0000-0000CE2E0000}"/>
    <cellStyle name="40% - Accent1 5 3 3 4 2" xfId="43847" xr:uid="{BB0F6024-9901-4E23-8905-953B39B43161}"/>
    <cellStyle name="40% - Accent1 5 3 3 5" xfId="27968" xr:uid="{CFD10AEB-929B-40B8-A39B-2F7C30BA8926}"/>
    <cellStyle name="40% - Accent1 5 3 4" xfId="5856" xr:uid="{00000000-0005-0000-0000-0000CF2E0000}"/>
    <cellStyle name="40% - Accent1 5 3 4 2" xfId="13839" xr:uid="{00000000-0005-0000-0000-0000D02E0000}"/>
    <cellStyle name="40% - Accent1 5 3 4 2 2" xfId="37682" xr:uid="{54D762D1-B5EE-479E-8704-B41ACACD5538}"/>
    <cellStyle name="40% - Accent1 5 3 4 3" xfId="21787" xr:uid="{00000000-0005-0000-0000-0000D12E0000}"/>
    <cellStyle name="40% - Accent1 5 3 4 3 2" xfId="45619" xr:uid="{608EA2AC-8103-434C-8176-E81B0DF05720}"/>
    <cellStyle name="40% - Accent1 5 3 4 4" xfId="29741" xr:uid="{D09A6F61-31AC-4ACF-B8E7-6B0A67A25A75}"/>
    <cellStyle name="40% - Accent1 5 3 5" xfId="9408" xr:uid="{00000000-0005-0000-0000-0000D22E0000}"/>
    <cellStyle name="40% - Accent1 5 3 5 2" xfId="17366" xr:uid="{00000000-0005-0000-0000-0000D32E0000}"/>
    <cellStyle name="40% - Accent1 5 3 5 2 2" xfId="41206" xr:uid="{F4CEBC43-242E-49F8-99E4-40CFBF4A54DC}"/>
    <cellStyle name="40% - Accent1 5 3 5 3" xfId="25310" xr:uid="{00000000-0005-0000-0000-0000D42E0000}"/>
    <cellStyle name="40% - Accent1 5 3 5 3 2" xfId="49142" xr:uid="{BBBF79D8-DB7A-4CC7-BA6B-96674FDA6A49}"/>
    <cellStyle name="40% - Accent1 5 3 5 4" xfId="33265" xr:uid="{58599FE1-72A3-4960-9BDE-9C83581A301E}"/>
    <cellStyle name="40% - Accent1 5 3 6" xfId="10304" xr:uid="{00000000-0005-0000-0000-0000D52E0000}"/>
    <cellStyle name="40% - Accent1 5 3 6 2" xfId="34153" xr:uid="{359E711F-C798-4964-975A-F9E1AF0861D9}"/>
    <cellStyle name="40% - Accent1 5 3 7" xfId="18259" xr:uid="{00000000-0005-0000-0000-0000D62E0000}"/>
    <cellStyle name="40% - Accent1 5 3 7 2" xfId="42091" xr:uid="{4030924A-D653-4633-B82B-E79CA8256BD6}"/>
    <cellStyle name="40% - Accent1 5 3 8" xfId="26211" xr:uid="{3B0F06B3-0BEE-4863-B00D-E2255432EE67}"/>
    <cellStyle name="40% - Accent1 5 3_Exh G" xfId="2759" xr:uid="{00000000-0005-0000-0000-0000D72E0000}"/>
    <cellStyle name="40% - Accent1 5 4" xfId="938" xr:uid="{00000000-0005-0000-0000-0000D82E0000}"/>
    <cellStyle name="40% - Accent1 5 5" xfId="1385" xr:uid="{00000000-0005-0000-0000-0000D92E0000}"/>
    <cellStyle name="40% - Accent1 5 5 2" xfId="4912" xr:uid="{00000000-0005-0000-0000-0000DA2E0000}"/>
    <cellStyle name="40% - Accent1 5 5 2 2" xfId="8503" xr:uid="{00000000-0005-0000-0000-0000DB2E0000}"/>
    <cellStyle name="40% - Accent1 5 5 2 2 2" xfId="16473" xr:uid="{00000000-0005-0000-0000-0000DC2E0000}"/>
    <cellStyle name="40% - Accent1 5 5 2 2 2 2" xfId="40315" xr:uid="{36CEDC68-12A5-4B72-9A6A-53DAEDED9C2C}"/>
    <cellStyle name="40% - Accent1 5 5 2 2 3" xfId="24419" xr:uid="{00000000-0005-0000-0000-0000DD2E0000}"/>
    <cellStyle name="40% - Accent1 5 5 2 2 3 2" xfId="48251" xr:uid="{1E760814-20A7-4074-B7A3-1A30BEE885E1}"/>
    <cellStyle name="40% - Accent1 5 5 2 2 4" xfId="32374" xr:uid="{49F314B7-B1A0-475D-917E-F3C9A8812EB6}"/>
    <cellStyle name="40% - Accent1 5 5 2 3" xfId="12935" xr:uid="{00000000-0005-0000-0000-0000DE2E0000}"/>
    <cellStyle name="40% - Accent1 5 5 2 3 2" xfId="36784" xr:uid="{24CD4924-0E86-484B-A67B-D24AC5BFDBC5}"/>
    <cellStyle name="40% - Accent1 5 5 2 4" xfId="20890" xr:uid="{00000000-0005-0000-0000-0000DF2E0000}"/>
    <cellStyle name="40% - Accent1 5 5 2 4 2" xfId="44722" xr:uid="{95013CCA-9176-4A4C-A811-90C2366608A6}"/>
    <cellStyle name="40% - Accent1 5 5 2 5" xfId="28843" xr:uid="{6F520B5E-A157-42A5-9B0A-CF790BF87FC9}"/>
    <cellStyle name="40% - Accent1 5 5 3" xfId="6744" xr:uid="{00000000-0005-0000-0000-0000E02E0000}"/>
    <cellStyle name="40% - Accent1 5 5 3 2" xfId="14715" xr:uid="{00000000-0005-0000-0000-0000E12E0000}"/>
    <cellStyle name="40% - Accent1 5 5 3 2 2" xfId="38557" xr:uid="{36AB0AD2-F1B1-482F-8734-21BBAD35C5A9}"/>
    <cellStyle name="40% - Accent1 5 5 3 3" xfId="22662" xr:uid="{00000000-0005-0000-0000-0000E22E0000}"/>
    <cellStyle name="40% - Accent1 5 5 3 3 2" xfId="46494" xr:uid="{1A278394-03F9-4FF5-A7BC-ADEAE49301C3}"/>
    <cellStyle name="40% - Accent1 5 5 3 4" xfId="30616" xr:uid="{2C4E6CB4-1594-4A4A-9B15-976B558FE67F}"/>
    <cellStyle name="40% - Accent1 5 5 4" xfId="11179" xr:uid="{00000000-0005-0000-0000-0000E32E0000}"/>
    <cellStyle name="40% - Accent1 5 5 4 2" xfId="35028" xr:uid="{B3B28095-3B56-414B-9D25-22DCCC453E45}"/>
    <cellStyle name="40% - Accent1 5 5 5" xfId="19134" xr:uid="{00000000-0005-0000-0000-0000E42E0000}"/>
    <cellStyle name="40% - Accent1 5 5 5 2" xfId="42966" xr:uid="{B40B2060-A5C9-4ED0-880F-CEA031418059}"/>
    <cellStyle name="40% - Accent1 5 5 6" xfId="27086" xr:uid="{46DAD5B6-F2F8-4FB4-892B-2A46B4DA5EC0}"/>
    <cellStyle name="40% - Accent1 5 5_Exh G" xfId="2761" xr:uid="{00000000-0005-0000-0000-0000E52E0000}"/>
    <cellStyle name="40% - Accent1 5 6" xfId="4033" xr:uid="{00000000-0005-0000-0000-0000E62E0000}"/>
    <cellStyle name="40% - Accent1 5 6 2" xfId="7625" xr:uid="{00000000-0005-0000-0000-0000E72E0000}"/>
    <cellStyle name="40% - Accent1 5 6 2 2" xfId="15595" xr:uid="{00000000-0005-0000-0000-0000E82E0000}"/>
    <cellStyle name="40% - Accent1 5 6 2 2 2" xfId="39437" xr:uid="{1A443F87-C9AE-4238-A799-A7882F736195}"/>
    <cellStyle name="40% - Accent1 5 6 2 3" xfId="23541" xr:uid="{00000000-0005-0000-0000-0000E92E0000}"/>
    <cellStyle name="40% - Accent1 5 6 2 3 2" xfId="47373" xr:uid="{F13255E1-84A3-42BF-858C-96A247EAE233}"/>
    <cellStyle name="40% - Accent1 5 6 2 4" xfId="31496" xr:uid="{27BC6B4A-934E-449A-A58A-7E999C2CC6BE}"/>
    <cellStyle name="40% - Accent1 5 6 3" xfId="12057" xr:uid="{00000000-0005-0000-0000-0000EA2E0000}"/>
    <cellStyle name="40% - Accent1 5 6 3 2" xfId="35906" xr:uid="{5981ED9D-431A-46DD-9E48-1E38403598B0}"/>
    <cellStyle name="40% - Accent1 5 6 4" xfId="20012" xr:uid="{00000000-0005-0000-0000-0000EB2E0000}"/>
    <cellStyle name="40% - Accent1 5 6 4 2" xfId="43844" xr:uid="{0F9540B6-26AE-4D28-8FE7-D863561E0BEB}"/>
    <cellStyle name="40% - Accent1 5 6 5" xfId="27965" xr:uid="{7DF4760F-50C8-4DF4-B25A-A7603E28017D}"/>
    <cellStyle name="40% - Accent1 5 7" xfId="5853" xr:uid="{00000000-0005-0000-0000-0000EC2E0000}"/>
    <cellStyle name="40% - Accent1 5 7 2" xfId="13836" xr:uid="{00000000-0005-0000-0000-0000ED2E0000}"/>
    <cellStyle name="40% - Accent1 5 7 2 2" xfId="37679" xr:uid="{6A2FD171-0F7F-4051-A44D-05166A58B37D}"/>
    <cellStyle name="40% - Accent1 5 7 3" xfId="21784" xr:uid="{00000000-0005-0000-0000-0000EE2E0000}"/>
    <cellStyle name="40% - Accent1 5 7 3 2" xfId="45616" xr:uid="{0EE8F377-33FA-47FD-890A-09DD29DD105A}"/>
    <cellStyle name="40% - Accent1 5 7 4" xfId="29738" xr:uid="{784AECE5-B836-46F6-A9B8-C513E875867E}"/>
    <cellStyle name="40% - Accent1 5 8" xfId="9405" xr:uid="{00000000-0005-0000-0000-0000EF2E0000}"/>
    <cellStyle name="40% - Accent1 5 8 2" xfId="17363" xr:uid="{00000000-0005-0000-0000-0000F02E0000}"/>
    <cellStyle name="40% - Accent1 5 8 2 2" xfId="41203" xr:uid="{22CAE963-E888-4849-986A-98AFD5A3584C}"/>
    <cellStyle name="40% - Accent1 5 8 3" xfId="25307" xr:uid="{00000000-0005-0000-0000-0000F12E0000}"/>
    <cellStyle name="40% - Accent1 5 8 3 2" xfId="49139" xr:uid="{7D567A1B-03F9-4FCA-8081-A5FAA5C38647}"/>
    <cellStyle name="40% - Accent1 5 8 4" xfId="33262" xr:uid="{32DAD950-42A4-45BA-AE05-DB86469521EF}"/>
    <cellStyle name="40% - Accent1 5 9" xfId="10301" xr:uid="{00000000-0005-0000-0000-0000F22E0000}"/>
    <cellStyle name="40% - Accent1 5 9 2" xfId="34150" xr:uid="{BBE2AC31-B422-4C6D-8E13-73F6D27293DE}"/>
    <cellStyle name="40% - Accent1 5_Exh G" xfId="2754" xr:uid="{00000000-0005-0000-0000-0000F32E0000}"/>
    <cellStyle name="40% - Accent1 6" xfId="363" xr:uid="{00000000-0005-0000-0000-0000F42E0000}"/>
    <cellStyle name="40% - Accent1 6 10" xfId="18260" xr:uid="{00000000-0005-0000-0000-0000F52E0000}"/>
    <cellStyle name="40% - Accent1 6 10 2" xfId="42092" xr:uid="{769835FB-5D85-4BA3-BAF4-FFB4F617A079}"/>
    <cellStyle name="40% - Accent1 6 11" xfId="26212" xr:uid="{1290CE6C-3977-40B2-A088-6BC32C3DCA04}"/>
    <cellStyle name="40% - Accent1 6 2" xfId="364" xr:uid="{00000000-0005-0000-0000-0000F62E0000}"/>
    <cellStyle name="40% - Accent1 6 2 2" xfId="365" xr:uid="{00000000-0005-0000-0000-0000F72E0000}"/>
    <cellStyle name="40% - Accent1 6 2 2 2" xfId="1391" xr:uid="{00000000-0005-0000-0000-0000F82E0000}"/>
    <cellStyle name="40% - Accent1 6 2 2 2 2" xfId="4918" xr:uid="{00000000-0005-0000-0000-0000F92E0000}"/>
    <cellStyle name="40% - Accent1 6 2 2 2 2 2" xfId="8509" xr:uid="{00000000-0005-0000-0000-0000FA2E0000}"/>
    <cellStyle name="40% - Accent1 6 2 2 2 2 2 2" xfId="16479" xr:uid="{00000000-0005-0000-0000-0000FB2E0000}"/>
    <cellStyle name="40% - Accent1 6 2 2 2 2 2 2 2" xfId="40321" xr:uid="{08F3D843-4992-4C50-AE68-E97B12661B3C}"/>
    <cellStyle name="40% - Accent1 6 2 2 2 2 2 3" xfId="24425" xr:uid="{00000000-0005-0000-0000-0000FC2E0000}"/>
    <cellStyle name="40% - Accent1 6 2 2 2 2 2 3 2" xfId="48257" xr:uid="{24165676-590E-4748-B565-7A4AB09EB3F7}"/>
    <cellStyle name="40% - Accent1 6 2 2 2 2 2 4" xfId="32380" xr:uid="{D2EBD335-41F9-46BF-BB71-B27C82B8ADBB}"/>
    <cellStyle name="40% - Accent1 6 2 2 2 2 3" xfId="12941" xr:uid="{00000000-0005-0000-0000-0000FD2E0000}"/>
    <cellStyle name="40% - Accent1 6 2 2 2 2 3 2" xfId="36790" xr:uid="{89B47A14-7ED2-4282-8550-6861EE1A9E8B}"/>
    <cellStyle name="40% - Accent1 6 2 2 2 2 4" xfId="20896" xr:uid="{00000000-0005-0000-0000-0000FE2E0000}"/>
    <cellStyle name="40% - Accent1 6 2 2 2 2 4 2" xfId="44728" xr:uid="{A29841A7-7939-4DEB-AA46-3CB5BCFEF811}"/>
    <cellStyle name="40% - Accent1 6 2 2 2 2 5" xfId="28849" xr:uid="{15A2F49B-45D3-4FB4-952E-C8F8F18BD97A}"/>
    <cellStyle name="40% - Accent1 6 2 2 2 3" xfId="6750" xr:uid="{00000000-0005-0000-0000-0000FF2E0000}"/>
    <cellStyle name="40% - Accent1 6 2 2 2 3 2" xfId="14721" xr:uid="{00000000-0005-0000-0000-0000002F0000}"/>
    <cellStyle name="40% - Accent1 6 2 2 2 3 2 2" xfId="38563" xr:uid="{10B51212-913A-42AA-AC2B-FFE319CE2207}"/>
    <cellStyle name="40% - Accent1 6 2 2 2 3 3" xfId="22668" xr:uid="{00000000-0005-0000-0000-0000012F0000}"/>
    <cellStyle name="40% - Accent1 6 2 2 2 3 3 2" xfId="46500" xr:uid="{BFBA8F70-8029-4C01-BBC0-A345EDF8BA2F}"/>
    <cellStyle name="40% - Accent1 6 2 2 2 3 4" xfId="30622" xr:uid="{00BCC8B4-9AA5-4563-AF33-0E69BFEF9F53}"/>
    <cellStyle name="40% - Accent1 6 2 2 2 4" xfId="11185" xr:uid="{00000000-0005-0000-0000-0000022F0000}"/>
    <cellStyle name="40% - Accent1 6 2 2 2 4 2" xfId="35034" xr:uid="{C418CFCB-1C1B-49CA-AAE9-A641680B9A38}"/>
    <cellStyle name="40% - Accent1 6 2 2 2 5" xfId="19140" xr:uid="{00000000-0005-0000-0000-0000032F0000}"/>
    <cellStyle name="40% - Accent1 6 2 2 2 5 2" xfId="42972" xr:uid="{943A7728-21E6-4EA3-B5E8-7401725A9E0A}"/>
    <cellStyle name="40% - Accent1 6 2 2 2 6" xfId="27092" xr:uid="{755098E7-A70E-4ADC-94EC-8AA44BA2C3A8}"/>
    <cellStyle name="40% - Accent1 6 2 2 2_Exh G" xfId="2765" xr:uid="{00000000-0005-0000-0000-0000042F0000}"/>
    <cellStyle name="40% - Accent1 6 2 2 3" xfId="4039" xr:uid="{00000000-0005-0000-0000-0000052F0000}"/>
    <cellStyle name="40% - Accent1 6 2 2 3 2" xfId="7631" xr:uid="{00000000-0005-0000-0000-0000062F0000}"/>
    <cellStyle name="40% - Accent1 6 2 2 3 2 2" xfId="15601" xr:uid="{00000000-0005-0000-0000-0000072F0000}"/>
    <cellStyle name="40% - Accent1 6 2 2 3 2 2 2" xfId="39443" xr:uid="{51058B5B-F48F-49EC-8A8D-90F49FABA408}"/>
    <cellStyle name="40% - Accent1 6 2 2 3 2 3" xfId="23547" xr:uid="{00000000-0005-0000-0000-0000082F0000}"/>
    <cellStyle name="40% - Accent1 6 2 2 3 2 3 2" xfId="47379" xr:uid="{CCE743CC-34D4-401D-9DC2-6D4652201B10}"/>
    <cellStyle name="40% - Accent1 6 2 2 3 2 4" xfId="31502" xr:uid="{81B8AE2F-2EDF-467A-BAEE-33F96D5CAB13}"/>
    <cellStyle name="40% - Accent1 6 2 2 3 3" xfId="12063" xr:uid="{00000000-0005-0000-0000-0000092F0000}"/>
    <cellStyle name="40% - Accent1 6 2 2 3 3 2" xfId="35912" xr:uid="{03AEBBEB-3AE2-4F59-8EFD-9BB6AC2D430F}"/>
    <cellStyle name="40% - Accent1 6 2 2 3 4" xfId="20018" xr:uid="{00000000-0005-0000-0000-00000A2F0000}"/>
    <cellStyle name="40% - Accent1 6 2 2 3 4 2" xfId="43850" xr:uid="{EB75DBA3-FBBE-44DD-AD08-EF2BA9A73E42}"/>
    <cellStyle name="40% - Accent1 6 2 2 3 5" xfId="27971" xr:uid="{CFD88E28-C820-4F66-885A-C9BF429E0B33}"/>
    <cellStyle name="40% - Accent1 6 2 2 4" xfId="5859" xr:uid="{00000000-0005-0000-0000-00000B2F0000}"/>
    <cellStyle name="40% - Accent1 6 2 2 4 2" xfId="13842" xr:uid="{00000000-0005-0000-0000-00000C2F0000}"/>
    <cellStyle name="40% - Accent1 6 2 2 4 2 2" xfId="37685" xr:uid="{5F836CF0-2084-4E6F-AB4D-C26E578B29DE}"/>
    <cellStyle name="40% - Accent1 6 2 2 4 3" xfId="21790" xr:uid="{00000000-0005-0000-0000-00000D2F0000}"/>
    <cellStyle name="40% - Accent1 6 2 2 4 3 2" xfId="45622" xr:uid="{9D14FBB3-E740-4648-B379-422409D8F3E7}"/>
    <cellStyle name="40% - Accent1 6 2 2 4 4" xfId="29744" xr:uid="{46A1B738-E2EC-497E-8096-A9CC3CBAE9DC}"/>
    <cellStyle name="40% - Accent1 6 2 2 5" xfId="9411" xr:uid="{00000000-0005-0000-0000-00000E2F0000}"/>
    <cellStyle name="40% - Accent1 6 2 2 5 2" xfId="17369" xr:uid="{00000000-0005-0000-0000-00000F2F0000}"/>
    <cellStyle name="40% - Accent1 6 2 2 5 2 2" xfId="41209" xr:uid="{384DE552-3A39-4A04-98E3-E4D2363725B0}"/>
    <cellStyle name="40% - Accent1 6 2 2 5 3" xfId="25313" xr:uid="{00000000-0005-0000-0000-0000102F0000}"/>
    <cellStyle name="40% - Accent1 6 2 2 5 3 2" xfId="49145" xr:uid="{14586BC5-B774-4E2D-857A-FCC9859E4432}"/>
    <cellStyle name="40% - Accent1 6 2 2 5 4" xfId="33268" xr:uid="{4856417E-4D69-4C32-9356-EC357413493F}"/>
    <cellStyle name="40% - Accent1 6 2 2 6" xfId="10307" xr:uid="{00000000-0005-0000-0000-0000112F0000}"/>
    <cellStyle name="40% - Accent1 6 2 2 6 2" xfId="34156" xr:uid="{A92F9718-B87A-489E-870D-15B0429A35AB}"/>
    <cellStyle name="40% - Accent1 6 2 2 7" xfId="18262" xr:uid="{00000000-0005-0000-0000-0000122F0000}"/>
    <cellStyle name="40% - Accent1 6 2 2 7 2" xfId="42094" xr:uid="{9C885E48-C015-4362-A67A-924EF27AF863}"/>
    <cellStyle name="40% - Accent1 6 2 2 8" xfId="26214" xr:uid="{50A2F7F8-E172-40F2-AB70-39B3C69A7A65}"/>
    <cellStyle name="40% - Accent1 6 2 2_Exh G" xfId="2764" xr:uid="{00000000-0005-0000-0000-0000132F0000}"/>
    <cellStyle name="40% - Accent1 6 2 3" xfId="1390" xr:uid="{00000000-0005-0000-0000-0000142F0000}"/>
    <cellStyle name="40% - Accent1 6 2 3 2" xfId="4917" xr:uid="{00000000-0005-0000-0000-0000152F0000}"/>
    <cellStyle name="40% - Accent1 6 2 3 2 2" xfId="8508" xr:uid="{00000000-0005-0000-0000-0000162F0000}"/>
    <cellStyle name="40% - Accent1 6 2 3 2 2 2" xfId="16478" xr:uid="{00000000-0005-0000-0000-0000172F0000}"/>
    <cellStyle name="40% - Accent1 6 2 3 2 2 2 2" xfId="40320" xr:uid="{E8D0498F-A3E3-4E1B-A17A-44CD3A4E6133}"/>
    <cellStyle name="40% - Accent1 6 2 3 2 2 3" xfId="24424" xr:uid="{00000000-0005-0000-0000-0000182F0000}"/>
    <cellStyle name="40% - Accent1 6 2 3 2 2 3 2" xfId="48256" xr:uid="{46C0B77A-ECC8-4E0B-91B7-24CB148803FA}"/>
    <cellStyle name="40% - Accent1 6 2 3 2 2 4" xfId="32379" xr:uid="{C6F75F4C-30C5-43D0-B067-EA46D60034A9}"/>
    <cellStyle name="40% - Accent1 6 2 3 2 3" xfId="12940" xr:uid="{00000000-0005-0000-0000-0000192F0000}"/>
    <cellStyle name="40% - Accent1 6 2 3 2 3 2" xfId="36789" xr:uid="{DB4E80FF-F9A2-4968-BE64-5C08391BC36F}"/>
    <cellStyle name="40% - Accent1 6 2 3 2 4" xfId="20895" xr:uid="{00000000-0005-0000-0000-00001A2F0000}"/>
    <cellStyle name="40% - Accent1 6 2 3 2 4 2" xfId="44727" xr:uid="{2EDB33D8-E642-4FF7-B352-9FDF84DD8101}"/>
    <cellStyle name="40% - Accent1 6 2 3 2 5" xfId="28848" xr:uid="{A1486206-C284-432D-BC00-520D5B918A92}"/>
    <cellStyle name="40% - Accent1 6 2 3 3" xfId="6749" xr:uid="{00000000-0005-0000-0000-00001B2F0000}"/>
    <cellStyle name="40% - Accent1 6 2 3 3 2" xfId="14720" xr:uid="{00000000-0005-0000-0000-00001C2F0000}"/>
    <cellStyle name="40% - Accent1 6 2 3 3 2 2" xfId="38562" xr:uid="{3192AEF7-DC3F-44E9-A3BD-84808CA0C207}"/>
    <cellStyle name="40% - Accent1 6 2 3 3 3" xfId="22667" xr:uid="{00000000-0005-0000-0000-00001D2F0000}"/>
    <cellStyle name="40% - Accent1 6 2 3 3 3 2" xfId="46499" xr:uid="{6ABFAFEC-00B7-4766-A48C-9973A830E405}"/>
    <cellStyle name="40% - Accent1 6 2 3 3 4" xfId="30621" xr:uid="{DDF5B369-E0CA-40D4-BA87-0ED0591CB036}"/>
    <cellStyle name="40% - Accent1 6 2 3 4" xfId="11184" xr:uid="{00000000-0005-0000-0000-00001E2F0000}"/>
    <cellStyle name="40% - Accent1 6 2 3 4 2" xfId="35033" xr:uid="{38970C70-7EC6-427F-8197-B6F376B6A6D7}"/>
    <cellStyle name="40% - Accent1 6 2 3 5" xfId="19139" xr:uid="{00000000-0005-0000-0000-00001F2F0000}"/>
    <cellStyle name="40% - Accent1 6 2 3 5 2" xfId="42971" xr:uid="{54754EAC-2451-4789-A565-6877648BCCE8}"/>
    <cellStyle name="40% - Accent1 6 2 3 6" xfId="27091" xr:uid="{3066E9B9-1BDD-46F0-94C8-9CEF0EC4D582}"/>
    <cellStyle name="40% - Accent1 6 2 3_Exh G" xfId="2766" xr:uid="{00000000-0005-0000-0000-0000202F0000}"/>
    <cellStyle name="40% - Accent1 6 2 4" xfId="4038" xr:uid="{00000000-0005-0000-0000-0000212F0000}"/>
    <cellStyle name="40% - Accent1 6 2 4 2" xfId="7630" xr:uid="{00000000-0005-0000-0000-0000222F0000}"/>
    <cellStyle name="40% - Accent1 6 2 4 2 2" xfId="15600" xr:uid="{00000000-0005-0000-0000-0000232F0000}"/>
    <cellStyle name="40% - Accent1 6 2 4 2 2 2" xfId="39442" xr:uid="{EF45BC71-A624-4FC5-9671-3910BE96DD8D}"/>
    <cellStyle name="40% - Accent1 6 2 4 2 3" xfId="23546" xr:uid="{00000000-0005-0000-0000-0000242F0000}"/>
    <cellStyle name="40% - Accent1 6 2 4 2 3 2" xfId="47378" xr:uid="{632D7022-4871-4540-B5BA-63DFBD04B403}"/>
    <cellStyle name="40% - Accent1 6 2 4 2 4" xfId="31501" xr:uid="{37B1711E-31C9-4605-9514-FC897292E15D}"/>
    <cellStyle name="40% - Accent1 6 2 4 3" xfId="12062" xr:uid="{00000000-0005-0000-0000-0000252F0000}"/>
    <cellStyle name="40% - Accent1 6 2 4 3 2" xfId="35911" xr:uid="{0CB5D87C-6128-4C7F-B649-0F15EF948B7A}"/>
    <cellStyle name="40% - Accent1 6 2 4 4" xfId="20017" xr:uid="{00000000-0005-0000-0000-0000262F0000}"/>
    <cellStyle name="40% - Accent1 6 2 4 4 2" xfId="43849" xr:uid="{57C0C074-527F-4664-AFDC-FA59F5FC036C}"/>
    <cellStyle name="40% - Accent1 6 2 4 5" xfId="27970" xr:uid="{1E6B25A3-D776-4FD8-894E-7B2D00DB8FBB}"/>
    <cellStyle name="40% - Accent1 6 2 5" xfId="5858" xr:uid="{00000000-0005-0000-0000-0000272F0000}"/>
    <cellStyle name="40% - Accent1 6 2 5 2" xfId="13841" xr:uid="{00000000-0005-0000-0000-0000282F0000}"/>
    <cellStyle name="40% - Accent1 6 2 5 2 2" xfId="37684" xr:uid="{429D6043-526D-42B1-8E15-F3B62C27B46B}"/>
    <cellStyle name="40% - Accent1 6 2 5 3" xfId="21789" xr:uid="{00000000-0005-0000-0000-0000292F0000}"/>
    <cellStyle name="40% - Accent1 6 2 5 3 2" xfId="45621" xr:uid="{59D94D09-996A-4672-8937-53C2BC6D71B6}"/>
    <cellStyle name="40% - Accent1 6 2 5 4" xfId="29743" xr:uid="{16B14BE7-290B-437C-9A8E-C025A9BB5D4F}"/>
    <cellStyle name="40% - Accent1 6 2 6" xfId="9410" xr:uid="{00000000-0005-0000-0000-00002A2F0000}"/>
    <cellStyle name="40% - Accent1 6 2 6 2" xfId="17368" xr:uid="{00000000-0005-0000-0000-00002B2F0000}"/>
    <cellStyle name="40% - Accent1 6 2 6 2 2" xfId="41208" xr:uid="{0C377E07-5437-4E66-8AEC-BDA1134C5602}"/>
    <cellStyle name="40% - Accent1 6 2 6 3" xfId="25312" xr:uid="{00000000-0005-0000-0000-00002C2F0000}"/>
    <cellStyle name="40% - Accent1 6 2 6 3 2" xfId="49144" xr:uid="{060567FA-3FA4-47CC-B62F-714CCD3EE24C}"/>
    <cellStyle name="40% - Accent1 6 2 6 4" xfId="33267" xr:uid="{69CD1718-6826-42C4-B581-178BDAB4C472}"/>
    <cellStyle name="40% - Accent1 6 2 7" xfId="10306" xr:uid="{00000000-0005-0000-0000-00002D2F0000}"/>
    <cellStyle name="40% - Accent1 6 2 7 2" xfId="34155" xr:uid="{AAC11601-E4E7-4FF0-9882-6B5E563456AB}"/>
    <cellStyle name="40% - Accent1 6 2 8" xfId="18261" xr:uid="{00000000-0005-0000-0000-00002E2F0000}"/>
    <cellStyle name="40% - Accent1 6 2 8 2" xfId="42093" xr:uid="{DC18E639-CB9C-4F36-842D-108DA31068C1}"/>
    <cellStyle name="40% - Accent1 6 2 9" xfId="26213" xr:uid="{38358CD0-79D3-4C85-8378-021639193085}"/>
    <cellStyle name="40% - Accent1 6 2_Exh G" xfId="2763" xr:uid="{00000000-0005-0000-0000-00002F2F0000}"/>
    <cellStyle name="40% - Accent1 6 3" xfId="366" xr:uid="{00000000-0005-0000-0000-0000302F0000}"/>
    <cellStyle name="40% - Accent1 6 3 2" xfId="1392" xr:uid="{00000000-0005-0000-0000-0000312F0000}"/>
    <cellStyle name="40% - Accent1 6 3 2 2" xfId="4919" xr:uid="{00000000-0005-0000-0000-0000322F0000}"/>
    <cellStyle name="40% - Accent1 6 3 2 2 2" xfId="8510" xr:uid="{00000000-0005-0000-0000-0000332F0000}"/>
    <cellStyle name="40% - Accent1 6 3 2 2 2 2" xfId="16480" xr:uid="{00000000-0005-0000-0000-0000342F0000}"/>
    <cellStyle name="40% - Accent1 6 3 2 2 2 2 2" xfId="40322" xr:uid="{C765C4C1-0763-4354-941E-B6A380495E25}"/>
    <cellStyle name="40% - Accent1 6 3 2 2 2 3" xfId="24426" xr:uid="{00000000-0005-0000-0000-0000352F0000}"/>
    <cellStyle name="40% - Accent1 6 3 2 2 2 3 2" xfId="48258" xr:uid="{08F36231-25E1-4EB1-8A07-960A5E12DE04}"/>
    <cellStyle name="40% - Accent1 6 3 2 2 2 4" xfId="32381" xr:uid="{75B9D8D3-F206-4F93-978F-E84C8FFE0583}"/>
    <cellStyle name="40% - Accent1 6 3 2 2 3" xfId="12942" xr:uid="{00000000-0005-0000-0000-0000362F0000}"/>
    <cellStyle name="40% - Accent1 6 3 2 2 3 2" xfId="36791" xr:uid="{BB8AB448-6627-4F07-9DE9-7183CD1930F8}"/>
    <cellStyle name="40% - Accent1 6 3 2 2 4" xfId="20897" xr:uid="{00000000-0005-0000-0000-0000372F0000}"/>
    <cellStyle name="40% - Accent1 6 3 2 2 4 2" xfId="44729" xr:uid="{1AE41137-1480-40E4-987A-B729FBE5176E}"/>
    <cellStyle name="40% - Accent1 6 3 2 2 5" xfId="28850" xr:uid="{4E76B35E-A1BB-44DD-A3CA-0CD70D04CF9F}"/>
    <cellStyle name="40% - Accent1 6 3 2 3" xfId="6751" xr:uid="{00000000-0005-0000-0000-0000382F0000}"/>
    <cellStyle name="40% - Accent1 6 3 2 3 2" xfId="14722" xr:uid="{00000000-0005-0000-0000-0000392F0000}"/>
    <cellStyle name="40% - Accent1 6 3 2 3 2 2" xfId="38564" xr:uid="{EE2A08C6-C5B9-412D-870F-B0D3A8FA4E94}"/>
    <cellStyle name="40% - Accent1 6 3 2 3 3" xfId="22669" xr:uid="{00000000-0005-0000-0000-00003A2F0000}"/>
    <cellStyle name="40% - Accent1 6 3 2 3 3 2" xfId="46501" xr:uid="{FEC16893-1828-4654-AA1B-6AEBE84ADCC7}"/>
    <cellStyle name="40% - Accent1 6 3 2 3 4" xfId="30623" xr:uid="{5213D39F-F804-4720-817F-D38B44326748}"/>
    <cellStyle name="40% - Accent1 6 3 2 4" xfId="11186" xr:uid="{00000000-0005-0000-0000-00003B2F0000}"/>
    <cellStyle name="40% - Accent1 6 3 2 4 2" xfId="35035" xr:uid="{783F3393-1D60-4039-A09B-D57C4A13C53D}"/>
    <cellStyle name="40% - Accent1 6 3 2 5" xfId="19141" xr:uid="{00000000-0005-0000-0000-00003C2F0000}"/>
    <cellStyle name="40% - Accent1 6 3 2 5 2" xfId="42973" xr:uid="{C0E21CB3-0127-4972-8884-BEEBB2BBD8F4}"/>
    <cellStyle name="40% - Accent1 6 3 2 6" xfId="27093" xr:uid="{72D6B13B-7E14-4B72-ADB0-9A93F980D968}"/>
    <cellStyle name="40% - Accent1 6 3 2_Exh G" xfId="2768" xr:uid="{00000000-0005-0000-0000-00003D2F0000}"/>
    <cellStyle name="40% - Accent1 6 3 3" xfId="4040" xr:uid="{00000000-0005-0000-0000-00003E2F0000}"/>
    <cellStyle name="40% - Accent1 6 3 3 2" xfId="7632" xr:uid="{00000000-0005-0000-0000-00003F2F0000}"/>
    <cellStyle name="40% - Accent1 6 3 3 2 2" xfId="15602" xr:uid="{00000000-0005-0000-0000-0000402F0000}"/>
    <cellStyle name="40% - Accent1 6 3 3 2 2 2" xfId="39444" xr:uid="{A278CE57-4EEC-40B9-8F3D-0EF900191B92}"/>
    <cellStyle name="40% - Accent1 6 3 3 2 3" xfId="23548" xr:uid="{00000000-0005-0000-0000-0000412F0000}"/>
    <cellStyle name="40% - Accent1 6 3 3 2 3 2" xfId="47380" xr:uid="{A9567D96-AAF4-478A-B104-BD63A850A888}"/>
    <cellStyle name="40% - Accent1 6 3 3 2 4" xfId="31503" xr:uid="{28DF08D9-FE50-4B5C-8B32-BED07B4032EA}"/>
    <cellStyle name="40% - Accent1 6 3 3 3" xfId="12064" xr:uid="{00000000-0005-0000-0000-0000422F0000}"/>
    <cellStyle name="40% - Accent1 6 3 3 3 2" xfId="35913" xr:uid="{12318782-E4D2-46FD-9DF3-5F6B756E4BFE}"/>
    <cellStyle name="40% - Accent1 6 3 3 4" xfId="20019" xr:uid="{00000000-0005-0000-0000-0000432F0000}"/>
    <cellStyle name="40% - Accent1 6 3 3 4 2" xfId="43851" xr:uid="{1FEE03AC-A323-4A55-9C3F-A8A990630FD9}"/>
    <cellStyle name="40% - Accent1 6 3 3 5" xfId="27972" xr:uid="{AF708728-A341-46E4-B897-B55CFC195D0F}"/>
    <cellStyle name="40% - Accent1 6 3 4" xfId="5860" xr:uid="{00000000-0005-0000-0000-0000442F0000}"/>
    <cellStyle name="40% - Accent1 6 3 4 2" xfId="13843" xr:uid="{00000000-0005-0000-0000-0000452F0000}"/>
    <cellStyle name="40% - Accent1 6 3 4 2 2" xfId="37686" xr:uid="{38FBE330-78F3-4A6B-98BE-78B7BE92C893}"/>
    <cellStyle name="40% - Accent1 6 3 4 3" xfId="21791" xr:uid="{00000000-0005-0000-0000-0000462F0000}"/>
    <cellStyle name="40% - Accent1 6 3 4 3 2" xfId="45623" xr:uid="{CBFFC2CF-09CF-4AD6-B8F2-B655E9CCD410}"/>
    <cellStyle name="40% - Accent1 6 3 4 4" xfId="29745" xr:uid="{81D4DB5B-F73D-4E7A-BAD4-514041B8C0C2}"/>
    <cellStyle name="40% - Accent1 6 3 5" xfId="9412" xr:uid="{00000000-0005-0000-0000-0000472F0000}"/>
    <cellStyle name="40% - Accent1 6 3 5 2" xfId="17370" xr:uid="{00000000-0005-0000-0000-0000482F0000}"/>
    <cellStyle name="40% - Accent1 6 3 5 2 2" xfId="41210" xr:uid="{B2B02C9D-92DC-4C39-B18C-8F18B500FB7F}"/>
    <cellStyle name="40% - Accent1 6 3 5 3" xfId="25314" xr:uid="{00000000-0005-0000-0000-0000492F0000}"/>
    <cellStyle name="40% - Accent1 6 3 5 3 2" xfId="49146" xr:uid="{3B6488A3-F01D-4A97-8B5F-B2E3CC955450}"/>
    <cellStyle name="40% - Accent1 6 3 5 4" xfId="33269" xr:uid="{CCD72E50-77E4-443C-AD6D-659F39325586}"/>
    <cellStyle name="40% - Accent1 6 3 6" xfId="10308" xr:uid="{00000000-0005-0000-0000-00004A2F0000}"/>
    <cellStyle name="40% - Accent1 6 3 6 2" xfId="34157" xr:uid="{773E0663-F552-428A-B6CE-BFCB838763D7}"/>
    <cellStyle name="40% - Accent1 6 3 7" xfId="18263" xr:uid="{00000000-0005-0000-0000-00004B2F0000}"/>
    <cellStyle name="40% - Accent1 6 3 7 2" xfId="42095" xr:uid="{75DA7F7F-139D-4039-B273-25CCB1EA3713}"/>
    <cellStyle name="40% - Accent1 6 3 8" xfId="26215" xr:uid="{9B09B36D-FE45-4760-9C20-6CC2A42D6E3B}"/>
    <cellStyle name="40% - Accent1 6 3_Exh G" xfId="2767" xr:uid="{00000000-0005-0000-0000-00004C2F0000}"/>
    <cellStyle name="40% - Accent1 6 4" xfId="939" xr:uid="{00000000-0005-0000-0000-00004D2F0000}"/>
    <cellStyle name="40% - Accent1 6 4 2" xfId="1858" xr:uid="{00000000-0005-0000-0000-00004E2F0000}"/>
    <cellStyle name="40% - Accent1 6 4 2 2" xfId="5375" xr:uid="{00000000-0005-0000-0000-00004F2F0000}"/>
    <cellStyle name="40% - Accent1 6 4 2 2 2" xfId="8966" xr:uid="{00000000-0005-0000-0000-0000502F0000}"/>
    <cellStyle name="40% - Accent1 6 4 2 2 2 2" xfId="16936" xr:uid="{00000000-0005-0000-0000-0000512F0000}"/>
    <cellStyle name="40% - Accent1 6 4 2 2 2 2 2" xfId="40778" xr:uid="{CB095D38-F243-4AF7-A3CD-BE122729CFFB}"/>
    <cellStyle name="40% - Accent1 6 4 2 2 2 3" xfId="24882" xr:uid="{00000000-0005-0000-0000-0000522F0000}"/>
    <cellStyle name="40% - Accent1 6 4 2 2 2 3 2" xfId="48714" xr:uid="{1C0EBC5D-FDA3-4E7A-8DFA-F461FCA92F96}"/>
    <cellStyle name="40% - Accent1 6 4 2 2 2 4" xfId="32837" xr:uid="{82BEE7CF-C99F-417F-966A-054B5EEA6AF7}"/>
    <cellStyle name="40% - Accent1 6 4 2 2 3" xfId="13398" xr:uid="{00000000-0005-0000-0000-0000532F0000}"/>
    <cellStyle name="40% - Accent1 6 4 2 2 3 2" xfId="37247" xr:uid="{9DC4CBDF-D100-4141-BEC4-80E28E82032A}"/>
    <cellStyle name="40% - Accent1 6 4 2 2 4" xfId="21353" xr:uid="{00000000-0005-0000-0000-0000542F0000}"/>
    <cellStyle name="40% - Accent1 6 4 2 2 4 2" xfId="45185" xr:uid="{18EF369A-6823-4377-911E-C8E6105A7C3C}"/>
    <cellStyle name="40% - Accent1 6 4 2 2 5" xfId="29306" xr:uid="{AC4FC301-F194-4DF0-BB97-6F2645E770F8}"/>
    <cellStyle name="40% - Accent1 6 4 2 3" xfId="7207" xr:uid="{00000000-0005-0000-0000-0000552F0000}"/>
    <cellStyle name="40% - Accent1 6 4 2 3 2" xfId="15178" xr:uid="{00000000-0005-0000-0000-0000562F0000}"/>
    <cellStyle name="40% - Accent1 6 4 2 3 2 2" xfId="39020" xr:uid="{1CB0C28F-39F2-446D-A5AA-6E270934FE03}"/>
    <cellStyle name="40% - Accent1 6 4 2 3 3" xfId="23125" xr:uid="{00000000-0005-0000-0000-0000572F0000}"/>
    <cellStyle name="40% - Accent1 6 4 2 3 3 2" xfId="46957" xr:uid="{29EC3FC3-3642-4152-920B-56F23E29D19C}"/>
    <cellStyle name="40% - Accent1 6 4 2 3 4" xfId="31079" xr:uid="{17A82E82-D023-46F2-9BD5-4BECB147AEB8}"/>
    <cellStyle name="40% - Accent1 6 4 2 4" xfId="11642" xr:uid="{00000000-0005-0000-0000-0000582F0000}"/>
    <cellStyle name="40% - Accent1 6 4 2 4 2" xfId="35491" xr:uid="{ED20B045-B3E2-44D8-AD0B-BC01CBC1EE7D}"/>
    <cellStyle name="40% - Accent1 6 4 2 5" xfId="19597" xr:uid="{00000000-0005-0000-0000-0000592F0000}"/>
    <cellStyle name="40% - Accent1 6 4 2 5 2" xfId="43429" xr:uid="{17FDF412-0E70-4E34-9213-3CC0CFC5C179}"/>
    <cellStyle name="40% - Accent1 6 4 2 6" xfId="27549" xr:uid="{45546952-982B-4914-93A8-BB0E9704A001}"/>
    <cellStyle name="40% - Accent1 6 4 2_Exh G" xfId="2770" xr:uid="{00000000-0005-0000-0000-00005A2F0000}"/>
    <cellStyle name="40% - Accent1 6 4 3" xfId="4496" xr:uid="{00000000-0005-0000-0000-00005B2F0000}"/>
    <cellStyle name="40% - Accent1 6 4 3 2" xfId="8088" xr:uid="{00000000-0005-0000-0000-00005C2F0000}"/>
    <cellStyle name="40% - Accent1 6 4 3 2 2" xfId="16058" xr:uid="{00000000-0005-0000-0000-00005D2F0000}"/>
    <cellStyle name="40% - Accent1 6 4 3 2 2 2" xfId="39900" xr:uid="{A3B3597A-04E6-4F60-BF60-091F3505F740}"/>
    <cellStyle name="40% - Accent1 6 4 3 2 3" xfId="24004" xr:uid="{00000000-0005-0000-0000-00005E2F0000}"/>
    <cellStyle name="40% - Accent1 6 4 3 2 3 2" xfId="47836" xr:uid="{C87DE1C1-8770-4524-AE80-B93A1D3432E8}"/>
    <cellStyle name="40% - Accent1 6 4 3 2 4" xfId="31959" xr:uid="{0532C933-7319-4394-AC64-69E5D4E286BB}"/>
    <cellStyle name="40% - Accent1 6 4 3 3" xfId="12520" xr:uid="{00000000-0005-0000-0000-00005F2F0000}"/>
    <cellStyle name="40% - Accent1 6 4 3 3 2" xfId="36369" xr:uid="{799ABBB2-41D3-4AAB-B49C-F0546F918DEE}"/>
    <cellStyle name="40% - Accent1 6 4 3 4" xfId="20475" xr:uid="{00000000-0005-0000-0000-0000602F0000}"/>
    <cellStyle name="40% - Accent1 6 4 3 4 2" xfId="44307" xr:uid="{A6D5AE44-0393-4FEA-BB67-B97B0D7E3FC0}"/>
    <cellStyle name="40% - Accent1 6 4 3 5" xfId="28428" xr:uid="{08A7036E-0F31-43FA-BFE7-E010803E9D52}"/>
    <cellStyle name="40% - Accent1 6 4 4" xfId="6326" xr:uid="{00000000-0005-0000-0000-0000612F0000}"/>
    <cellStyle name="40% - Accent1 6 4 4 2" xfId="14300" xr:uid="{00000000-0005-0000-0000-0000622F0000}"/>
    <cellStyle name="40% - Accent1 6 4 4 2 2" xfId="38142" xr:uid="{B64EF137-4BA2-428E-BB9B-EFDED5BA76CD}"/>
    <cellStyle name="40% - Accent1 6 4 4 3" xfId="22247" xr:uid="{00000000-0005-0000-0000-0000632F0000}"/>
    <cellStyle name="40% - Accent1 6 4 4 3 2" xfId="46079" xr:uid="{731FB91A-4C0B-48D8-8006-607FCA105353}"/>
    <cellStyle name="40% - Accent1 6 4 4 4" xfId="30201" xr:uid="{0D3D74D9-FB89-4C18-9A32-5947339F6877}"/>
    <cellStyle name="40% - Accent1 6 4 5" xfId="9868" xr:uid="{00000000-0005-0000-0000-0000642F0000}"/>
    <cellStyle name="40% - Accent1 6 4 5 2" xfId="17826" xr:uid="{00000000-0005-0000-0000-0000652F0000}"/>
    <cellStyle name="40% - Accent1 6 4 5 2 2" xfId="41666" xr:uid="{F5980E09-00DE-428B-A90F-20E81B8A6ACF}"/>
    <cellStyle name="40% - Accent1 6 4 5 3" xfId="25770" xr:uid="{00000000-0005-0000-0000-0000662F0000}"/>
    <cellStyle name="40% - Accent1 6 4 5 3 2" xfId="49602" xr:uid="{78F3F4BA-E3BD-494F-8EF3-B6F08E6F9CDE}"/>
    <cellStyle name="40% - Accent1 6 4 5 4" xfId="33725" xr:uid="{CD7FE1EF-029D-463A-ABE7-78202C743018}"/>
    <cellStyle name="40% - Accent1 6 4 6" xfId="10764" xr:uid="{00000000-0005-0000-0000-0000672F0000}"/>
    <cellStyle name="40% - Accent1 6 4 6 2" xfId="34613" xr:uid="{BD031F8B-49FE-48F0-9040-8DA03589A265}"/>
    <cellStyle name="40% - Accent1 6 4 7" xfId="18719" xr:uid="{00000000-0005-0000-0000-0000682F0000}"/>
    <cellStyle name="40% - Accent1 6 4 7 2" xfId="42551" xr:uid="{F21D494D-739B-4432-A526-60FEB8640C49}"/>
    <cellStyle name="40% - Accent1 6 4 8" xfId="26671" xr:uid="{F8977E6E-B283-435F-B891-2EE9420801C7}"/>
    <cellStyle name="40% - Accent1 6 4_Exh G" xfId="2769" xr:uid="{00000000-0005-0000-0000-0000692F0000}"/>
    <cellStyle name="40% - Accent1 6 5" xfId="1389" xr:uid="{00000000-0005-0000-0000-00006A2F0000}"/>
    <cellStyle name="40% - Accent1 6 5 2" xfId="4916" xr:uid="{00000000-0005-0000-0000-00006B2F0000}"/>
    <cellStyle name="40% - Accent1 6 5 2 2" xfId="8507" xr:uid="{00000000-0005-0000-0000-00006C2F0000}"/>
    <cellStyle name="40% - Accent1 6 5 2 2 2" xfId="16477" xr:uid="{00000000-0005-0000-0000-00006D2F0000}"/>
    <cellStyle name="40% - Accent1 6 5 2 2 2 2" xfId="40319" xr:uid="{CEA25DE3-6EEC-4724-A5ED-CEF3C51203D3}"/>
    <cellStyle name="40% - Accent1 6 5 2 2 3" xfId="24423" xr:uid="{00000000-0005-0000-0000-00006E2F0000}"/>
    <cellStyle name="40% - Accent1 6 5 2 2 3 2" xfId="48255" xr:uid="{76D948FF-DD78-4925-BEA0-F95DCBDA1048}"/>
    <cellStyle name="40% - Accent1 6 5 2 2 4" xfId="32378" xr:uid="{EDBEFC8F-766D-4473-AD95-6473C1B58F8D}"/>
    <cellStyle name="40% - Accent1 6 5 2 3" xfId="12939" xr:uid="{00000000-0005-0000-0000-00006F2F0000}"/>
    <cellStyle name="40% - Accent1 6 5 2 3 2" xfId="36788" xr:uid="{BAC3017F-F69A-4C82-AF75-35E727964171}"/>
    <cellStyle name="40% - Accent1 6 5 2 4" xfId="20894" xr:uid="{00000000-0005-0000-0000-0000702F0000}"/>
    <cellStyle name="40% - Accent1 6 5 2 4 2" xfId="44726" xr:uid="{E58880CE-68B5-436C-AF00-5E932077917F}"/>
    <cellStyle name="40% - Accent1 6 5 2 5" xfId="28847" xr:uid="{5B00FBC7-A66B-46AC-9348-7BF69BD9E31F}"/>
    <cellStyle name="40% - Accent1 6 5 3" xfId="6748" xr:uid="{00000000-0005-0000-0000-0000712F0000}"/>
    <cellStyle name="40% - Accent1 6 5 3 2" xfId="14719" xr:uid="{00000000-0005-0000-0000-0000722F0000}"/>
    <cellStyle name="40% - Accent1 6 5 3 2 2" xfId="38561" xr:uid="{1E31BD73-CAE5-478C-B434-A037D39E8234}"/>
    <cellStyle name="40% - Accent1 6 5 3 3" xfId="22666" xr:uid="{00000000-0005-0000-0000-0000732F0000}"/>
    <cellStyle name="40% - Accent1 6 5 3 3 2" xfId="46498" xr:uid="{60DFBAD2-F1AA-4D1B-AB07-66414541AA80}"/>
    <cellStyle name="40% - Accent1 6 5 3 4" xfId="30620" xr:uid="{CA03DD28-E29D-4BA0-AC68-79C9A6ACFAB3}"/>
    <cellStyle name="40% - Accent1 6 5 4" xfId="11183" xr:uid="{00000000-0005-0000-0000-0000742F0000}"/>
    <cellStyle name="40% - Accent1 6 5 4 2" xfId="35032" xr:uid="{42EC2E90-EC9C-4A48-85A8-E3D04C8406F5}"/>
    <cellStyle name="40% - Accent1 6 5 5" xfId="19138" xr:uid="{00000000-0005-0000-0000-0000752F0000}"/>
    <cellStyle name="40% - Accent1 6 5 5 2" xfId="42970" xr:uid="{79AC903A-222B-4E15-B089-C6D23526F035}"/>
    <cellStyle name="40% - Accent1 6 5 6" xfId="27090" xr:uid="{DAFB9171-B860-4421-AEE6-BF5FF2B9D04F}"/>
    <cellStyle name="40% - Accent1 6 5_Exh G" xfId="2771" xr:uid="{00000000-0005-0000-0000-0000762F0000}"/>
    <cellStyle name="40% - Accent1 6 6" xfId="4037" xr:uid="{00000000-0005-0000-0000-0000772F0000}"/>
    <cellStyle name="40% - Accent1 6 6 2" xfId="7629" xr:uid="{00000000-0005-0000-0000-0000782F0000}"/>
    <cellStyle name="40% - Accent1 6 6 2 2" xfId="15599" xr:uid="{00000000-0005-0000-0000-0000792F0000}"/>
    <cellStyle name="40% - Accent1 6 6 2 2 2" xfId="39441" xr:uid="{BB75E6FF-46AD-4249-9E03-1E49CF3725B2}"/>
    <cellStyle name="40% - Accent1 6 6 2 3" xfId="23545" xr:uid="{00000000-0005-0000-0000-00007A2F0000}"/>
    <cellStyle name="40% - Accent1 6 6 2 3 2" xfId="47377" xr:uid="{60AE9956-4A0C-4090-AA5C-FF0797256BCF}"/>
    <cellStyle name="40% - Accent1 6 6 2 4" xfId="31500" xr:uid="{35A1A161-C946-4605-BE15-CE0EAC2BC1B7}"/>
    <cellStyle name="40% - Accent1 6 6 3" xfId="12061" xr:uid="{00000000-0005-0000-0000-00007B2F0000}"/>
    <cellStyle name="40% - Accent1 6 6 3 2" xfId="35910" xr:uid="{A5EC3ABF-93B5-4753-9492-32FE013EF1D3}"/>
    <cellStyle name="40% - Accent1 6 6 4" xfId="20016" xr:uid="{00000000-0005-0000-0000-00007C2F0000}"/>
    <cellStyle name="40% - Accent1 6 6 4 2" xfId="43848" xr:uid="{EDFDD3C5-5420-4D64-9C2A-D3B261171101}"/>
    <cellStyle name="40% - Accent1 6 6 5" xfId="27969" xr:uid="{768FF12A-9D2D-46DC-91ED-03DF85B22E5A}"/>
    <cellStyle name="40% - Accent1 6 7" xfId="5857" xr:uid="{00000000-0005-0000-0000-00007D2F0000}"/>
    <cellStyle name="40% - Accent1 6 7 2" xfId="13840" xr:uid="{00000000-0005-0000-0000-00007E2F0000}"/>
    <cellStyle name="40% - Accent1 6 7 2 2" xfId="37683" xr:uid="{08822FDA-43D9-496B-B568-E14753DE377E}"/>
    <cellStyle name="40% - Accent1 6 7 3" xfId="21788" xr:uid="{00000000-0005-0000-0000-00007F2F0000}"/>
    <cellStyle name="40% - Accent1 6 7 3 2" xfId="45620" xr:uid="{7199EA37-B727-4BEB-8037-7995345DC5CC}"/>
    <cellStyle name="40% - Accent1 6 7 4" xfId="29742" xr:uid="{2EA9FF7F-919E-4D06-ACA1-A149F9A6F3B7}"/>
    <cellStyle name="40% - Accent1 6 8" xfId="9409" xr:uid="{00000000-0005-0000-0000-0000802F0000}"/>
    <cellStyle name="40% - Accent1 6 8 2" xfId="17367" xr:uid="{00000000-0005-0000-0000-0000812F0000}"/>
    <cellStyle name="40% - Accent1 6 8 2 2" xfId="41207" xr:uid="{8D765EB7-DE71-4257-B8DF-35701911C447}"/>
    <cellStyle name="40% - Accent1 6 8 3" xfId="25311" xr:uid="{00000000-0005-0000-0000-0000822F0000}"/>
    <cellStyle name="40% - Accent1 6 8 3 2" xfId="49143" xr:uid="{20574385-3667-4FBF-9BD2-64032B754705}"/>
    <cellStyle name="40% - Accent1 6 8 4" xfId="33266" xr:uid="{302F824E-5BDA-4812-BE1C-34578F78DB86}"/>
    <cellStyle name="40% - Accent1 6 9" xfId="10305" xr:uid="{00000000-0005-0000-0000-0000832F0000}"/>
    <cellStyle name="40% - Accent1 6 9 2" xfId="34154" xr:uid="{765FA042-6963-4605-BDA5-D20E8A011D31}"/>
    <cellStyle name="40% - Accent1 6_Exh G" xfId="2762" xr:uid="{00000000-0005-0000-0000-0000842F0000}"/>
    <cellStyle name="40% - Accent1 7" xfId="367" xr:uid="{00000000-0005-0000-0000-0000852F0000}"/>
    <cellStyle name="40% - Accent1 7 10" xfId="18264" xr:uid="{00000000-0005-0000-0000-0000862F0000}"/>
    <cellStyle name="40% - Accent1 7 10 2" xfId="42096" xr:uid="{AB40678D-EFD6-4529-95E8-B1739955B758}"/>
    <cellStyle name="40% - Accent1 7 11" xfId="26216" xr:uid="{7C3F01A5-EAE4-48D4-AFFE-B03E467AFC55}"/>
    <cellStyle name="40% - Accent1 7 2" xfId="368" xr:uid="{00000000-0005-0000-0000-0000872F0000}"/>
    <cellStyle name="40% - Accent1 7 2 2" xfId="369" xr:uid="{00000000-0005-0000-0000-0000882F0000}"/>
    <cellStyle name="40% - Accent1 7 2 2 2" xfId="1395" xr:uid="{00000000-0005-0000-0000-0000892F0000}"/>
    <cellStyle name="40% - Accent1 7 2 2 2 2" xfId="4922" xr:uid="{00000000-0005-0000-0000-00008A2F0000}"/>
    <cellStyle name="40% - Accent1 7 2 2 2 2 2" xfId="8513" xr:uid="{00000000-0005-0000-0000-00008B2F0000}"/>
    <cellStyle name="40% - Accent1 7 2 2 2 2 2 2" xfId="16483" xr:uid="{00000000-0005-0000-0000-00008C2F0000}"/>
    <cellStyle name="40% - Accent1 7 2 2 2 2 2 2 2" xfId="40325" xr:uid="{3765AF6B-036D-4A35-A051-AD1AEFD2A27F}"/>
    <cellStyle name="40% - Accent1 7 2 2 2 2 2 3" xfId="24429" xr:uid="{00000000-0005-0000-0000-00008D2F0000}"/>
    <cellStyle name="40% - Accent1 7 2 2 2 2 2 3 2" xfId="48261" xr:uid="{52DF2C65-3B57-4212-9887-C4F47A3FDB1E}"/>
    <cellStyle name="40% - Accent1 7 2 2 2 2 2 4" xfId="32384" xr:uid="{499839C3-6453-4A90-9E4A-7DB9C443C559}"/>
    <cellStyle name="40% - Accent1 7 2 2 2 2 3" xfId="12945" xr:uid="{00000000-0005-0000-0000-00008E2F0000}"/>
    <cellStyle name="40% - Accent1 7 2 2 2 2 3 2" xfId="36794" xr:uid="{A511C1C5-14B8-4BDE-A39B-11726007EA15}"/>
    <cellStyle name="40% - Accent1 7 2 2 2 2 4" xfId="20900" xr:uid="{00000000-0005-0000-0000-00008F2F0000}"/>
    <cellStyle name="40% - Accent1 7 2 2 2 2 4 2" xfId="44732" xr:uid="{723ACAC7-9F61-40BF-8E22-DDD310817D68}"/>
    <cellStyle name="40% - Accent1 7 2 2 2 2 5" xfId="28853" xr:uid="{4FD348BD-5A76-41D0-AFEF-2598D542DE20}"/>
    <cellStyle name="40% - Accent1 7 2 2 2 3" xfId="6754" xr:uid="{00000000-0005-0000-0000-0000902F0000}"/>
    <cellStyle name="40% - Accent1 7 2 2 2 3 2" xfId="14725" xr:uid="{00000000-0005-0000-0000-0000912F0000}"/>
    <cellStyle name="40% - Accent1 7 2 2 2 3 2 2" xfId="38567" xr:uid="{8129884F-6095-49D5-B9A4-4F4C3AD2ABA9}"/>
    <cellStyle name="40% - Accent1 7 2 2 2 3 3" xfId="22672" xr:uid="{00000000-0005-0000-0000-0000922F0000}"/>
    <cellStyle name="40% - Accent1 7 2 2 2 3 3 2" xfId="46504" xr:uid="{1447A32F-8E4E-411E-973A-337143483D87}"/>
    <cellStyle name="40% - Accent1 7 2 2 2 3 4" xfId="30626" xr:uid="{911825D0-BCE8-4C76-9F92-14520F72E5BB}"/>
    <cellStyle name="40% - Accent1 7 2 2 2 4" xfId="11189" xr:uid="{00000000-0005-0000-0000-0000932F0000}"/>
    <cellStyle name="40% - Accent1 7 2 2 2 4 2" xfId="35038" xr:uid="{CA8C1AC9-129A-48F3-9238-5EDD0E7201D4}"/>
    <cellStyle name="40% - Accent1 7 2 2 2 5" xfId="19144" xr:uid="{00000000-0005-0000-0000-0000942F0000}"/>
    <cellStyle name="40% - Accent1 7 2 2 2 5 2" xfId="42976" xr:uid="{DB020B98-05AF-4605-9843-161B1E2715D1}"/>
    <cellStyle name="40% - Accent1 7 2 2 2 6" xfId="27096" xr:uid="{8B8230E6-47C0-46DE-8B33-DEF960C9E4F0}"/>
    <cellStyle name="40% - Accent1 7 2 2 2_Exh G" xfId="2775" xr:uid="{00000000-0005-0000-0000-0000952F0000}"/>
    <cellStyle name="40% - Accent1 7 2 2 3" xfId="4043" xr:uid="{00000000-0005-0000-0000-0000962F0000}"/>
    <cellStyle name="40% - Accent1 7 2 2 3 2" xfId="7635" xr:uid="{00000000-0005-0000-0000-0000972F0000}"/>
    <cellStyle name="40% - Accent1 7 2 2 3 2 2" xfId="15605" xr:uid="{00000000-0005-0000-0000-0000982F0000}"/>
    <cellStyle name="40% - Accent1 7 2 2 3 2 2 2" xfId="39447" xr:uid="{3D8A4C05-4FBF-4A0C-BBE2-1126912A5D42}"/>
    <cellStyle name="40% - Accent1 7 2 2 3 2 3" xfId="23551" xr:uid="{00000000-0005-0000-0000-0000992F0000}"/>
    <cellStyle name="40% - Accent1 7 2 2 3 2 3 2" xfId="47383" xr:uid="{0930307C-3E92-4413-A13A-475357718606}"/>
    <cellStyle name="40% - Accent1 7 2 2 3 2 4" xfId="31506" xr:uid="{4D156501-E896-443B-BD97-D3FC3123660F}"/>
    <cellStyle name="40% - Accent1 7 2 2 3 3" xfId="12067" xr:uid="{00000000-0005-0000-0000-00009A2F0000}"/>
    <cellStyle name="40% - Accent1 7 2 2 3 3 2" xfId="35916" xr:uid="{3B875F5B-7231-46F4-9AF6-A6FF7F8C7317}"/>
    <cellStyle name="40% - Accent1 7 2 2 3 4" xfId="20022" xr:uid="{00000000-0005-0000-0000-00009B2F0000}"/>
    <cellStyle name="40% - Accent1 7 2 2 3 4 2" xfId="43854" xr:uid="{EE866C20-3488-4A43-ABB7-4E99568AC367}"/>
    <cellStyle name="40% - Accent1 7 2 2 3 5" xfId="27975" xr:uid="{223A0F75-374F-4804-8C5D-F91900734973}"/>
    <cellStyle name="40% - Accent1 7 2 2 4" xfId="5863" xr:uid="{00000000-0005-0000-0000-00009C2F0000}"/>
    <cellStyle name="40% - Accent1 7 2 2 4 2" xfId="13846" xr:uid="{00000000-0005-0000-0000-00009D2F0000}"/>
    <cellStyle name="40% - Accent1 7 2 2 4 2 2" xfId="37689" xr:uid="{E378D693-B938-4F90-B525-10694D98969C}"/>
    <cellStyle name="40% - Accent1 7 2 2 4 3" xfId="21794" xr:uid="{00000000-0005-0000-0000-00009E2F0000}"/>
    <cellStyle name="40% - Accent1 7 2 2 4 3 2" xfId="45626" xr:uid="{E1812A73-CC87-4CDA-B510-D73F77AA34B8}"/>
    <cellStyle name="40% - Accent1 7 2 2 4 4" xfId="29748" xr:uid="{B1683265-1715-44BF-9B24-9D9BD1772F3F}"/>
    <cellStyle name="40% - Accent1 7 2 2 5" xfId="9415" xr:uid="{00000000-0005-0000-0000-00009F2F0000}"/>
    <cellStyle name="40% - Accent1 7 2 2 5 2" xfId="17373" xr:uid="{00000000-0005-0000-0000-0000A02F0000}"/>
    <cellStyle name="40% - Accent1 7 2 2 5 2 2" xfId="41213" xr:uid="{2918955C-F467-4F16-97FD-C791A94EA25B}"/>
    <cellStyle name="40% - Accent1 7 2 2 5 3" xfId="25317" xr:uid="{00000000-0005-0000-0000-0000A12F0000}"/>
    <cellStyle name="40% - Accent1 7 2 2 5 3 2" xfId="49149" xr:uid="{2006AF41-D9DF-4AEF-A76C-A8B0A20191BF}"/>
    <cellStyle name="40% - Accent1 7 2 2 5 4" xfId="33272" xr:uid="{4DBE0277-0141-45D4-AB7B-5D4CE3C677C6}"/>
    <cellStyle name="40% - Accent1 7 2 2 6" xfId="10311" xr:uid="{00000000-0005-0000-0000-0000A22F0000}"/>
    <cellStyle name="40% - Accent1 7 2 2 6 2" xfId="34160" xr:uid="{4F88F01D-E9C2-437B-BC66-F475E044975E}"/>
    <cellStyle name="40% - Accent1 7 2 2 7" xfId="18266" xr:uid="{00000000-0005-0000-0000-0000A32F0000}"/>
    <cellStyle name="40% - Accent1 7 2 2 7 2" xfId="42098" xr:uid="{F0B08718-9663-41BD-9AE6-3CB358899E08}"/>
    <cellStyle name="40% - Accent1 7 2 2 8" xfId="26218" xr:uid="{B4AE4DAE-D3EF-49DC-828E-1791F43B7B64}"/>
    <cellStyle name="40% - Accent1 7 2 2_Exh G" xfId="2774" xr:uid="{00000000-0005-0000-0000-0000A42F0000}"/>
    <cellStyle name="40% - Accent1 7 2 3" xfId="1394" xr:uid="{00000000-0005-0000-0000-0000A52F0000}"/>
    <cellStyle name="40% - Accent1 7 2 3 2" xfId="4921" xr:uid="{00000000-0005-0000-0000-0000A62F0000}"/>
    <cellStyle name="40% - Accent1 7 2 3 2 2" xfId="8512" xr:uid="{00000000-0005-0000-0000-0000A72F0000}"/>
    <cellStyle name="40% - Accent1 7 2 3 2 2 2" xfId="16482" xr:uid="{00000000-0005-0000-0000-0000A82F0000}"/>
    <cellStyle name="40% - Accent1 7 2 3 2 2 2 2" xfId="40324" xr:uid="{C13A8896-108E-4935-A785-9D7FC5476603}"/>
    <cellStyle name="40% - Accent1 7 2 3 2 2 3" xfId="24428" xr:uid="{00000000-0005-0000-0000-0000A92F0000}"/>
    <cellStyle name="40% - Accent1 7 2 3 2 2 3 2" xfId="48260" xr:uid="{8E466E0D-C02A-4375-9D34-6AE4828E42C7}"/>
    <cellStyle name="40% - Accent1 7 2 3 2 2 4" xfId="32383" xr:uid="{69EA0DF3-7B72-4BBF-B103-5B686D1FBA83}"/>
    <cellStyle name="40% - Accent1 7 2 3 2 3" xfId="12944" xr:uid="{00000000-0005-0000-0000-0000AA2F0000}"/>
    <cellStyle name="40% - Accent1 7 2 3 2 3 2" xfId="36793" xr:uid="{BAC6175F-6B12-4C4C-A91F-F3364A0EDDF3}"/>
    <cellStyle name="40% - Accent1 7 2 3 2 4" xfId="20899" xr:uid="{00000000-0005-0000-0000-0000AB2F0000}"/>
    <cellStyle name="40% - Accent1 7 2 3 2 4 2" xfId="44731" xr:uid="{D0E9C65A-EAD4-4115-94E4-400E83AE0571}"/>
    <cellStyle name="40% - Accent1 7 2 3 2 5" xfId="28852" xr:uid="{E3514B5F-EB70-46BA-8415-06E34D2CDF87}"/>
    <cellStyle name="40% - Accent1 7 2 3 3" xfId="6753" xr:uid="{00000000-0005-0000-0000-0000AC2F0000}"/>
    <cellStyle name="40% - Accent1 7 2 3 3 2" xfId="14724" xr:uid="{00000000-0005-0000-0000-0000AD2F0000}"/>
    <cellStyle name="40% - Accent1 7 2 3 3 2 2" xfId="38566" xr:uid="{270C4055-DC2D-485B-A9D4-4164853D2E98}"/>
    <cellStyle name="40% - Accent1 7 2 3 3 3" xfId="22671" xr:uid="{00000000-0005-0000-0000-0000AE2F0000}"/>
    <cellStyle name="40% - Accent1 7 2 3 3 3 2" xfId="46503" xr:uid="{4E4CC153-4795-48C6-BC1D-4C77FBF05E32}"/>
    <cellStyle name="40% - Accent1 7 2 3 3 4" xfId="30625" xr:uid="{8D4CFA42-1452-4C73-8DB7-1C1A3DF58600}"/>
    <cellStyle name="40% - Accent1 7 2 3 4" xfId="11188" xr:uid="{00000000-0005-0000-0000-0000AF2F0000}"/>
    <cellStyle name="40% - Accent1 7 2 3 4 2" xfId="35037" xr:uid="{862AEE47-9A0E-4A10-8B31-C669E8AC7B30}"/>
    <cellStyle name="40% - Accent1 7 2 3 5" xfId="19143" xr:uid="{00000000-0005-0000-0000-0000B02F0000}"/>
    <cellStyle name="40% - Accent1 7 2 3 5 2" xfId="42975" xr:uid="{24B87977-F41C-411C-A27B-BD48ECB94C5C}"/>
    <cellStyle name="40% - Accent1 7 2 3 6" xfId="27095" xr:uid="{BC254F71-D760-4F73-BED6-72E78C104BDC}"/>
    <cellStyle name="40% - Accent1 7 2 3_Exh G" xfId="2776" xr:uid="{00000000-0005-0000-0000-0000B12F0000}"/>
    <cellStyle name="40% - Accent1 7 2 4" xfId="4042" xr:uid="{00000000-0005-0000-0000-0000B22F0000}"/>
    <cellStyle name="40% - Accent1 7 2 4 2" xfId="7634" xr:uid="{00000000-0005-0000-0000-0000B32F0000}"/>
    <cellStyle name="40% - Accent1 7 2 4 2 2" xfId="15604" xr:uid="{00000000-0005-0000-0000-0000B42F0000}"/>
    <cellStyle name="40% - Accent1 7 2 4 2 2 2" xfId="39446" xr:uid="{1D33A179-AADE-43DF-9662-5CFD8FB61B44}"/>
    <cellStyle name="40% - Accent1 7 2 4 2 3" xfId="23550" xr:uid="{00000000-0005-0000-0000-0000B52F0000}"/>
    <cellStyle name="40% - Accent1 7 2 4 2 3 2" xfId="47382" xr:uid="{922FB618-5CCD-4CFB-AC5B-FC5389DDF471}"/>
    <cellStyle name="40% - Accent1 7 2 4 2 4" xfId="31505" xr:uid="{BCBC4A64-4B32-48C9-ADEB-730E8BC90E8D}"/>
    <cellStyle name="40% - Accent1 7 2 4 3" xfId="12066" xr:uid="{00000000-0005-0000-0000-0000B62F0000}"/>
    <cellStyle name="40% - Accent1 7 2 4 3 2" xfId="35915" xr:uid="{41EEA1D2-62B5-4654-8551-CCFA3185442C}"/>
    <cellStyle name="40% - Accent1 7 2 4 4" xfId="20021" xr:uid="{00000000-0005-0000-0000-0000B72F0000}"/>
    <cellStyle name="40% - Accent1 7 2 4 4 2" xfId="43853" xr:uid="{95C82854-FFEA-447B-9958-496431F58F4C}"/>
    <cellStyle name="40% - Accent1 7 2 4 5" xfId="27974" xr:uid="{05445E5A-EBCE-47AC-9A56-24B66B204F1F}"/>
    <cellStyle name="40% - Accent1 7 2 5" xfId="5862" xr:uid="{00000000-0005-0000-0000-0000B82F0000}"/>
    <cellStyle name="40% - Accent1 7 2 5 2" xfId="13845" xr:uid="{00000000-0005-0000-0000-0000B92F0000}"/>
    <cellStyle name="40% - Accent1 7 2 5 2 2" xfId="37688" xr:uid="{93D54CDD-F832-4BA6-8E28-A3938E43F7B2}"/>
    <cellStyle name="40% - Accent1 7 2 5 3" xfId="21793" xr:uid="{00000000-0005-0000-0000-0000BA2F0000}"/>
    <cellStyle name="40% - Accent1 7 2 5 3 2" xfId="45625" xr:uid="{EC4EC6FB-119B-4924-A9EB-71836C16B6D4}"/>
    <cellStyle name="40% - Accent1 7 2 5 4" xfId="29747" xr:uid="{CCAB4C51-C153-4037-9A28-A4BADED83127}"/>
    <cellStyle name="40% - Accent1 7 2 6" xfId="9414" xr:uid="{00000000-0005-0000-0000-0000BB2F0000}"/>
    <cellStyle name="40% - Accent1 7 2 6 2" xfId="17372" xr:uid="{00000000-0005-0000-0000-0000BC2F0000}"/>
    <cellStyle name="40% - Accent1 7 2 6 2 2" xfId="41212" xr:uid="{20A784DF-E162-4909-B210-DE0F4C0E49B4}"/>
    <cellStyle name="40% - Accent1 7 2 6 3" xfId="25316" xr:uid="{00000000-0005-0000-0000-0000BD2F0000}"/>
    <cellStyle name="40% - Accent1 7 2 6 3 2" xfId="49148" xr:uid="{B4E9DCB4-98A4-4AA8-8CC4-D0F2CB67AF0C}"/>
    <cellStyle name="40% - Accent1 7 2 6 4" xfId="33271" xr:uid="{429246A7-209F-42DB-A98C-2F8A34CCE0F5}"/>
    <cellStyle name="40% - Accent1 7 2 7" xfId="10310" xr:uid="{00000000-0005-0000-0000-0000BE2F0000}"/>
    <cellStyle name="40% - Accent1 7 2 7 2" xfId="34159" xr:uid="{B34518ED-324D-4AD3-B4E8-2277D6FC4C37}"/>
    <cellStyle name="40% - Accent1 7 2 8" xfId="18265" xr:uid="{00000000-0005-0000-0000-0000BF2F0000}"/>
    <cellStyle name="40% - Accent1 7 2 8 2" xfId="42097" xr:uid="{B65BA73D-7B31-4E7F-AADB-92BB20CCB74B}"/>
    <cellStyle name="40% - Accent1 7 2 9" xfId="26217" xr:uid="{DE5266F3-4E33-493D-B90B-276D70CCFC34}"/>
    <cellStyle name="40% - Accent1 7 2_Exh G" xfId="2773" xr:uid="{00000000-0005-0000-0000-0000C02F0000}"/>
    <cellStyle name="40% - Accent1 7 3" xfId="370" xr:uid="{00000000-0005-0000-0000-0000C12F0000}"/>
    <cellStyle name="40% - Accent1 7 3 2" xfId="1396" xr:uid="{00000000-0005-0000-0000-0000C22F0000}"/>
    <cellStyle name="40% - Accent1 7 3 2 2" xfId="4923" xr:uid="{00000000-0005-0000-0000-0000C32F0000}"/>
    <cellStyle name="40% - Accent1 7 3 2 2 2" xfId="8514" xr:uid="{00000000-0005-0000-0000-0000C42F0000}"/>
    <cellStyle name="40% - Accent1 7 3 2 2 2 2" xfId="16484" xr:uid="{00000000-0005-0000-0000-0000C52F0000}"/>
    <cellStyle name="40% - Accent1 7 3 2 2 2 2 2" xfId="40326" xr:uid="{B5C3ACB5-C3E3-4EBC-B784-52288D6F1625}"/>
    <cellStyle name="40% - Accent1 7 3 2 2 2 3" xfId="24430" xr:uid="{00000000-0005-0000-0000-0000C62F0000}"/>
    <cellStyle name="40% - Accent1 7 3 2 2 2 3 2" xfId="48262" xr:uid="{1F996818-508E-4571-B488-C33CA4D81F1B}"/>
    <cellStyle name="40% - Accent1 7 3 2 2 2 4" xfId="32385" xr:uid="{6A83E903-100D-4316-9DEE-8884C5B2BDF7}"/>
    <cellStyle name="40% - Accent1 7 3 2 2 3" xfId="12946" xr:uid="{00000000-0005-0000-0000-0000C72F0000}"/>
    <cellStyle name="40% - Accent1 7 3 2 2 3 2" xfId="36795" xr:uid="{C77267FB-84A6-4018-BCC1-216917A415AC}"/>
    <cellStyle name="40% - Accent1 7 3 2 2 4" xfId="20901" xr:uid="{00000000-0005-0000-0000-0000C82F0000}"/>
    <cellStyle name="40% - Accent1 7 3 2 2 4 2" xfId="44733" xr:uid="{67D215EA-AB56-484D-BCA5-9F492A012FAC}"/>
    <cellStyle name="40% - Accent1 7 3 2 2 5" xfId="28854" xr:uid="{6B73A0E3-0348-45EE-A11C-4FD0A573846A}"/>
    <cellStyle name="40% - Accent1 7 3 2 3" xfId="6755" xr:uid="{00000000-0005-0000-0000-0000C92F0000}"/>
    <cellStyle name="40% - Accent1 7 3 2 3 2" xfId="14726" xr:uid="{00000000-0005-0000-0000-0000CA2F0000}"/>
    <cellStyle name="40% - Accent1 7 3 2 3 2 2" xfId="38568" xr:uid="{0575661F-500B-4178-B5B7-01F6B38CC654}"/>
    <cellStyle name="40% - Accent1 7 3 2 3 3" xfId="22673" xr:uid="{00000000-0005-0000-0000-0000CB2F0000}"/>
    <cellStyle name="40% - Accent1 7 3 2 3 3 2" xfId="46505" xr:uid="{D2A43B7F-A73A-41D2-A3FD-27D835D5F01E}"/>
    <cellStyle name="40% - Accent1 7 3 2 3 4" xfId="30627" xr:uid="{57CEBD28-78CA-429B-BC98-AE8BEC13070F}"/>
    <cellStyle name="40% - Accent1 7 3 2 4" xfId="11190" xr:uid="{00000000-0005-0000-0000-0000CC2F0000}"/>
    <cellStyle name="40% - Accent1 7 3 2 4 2" xfId="35039" xr:uid="{2676DC62-603D-4632-BC31-B9AB246A3E35}"/>
    <cellStyle name="40% - Accent1 7 3 2 5" xfId="19145" xr:uid="{00000000-0005-0000-0000-0000CD2F0000}"/>
    <cellStyle name="40% - Accent1 7 3 2 5 2" xfId="42977" xr:uid="{ADCAA19B-CA15-405D-9C69-96A856D234D6}"/>
    <cellStyle name="40% - Accent1 7 3 2 6" xfId="27097" xr:uid="{024C892B-4128-4B6F-87B3-5C3A297DB6E1}"/>
    <cellStyle name="40% - Accent1 7 3 2_Exh G" xfId="2778" xr:uid="{00000000-0005-0000-0000-0000CE2F0000}"/>
    <cellStyle name="40% - Accent1 7 3 3" xfId="4044" xr:uid="{00000000-0005-0000-0000-0000CF2F0000}"/>
    <cellStyle name="40% - Accent1 7 3 3 2" xfId="7636" xr:uid="{00000000-0005-0000-0000-0000D02F0000}"/>
    <cellStyle name="40% - Accent1 7 3 3 2 2" xfId="15606" xr:uid="{00000000-0005-0000-0000-0000D12F0000}"/>
    <cellStyle name="40% - Accent1 7 3 3 2 2 2" xfId="39448" xr:uid="{61864EF7-55BC-4EC2-8AFC-C096ED0FF5CE}"/>
    <cellStyle name="40% - Accent1 7 3 3 2 3" xfId="23552" xr:uid="{00000000-0005-0000-0000-0000D22F0000}"/>
    <cellStyle name="40% - Accent1 7 3 3 2 3 2" xfId="47384" xr:uid="{ED97C0DC-3042-45D9-A0E1-EBDE19412F26}"/>
    <cellStyle name="40% - Accent1 7 3 3 2 4" xfId="31507" xr:uid="{C0D1CF80-7AFB-44FF-85C6-A3BCE71FCE6A}"/>
    <cellStyle name="40% - Accent1 7 3 3 3" xfId="12068" xr:uid="{00000000-0005-0000-0000-0000D32F0000}"/>
    <cellStyle name="40% - Accent1 7 3 3 3 2" xfId="35917" xr:uid="{3570CD8B-2658-4DFC-84EA-8A5606502974}"/>
    <cellStyle name="40% - Accent1 7 3 3 4" xfId="20023" xr:uid="{00000000-0005-0000-0000-0000D42F0000}"/>
    <cellStyle name="40% - Accent1 7 3 3 4 2" xfId="43855" xr:uid="{DD3C2A3C-CF55-4D64-9A6D-C89CED1E5824}"/>
    <cellStyle name="40% - Accent1 7 3 3 5" xfId="27976" xr:uid="{C9B52E6C-4540-493A-BABD-4BF3C9B3051E}"/>
    <cellStyle name="40% - Accent1 7 3 4" xfId="5864" xr:uid="{00000000-0005-0000-0000-0000D52F0000}"/>
    <cellStyle name="40% - Accent1 7 3 4 2" xfId="13847" xr:uid="{00000000-0005-0000-0000-0000D62F0000}"/>
    <cellStyle name="40% - Accent1 7 3 4 2 2" xfId="37690" xr:uid="{D0EFE474-88DD-40EA-B2DE-501A35D85E66}"/>
    <cellStyle name="40% - Accent1 7 3 4 3" xfId="21795" xr:uid="{00000000-0005-0000-0000-0000D72F0000}"/>
    <cellStyle name="40% - Accent1 7 3 4 3 2" xfId="45627" xr:uid="{8EF70A5D-F9D3-4680-BE01-C1939322FA24}"/>
    <cellStyle name="40% - Accent1 7 3 4 4" xfId="29749" xr:uid="{E52AD620-6FE7-4F1F-9566-73876FC872DB}"/>
    <cellStyle name="40% - Accent1 7 3 5" xfId="9416" xr:uid="{00000000-0005-0000-0000-0000D82F0000}"/>
    <cellStyle name="40% - Accent1 7 3 5 2" xfId="17374" xr:uid="{00000000-0005-0000-0000-0000D92F0000}"/>
    <cellStyle name="40% - Accent1 7 3 5 2 2" xfId="41214" xr:uid="{F2ECB5DB-C527-4AB8-9DBC-B5E2227A8949}"/>
    <cellStyle name="40% - Accent1 7 3 5 3" xfId="25318" xr:uid="{00000000-0005-0000-0000-0000DA2F0000}"/>
    <cellStyle name="40% - Accent1 7 3 5 3 2" xfId="49150" xr:uid="{5D68CD01-7296-498C-B94E-0F32B405F2E2}"/>
    <cellStyle name="40% - Accent1 7 3 5 4" xfId="33273" xr:uid="{53EA7486-B487-4F85-95FE-DEF975AF365C}"/>
    <cellStyle name="40% - Accent1 7 3 6" xfId="10312" xr:uid="{00000000-0005-0000-0000-0000DB2F0000}"/>
    <cellStyle name="40% - Accent1 7 3 6 2" xfId="34161" xr:uid="{B9778074-8B13-4D2F-892A-EA8E279FC692}"/>
    <cellStyle name="40% - Accent1 7 3 7" xfId="18267" xr:uid="{00000000-0005-0000-0000-0000DC2F0000}"/>
    <cellStyle name="40% - Accent1 7 3 7 2" xfId="42099" xr:uid="{D041DAF8-BE59-4F3A-BE4F-B0ACD418C95E}"/>
    <cellStyle name="40% - Accent1 7 3 8" xfId="26219" xr:uid="{46E3092F-91F6-4944-9EBF-BC023864170C}"/>
    <cellStyle name="40% - Accent1 7 3_Exh G" xfId="2777" xr:uid="{00000000-0005-0000-0000-0000DD2F0000}"/>
    <cellStyle name="40% - Accent1 7 4" xfId="940" xr:uid="{00000000-0005-0000-0000-0000DE2F0000}"/>
    <cellStyle name="40% - Accent1 7 4 2" xfId="1859" xr:uid="{00000000-0005-0000-0000-0000DF2F0000}"/>
    <cellStyle name="40% - Accent1 7 4 2 2" xfId="5376" xr:uid="{00000000-0005-0000-0000-0000E02F0000}"/>
    <cellStyle name="40% - Accent1 7 4 2 2 2" xfId="8967" xr:uid="{00000000-0005-0000-0000-0000E12F0000}"/>
    <cellStyle name="40% - Accent1 7 4 2 2 2 2" xfId="16937" xr:uid="{00000000-0005-0000-0000-0000E22F0000}"/>
    <cellStyle name="40% - Accent1 7 4 2 2 2 2 2" xfId="40779" xr:uid="{E9691A57-9627-4535-8D54-B6C0FABF850A}"/>
    <cellStyle name="40% - Accent1 7 4 2 2 2 3" xfId="24883" xr:uid="{00000000-0005-0000-0000-0000E32F0000}"/>
    <cellStyle name="40% - Accent1 7 4 2 2 2 3 2" xfId="48715" xr:uid="{69726ABB-7CC1-41CE-90C3-892212B7AC01}"/>
    <cellStyle name="40% - Accent1 7 4 2 2 2 4" xfId="32838" xr:uid="{00B2F538-9D91-4C2D-B3C2-54DF90C4EE4C}"/>
    <cellStyle name="40% - Accent1 7 4 2 2 3" xfId="13399" xr:uid="{00000000-0005-0000-0000-0000E42F0000}"/>
    <cellStyle name="40% - Accent1 7 4 2 2 3 2" xfId="37248" xr:uid="{0526B4B3-C4D6-4D61-A6E0-75FB99ABE195}"/>
    <cellStyle name="40% - Accent1 7 4 2 2 4" xfId="21354" xr:uid="{00000000-0005-0000-0000-0000E52F0000}"/>
    <cellStyle name="40% - Accent1 7 4 2 2 4 2" xfId="45186" xr:uid="{F44DE658-F7CA-40E7-943E-618D95C162B4}"/>
    <cellStyle name="40% - Accent1 7 4 2 2 5" xfId="29307" xr:uid="{FF22AE25-C995-4F09-8358-64CF3AE156C3}"/>
    <cellStyle name="40% - Accent1 7 4 2 3" xfId="7208" xr:uid="{00000000-0005-0000-0000-0000E62F0000}"/>
    <cellStyle name="40% - Accent1 7 4 2 3 2" xfId="15179" xr:uid="{00000000-0005-0000-0000-0000E72F0000}"/>
    <cellStyle name="40% - Accent1 7 4 2 3 2 2" xfId="39021" xr:uid="{FB3053A4-2019-41AA-88D8-0880455A1AB4}"/>
    <cellStyle name="40% - Accent1 7 4 2 3 3" xfId="23126" xr:uid="{00000000-0005-0000-0000-0000E82F0000}"/>
    <cellStyle name="40% - Accent1 7 4 2 3 3 2" xfId="46958" xr:uid="{5A93C4C8-9D94-451B-880D-10219DE78FB3}"/>
    <cellStyle name="40% - Accent1 7 4 2 3 4" xfId="31080" xr:uid="{C9E256E3-4C40-4795-9131-6FAF95901102}"/>
    <cellStyle name="40% - Accent1 7 4 2 4" xfId="11643" xr:uid="{00000000-0005-0000-0000-0000E92F0000}"/>
    <cellStyle name="40% - Accent1 7 4 2 4 2" xfId="35492" xr:uid="{2AA9BA0C-C934-4D51-9488-59135739F590}"/>
    <cellStyle name="40% - Accent1 7 4 2 5" xfId="19598" xr:uid="{00000000-0005-0000-0000-0000EA2F0000}"/>
    <cellStyle name="40% - Accent1 7 4 2 5 2" xfId="43430" xr:uid="{A3622C76-745E-49A1-B4CA-26B38D55777A}"/>
    <cellStyle name="40% - Accent1 7 4 2 6" xfId="27550" xr:uid="{8455785E-0000-452C-8266-40527382C981}"/>
    <cellStyle name="40% - Accent1 7 4 2_Exh G" xfId="2780" xr:uid="{00000000-0005-0000-0000-0000EB2F0000}"/>
    <cellStyle name="40% - Accent1 7 4 3" xfId="4497" xr:uid="{00000000-0005-0000-0000-0000EC2F0000}"/>
    <cellStyle name="40% - Accent1 7 4 3 2" xfId="8089" xr:uid="{00000000-0005-0000-0000-0000ED2F0000}"/>
    <cellStyle name="40% - Accent1 7 4 3 2 2" xfId="16059" xr:uid="{00000000-0005-0000-0000-0000EE2F0000}"/>
    <cellStyle name="40% - Accent1 7 4 3 2 2 2" xfId="39901" xr:uid="{DAD69624-4401-42A3-88BB-38A36572A825}"/>
    <cellStyle name="40% - Accent1 7 4 3 2 3" xfId="24005" xr:uid="{00000000-0005-0000-0000-0000EF2F0000}"/>
    <cellStyle name="40% - Accent1 7 4 3 2 3 2" xfId="47837" xr:uid="{8364CC05-77A6-4C36-A8FA-63C81AB011AE}"/>
    <cellStyle name="40% - Accent1 7 4 3 2 4" xfId="31960" xr:uid="{90A8C2A0-0649-480C-9A42-9F0C2C322FB5}"/>
    <cellStyle name="40% - Accent1 7 4 3 3" xfId="12521" xr:uid="{00000000-0005-0000-0000-0000F02F0000}"/>
    <cellStyle name="40% - Accent1 7 4 3 3 2" xfId="36370" xr:uid="{F8804E91-921A-42FF-A66A-59479324249E}"/>
    <cellStyle name="40% - Accent1 7 4 3 4" xfId="20476" xr:uid="{00000000-0005-0000-0000-0000F12F0000}"/>
    <cellStyle name="40% - Accent1 7 4 3 4 2" xfId="44308" xr:uid="{0AB69A17-A30E-405A-8FDD-CCC8A2C8DF5E}"/>
    <cellStyle name="40% - Accent1 7 4 3 5" xfId="28429" xr:uid="{C9462C7B-24D4-4462-BD9C-5A2C248B668E}"/>
    <cellStyle name="40% - Accent1 7 4 4" xfId="6327" xr:uid="{00000000-0005-0000-0000-0000F22F0000}"/>
    <cellStyle name="40% - Accent1 7 4 4 2" xfId="14301" xr:uid="{00000000-0005-0000-0000-0000F32F0000}"/>
    <cellStyle name="40% - Accent1 7 4 4 2 2" xfId="38143" xr:uid="{C4516035-CDBE-4DD2-95F3-41EE5CC2538D}"/>
    <cellStyle name="40% - Accent1 7 4 4 3" xfId="22248" xr:uid="{00000000-0005-0000-0000-0000F42F0000}"/>
    <cellStyle name="40% - Accent1 7 4 4 3 2" xfId="46080" xr:uid="{AEA68594-2866-459F-BC5B-DB0E6282767A}"/>
    <cellStyle name="40% - Accent1 7 4 4 4" xfId="30202" xr:uid="{9781B242-9102-4829-BEC6-2B106A524EC3}"/>
    <cellStyle name="40% - Accent1 7 4 5" xfId="9869" xr:uid="{00000000-0005-0000-0000-0000F52F0000}"/>
    <cellStyle name="40% - Accent1 7 4 5 2" xfId="17827" xr:uid="{00000000-0005-0000-0000-0000F62F0000}"/>
    <cellStyle name="40% - Accent1 7 4 5 2 2" xfId="41667" xr:uid="{E790F68F-FE11-4FA3-922F-CD648221BED5}"/>
    <cellStyle name="40% - Accent1 7 4 5 3" xfId="25771" xr:uid="{00000000-0005-0000-0000-0000F72F0000}"/>
    <cellStyle name="40% - Accent1 7 4 5 3 2" xfId="49603" xr:uid="{B46665E3-697D-4F41-9DD7-690606D007BD}"/>
    <cellStyle name="40% - Accent1 7 4 5 4" xfId="33726" xr:uid="{45232DC9-389C-48AB-9F12-B5DFF279D121}"/>
    <cellStyle name="40% - Accent1 7 4 6" xfId="10765" xr:uid="{00000000-0005-0000-0000-0000F82F0000}"/>
    <cellStyle name="40% - Accent1 7 4 6 2" xfId="34614" xr:uid="{86D2C246-F41D-4FCE-A924-27D1490C4D9C}"/>
    <cellStyle name="40% - Accent1 7 4 7" xfId="18720" xr:uid="{00000000-0005-0000-0000-0000F92F0000}"/>
    <cellStyle name="40% - Accent1 7 4 7 2" xfId="42552" xr:uid="{2225217F-42A7-4AD1-8DD2-421D36377C86}"/>
    <cellStyle name="40% - Accent1 7 4 8" xfId="26672" xr:uid="{A33E810F-ECC5-4609-B628-5CD8338BE898}"/>
    <cellStyle name="40% - Accent1 7 4_Exh G" xfId="2779" xr:uid="{00000000-0005-0000-0000-0000FA2F0000}"/>
    <cellStyle name="40% - Accent1 7 5" xfId="1393" xr:uid="{00000000-0005-0000-0000-0000FB2F0000}"/>
    <cellStyle name="40% - Accent1 7 5 2" xfId="4920" xr:uid="{00000000-0005-0000-0000-0000FC2F0000}"/>
    <cellStyle name="40% - Accent1 7 5 2 2" xfId="8511" xr:uid="{00000000-0005-0000-0000-0000FD2F0000}"/>
    <cellStyle name="40% - Accent1 7 5 2 2 2" xfId="16481" xr:uid="{00000000-0005-0000-0000-0000FE2F0000}"/>
    <cellStyle name="40% - Accent1 7 5 2 2 2 2" xfId="40323" xr:uid="{99E4B688-CE2E-4089-A2D1-4378CAD98FF7}"/>
    <cellStyle name="40% - Accent1 7 5 2 2 3" xfId="24427" xr:uid="{00000000-0005-0000-0000-0000FF2F0000}"/>
    <cellStyle name="40% - Accent1 7 5 2 2 3 2" xfId="48259" xr:uid="{5DA6DE2D-7E88-4F9B-B30C-6FEC9AD36940}"/>
    <cellStyle name="40% - Accent1 7 5 2 2 4" xfId="32382" xr:uid="{95C4825C-07FB-496F-99D6-0280C2A10CCC}"/>
    <cellStyle name="40% - Accent1 7 5 2 3" xfId="12943" xr:uid="{00000000-0005-0000-0000-000000300000}"/>
    <cellStyle name="40% - Accent1 7 5 2 3 2" xfId="36792" xr:uid="{C7DF71ED-D639-4048-A64C-42B72D91A852}"/>
    <cellStyle name="40% - Accent1 7 5 2 4" xfId="20898" xr:uid="{00000000-0005-0000-0000-000001300000}"/>
    <cellStyle name="40% - Accent1 7 5 2 4 2" xfId="44730" xr:uid="{62DFDD5A-EFAD-4A59-B83F-32813481286E}"/>
    <cellStyle name="40% - Accent1 7 5 2 5" xfId="28851" xr:uid="{927D2F6C-5B5B-4EB2-B97D-89D78D01F57A}"/>
    <cellStyle name="40% - Accent1 7 5 3" xfId="6752" xr:uid="{00000000-0005-0000-0000-000002300000}"/>
    <cellStyle name="40% - Accent1 7 5 3 2" xfId="14723" xr:uid="{00000000-0005-0000-0000-000003300000}"/>
    <cellStyle name="40% - Accent1 7 5 3 2 2" xfId="38565" xr:uid="{F36744F5-0E5E-45DE-A69F-E99680EB2E78}"/>
    <cellStyle name="40% - Accent1 7 5 3 3" xfId="22670" xr:uid="{00000000-0005-0000-0000-000004300000}"/>
    <cellStyle name="40% - Accent1 7 5 3 3 2" xfId="46502" xr:uid="{30A37CE0-B149-42AA-9702-4D1A483EC496}"/>
    <cellStyle name="40% - Accent1 7 5 3 4" xfId="30624" xr:uid="{87C56FFB-2952-4042-A29E-B666B9D999FA}"/>
    <cellStyle name="40% - Accent1 7 5 4" xfId="11187" xr:uid="{00000000-0005-0000-0000-000005300000}"/>
    <cellStyle name="40% - Accent1 7 5 4 2" xfId="35036" xr:uid="{04C0D183-D727-41BC-A292-9D43D8F708E9}"/>
    <cellStyle name="40% - Accent1 7 5 5" xfId="19142" xr:uid="{00000000-0005-0000-0000-000006300000}"/>
    <cellStyle name="40% - Accent1 7 5 5 2" xfId="42974" xr:uid="{A88485A5-477C-45DB-9FAD-FD5138E3F8DA}"/>
    <cellStyle name="40% - Accent1 7 5 6" xfId="27094" xr:uid="{3071FA92-174A-4237-A578-46B18B696F7D}"/>
    <cellStyle name="40% - Accent1 7 5_Exh G" xfId="2781" xr:uid="{00000000-0005-0000-0000-000007300000}"/>
    <cellStyle name="40% - Accent1 7 6" xfId="4041" xr:uid="{00000000-0005-0000-0000-000008300000}"/>
    <cellStyle name="40% - Accent1 7 6 2" xfId="7633" xr:uid="{00000000-0005-0000-0000-000009300000}"/>
    <cellStyle name="40% - Accent1 7 6 2 2" xfId="15603" xr:uid="{00000000-0005-0000-0000-00000A300000}"/>
    <cellStyle name="40% - Accent1 7 6 2 2 2" xfId="39445" xr:uid="{680DC8CD-0F93-4ABA-BB24-1A1CF1CFB8EF}"/>
    <cellStyle name="40% - Accent1 7 6 2 3" xfId="23549" xr:uid="{00000000-0005-0000-0000-00000B300000}"/>
    <cellStyle name="40% - Accent1 7 6 2 3 2" xfId="47381" xr:uid="{4DC35A4D-A74B-482A-A6A0-E2F6209FC7E6}"/>
    <cellStyle name="40% - Accent1 7 6 2 4" xfId="31504" xr:uid="{3B62271B-B06D-4331-8935-68FDD318E037}"/>
    <cellStyle name="40% - Accent1 7 6 3" xfId="12065" xr:uid="{00000000-0005-0000-0000-00000C300000}"/>
    <cellStyle name="40% - Accent1 7 6 3 2" xfId="35914" xr:uid="{F56C15DA-A8CC-49AB-A2FB-BD26E6BB7345}"/>
    <cellStyle name="40% - Accent1 7 6 4" xfId="20020" xr:uid="{00000000-0005-0000-0000-00000D300000}"/>
    <cellStyle name="40% - Accent1 7 6 4 2" xfId="43852" xr:uid="{C7CEE2E6-195B-42F2-9B5F-4CB54EF750D3}"/>
    <cellStyle name="40% - Accent1 7 6 5" xfId="27973" xr:uid="{A9CF2F5F-50BC-4E7B-A926-3BF299BE6A7C}"/>
    <cellStyle name="40% - Accent1 7 7" xfId="5861" xr:uid="{00000000-0005-0000-0000-00000E300000}"/>
    <cellStyle name="40% - Accent1 7 7 2" xfId="13844" xr:uid="{00000000-0005-0000-0000-00000F300000}"/>
    <cellStyle name="40% - Accent1 7 7 2 2" xfId="37687" xr:uid="{C21F1211-2E41-447A-ACE6-802B7B8E47FA}"/>
    <cellStyle name="40% - Accent1 7 7 3" xfId="21792" xr:uid="{00000000-0005-0000-0000-000010300000}"/>
    <cellStyle name="40% - Accent1 7 7 3 2" xfId="45624" xr:uid="{F728B920-F414-4332-A54B-D27A5065BF79}"/>
    <cellStyle name="40% - Accent1 7 7 4" xfId="29746" xr:uid="{67D6529B-6B80-4B5C-966B-8DB356D75BC3}"/>
    <cellStyle name="40% - Accent1 7 8" xfId="9413" xr:uid="{00000000-0005-0000-0000-000011300000}"/>
    <cellStyle name="40% - Accent1 7 8 2" xfId="17371" xr:uid="{00000000-0005-0000-0000-000012300000}"/>
    <cellStyle name="40% - Accent1 7 8 2 2" xfId="41211" xr:uid="{6BD6D598-B248-44AC-9478-260B009F13E4}"/>
    <cellStyle name="40% - Accent1 7 8 3" xfId="25315" xr:uid="{00000000-0005-0000-0000-000013300000}"/>
    <cellStyle name="40% - Accent1 7 8 3 2" xfId="49147" xr:uid="{692949AF-DAD8-42FF-81E1-E89E09EFFDC6}"/>
    <cellStyle name="40% - Accent1 7 8 4" xfId="33270" xr:uid="{6D7B633B-00A5-4564-B494-43B122A0BB1D}"/>
    <cellStyle name="40% - Accent1 7 9" xfId="10309" xr:uid="{00000000-0005-0000-0000-000014300000}"/>
    <cellStyle name="40% - Accent1 7 9 2" xfId="34158" xr:uid="{95D793BA-0F4F-4D0E-BFB4-546F76914CF1}"/>
    <cellStyle name="40% - Accent1 7_Exh G" xfId="2772" xr:uid="{00000000-0005-0000-0000-000015300000}"/>
    <cellStyle name="40% - Accent1 8" xfId="371" xr:uid="{00000000-0005-0000-0000-000016300000}"/>
    <cellStyle name="40% - Accent1 8 10" xfId="18268" xr:uid="{00000000-0005-0000-0000-000017300000}"/>
    <cellStyle name="40% - Accent1 8 10 2" xfId="42100" xr:uid="{54AB38C7-35DE-456C-84F2-D2D3CE75D0FA}"/>
    <cellStyle name="40% - Accent1 8 11" xfId="26220" xr:uid="{4218CD80-979F-442D-B0AA-E23BD441405F}"/>
    <cellStyle name="40% - Accent1 8 2" xfId="372" xr:uid="{00000000-0005-0000-0000-000018300000}"/>
    <cellStyle name="40% - Accent1 8 2 2" xfId="373" xr:uid="{00000000-0005-0000-0000-000019300000}"/>
    <cellStyle name="40% - Accent1 8 2 2 2" xfId="1399" xr:uid="{00000000-0005-0000-0000-00001A300000}"/>
    <cellStyle name="40% - Accent1 8 2 2 2 2" xfId="4926" xr:uid="{00000000-0005-0000-0000-00001B300000}"/>
    <cellStyle name="40% - Accent1 8 2 2 2 2 2" xfId="8517" xr:uid="{00000000-0005-0000-0000-00001C300000}"/>
    <cellStyle name="40% - Accent1 8 2 2 2 2 2 2" xfId="16487" xr:uid="{00000000-0005-0000-0000-00001D300000}"/>
    <cellStyle name="40% - Accent1 8 2 2 2 2 2 2 2" xfId="40329" xr:uid="{ADAAE90E-B37E-420D-885F-DCC66DBC9A22}"/>
    <cellStyle name="40% - Accent1 8 2 2 2 2 2 3" xfId="24433" xr:uid="{00000000-0005-0000-0000-00001E300000}"/>
    <cellStyle name="40% - Accent1 8 2 2 2 2 2 3 2" xfId="48265" xr:uid="{937E099C-3110-4E7F-BD02-BECC4DE2B000}"/>
    <cellStyle name="40% - Accent1 8 2 2 2 2 2 4" xfId="32388" xr:uid="{DDA6A8DC-2AED-4CAD-BD7E-F674947FCCBB}"/>
    <cellStyle name="40% - Accent1 8 2 2 2 2 3" xfId="12949" xr:uid="{00000000-0005-0000-0000-00001F300000}"/>
    <cellStyle name="40% - Accent1 8 2 2 2 2 3 2" xfId="36798" xr:uid="{C62AFB69-0D48-48B8-AC56-2A31821C53EA}"/>
    <cellStyle name="40% - Accent1 8 2 2 2 2 4" xfId="20904" xr:uid="{00000000-0005-0000-0000-000020300000}"/>
    <cellStyle name="40% - Accent1 8 2 2 2 2 4 2" xfId="44736" xr:uid="{1F3232A7-F2A8-4E4D-A997-EA5F1125CAFD}"/>
    <cellStyle name="40% - Accent1 8 2 2 2 2 5" xfId="28857" xr:uid="{749E4322-F9C8-4EE6-9AF7-66563EF3BBB3}"/>
    <cellStyle name="40% - Accent1 8 2 2 2 3" xfId="6758" xr:uid="{00000000-0005-0000-0000-000021300000}"/>
    <cellStyle name="40% - Accent1 8 2 2 2 3 2" xfId="14729" xr:uid="{00000000-0005-0000-0000-000022300000}"/>
    <cellStyle name="40% - Accent1 8 2 2 2 3 2 2" xfId="38571" xr:uid="{3F27D284-5EA2-44A7-B30F-9B54125AEBD6}"/>
    <cellStyle name="40% - Accent1 8 2 2 2 3 3" xfId="22676" xr:uid="{00000000-0005-0000-0000-000023300000}"/>
    <cellStyle name="40% - Accent1 8 2 2 2 3 3 2" xfId="46508" xr:uid="{82DD645C-9690-432C-9B99-C38E5165510A}"/>
    <cellStyle name="40% - Accent1 8 2 2 2 3 4" xfId="30630" xr:uid="{A19F2797-7B59-4A6B-9582-1C62F1FA598D}"/>
    <cellStyle name="40% - Accent1 8 2 2 2 4" xfId="11193" xr:uid="{00000000-0005-0000-0000-000024300000}"/>
    <cellStyle name="40% - Accent1 8 2 2 2 4 2" xfId="35042" xr:uid="{7053428A-BFA8-4AB5-BFEB-E80BE69094C4}"/>
    <cellStyle name="40% - Accent1 8 2 2 2 5" xfId="19148" xr:uid="{00000000-0005-0000-0000-000025300000}"/>
    <cellStyle name="40% - Accent1 8 2 2 2 5 2" xfId="42980" xr:uid="{B483E2FC-20F0-4B6C-ACCE-0F586C0429A1}"/>
    <cellStyle name="40% - Accent1 8 2 2 2 6" xfId="27100" xr:uid="{A00C5AD4-A4DC-4085-951D-F40C2228B834}"/>
    <cellStyle name="40% - Accent1 8 2 2 2_Exh G" xfId="2785" xr:uid="{00000000-0005-0000-0000-000026300000}"/>
    <cellStyle name="40% - Accent1 8 2 2 3" xfId="4047" xr:uid="{00000000-0005-0000-0000-000027300000}"/>
    <cellStyle name="40% - Accent1 8 2 2 3 2" xfId="7639" xr:uid="{00000000-0005-0000-0000-000028300000}"/>
    <cellStyle name="40% - Accent1 8 2 2 3 2 2" xfId="15609" xr:uid="{00000000-0005-0000-0000-000029300000}"/>
    <cellStyle name="40% - Accent1 8 2 2 3 2 2 2" xfId="39451" xr:uid="{9B57358F-92FD-4064-BAB8-A395E5F693D9}"/>
    <cellStyle name="40% - Accent1 8 2 2 3 2 3" xfId="23555" xr:uid="{00000000-0005-0000-0000-00002A300000}"/>
    <cellStyle name="40% - Accent1 8 2 2 3 2 3 2" xfId="47387" xr:uid="{89A31828-C488-4854-99F2-0A8A4E0F155E}"/>
    <cellStyle name="40% - Accent1 8 2 2 3 2 4" xfId="31510" xr:uid="{EED5357F-D327-42C1-A859-B5AA26AB426F}"/>
    <cellStyle name="40% - Accent1 8 2 2 3 3" xfId="12071" xr:uid="{00000000-0005-0000-0000-00002B300000}"/>
    <cellStyle name="40% - Accent1 8 2 2 3 3 2" xfId="35920" xr:uid="{2267A184-1F84-4B66-8627-54F1641A03E7}"/>
    <cellStyle name="40% - Accent1 8 2 2 3 4" xfId="20026" xr:uid="{00000000-0005-0000-0000-00002C300000}"/>
    <cellStyle name="40% - Accent1 8 2 2 3 4 2" xfId="43858" xr:uid="{3F1AD32A-8AB9-4302-AB4A-ED6B097389E7}"/>
    <cellStyle name="40% - Accent1 8 2 2 3 5" xfId="27979" xr:uid="{66CC7F3A-D293-43E3-893C-733D0DF7889C}"/>
    <cellStyle name="40% - Accent1 8 2 2 4" xfId="5867" xr:uid="{00000000-0005-0000-0000-00002D300000}"/>
    <cellStyle name="40% - Accent1 8 2 2 4 2" xfId="13850" xr:uid="{00000000-0005-0000-0000-00002E300000}"/>
    <cellStyle name="40% - Accent1 8 2 2 4 2 2" xfId="37693" xr:uid="{6FDD36DF-20CF-49C5-8FB3-322C98B41A6D}"/>
    <cellStyle name="40% - Accent1 8 2 2 4 3" xfId="21798" xr:uid="{00000000-0005-0000-0000-00002F300000}"/>
    <cellStyle name="40% - Accent1 8 2 2 4 3 2" xfId="45630" xr:uid="{C6D1B22C-1E03-4DB0-ADFA-D5FAE4B364A4}"/>
    <cellStyle name="40% - Accent1 8 2 2 4 4" xfId="29752" xr:uid="{4E7159E0-461A-412E-AA78-FDA3C39F6BE0}"/>
    <cellStyle name="40% - Accent1 8 2 2 5" xfId="9419" xr:uid="{00000000-0005-0000-0000-000030300000}"/>
    <cellStyle name="40% - Accent1 8 2 2 5 2" xfId="17377" xr:uid="{00000000-0005-0000-0000-000031300000}"/>
    <cellStyle name="40% - Accent1 8 2 2 5 2 2" xfId="41217" xr:uid="{60D36C8B-EF4D-4270-86A0-BEE829663D49}"/>
    <cellStyle name="40% - Accent1 8 2 2 5 3" xfId="25321" xr:uid="{00000000-0005-0000-0000-000032300000}"/>
    <cellStyle name="40% - Accent1 8 2 2 5 3 2" xfId="49153" xr:uid="{46B86941-22AF-4242-B739-CA1B5C1326F8}"/>
    <cellStyle name="40% - Accent1 8 2 2 5 4" xfId="33276" xr:uid="{765A0FE1-F0FE-4156-BE61-077C19E06B98}"/>
    <cellStyle name="40% - Accent1 8 2 2 6" xfId="10315" xr:uid="{00000000-0005-0000-0000-000033300000}"/>
    <cellStyle name="40% - Accent1 8 2 2 6 2" xfId="34164" xr:uid="{8544415D-701A-43AB-86F2-21015B997DE6}"/>
    <cellStyle name="40% - Accent1 8 2 2 7" xfId="18270" xr:uid="{00000000-0005-0000-0000-000034300000}"/>
    <cellStyle name="40% - Accent1 8 2 2 7 2" xfId="42102" xr:uid="{C98A5181-B30F-4DF4-BE31-9902D2720B10}"/>
    <cellStyle name="40% - Accent1 8 2 2 8" xfId="26222" xr:uid="{E799A89F-C41D-4037-B881-426062704D19}"/>
    <cellStyle name="40% - Accent1 8 2 2_Exh G" xfId="2784" xr:uid="{00000000-0005-0000-0000-000035300000}"/>
    <cellStyle name="40% - Accent1 8 2 3" xfId="1398" xr:uid="{00000000-0005-0000-0000-000036300000}"/>
    <cellStyle name="40% - Accent1 8 2 3 2" xfId="4925" xr:uid="{00000000-0005-0000-0000-000037300000}"/>
    <cellStyle name="40% - Accent1 8 2 3 2 2" xfId="8516" xr:uid="{00000000-0005-0000-0000-000038300000}"/>
    <cellStyle name="40% - Accent1 8 2 3 2 2 2" xfId="16486" xr:uid="{00000000-0005-0000-0000-000039300000}"/>
    <cellStyle name="40% - Accent1 8 2 3 2 2 2 2" xfId="40328" xr:uid="{1F78E3ED-E944-4EA9-9933-931FAFB9C45D}"/>
    <cellStyle name="40% - Accent1 8 2 3 2 2 3" xfId="24432" xr:uid="{00000000-0005-0000-0000-00003A300000}"/>
    <cellStyle name="40% - Accent1 8 2 3 2 2 3 2" xfId="48264" xr:uid="{90945C7F-74BD-44B1-A788-8114E8B4269D}"/>
    <cellStyle name="40% - Accent1 8 2 3 2 2 4" xfId="32387" xr:uid="{9E349F7A-86C9-4550-BA2A-2D5FEA4FECF0}"/>
    <cellStyle name="40% - Accent1 8 2 3 2 3" xfId="12948" xr:uid="{00000000-0005-0000-0000-00003B300000}"/>
    <cellStyle name="40% - Accent1 8 2 3 2 3 2" xfId="36797" xr:uid="{078F466E-DEF9-4788-848C-F2B63FBB5E38}"/>
    <cellStyle name="40% - Accent1 8 2 3 2 4" xfId="20903" xr:uid="{00000000-0005-0000-0000-00003C300000}"/>
    <cellStyle name="40% - Accent1 8 2 3 2 4 2" xfId="44735" xr:uid="{8F7772F7-4FA4-4050-8B45-575323B7A312}"/>
    <cellStyle name="40% - Accent1 8 2 3 2 5" xfId="28856" xr:uid="{A3F74314-7A71-497C-BCA1-99A7396AA720}"/>
    <cellStyle name="40% - Accent1 8 2 3 3" xfId="6757" xr:uid="{00000000-0005-0000-0000-00003D300000}"/>
    <cellStyle name="40% - Accent1 8 2 3 3 2" xfId="14728" xr:uid="{00000000-0005-0000-0000-00003E300000}"/>
    <cellStyle name="40% - Accent1 8 2 3 3 2 2" xfId="38570" xr:uid="{289B4CFE-CF68-4C05-B1E7-29E4F337BB8E}"/>
    <cellStyle name="40% - Accent1 8 2 3 3 3" xfId="22675" xr:uid="{00000000-0005-0000-0000-00003F300000}"/>
    <cellStyle name="40% - Accent1 8 2 3 3 3 2" xfId="46507" xr:uid="{E56C9C1B-1FDD-4FA6-9D40-19176F88039B}"/>
    <cellStyle name="40% - Accent1 8 2 3 3 4" xfId="30629" xr:uid="{320119AC-DF47-4A19-B6E6-D27684A02887}"/>
    <cellStyle name="40% - Accent1 8 2 3 4" xfId="11192" xr:uid="{00000000-0005-0000-0000-000040300000}"/>
    <cellStyle name="40% - Accent1 8 2 3 4 2" xfId="35041" xr:uid="{143339A0-8104-4143-9EC9-E4F20EAA29DD}"/>
    <cellStyle name="40% - Accent1 8 2 3 5" xfId="19147" xr:uid="{00000000-0005-0000-0000-000041300000}"/>
    <cellStyle name="40% - Accent1 8 2 3 5 2" xfId="42979" xr:uid="{14C5DC56-9F36-4D10-AB95-7B7E25562108}"/>
    <cellStyle name="40% - Accent1 8 2 3 6" xfId="27099" xr:uid="{7B9079C5-BABC-4700-A3EF-9AD95C6C342E}"/>
    <cellStyle name="40% - Accent1 8 2 3_Exh G" xfId="2786" xr:uid="{00000000-0005-0000-0000-000042300000}"/>
    <cellStyle name="40% - Accent1 8 2 4" xfId="4046" xr:uid="{00000000-0005-0000-0000-000043300000}"/>
    <cellStyle name="40% - Accent1 8 2 4 2" xfId="7638" xr:uid="{00000000-0005-0000-0000-000044300000}"/>
    <cellStyle name="40% - Accent1 8 2 4 2 2" xfId="15608" xr:uid="{00000000-0005-0000-0000-000045300000}"/>
    <cellStyle name="40% - Accent1 8 2 4 2 2 2" xfId="39450" xr:uid="{C1C23CF7-66A3-4E99-ADF1-ABEFF8BDBBDC}"/>
    <cellStyle name="40% - Accent1 8 2 4 2 3" xfId="23554" xr:uid="{00000000-0005-0000-0000-000046300000}"/>
    <cellStyle name="40% - Accent1 8 2 4 2 3 2" xfId="47386" xr:uid="{108A4443-161B-4804-81F7-5C8838CA060A}"/>
    <cellStyle name="40% - Accent1 8 2 4 2 4" xfId="31509" xr:uid="{F24C8C99-6A81-425F-BB40-72794B1889FC}"/>
    <cellStyle name="40% - Accent1 8 2 4 3" xfId="12070" xr:uid="{00000000-0005-0000-0000-000047300000}"/>
    <cellStyle name="40% - Accent1 8 2 4 3 2" xfId="35919" xr:uid="{13E36A6F-DEFA-4BA5-B17F-4D3B6B2384E4}"/>
    <cellStyle name="40% - Accent1 8 2 4 4" xfId="20025" xr:uid="{00000000-0005-0000-0000-000048300000}"/>
    <cellStyle name="40% - Accent1 8 2 4 4 2" xfId="43857" xr:uid="{5378E14C-2469-44FD-B1ED-0EEE3F3DB469}"/>
    <cellStyle name="40% - Accent1 8 2 4 5" xfId="27978" xr:uid="{A06CB2E8-A280-4347-93E6-C551E1D184D6}"/>
    <cellStyle name="40% - Accent1 8 2 5" xfId="5866" xr:uid="{00000000-0005-0000-0000-000049300000}"/>
    <cellStyle name="40% - Accent1 8 2 5 2" xfId="13849" xr:uid="{00000000-0005-0000-0000-00004A300000}"/>
    <cellStyle name="40% - Accent1 8 2 5 2 2" xfId="37692" xr:uid="{21C35B2F-A9A8-45DC-968D-88A8CC31DB7C}"/>
    <cellStyle name="40% - Accent1 8 2 5 3" xfId="21797" xr:uid="{00000000-0005-0000-0000-00004B300000}"/>
    <cellStyle name="40% - Accent1 8 2 5 3 2" xfId="45629" xr:uid="{47E155CA-B11F-4DC8-B9D9-11EA6B2B12A7}"/>
    <cellStyle name="40% - Accent1 8 2 5 4" xfId="29751" xr:uid="{F1A5DFD8-A634-4A4D-AA2B-C7E16BE6FCF8}"/>
    <cellStyle name="40% - Accent1 8 2 6" xfId="9418" xr:uid="{00000000-0005-0000-0000-00004C300000}"/>
    <cellStyle name="40% - Accent1 8 2 6 2" xfId="17376" xr:uid="{00000000-0005-0000-0000-00004D300000}"/>
    <cellStyle name="40% - Accent1 8 2 6 2 2" xfId="41216" xr:uid="{C92094D0-BDAA-4204-8452-3D3DC1487A02}"/>
    <cellStyle name="40% - Accent1 8 2 6 3" xfId="25320" xr:uid="{00000000-0005-0000-0000-00004E300000}"/>
    <cellStyle name="40% - Accent1 8 2 6 3 2" xfId="49152" xr:uid="{38585C6D-4BB8-4B48-A988-95F526302608}"/>
    <cellStyle name="40% - Accent1 8 2 6 4" xfId="33275" xr:uid="{1B4F4609-BDAC-47A0-9380-385531B17D61}"/>
    <cellStyle name="40% - Accent1 8 2 7" xfId="10314" xr:uid="{00000000-0005-0000-0000-00004F300000}"/>
    <cellStyle name="40% - Accent1 8 2 7 2" xfId="34163" xr:uid="{AC45A32A-27D7-47E9-BACA-9E7F398C02E7}"/>
    <cellStyle name="40% - Accent1 8 2 8" xfId="18269" xr:uid="{00000000-0005-0000-0000-000050300000}"/>
    <cellStyle name="40% - Accent1 8 2 8 2" xfId="42101" xr:uid="{AEBEDBE5-1006-4A18-B15D-CEA51FFB48F2}"/>
    <cellStyle name="40% - Accent1 8 2 9" xfId="26221" xr:uid="{23BB4EE7-61BD-43F9-A6BD-EE02DBE8AA51}"/>
    <cellStyle name="40% - Accent1 8 2_Exh G" xfId="2783" xr:uid="{00000000-0005-0000-0000-000051300000}"/>
    <cellStyle name="40% - Accent1 8 3" xfId="374" xr:uid="{00000000-0005-0000-0000-000052300000}"/>
    <cellStyle name="40% - Accent1 8 3 2" xfId="1400" xr:uid="{00000000-0005-0000-0000-000053300000}"/>
    <cellStyle name="40% - Accent1 8 3 2 2" xfId="4927" xr:uid="{00000000-0005-0000-0000-000054300000}"/>
    <cellStyle name="40% - Accent1 8 3 2 2 2" xfId="8518" xr:uid="{00000000-0005-0000-0000-000055300000}"/>
    <cellStyle name="40% - Accent1 8 3 2 2 2 2" xfId="16488" xr:uid="{00000000-0005-0000-0000-000056300000}"/>
    <cellStyle name="40% - Accent1 8 3 2 2 2 2 2" xfId="40330" xr:uid="{EF9F887E-3826-4645-81DF-6D2144BE6552}"/>
    <cellStyle name="40% - Accent1 8 3 2 2 2 3" xfId="24434" xr:uid="{00000000-0005-0000-0000-000057300000}"/>
    <cellStyle name="40% - Accent1 8 3 2 2 2 3 2" xfId="48266" xr:uid="{488EE78C-D040-4014-9FE4-AFF997D970FF}"/>
    <cellStyle name="40% - Accent1 8 3 2 2 2 4" xfId="32389" xr:uid="{6B2122FC-9EB1-4206-B27A-514856FF48B6}"/>
    <cellStyle name="40% - Accent1 8 3 2 2 3" xfId="12950" xr:uid="{00000000-0005-0000-0000-000058300000}"/>
    <cellStyle name="40% - Accent1 8 3 2 2 3 2" xfId="36799" xr:uid="{3D5C65A2-8691-4B81-836B-79EFE5116D7A}"/>
    <cellStyle name="40% - Accent1 8 3 2 2 4" xfId="20905" xr:uid="{00000000-0005-0000-0000-000059300000}"/>
    <cellStyle name="40% - Accent1 8 3 2 2 4 2" xfId="44737" xr:uid="{676E5ADB-F583-4F51-B857-2838C7FE7080}"/>
    <cellStyle name="40% - Accent1 8 3 2 2 5" xfId="28858" xr:uid="{8DDBEA66-E229-4057-B436-0FD4FDAF2254}"/>
    <cellStyle name="40% - Accent1 8 3 2 3" xfId="6759" xr:uid="{00000000-0005-0000-0000-00005A300000}"/>
    <cellStyle name="40% - Accent1 8 3 2 3 2" xfId="14730" xr:uid="{00000000-0005-0000-0000-00005B300000}"/>
    <cellStyle name="40% - Accent1 8 3 2 3 2 2" xfId="38572" xr:uid="{2CF981BC-8805-4A4B-8624-6E3600FC2500}"/>
    <cellStyle name="40% - Accent1 8 3 2 3 3" xfId="22677" xr:uid="{00000000-0005-0000-0000-00005C300000}"/>
    <cellStyle name="40% - Accent1 8 3 2 3 3 2" xfId="46509" xr:uid="{7B8E6D45-5C7C-443B-ACAC-57B822AA5A99}"/>
    <cellStyle name="40% - Accent1 8 3 2 3 4" xfId="30631" xr:uid="{944E3D2F-8FCA-4C7A-80B4-66C988D2834A}"/>
    <cellStyle name="40% - Accent1 8 3 2 4" xfId="11194" xr:uid="{00000000-0005-0000-0000-00005D300000}"/>
    <cellStyle name="40% - Accent1 8 3 2 4 2" xfId="35043" xr:uid="{49023E62-9A02-4239-8BBD-DEE8E29AF621}"/>
    <cellStyle name="40% - Accent1 8 3 2 5" xfId="19149" xr:uid="{00000000-0005-0000-0000-00005E300000}"/>
    <cellStyle name="40% - Accent1 8 3 2 5 2" xfId="42981" xr:uid="{F830072A-38B5-44A5-9CCE-7319DE6C8125}"/>
    <cellStyle name="40% - Accent1 8 3 2 6" xfId="27101" xr:uid="{615C8D83-C62F-4E60-B335-36D3920E18F6}"/>
    <cellStyle name="40% - Accent1 8 3 2_Exh G" xfId="2788" xr:uid="{00000000-0005-0000-0000-00005F300000}"/>
    <cellStyle name="40% - Accent1 8 3 3" xfId="4048" xr:uid="{00000000-0005-0000-0000-000060300000}"/>
    <cellStyle name="40% - Accent1 8 3 3 2" xfId="7640" xr:uid="{00000000-0005-0000-0000-000061300000}"/>
    <cellStyle name="40% - Accent1 8 3 3 2 2" xfId="15610" xr:uid="{00000000-0005-0000-0000-000062300000}"/>
    <cellStyle name="40% - Accent1 8 3 3 2 2 2" xfId="39452" xr:uid="{916FCB34-6D06-4D85-A542-919413911804}"/>
    <cellStyle name="40% - Accent1 8 3 3 2 3" xfId="23556" xr:uid="{00000000-0005-0000-0000-000063300000}"/>
    <cellStyle name="40% - Accent1 8 3 3 2 3 2" xfId="47388" xr:uid="{7CA6F346-1CEE-4B64-9968-60D8BFEB178B}"/>
    <cellStyle name="40% - Accent1 8 3 3 2 4" xfId="31511" xr:uid="{3FCBF402-3243-4C1C-ADE1-FBB69BFBC891}"/>
    <cellStyle name="40% - Accent1 8 3 3 3" xfId="12072" xr:uid="{00000000-0005-0000-0000-000064300000}"/>
    <cellStyle name="40% - Accent1 8 3 3 3 2" xfId="35921" xr:uid="{762FF98B-8915-42D9-8C04-FAD0AE7AAB5D}"/>
    <cellStyle name="40% - Accent1 8 3 3 4" xfId="20027" xr:uid="{00000000-0005-0000-0000-000065300000}"/>
    <cellStyle name="40% - Accent1 8 3 3 4 2" xfId="43859" xr:uid="{DAF77472-CF62-4EC9-B46A-85B632E936D5}"/>
    <cellStyle name="40% - Accent1 8 3 3 5" xfId="27980" xr:uid="{E75A466E-9879-4253-A593-1477F6C8DD39}"/>
    <cellStyle name="40% - Accent1 8 3 4" xfId="5868" xr:uid="{00000000-0005-0000-0000-000066300000}"/>
    <cellStyle name="40% - Accent1 8 3 4 2" xfId="13851" xr:uid="{00000000-0005-0000-0000-000067300000}"/>
    <cellStyle name="40% - Accent1 8 3 4 2 2" xfId="37694" xr:uid="{FC695B15-64D1-4A23-BAD8-25454C5C9412}"/>
    <cellStyle name="40% - Accent1 8 3 4 3" xfId="21799" xr:uid="{00000000-0005-0000-0000-000068300000}"/>
    <cellStyle name="40% - Accent1 8 3 4 3 2" xfId="45631" xr:uid="{D2850EF7-C9F1-457B-B2E9-1D951128C3E8}"/>
    <cellStyle name="40% - Accent1 8 3 4 4" xfId="29753" xr:uid="{B05C3F5C-9FEB-4054-8E5D-7CB5E608E530}"/>
    <cellStyle name="40% - Accent1 8 3 5" xfId="9420" xr:uid="{00000000-0005-0000-0000-000069300000}"/>
    <cellStyle name="40% - Accent1 8 3 5 2" xfId="17378" xr:uid="{00000000-0005-0000-0000-00006A300000}"/>
    <cellStyle name="40% - Accent1 8 3 5 2 2" xfId="41218" xr:uid="{896FF0FB-1001-403B-9137-CD7A876D814D}"/>
    <cellStyle name="40% - Accent1 8 3 5 3" xfId="25322" xr:uid="{00000000-0005-0000-0000-00006B300000}"/>
    <cellStyle name="40% - Accent1 8 3 5 3 2" xfId="49154" xr:uid="{8B5D4051-20F5-47AE-9E5B-000C6BF958E0}"/>
    <cellStyle name="40% - Accent1 8 3 5 4" xfId="33277" xr:uid="{6BDE2AA5-AC0A-4E0F-9492-B9FC7A962066}"/>
    <cellStyle name="40% - Accent1 8 3 6" xfId="10316" xr:uid="{00000000-0005-0000-0000-00006C300000}"/>
    <cellStyle name="40% - Accent1 8 3 6 2" xfId="34165" xr:uid="{FA3A0F36-96CF-4696-8E30-D7C31207B100}"/>
    <cellStyle name="40% - Accent1 8 3 7" xfId="18271" xr:uid="{00000000-0005-0000-0000-00006D300000}"/>
    <cellStyle name="40% - Accent1 8 3 7 2" xfId="42103" xr:uid="{8325C306-F5C0-4A9F-978D-92AD1A17DEA9}"/>
    <cellStyle name="40% - Accent1 8 3 8" xfId="26223" xr:uid="{00DA4FF2-19E0-43ED-BB45-D5B59B0B2043}"/>
    <cellStyle name="40% - Accent1 8 3_Exh G" xfId="2787" xr:uid="{00000000-0005-0000-0000-00006E300000}"/>
    <cellStyle name="40% - Accent1 8 4" xfId="941" xr:uid="{00000000-0005-0000-0000-00006F300000}"/>
    <cellStyle name="40% - Accent1 8 4 2" xfId="1860" xr:uid="{00000000-0005-0000-0000-000070300000}"/>
    <cellStyle name="40% - Accent1 8 4 2 2" xfId="5377" xr:uid="{00000000-0005-0000-0000-000071300000}"/>
    <cellStyle name="40% - Accent1 8 4 2 2 2" xfId="8968" xr:uid="{00000000-0005-0000-0000-000072300000}"/>
    <cellStyle name="40% - Accent1 8 4 2 2 2 2" xfId="16938" xr:uid="{00000000-0005-0000-0000-000073300000}"/>
    <cellStyle name="40% - Accent1 8 4 2 2 2 2 2" xfId="40780" xr:uid="{8E3DA0EE-E811-41F4-AE02-277E51FEE4FF}"/>
    <cellStyle name="40% - Accent1 8 4 2 2 2 3" xfId="24884" xr:uid="{00000000-0005-0000-0000-000074300000}"/>
    <cellStyle name="40% - Accent1 8 4 2 2 2 3 2" xfId="48716" xr:uid="{C9AC0920-E6E7-4A17-BDF4-13C01084E926}"/>
    <cellStyle name="40% - Accent1 8 4 2 2 2 4" xfId="32839" xr:uid="{F835088F-9315-461C-8059-C87EE949500E}"/>
    <cellStyle name="40% - Accent1 8 4 2 2 3" xfId="13400" xr:uid="{00000000-0005-0000-0000-000075300000}"/>
    <cellStyle name="40% - Accent1 8 4 2 2 3 2" xfId="37249" xr:uid="{8EE8AAC2-03A4-4C3B-B8B1-001D9814884A}"/>
    <cellStyle name="40% - Accent1 8 4 2 2 4" xfId="21355" xr:uid="{00000000-0005-0000-0000-000076300000}"/>
    <cellStyle name="40% - Accent1 8 4 2 2 4 2" xfId="45187" xr:uid="{1FC5BE7B-4A6F-44CA-8F29-410AADF402F1}"/>
    <cellStyle name="40% - Accent1 8 4 2 2 5" xfId="29308" xr:uid="{E80A7F58-1738-4323-9B6B-F062F668818C}"/>
    <cellStyle name="40% - Accent1 8 4 2 3" xfId="7209" xr:uid="{00000000-0005-0000-0000-000077300000}"/>
    <cellStyle name="40% - Accent1 8 4 2 3 2" xfId="15180" xr:uid="{00000000-0005-0000-0000-000078300000}"/>
    <cellStyle name="40% - Accent1 8 4 2 3 2 2" xfId="39022" xr:uid="{074B9D04-F6F1-4A37-99AC-FBF55A38E575}"/>
    <cellStyle name="40% - Accent1 8 4 2 3 3" xfId="23127" xr:uid="{00000000-0005-0000-0000-000079300000}"/>
    <cellStyle name="40% - Accent1 8 4 2 3 3 2" xfId="46959" xr:uid="{3A495C13-483B-4E0B-9714-37ADBD5EAD00}"/>
    <cellStyle name="40% - Accent1 8 4 2 3 4" xfId="31081" xr:uid="{2EDF3F0F-E8EA-4135-9C1B-764AF8115D7B}"/>
    <cellStyle name="40% - Accent1 8 4 2 4" xfId="11644" xr:uid="{00000000-0005-0000-0000-00007A300000}"/>
    <cellStyle name="40% - Accent1 8 4 2 4 2" xfId="35493" xr:uid="{7B16A1E2-EC61-4DB7-BD98-83C0408A3BC3}"/>
    <cellStyle name="40% - Accent1 8 4 2 5" xfId="19599" xr:uid="{00000000-0005-0000-0000-00007B300000}"/>
    <cellStyle name="40% - Accent1 8 4 2 5 2" xfId="43431" xr:uid="{9D6D003E-CB94-4F01-AE28-E6300CF7978C}"/>
    <cellStyle name="40% - Accent1 8 4 2 6" xfId="27551" xr:uid="{7AC50535-928A-4F97-BF36-2673CC27B9EF}"/>
    <cellStyle name="40% - Accent1 8 4 2_Exh G" xfId="2790" xr:uid="{00000000-0005-0000-0000-00007C300000}"/>
    <cellStyle name="40% - Accent1 8 4 3" xfId="4498" xr:uid="{00000000-0005-0000-0000-00007D300000}"/>
    <cellStyle name="40% - Accent1 8 4 3 2" xfId="8090" xr:uid="{00000000-0005-0000-0000-00007E300000}"/>
    <cellStyle name="40% - Accent1 8 4 3 2 2" xfId="16060" xr:uid="{00000000-0005-0000-0000-00007F300000}"/>
    <cellStyle name="40% - Accent1 8 4 3 2 2 2" xfId="39902" xr:uid="{7935495A-FB9B-43F0-B31B-5AA0EC63459D}"/>
    <cellStyle name="40% - Accent1 8 4 3 2 3" xfId="24006" xr:uid="{00000000-0005-0000-0000-000080300000}"/>
    <cellStyle name="40% - Accent1 8 4 3 2 3 2" xfId="47838" xr:uid="{DC2B5B71-CA6A-4835-BB86-12E3C8A2B300}"/>
    <cellStyle name="40% - Accent1 8 4 3 2 4" xfId="31961" xr:uid="{4E2B78D9-1126-4BF5-8F3D-40B087712FBD}"/>
    <cellStyle name="40% - Accent1 8 4 3 3" xfId="12522" xr:uid="{00000000-0005-0000-0000-000081300000}"/>
    <cellStyle name="40% - Accent1 8 4 3 3 2" xfId="36371" xr:uid="{57FDEDBF-29E2-492B-A4FD-4F3EDBCC8293}"/>
    <cellStyle name="40% - Accent1 8 4 3 4" xfId="20477" xr:uid="{00000000-0005-0000-0000-000082300000}"/>
    <cellStyle name="40% - Accent1 8 4 3 4 2" xfId="44309" xr:uid="{F9B02860-48CF-430E-9DFA-1BFC8E26BFE3}"/>
    <cellStyle name="40% - Accent1 8 4 3 5" xfId="28430" xr:uid="{C0D60774-1ABB-4DD0-9722-E7897E92D910}"/>
    <cellStyle name="40% - Accent1 8 4 4" xfId="6328" xr:uid="{00000000-0005-0000-0000-000083300000}"/>
    <cellStyle name="40% - Accent1 8 4 4 2" xfId="14302" xr:uid="{00000000-0005-0000-0000-000084300000}"/>
    <cellStyle name="40% - Accent1 8 4 4 2 2" xfId="38144" xr:uid="{C6BE0222-9D91-4243-ABFB-AEFE6A7A7B88}"/>
    <cellStyle name="40% - Accent1 8 4 4 3" xfId="22249" xr:uid="{00000000-0005-0000-0000-000085300000}"/>
    <cellStyle name="40% - Accent1 8 4 4 3 2" xfId="46081" xr:uid="{E3F671E6-6859-416F-9125-096A821259A7}"/>
    <cellStyle name="40% - Accent1 8 4 4 4" xfId="30203" xr:uid="{9977BBA9-AA38-45BD-B3F9-6093C4E1481F}"/>
    <cellStyle name="40% - Accent1 8 4 5" xfId="9870" xr:uid="{00000000-0005-0000-0000-000086300000}"/>
    <cellStyle name="40% - Accent1 8 4 5 2" xfId="17828" xr:uid="{00000000-0005-0000-0000-000087300000}"/>
    <cellStyle name="40% - Accent1 8 4 5 2 2" xfId="41668" xr:uid="{1DAE4D89-7CCD-41AF-BEE2-A9EC467A7E89}"/>
    <cellStyle name="40% - Accent1 8 4 5 3" xfId="25772" xr:uid="{00000000-0005-0000-0000-000088300000}"/>
    <cellStyle name="40% - Accent1 8 4 5 3 2" xfId="49604" xr:uid="{B663906F-4EC6-46C6-9C5C-95AF71854391}"/>
    <cellStyle name="40% - Accent1 8 4 5 4" xfId="33727" xr:uid="{4F332C4A-9BCA-4C0C-8FFA-575E30FEF6ED}"/>
    <cellStyle name="40% - Accent1 8 4 6" xfId="10766" xr:uid="{00000000-0005-0000-0000-000089300000}"/>
    <cellStyle name="40% - Accent1 8 4 6 2" xfId="34615" xr:uid="{1D03A9BB-DF35-4C84-94E1-901F01575E13}"/>
    <cellStyle name="40% - Accent1 8 4 7" xfId="18721" xr:uid="{00000000-0005-0000-0000-00008A300000}"/>
    <cellStyle name="40% - Accent1 8 4 7 2" xfId="42553" xr:uid="{726A5D3E-DC9E-463D-BC63-0ED660229A37}"/>
    <cellStyle name="40% - Accent1 8 4 8" xfId="26673" xr:uid="{1FD7393A-393C-424F-85B0-08BB8268C313}"/>
    <cellStyle name="40% - Accent1 8 4_Exh G" xfId="2789" xr:uid="{00000000-0005-0000-0000-00008B300000}"/>
    <cellStyle name="40% - Accent1 8 5" xfId="1397" xr:uid="{00000000-0005-0000-0000-00008C300000}"/>
    <cellStyle name="40% - Accent1 8 5 2" xfId="4924" xr:uid="{00000000-0005-0000-0000-00008D300000}"/>
    <cellStyle name="40% - Accent1 8 5 2 2" xfId="8515" xr:uid="{00000000-0005-0000-0000-00008E300000}"/>
    <cellStyle name="40% - Accent1 8 5 2 2 2" xfId="16485" xr:uid="{00000000-0005-0000-0000-00008F300000}"/>
    <cellStyle name="40% - Accent1 8 5 2 2 2 2" xfId="40327" xr:uid="{B920D2EE-BFF3-44E7-80C7-20BA176B394C}"/>
    <cellStyle name="40% - Accent1 8 5 2 2 3" xfId="24431" xr:uid="{00000000-0005-0000-0000-000090300000}"/>
    <cellStyle name="40% - Accent1 8 5 2 2 3 2" xfId="48263" xr:uid="{EBD0BE0E-7899-4988-8E07-B23B7C5AA315}"/>
    <cellStyle name="40% - Accent1 8 5 2 2 4" xfId="32386" xr:uid="{1FCAB527-467E-44AA-8F66-4E61AE0293AB}"/>
    <cellStyle name="40% - Accent1 8 5 2 3" xfId="12947" xr:uid="{00000000-0005-0000-0000-000091300000}"/>
    <cellStyle name="40% - Accent1 8 5 2 3 2" xfId="36796" xr:uid="{82EB7EDB-A2F6-4721-A8A5-604CC17809EF}"/>
    <cellStyle name="40% - Accent1 8 5 2 4" xfId="20902" xr:uid="{00000000-0005-0000-0000-000092300000}"/>
    <cellStyle name="40% - Accent1 8 5 2 4 2" xfId="44734" xr:uid="{1E2CB84D-BF43-4B1B-858F-8F39A6BC5D11}"/>
    <cellStyle name="40% - Accent1 8 5 2 5" xfId="28855" xr:uid="{F8C4A08C-B175-4107-B245-6416490932C7}"/>
    <cellStyle name="40% - Accent1 8 5 3" xfId="6756" xr:uid="{00000000-0005-0000-0000-000093300000}"/>
    <cellStyle name="40% - Accent1 8 5 3 2" xfId="14727" xr:uid="{00000000-0005-0000-0000-000094300000}"/>
    <cellStyle name="40% - Accent1 8 5 3 2 2" xfId="38569" xr:uid="{C2AB691E-FB93-4530-9694-B2E9650354A5}"/>
    <cellStyle name="40% - Accent1 8 5 3 3" xfId="22674" xr:uid="{00000000-0005-0000-0000-000095300000}"/>
    <cellStyle name="40% - Accent1 8 5 3 3 2" xfId="46506" xr:uid="{47149F5A-74A2-4BA7-A412-E1FBAC7E84C2}"/>
    <cellStyle name="40% - Accent1 8 5 3 4" xfId="30628" xr:uid="{A1E4EEC2-D49F-402C-A463-73457807E4A3}"/>
    <cellStyle name="40% - Accent1 8 5 4" xfId="11191" xr:uid="{00000000-0005-0000-0000-000096300000}"/>
    <cellStyle name="40% - Accent1 8 5 4 2" xfId="35040" xr:uid="{96E4C272-3C4D-4B5F-A802-EC609DA9415C}"/>
    <cellStyle name="40% - Accent1 8 5 5" xfId="19146" xr:uid="{00000000-0005-0000-0000-000097300000}"/>
    <cellStyle name="40% - Accent1 8 5 5 2" xfId="42978" xr:uid="{A4BC06E5-0DE7-4300-BE7F-514118B71890}"/>
    <cellStyle name="40% - Accent1 8 5 6" xfId="27098" xr:uid="{EEB8136D-E031-4DD6-9BD2-FE0CA2C03459}"/>
    <cellStyle name="40% - Accent1 8 5_Exh G" xfId="2791" xr:uid="{00000000-0005-0000-0000-000098300000}"/>
    <cellStyle name="40% - Accent1 8 6" xfId="4045" xr:uid="{00000000-0005-0000-0000-000099300000}"/>
    <cellStyle name="40% - Accent1 8 6 2" xfId="7637" xr:uid="{00000000-0005-0000-0000-00009A300000}"/>
    <cellStyle name="40% - Accent1 8 6 2 2" xfId="15607" xr:uid="{00000000-0005-0000-0000-00009B300000}"/>
    <cellStyle name="40% - Accent1 8 6 2 2 2" xfId="39449" xr:uid="{46F5FBE6-5C83-4C5D-BB4C-B6CC0F8D1A5B}"/>
    <cellStyle name="40% - Accent1 8 6 2 3" xfId="23553" xr:uid="{00000000-0005-0000-0000-00009C300000}"/>
    <cellStyle name="40% - Accent1 8 6 2 3 2" xfId="47385" xr:uid="{59664B3F-0102-4C53-AD7C-0FDA7A8B2386}"/>
    <cellStyle name="40% - Accent1 8 6 2 4" xfId="31508" xr:uid="{F3D0B469-4177-4C36-90D0-26AEF084DC8B}"/>
    <cellStyle name="40% - Accent1 8 6 3" xfId="12069" xr:uid="{00000000-0005-0000-0000-00009D300000}"/>
    <cellStyle name="40% - Accent1 8 6 3 2" xfId="35918" xr:uid="{307C929C-EA15-43E4-9ECA-5666BD2DCC70}"/>
    <cellStyle name="40% - Accent1 8 6 4" xfId="20024" xr:uid="{00000000-0005-0000-0000-00009E300000}"/>
    <cellStyle name="40% - Accent1 8 6 4 2" xfId="43856" xr:uid="{E422627E-113D-41BD-9801-640F745FA920}"/>
    <cellStyle name="40% - Accent1 8 6 5" xfId="27977" xr:uid="{349307BF-E644-4379-B739-116F025D8755}"/>
    <cellStyle name="40% - Accent1 8 7" xfId="5865" xr:uid="{00000000-0005-0000-0000-00009F300000}"/>
    <cellStyle name="40% - Accent1 8 7 2" xfId="13848" xr:uid="{00000000-0005-0000-0000-0000A0300000}"/>
    <cellStyle name="40% - Accent1 8 7 2 2" xfId="37691" xr:uid="{77B3D360-76D9-4F24-9FE9-BCF58499EE1E}"/>
    <cellStyle name="40% - Accent1 8 7 3" xfId="21796" xr:uid="{00000000-0005-0000-0000-0000A1300000}"/>
    <cellStyle name="40% - Accent1 8 7 3 2" xfId="45628" xr:uid="{CAA9F9A3-A358-4D33-B041-28D05DDF5178}"/>
    <cellStyle name="40% - Accent1 8 7 4" xfId="29750" xr:uid="{D5FF8960-6330-4776-9CA6-06F6943A6F43}"/>
    <cellStyle name="40% - Accent1 8 8" xfId="9417" xr:uid="{00000000-0005-0000-0000-0000A2300000}"/>
    <cellStyle name="40% - Accent1 8 8 2" xfId="17375" xr:uid="{00000000-0005-0000-0000-0000A3300000}"/>
    <cellStyle name="40% - Accent1 8 8 2 2" xfId="41215" xr:uid="{77A8DCE7-4575-40D1-B752-7AC32E8C2FD5}"/>
    <cellStyle name="40% - Accent1 8 8 3" xfId="25319" xr:uid="{00000000-0005-0000-0000-0000A4300000}"/>
    <cellStyle name="40% - Accent1 8 8 3 2" xfId="49151" xr:uid="{3CE57328-FB64-4402-BA8B-BBF6EDD5EF50}"/>
    <cellStyle name="40% - Accent1 8 8 4" xfId="33274" xr:uid="{3DC00321-B8F8-436C-8422-FDA35F515E09}"/>
    <cellStyle name="40% - Accent1 8 9" xfId="10313" xr:uid="{00000000-0005-0000-0000-0000A5300000}"/>
    <cellStyle name="40% - Accent1 8 9 2" xfId="34162" xr:uid="{01E14FBB-C4DF-4935-BEA4-24DC65C40969}"/>
    <cellStyle name="40% - Accent1 8_Exh G" xfId="2782" xr:uid="{00000000-0005-0000-0000-0000A6300000}"/>
    <cellStyle name="40% - Accent1 9" xfId="375" xr:uid="{00000000-0005-0000-0000-0000A7300000}"/>
    <cellStyle name="40% - Accent1 9 10" xfId="18272" xr:uid="{00000000-0005-0000-0000-0000A8300000}"/>
    <cellStyle name="40% - Accent1 9 10 2" xfId="42104" xr:uid="{E89E55CA-4790-47CF-BD28-363CDFFF22C1}"/>
    <cellStyle name="40% - Accent1 9 11" xfId="26224" xr:uid="{8076E4C5-501E-4475-9357-0A3DF812CA3E}"/>
    <cellStyle name="40% - Accent1 9 2" xfId="376" xr:uid="{00000000-0005-0000-0000-0000A9300000}"/>
    <cellStyle name="40% - Accent1 9 2 2" xfId="377" xr:uid="{00000000-0005-0000-0000-0000AA300000}"/>
    <cellStyle name="40% - Accent1 9 2 2 2" xfId="1403" xr:uid="{00000000-0005-0000-0000-0000AB300000}"/>
    <cellStyle name="40% - Accent1 9 2 2 2 2" xfId="4930" xr:uid="{00000000-0005-0000-0000-0000AC300000}"/>
    <cellStyle name="40% - Accent1 9 2 2 2 2 2" xfId="8521" xr:uid="{00000000-0005-0000-0000-0000AD300000}"/>
    <cellStyle name="40% - Accent1 9 2 2 2 2 2 2" xfId="16491" xr:uid="{00000000-0005-0000-0000-0000AE300000}"/>
    <cellStyle name="40% - Accent1 9 2 2 2 2 2 2 2" xfId="40333" xr:uid="{26F7BBC4-E721-4B55-8D64-5E4FBB4027CA}"/>
    <cellStyle name="40% - Accent1 9 2 2 2 2 2 3" xfId="24437" xr:uid="{00000000-0005-0000-0000-0000AF300000}"/>
    <cellStyle name="40% - Accent1 9 2 2 2 2 2 3 2" xfId="48269" xr:uid="{1BE91D17-B5FF-4A6B-A9FA-541997928F78}"/>
    <cellStyle name="40% - Accent1 9 2 2 2 2 2 4" xfId="32392" xr:uid="{5688844A-46E6-4A62-A3EA-8C2F464B02D0}"/>
    <cellStyle name="40% - Accent1 9 2 2 2 2 3" xfId="12953" xr:uid="{00000000-0005-0000-0000-0000B0300000}"/>
    <cellStyle name="40% - Accent1 9 2 2 2 2 3 2" xfId="36802" xr:uid="{CFE5FD01-2206-44B0-8242-F3AE67B6866D}"/>
    <cellStyle name="40% - Accent1 9 2 2 2 2 4" xfId="20908" xr:uid="{00000000-0005-0000-0000-0000B1300000}"/>
    <cellStyle name="40% - Accent1 9 2 2 2 2 4 2" xfId="44740" xr:uid="{73D293F8-B16C-4F5D-8741-490622AA655D}"/>
    <cellStyle name="40% - Accent1 9 2 2 2 2 5" xfId="28861" xr:uid="{2D1C6665-7EDD-43DA-8079-E8296612CE2D}"/>
    <cellStyle name="40% - Accent1 9 2 2 2 3" xfId="6762" xr:uid="{00000000-0005-0000-0000-0000B2300000}"/>
    <cellStyle name="40% - Accent1 9 2 2 2 3 2" xfId="14733" xr:uid="{00000000-0005-0000-0000-0000B3300000}"/>
    <cellStyle name="40% - Accent1 9 2 2 2 3 2 2" xfId="38575" xr:uid="{B3E051AB-8ACB-4133-ABF3-DF7CC307D27A}"/>
    <cellStyle name="40% - Accent1 9 2 2 2 3 3" xfId="22680" xr:uid="{00000000-0005-0000-0000-0000B4300000}"/>
    <cellStyle name="40% - Accent1 9 2 2 2 3 3 2" xfId="46512" xr:uid="{2DCFE1D2-AEDF-4A10-98E4-F6B189DF6983}"/>
    <cellStyle name="40% - Accent1 9 2 2 2 3 4" xfId="30634" xr:uid="{4CDDC887-4A7E-4C54-9ED6-F207E74FCB1A}"/>
    <cellStyle name="40% - Accent1 9 2 2 2 4" xfId="11197" xr:uid="{00000000-0005-0000-0000-0000B5300000}"/>
    <cellStyle name="40% - Accent1 9 2 2 2 4 2" xfId="35046" xr:uid="{DD18F320-923B-4D77-97C7-9C80D5A4591A}"/>
    <cellStyle name="40% - Accent1 9 2 2 2 5" xfId="19152" xr:uid="{00000000-0005-0000-0000-0000B6300000}"/>
    <cellStyle name="40% - Accent1 9 2 2 2 5 2" xfId="42984" xr:uid="{0F027FAE-2658-41E5-A330-2C86006F3B1B}"/>
    <cellStyle name="40% - Accent1 9 2 2 2 6" xfId="27104" xr:uid="{99DA9D92-FCB9-4D5C-A5A5-0359CB2F3941}"/>
    <cellStyle name="40% - Accent1 9 2 2 2_Exh G" xfId="2795" xr:uid="{00000000-0005-0000-0000-0000B7300000}"/>
    <cellStyle name="40% - Accent1 9 2 2 3" xfId="4051" xr:uid="{00000000-0005-0000-0000-0000B8300000}"/>
    <cellStyle name="40% - Accent1 9 2 2 3 2" xfId="7643" xr:uid="{00000000-0005-0000-0000-0000B9300000}"/>
    <cellStyle name="40% - Accent1 9 2 2 3 2 2" xfId="15613" xr:uid="{00000000-0005-0000-0000-0000BA300000}"/>
    <cellStyle name="40% - Accent1 9 2 2 3 2 2 2" xfId="39455" xr:uid="{F23F1A05-5497-4BA5-ACEC-EC8CEA0F01DC}"/>
    <cellStyle name="40% - Accent1 9 2 2 3 2 3" xfId="23559" xr:uid="{00000000-0005-0000-0000-0000BB300000}"/>
    <cellStyle name="40% - Accent1 9 2 2 3 2 3 2" xfId="47391" xr:uid="{35443D9C-C4E7-45EE-88FB-001106F2B468}"/>
    <cellStyle name="40% - Accent1 9 2 2 3 2 4" xfId="31514" xr:uid="{0F745104-B66E-4818-B6F9-5A2B436EF85A}"/>
    <cellStyle name="40% - Accent1 9 2 2 3 3" xfId="12075" xr:uid="{00000000-0005-0000-0000-0000BC300000}"/>
    <cellStyle name="40% - Accent1 9 2 2 3 3 2" xfId="35924" xr:uid="{7FF75368-9843-4CEA-BD18-1C0BC54B40D9}"/>
    <cellStyle name="40% - Accent1 9 2 2 3 4" xfId="20030" xr:uid="{00000000-0005-0000-0000-0000BD300000}"/>
    <cellStyle name="40% - Accent1 9 2 2 3 4 2" xfId="43862" xr:uid="{E874BE79-411A-4294-A868-0971E41ABB38}"/>
    <cellStyle name="40% - Accent1 9 2 2 3 5" xfId="27983" xr:uid="{9A287B50-AEA5-44BE-9A22-E87D55884283}"/>
    <cellStyle name="40% - Accent1 9 2 2 4" xfId="5871" xr:uid="{00000000-0005-0000-0000-0000BE300000}"/>
    <cellStyle name="40% - Accent1 9 2 2 4 2" xfId="13854" xr:uid="{00000000-0005-0000-0000-0000BF300000}"/>
    <cellStyle name="40% - Accent1 9 2 2 4 2 2" xfId="37697" xr:uid="{3A180271-3B8F-44A4-A631-549F9D21F871}"/>
    <cellStyle name="40% - Accent1 9 2 2 4 3" xfId="21802" xr:uid="{00000000-0005-0000-0000-0000C0300000}"/>
    <cellStyle name="40% - Accent1 9 2 2 4 3 2" xfId="45634" xr:uid="{CB961AB9-5AC8-4E0A-B117-E63D4FC09C5D}"/>
    <cellStyle name="40% - Accent1 9 2 2 4 4" xfId="29756" xr:uid="{F23724EC-4AC0-4B3E-978E-68B7565C1705}"/>
    <cellStyle name="40% - Accent1 9 2 2 5" xfId="9423" xr:uid="{00000000-0005-0000-0000-0000C1300000}"/>
    <cellStyle name="40% - Accent1 9 2 2 5 2" xfId="17381" xr:uid="{00000000-0005-0000-0000-0000C2300000}"/>
    <cellStyle name="40% - Accent1 9 2 2 5 2 2" xfId="41221" xr:uid="{72EDE576-D215-4FF2-80DB-350FCAED9FD7}"/>
    <cellStyle name="40% - Accent1 9 2 2 5 3" xfId="25325" xr:uid="{00000000-0005-0000-0000-0000C3300000}"/>
    <cellStyle name="40% - Accent1 9 2 2 5 3 2" xfId="49157" xr:uid="{FC85BDCA-1875-4053-9A09-6990704B5EAD}"/>
    <cellStyle name="40% - Accent1 9 2 2 5 4" xfId="33280" xr:uid="{D0915BE5-C146-4327-B1C3-92DEE4421A53}"/>
    <cellStyle name="40% - Accent1 9 2 2 6" xfId="10319" xr:uid="{00000000-0005-0000-0000-0000C4300000}"/>
    <cellStyle name="40% - Accent1 9 2 2 6 2" xfId="34168" xr:uid="{B3B9F602-1852-4058-8F85-60632782098D}"/>
    <cellStyle name="40% - Accent1 9 2 2 7" xfId="18274" xr:uid="{00000000-0005-0000-0000-0000C5300000}"/>
    <cellStyle name="40% - Accent1 9 2 2 7 2" xfId="42106" xr:uid="{FCC8F664-CE01-4F5E-B036-27E2CD9B763A}"/>
    <cellStyle name="40% - Accent1 9 2 2 8" xfId="26226" xr:uid="{5B795EB7-006A-4CD5-A3AA-5B475C7FB306}"/>
    <cellStyle name="40% - Accent1 9 2 2_Exh G" xfId="2794" xr:uid="{00000000-0005-0000-0000-0000C6300000}"/>
    <cellStyle name="40% - Accent1 9 2 3" xfId="1402" xr:uid="{00000000-0005-0000-0000-0000C7300000}"/>
    <cellStyle name="40% - Accent1 9 2 3 2" xfId="4929" xr:uid="{00000000-0005-0000-0000-0000C8300000}"/>
    <cellStyle name="40% - Accent1 9 2 3 2 2" xfId="8520" xr:uid="{00000000-0005-0000-0000-0000C9300000}"/>
    <cellStyle name="40% - Accent1 9 2 3 2 2 2" xfId="16490" xr:uid="{00000000-0005-0000-0000-0000CA300000}"/>
    <cellStyle name="40% - Accent1 9 2 3 2 2 2 2" xfId="40332" xr:uid="{58535D58-14E7-45B8-AB53-3C06DAABE3D9}"/>
    <cellStyle name="40% - Accent1 9 2 3 2 2 3" xfId="24436" xr:uid="{00000000-0005-0000-0000-0000CB300000}"/>
    <cellStyle name="40% - Accent1 9 2 3 2 2 3 2" xfId="48268" xr:uid="{E9078FA2-CFCD-4B6F-9C62-3C12C5FCC708}"/>
    <cellStyle name="40% - Accent1 9 2 3 2 2 4" xfId="32391" xr:uid="{91F73C7F-BFF2-4B96-B836-FC0F80A41BF2}"/>
    <cellStyle name="40% - Accent1 9 2 3 2 3" xfId="12952" xr:uid="{00000000-0005-0000-0000-0000CC300000}"/>
    <cellStyle name="40% - Accent1 9 2 3 2 3 2" xfId="36801" xr:uid="{C0AEBE93-B110-40AF-80E3-C40EE9603A69}"/>
    <cellStyle name="40% - Accent1 9 2 3 2 4" xfId="20907" xr:uid="{00000000-0005-0000-0000-0000CD300000}"/>
    <cellStyle name="40% - Accent1 9 2 3 2 4 2" xfId="44739" xr:uid="{EFE4220B-EAE8-4BCC-A2CF-F24BF0247619}"/>
    <cellStyle name="40% - Accent1 9 2 3 2 5" xfId="28860" xr:uid="{0ADA0350-B3DD-4AD8-820D-17A0B9912091}"/>
    <cellStyle name="40% - Accent1 9 2 3 3" xfId="6761" xr:uid="{00000000-0005-0000-0000-0000CE300000}"/>
    <cellStyle name="40% - Accent1 9 2 3 3 2" xfId="14732" xr:uid="{00000000-0005-0000-0000-0000CF300000}"/>
    <cellStyle name="40% - Accent1 9 2 3 3 2 2" xfId="38574" xr:uid="{F3293531-C1EB-4EE4-A8D4-FE6A25A6EE21}"/>
    <cellStyle name="40% - Accent1 9 2 3 3 3" xfId="22679" xr:uid="{00000000-0005-0000-0000-0000D0300000}"/>
    <cellStyle name="40% - Accent1 9 2 3 3 3 2" xfId="46511" xr:uid="{8501EF98-071C-46D9-9EE0-E330E0FB6C89}"/>
    <cellStyle name="40% - Accent1 9 2 3 3 4" xfId="30633" xr:uid="{589B41E4-23F6-4576-AAB5-4E08B7C84717}"/>
    <cellStyle name="40% - Accent1 9 2 3 4" xfId="11196" xr:uid="{00000000-0005-0000-0000-0000D1300000}"/>
    <cellStyle name="40% - Accent1 9 2 3 4 2" xfId="35045" xr:uid="{F08DFADA-675F-43EF-AD62-0D3C072DE3E8}"/>
    <cellStyle name="40% - Accent1 9 2 3 5" xfId="19151" xr:uid="{00000000-0005-0000-0000-0000D2300000}"/>
    <cellStyle name="40% - Accent1 9 2 3 5 2" xfId="42983" xr:uid="{6BF80C2D-5615-4F80-9437-976DCBFE32F7}"/>
    <cellStyle name="40% - Accent1 9 2 3 6" xfId="27103" xr:uid="{9DFEF171-BE8E-4F68-B5D2-0959506B2F2F}"/>
    <cellStyle name="40% - Accent1 9 2 3_Exh G" xfId="2796" xr:uid="{00000000-0005-0000-0000-0000D3300000}"/>
    <cellStyle name="40% - Accent1 9 2 4" xfId="4050" xr:uid="{00000000-0005-0000-0000-0000D4300000}"/>
    <cellStyle name="40% - Accent1 9 2 4 2" xfId="7642" xr:uid="{00000000-0005-0000-0000-0000D5300000}"/>
    <cellStyle name="40% - Accent1 9 2 4 2 2" xfId="15612" xr:uid="{00000000-0005-0000-0000-0000D6300000}"/>
    <cellStyle name="40% - Accent1 9 2 4 2 2 2" xfId="39454" xr:uid="{5A501C1C-312C-4ABC-91FE-F8FD73F6A863}"/>
    <cellStyle name="40% - Accent1 9 2 4 2 3" xfId="23558" xr:uid="{00000000-0005-0000-0000-0000D7300000}"/>
    <cellStyle name="40% - Accent1 9 2 4 2 3 2" xfId="47390" xr:uid="{6241FE7A-616A-4F75-9E83-6B22DD56CB7B}"/>
    <cellStyle name="40% - Accent1 9 2 4 2 4" xfId="31513" xr:uid="{DAC321E0-C587-4FB7-827A-B558CC742374}"/>
    <cellStyle name="40% - Accent1 9 2 4 3" xfId="12074" xr:uid="{00000000-0005-0000-0000-0000D8300000}"/>
    <cellStyle name="40% - Accent1 9 2 4 3 2" xfId="35923" xr:uid="{B18A44BC-2B21-4935-B6B1-F2B7D892B114}"/>
    <cellStyle name="40% - Accent1 9 2 4 4" xfId="20029" xr:uid="{00000000-0005-0000-0000-0000D9300000}"/>
    <cellStyle name="40% - Accent1 9 2 4 4 2" xfId="43861" xr:uid="{3996122E-DA19-48F7-9A61-0B16885DA5C6}"/>
    <cellStyle name="40% - Accent1 9 2 4 5" xfId="27982" xr:uid="{80536FD9-2BDB-4918-8DA8-0B367E552386}"/>
    <cellStyle name="40% - Accent1 9 2 5" xfId="5870" xr:uid="{00000000-0005-0000-0000-0000DA300000}"/>
    <cellStyle name="40% - Accent1 9 2 5 2" xfId="13853" xr:uid="{00000000-0005-0000-0000-0000DB300000}"/>
    <cellStyle name="40% - Accent1 9 2 5 2 2" xfId="37696" xr:uid="{A7A46262-BB70-42C8-9F3D-544C68382FDB}"/>
    <cellStyle name="40% - Accent1 9 2 5 3" xfId="21801" xr:uid="{00000000-0005-0000-0000-0000DC300000}"/>
    <cellStyle name="40% - Accent1 9 2 5 3 2" xfId="45633" xr:uid="{794D23CC-E857-40C6-8C48-E9D2C3E35C86}"/>
    <cellStyle name="40% - Accent1 9 2 5 4" xfId="29755" xr:uid="{BE6C4805-DD78-4719-AE04-85BBF00E51D3}"/>
    <cellStyle name="40% - Accent1 9 2 6" xfId="9422" xr:uid="{00000000-0005-0000-0000-0000DD300000}"/>
    <cellStyle name="40% - Accent1 9 2 6 2" xfId="17380" xr:uid="{00000000-0005-0000-0000-0000DE300000}"/>
    <cellStyle name="40% - Accent1 9 2 6 2 2" xfId="41220" xr:uid="{653AACE2-235F-4E79-BEEF-0B0EEE2F6590}"/>
    <cellStyle name="40% - Accent1 9 2 6 3" xfId="25324" xr:uid="{00000000-0005-0000-0000-0000DF300000}"/>
    <cellStyle name="40% - Accent1 9 2 6 3 2" xfId="49156" xr:uid="{71C39451-BE25-4960-B938-72C4B21099FA}"/>
    <cellStyle name="40% - Accent1 9 2 6 4" xfId="33279" xr:uid="{37EC0304-53D5-4EA5-8060-047A0F8E5EE5}"/>
    <cellStyle name="40% - Accent1 9 2 7" xfId="10318" xr:uid="{00000000-0005-0000-0000-0000E0300000}"/>
    <cellStyle name="40% - Accent1 9 2 7 2" xfId="34167" xr:uid="{00773E69-6F72-407B-83D2-FBB7964B131C}"/>
    <cellStyle name="40% - Accent1 9 2 8" xfId="18273" xr:uid="{00000000-0005-0000-0000-0000E1300000}"/>
    <cellStyle name="40% - Accent1 9 2 8 2" xfId="42105" xr:uid="{3FF560E8-096B-4D9E-8611-39CCFC4B6735}"/>
    <cellStyle name="40% - Accent1 9 2 9" xfId="26225" xr:uid="{B5BABDE7-5841-4AA5-8EA9-7B4C70C8989D}"/>
    <cellStyle name="40% - Accent1 9 2_Exh G" xfId="2793" xr:uid="{00000000-0005-0000-0000-0000E2300000}"/>
    <cellStyle name="40% - Accent1 9 3" xfId="378" xr:uid="{00000000-0005-0000-0000-0000E3300000}"/>
    <cellStyle name="40% - Accent1 9 3 2" xfId="1404" xr:uid="{00000000-0005-0000-0000-0000E4300000}"/>
    <cellStyle name="40% - Accent1 9 3 2 2" xfId="4931" xr:uid="{00000000-0005-0000-0000-0000E5300000}"/>
    <cellStyle name="40% - Accent1 9 3 2 2 2" xfId="8522" xr:uid="{00000000-0005-0000-0000-0000E6300000}"/>
    <cellStyle name="40% - Accent1 9 3 2 2 2 2" xfId="16492" xr:uid="{00000000-0005-0000-0000-0000E7300000}"/>
    <cellStyle name="40% - Accent1 9 3 2 2 2 2 2" xfId="40334" xr:uid="{918C8713-DECA-4DD6-AA91-A9A387338C83}"/>
    <cellStyle name="40% - Accent1 9 3 2 2 2 3" xfId="24438" xr:uid="{00000000-0005-0000-0000-0000E8300000}"/>
    <cellStyle name="40% - Accent1 9 3 2 2 2 3 2" xfId="48270" xr:uid="{C4B1DCD0-413C-4230-A1B4-3F81DEF9B025}"/>
    <cellStyle name="40% - Accent1 9 3 2 2 2 4" xfId="32393" xr:uid="{74453579-10B2-4D93-9960-6E4E3D0864E3}"/>
    <cellStyle name="40% - Accent1 9 3 2 2 3" xfId="12954" xr:uid="{00000000-0005-0000-0000-0000E9300000}"/>
    <cellStyle name="40% - Accent1 9 3 2 2 3 2" xfId="36803" xr:uid="{D88B493C-4FFF-4858-917E-A7091DD78AF2}"/>
    <cellStyle name="40% - Accent1 9 3 2 2 4" xfId="20909" xr:uid="{00000000-0005-0000-0000-0000EA300000}"/>
    <cellStyle name="40% - Accent1 9 3 2 2 4 2" xfId="44741" xr:uid="{83B5BCF0-3309-4524-AC48-13CD388DB436}"/>
    <cellStyle name="40% - Accent1 9 3 2 2 5" xfId="28862" xr:uid="{F3F3A605-D532-435A-BD46-B370BE0D48C5}"/>
    <cellStyle name="40% - Accent1 9 3 2 3" xfId="6763" xr:uid="{00000000-0005-0000-0000-0000EB300000}"/>
    <cellStyle name="40% - Accent1 9 3 2 3 2" xfId="14734" xr:uid="{00000000-0005-0000-0000-0000EC300000}"/>
    <cellStyle name="40% - Accent1 9 3 2 3 2 2" xfId="38576" xr:uid="{A955FD89-13DC-4B2E-9353-AF1FDF5A91CD}"/>
    <cellStyle name="40% - Accent1 9 3 2 3 3" xfId="22681" xr:uid="{00000000-0005-0000-0000-0000ED300000}"/>
    <cellStyle name="40% - Accent1 9 3 2 3 3 2" xfId="46513" xr:uid="{4538FAE3-59B1-495B-94D5-ED044D14D474}"/>
    <cellStyle name="40% - Accent1 9 3 2 3 4" xfId="30635" xr:uid="{494E3C89-78B4-4CBE-A777-5D40A75D5D2B}"/>
    <cellStyle name="40% - Accent1 9 3 2 4" xfId="11198" xr:uid="{00000000-0005-0000-0000-0000EE300000}"/>
    <cellStyle name="40% - Accent1 9 3 2 4 2" xfId="35047" xr:uid="{E5926B42-6E4E-4545-959A-36B700150024}"/>
    <cellStyle name="40% - Accent1 9 3 2 5" xfId="19153" xr:uid="{00000000-0005-0000-0000-0000EF300000}"/>
    <cellStyle name="40% - Accent1 9 3 2 5 2" xfId="42985" xr:uid="{89D93322-450B-4593-B3C3-58A5D04A8EF9}"/>
    <cellStyle name="40% - Accent1 9 3 2 6" xfId="27105" xr:uid="{FB58C508-15CC-40A0-BF14-437D43684178}"/>
    <cellStyle name="40% - Accent1 9 3 2_Exh G" xfId="2798" xr:uid="{00000000-0005-0000-0000-0000F0300000}"/>
    <cellStyle name="40% - Accent1 9 3 3" xfId="4052" xr:uid="{00000000-0005-0000-0000-0000F1300000}"/>
    <cellStyle name="40% - Accent1 9 3 3 2" xfId="7644" xr:uid="{00000000-0005-0000-0000-0000F2300000}"/>
    <cellStyle name="40% - Accent1 9 3 3 2 2" xfId="15614" xr:uid="{00000000-0005-0000-0000-0000F3300000}"/>
    <cellStyle name="40% - Accent1 9 3 3 2 2 2" xfId="39456" xr:uid="{A0D28260-26AB-4EED-8174-0C2F8D65D970}"/>
    <cellStyle name="40% - Accent1 9 3 3 2 3" xfId="23560" xr:uid="{00000000-0005-0000-0000-0000F4300000}"/>
    <cellStyle name="40% - Accent1 9 3 3 2 3 2" xfId="47392" xr:uid="{354E712F-B684-4F54-A526-84DD6AAF59EC}"/>
    <cellStyle name="40% - Accent1 9 3 3 2 4" xfId="31515" xr:uid="{5B7E4264-CB74-4749-9CD4-6D842F401D69}"/>
    <cellStyle name="40% - Accent1 9 3 3 3" xfId="12076" xr:uid="{00000000-0005-0000-0000-0000F5300000}"/>
    <cellStyle name="40% - Accent1 9 3 3 3 2" xfId="35925" xr:uid="{111DE60A-C9C0-49C5-B2BE-5BFF295939C7}"/>
    <cellStyle name="40% - Accent1 9 3 3 4" xfId="20031" xr:uid="{00000000-0005-0000-0000-0000F6300000}"/>
    <cellStyle name="40% - Accent1 9 3 3 4 2" xfId="43863" xr:uid="{223CC62A-6EAF-411A-A665-34A14BB1FD46}"/>
    <cellStyle name="40% - Accent1 9 3 3 5" xfId="27984" xr:uid="{0680E6AA-0BCE-4402-B897-C56372CEBB23}"/>
    <cellStyle name="40% - Accent1 9 3 4" xfId="5872" xr:uid="{00000000-0005-0000-0000-0000F7300000}"/>
    <cellStyle name="40% - Accent1 9 3 4 2" xfId="13855" xr:uid="{00000000-0005-0000-0000-0000F8300000}"/>
    <cellStyle name="40% - Accent1 9 3 4 2 2" xfId="37698" xr:uid="{5C309894-0AA8-465D-B762-6D8964669234}"/>
    <cellStyle name="40% - Accent1 9 3 4 3" xfId="21803" xr:uid="{00000000-0005-0000-0000-0000F9300000}"/>
    <cellStyle name="40% - Accent1 9 3 4 3 2" xfId="45635" xr:uid="{0C6D67C7-E5C0-4997-8BCB-94325E514B05}"/>
    <cellStyle name="40% - Accent1 9 3 4 4" xfId="29757" xr:uid="{61B9AB84-9A30-4527-AACE-EC994A56B6B8}"/>
    <cellStyle name="40% - Accent1 9 3 5" xfId="9424" xr:uid="{00000000-0005-0000-0000-0000FA300000}"/>
    <cellStyle name="40% - Accent1 9 3 5 2" xfId="17382" xr:uid="{00000000-0005-0000-0000-0000FB300000}"/>
    <cellStyle name="40% - Accent1 9 3 5 2 2" xfId="41222" xr:uid="{2A5474BF-BB9C-4984-A47A-97599C088B81}"/>
    <cellStyle name="40% - Accent1 9 3 5 3" xfId="25326" xr:uid="{00000000-0005-0000-0000-0000FC300000}"/>
    <cellStyle name="40% - Accent1 9 3 5 3 2" xfId="49158" xr:uid="{94117A63-C6E3-48B0-9939-4301F70579C2}"/>
    <cellStyle name="40% - Accent1 9 3 5 4" xfId="33281" xr:uid="{57AB44DE-5ADF-4AC6-B622-35EE95E8785D}"/>
    <cellStyle name="40% - Accent1 9 3 6" xfId="10320" xr:uid="{00000000-0005-0000-0000-0000FD300000}"/>
    <cellStyle name="40% - Accent1 9 3 6 2" xfId="34169" xr:uid="{D5B65B95-148A-473E-9AE4-AD4A0920C93E}"/>
    <cellStyle name="40% - Accent1 9 3 7" xfId="18275" xr:uid="{00000000-0005-0000-0000-0000FE300000}"/>
    <cellStyle name="40% - Accent1 9 3 7 2" xfId="42107" xr:uid="{F87A3AA1-0C3F-44F6-B478-7A6574678663}"/>
    <cellStyle name="40% - Accent1 9 3 8" xfId="26227" xr:uid="{E16F6645-F1E9-48E5-9580-16ACE9FF2357}"/>
    <cellStyle name="40% - Accent1 9 3_Exh G" xfId="2797" xr:uid="{00000000-0005-0000-0000-0000FF300000}"/>
    <cellStyle name="40% - Accent1 9 4" xfId="942" xr:uid="{00000000-0005-0000-0000-000000310000}"/>
    <cellStyle name="40% - Accent1 9 4 2" xfId="1861" xr:uid="{00000000-0005-0000-0000-000001310000}"/>
    <cellStyle name="40% - Accent1 9 4 2 2" xfId="5378" xr:uid="{00000000-0005-0000-0000-000002310000}"/>
    <cellStyle name="40% - Accent1 9 4 2 2 2" xfId="8969" xr:uid="{00000000-0005-0000-0000-000003310000}"/>
    <cellStyle name="40% - Accent1 9 4 2 2 2 2" xfId="16939" xr:uid="{00000000-0005-0000-0000-000004310000}"/>
    <cellStyle name="40% - Accent1 9 4 2 2 2 2 2" xfId="40781" xr:uid="{11FC25FD-884A-4DC8-BF08-DA89CF1DA037}"/>
    <cellStyle name="40% - Accent1 9 4 2 2 2 3" xfId="24885" xr:uid="{00000000-0005-0000-0000-000005310000}"/>
    <cellStyle name="40% - Accent1 9 4 2 2 2 3 2" xfId="48717" xr:uid="{D391EB21-541A-4308-B97D-F635CE384607}"/>
    <cellStyle name="40% - Accent1 9 4 2 2 2 4" xfId="32840" xr:uid="{C1270A15-F766-465C-94A2-8F25F5F33E7E}"/>
    <cellStyle name="40% - Accent1 9 4 2 2 3" xfId="13401" xr:uid="{00000000-0005-0000-0000-000006310000}"/>
    <cellStyle name="40% - Accent1 9 4 2 2 3 2" xfId="37250" xr:uid="{18C11095-01D7-43C8-B566-86B06429095D}"/>
    <cellStyle name="40% - Accent1 9 4 2 2 4" xfId="21356" xr:uid="{00000000-0005-0000-0000-000007310000}"/>
    <cellStyle name="40% - Accent1 9 4 2 2 4 2" xfId="45188" xr:uid="{92289D83-F8F3-4318-A331-D62187D2D5D6}"/>
    <cellStyle name="40% - Accent1 9 4 2 2 5" xfId="29309" xr:uid="{21315D66-64AA-47BD-8E04-24BF215D1BF9}"/>
    <cellStyle name="40% - Accent1 9 4 2 3" xfId="7210" xr:uid="{00000000-0005-0000-0000-000008310000}"/>
    <cellStyle name="40% - Accent1 9 4 2 3 2" xfId="15181" xr:uid="{00000000-0005-0000-0000-000009310000}"/>
    <cellStyle name="40% - Accent1 9 4 2 3 2 2" xfId="39023" xr:uid="{371A63D0-AAC8-4165-B4E7-FC14B56B0963}"/>
    <cellStyle name="40% - Accent1 9 4 2 3 3" xfId="23128" xr:uid="{00000000-0005-0000-0000-00000A310000}"/>
    <cellStyle name="40% - Accent1 9 4 2 3 3 2" xfId="46960" xr:uid="{961C431E-0098-4C7C-AA7C-1FD8E9EC6D45}"/>
    <cellStyle name="40% - Accent1 9 4 2 3 4" xfId="31082" xr:uid="{7FDF2F15-FEB3-4076-A647-6F0B2F0FBE88}"/>
    <cellStyle name="40% - Accent1 9 4 2 4" xfId="11645" xr:uid="{00000000-0005-0000-0000-00000B310000}"/>
    <cellStyle name="40% - Accent1 9 4 2 4 2" xfId="35494" xr:uid="{8B94A804-0F2E-48E8-B1A6-769D0D64CEEA}"/>
    <cellStyle name="40% - Accent1 9 4 2 5" xfId="19600" xr:uid="{00000000-0005-0000-0000-00000C310000}"/>
    <cellStyle name="40% - Accent1 9 4 2 5 2" xfId="43432" xr:uid="{B2D33166-8413-4193-A17B-C20B51B90BBE}"/>
    <cellStyle name="40% - Accent1 9 4 2 6" xfId="27552" xr:uid="{78EFB29E-3191-4C1F-A937-C2688CE1048B}"/>
    <cellStyle name="40% - Accent1 9 4 2_Exh G" xfId="2800" xr:uid="{00000000-0005-0000-0000-00000D310000}"/>
    <cellStyle name="40% - Accent1 9 4 3" xfId="4499" xr:uid="{00000000-0005-0000-0000-00000E310000}"/>
    <cellStyle name="40% - Accent1 9 4 3 2" xfId="8091" xr:uid="{00000000-0005-0000-0000-00000F310000}"/>
    <cellStyle name="40% - Accent1 9 4 3 2 2" xfId="16061" xr:uid="{00000000-0005-0000-0000-000010310000}"/>
    <cellStyle name="40% - Accent1 9 4 3 2 2 2" xfId="39903" xr:uid="{5D153436-881F-41C8-BF4A-1164FF984086}"/>
    <cellStyle name="40% - Accent1 9 4 3 2 3" xfId="24007" xr:uid="{00000000-0005-0000-0000-000011310000}"/>
    <cellStyle name="40% - Accent1 9 4 3 2 3 2" xfId="47839" xr:uid="{67D25713-F313-4C9C-9646-19AB9771BF96}"/>
    <cellStyle name="40% - Accent1 9 4 3 2 4" xfId="31962" xr:uid="{0A5D79E7-0D3F-4C29-9EF3-AAAB6F213837}"/>
    <cellStyle name="40% - Accent1 9 4 3 3" xfId="12523" xr:uid="{00000000-0005-0000-0000-000012310000}"/>
    <cellStyle name="40% - Accent1 9 4 3 3 2" xfId="36372" xr:uid="{ABB93DAD-3375-4A15-A503-92C0C541EF97}"/>
    <cellStyle name="40% - Accent1 9 4 3 4" xfId="20478" xr:uid="{00000000-0005-0000-0000-000013310000}"/>
    <cellStyle name="40% - Accent1 9 4 3 4 2" xfId="44310" xr:uid="{073403F6-EF54-40A4-AE82-BEB0783D9139}"/>
    <cellStyle name="40% - Accent1 9 4 3 5" xfId="28431" xr:uid="{0F0953CA-910F-4C12-8AE5-26D9F85AC194}"/>
    <cellStyle name="40% - Accent1 9 4 4" xfId="6329" xr:uid="{00000000-0005-0000-0000-000014310000}"/>
    <cellStyle name="40% - Accent1 9 4 4 2" xfId="14303" xr:uid="{00000000-0005-0000-0000-000015310000}"/>
    <cellStyle name="40% - Accent1 9 4 4 2 2" xfId="38145" xr:uid="{21EB34FA-40B6-4D42-9A40-56FA6A6D492F}"/>
    <cellStyle name="40% - Accent1 9 4 4 3" xfId="22250" xr:uid="{00000000-0005-0000-0000-000016310000}"/>
    <cellStyle name="40% - Accent1 9 4 4 3 2" xfId="46082" xr:uid="{6D7C569B-577D-401F-A2D0-8A6EEFB0A91B}"/>
    <cellStyle name="40% - Accent1 9 4 4 4" xfId="30204" xr:uid="{16CCE5E5-D581-464C-8727-7097DE34A208}"/>
    <cellStyle name="40% - Accent1 9 4 5" xfId="9871" xr:uid="{00000000-0005-0000-0000-000017310000}"/>
    <cellStyle name="40% - Accent1 9 4 5 2" xfId="17829" xr:uid="{00000000-0005-0000-0000-000018310000}"/>
    <cellStyle name="40% - Accent1 9 4 5 2 2" xfId="41669" xr:uid="{26348C0F-A969-4633-BCFD-55F4B70602A6}"/>
    <cellStyle name="40% - Accent1 9 4 5 3" xfId="25773" xr:uid="{00000000-0005-0000-0000-000019310000}"/>
    <cellStyle name="40% - Accent1 9 4 5 3 2" xfId="49605" xr:uid="{1B51A562-58D0-4B00-9894-5EDEA50B52E5}"/>
    <cellStyle name="40% - Accent1 9 4 5 4" xfId="33728" xr:uid="{7CC01F79-2A8F-418D-AFA7-D1A644F894A2}"/>
    <cellStyle name="40% - Accent1 9 4 6" xfId="10767" xr:uid="{00000000-0005-0000-0000-00001A310000}"/>
    <cellStyle name="40% - Accent1 9 4 6 2" xfId="34616" xr:uid="{F334179B-BAE1-4189-ABE5-1CAC2409803B}"/>
    <cellStyle name="40% - Accent1 9 4 7" xfId="18722" xr:uid="{00000000-0005-0000-0000-00001B310000}"/>
    <cellStyle name="40% - Accent1 9 4 7 2" xfId="42554" xr:uid="{5A66F01F-AD71-4D5E-AAAF-B98E3C1041CB}"/>
    <cellStyle name="40% - Accent1 9 4 8" xfId="26674" xr:uid="{131CB495-061F-4EF1-B261-BAE264C0B7F9}"/>
    <cellStyle name="40% - Accent1 9 4_Exh G" xfId="2799" xr:uid="{00000000-0005-0000-0000-00001C310000}"/>
    <cellStyle name="40% - Accent1 9 5" xfId="1401" xr:uid="{00000000-0005-0000-0000-00001D310000}"/>
    <cellStyle name="40% - Accent1 9 5 2" xfId="4928" xr:uid="{00000000-0005-0000-0000-00001E310000}"/>
    <cellStyle name="40% - Accent1 9 5 2 2" xfId="8519" xr:uid="{00000000-0005-0000-0000-00001F310000}"/>
    <cellStyle name="40% - Accent1 9 5 2 2 2" xfId="16489" xr:uid="{00000000-0005-0000-0000-000020310000}"/>
    <cellStyle name="40% - Accent1 9 5 2 2 2 2" xfId="40331" xr:uid="{C5BF1FC5-A9D6-4E87-97CD-CFB05D32AE9E}"/>
    <cellStyle name="40% - Accent1 9 5 2 2 3" xfId="24435" xr:uid="{00000000-0005-0000-0000-000021310000}"/>
    <cellStyle name="40% - Accent1 9 5 2 2 3 2" xfId="48267" xr:uid="{D65A7057-A145-4D4C-B9EF-B13B93673CF4}"/>
    <cellStyle name="40% - Accent1 9 5 2 2 4" xfId="32390" xr:uid="{61587672-1201-4AE9-A386-E9C579E7EB4A}"/>
    <cellStyle name="40% - Accent1 9 5 2 3" xfId="12951" xr:uid="{00000000-0005-0000-0000-000022310000}"/>
    <cellStyle name="40% - Accent1 9 5 2 3 2" xfId="36800" xr:uid="{53B2FBA5-6614-469C-A67A-38F3282FA665}"/>
    <cellStyle name="40% - Accent1 9 5 2 4" xfId="20906" xr:uid="{00000000-0005-0000-0000-000023310000}"/>
    <cellStyle name="40% - Accent1 9 5 2 4 2" xfId="44738" xr:uid="{E91A3318-F3FE-43AE-879E-C4E564821573}"/>
    <cellStyle name="40% - Accent1 9 5 2 5" xfId="28859" xr:uid="{D16B8225-544E-4951-AD37-016708C9A0D8}"/>
    <cellStyle name="40% - Accent1 9 5 3" xfId="6760" xr:uid="{00000000-0005-0000-0000-000024310000}"/>
    <cellStyle name="40% - Accent1 9 5 3 2" xfId="14731" xr:uid="{00000000-0005-0000-0000-000025310000}"/>
    <cellStyle name="40% - Accent1 9 5 3 2 2" xfId="38573" xr:uid="{7F0D68FD-3989-41A7-A6D1-602EB3292C73}"/>
    <cellStyle name="40% - Accent1 9 5 3 3" xfId="22678" xr:uid="{00000000-0005-0000-0000-000026310000}"/>
    <cellStyle name="40% - Accent1 9 5 3 3 2" xfId="46510" xr:uid="{89909733-9E00-4B83-903A-7DD987E3B047}"/>
    <cellStyle name="40% - Accent1 9 5 3 4" xfId="30632" xr:uid="{55E73942-D9F5-44D8-A0C1-B49BC2A4EC7D}"/>
    <cellStyle name="40% - Accent1 9 5 4" xfId="11195" xr:uid="{00000000-0005-0000-0000-000027310000}"/>
    <cellStyle name="40% - Accent1 9 5 4 2" xfId="35044" xr:uid="{90745A6B-12CC-4180-ACD4-F7A0ECACD49E}"/>
    <cellStyle name="40% - Accent1 9 5 5" xfId="19150" xr:uid="{00000000-0005-0000-0000-000028310000}"/>
    <cellStyle name="40% - Accent1 9 5 5 2" xfId="42982" xr:uid="{7CE62A9A-8998-4F94-B762-40F471FFB43D}"/>
    <cellStyle name="40% - Accent1 9 5 6" xfId="27102" xr:uid="{A0CA4CE9-3A2F-4AA7-95F6-F8E5A97E8E91}"/>
    <cellStyle name="40% - Accent1 9 5_Exh G" xfId="2801" xr:uid="{00000000-0005-0000-0000-000029310000}"/>
    <cellStyle name="40% - Accent1 9 6" xfId="4049" xr:uid="{00000000-0005-0000-0000-00002A310000}"/>
    <cellStyle name="40% - Accent1 9 6 2" xfId="7641" xr:uid="{00000000-0005-0000-0000-00002B310000}"/>
    <cellStyle name="40% - Accent1 9 6 2 2" xfId="15611" xr:uid="{00000000-0005-0000-0000-00002C310000}"/>
    <cellStyle name="40% - Accent1 9 6 2 2 2" xfId="39453" xr:uid="{DB3A92F5-4CA4-49BD-B200-123461BD7AE4}"/>
    <cellStyle name="40% - Accent1 9 6 2 3" xfId="23557" xr:uid="{00000000-0005-0000-0000-00002D310000}"/>
    <cellStyle name="40% - Accent1 9 6 2 3 2" xfId="47389" xr:uid="{C5B1D57B-C9F7-435B-854A-989CD6D2C39B}"/>
    <cellStyle name="40% - Accent1 9 6 2 4" xfId="31512" xr:uid="{08F9FEDB-6198-4120-9A16-2964778C1213}"/>
    <cellStyle name="40% - Accent1 9 6 3" xfId="12073" xr:uid="{00000000-0005-0000-0000-00002E310000}"/>
    <cellStyle name="40% - Accent1 9 6 3 2" xfId="35922" xr:uid="{3EC0DCD7-B43C-4C34-B3C6-CE34B88A8C34}"/>
    <cellStyle name="40% - Accent1 9 6 4" xfId="20028" xr:uid="{00000000-0005-0000-0000-00002F310000}"/>
    <cellStyle name="40% - Accent1 9 6 4 2" xfId="43860" xr:uid="{D899E92E-ABC7-43EE-8ACB-F8B98BD10D52}"/>
    <cellStyle name="40% - Accent1 9 6 5" xfId="27981" xr:uid="{7F93CBDB-45D9-4F81-8BE5-2E6A69086270}"/>
    <cellStyle name="40% - Accent1 9 7" xfId="5869" xr:uid="{00000000-0005-0000-0000-000030310000}"/>
    <cellStyle name="40% - Accent1 9 7 2" xfId="13852" xr:uid="{00000000-0005-0000-0000-000031310000}"/>
    <cellStyle name="40% - Accent1 9 7 2 2" xfId="37695" xr:uid="{D4B29905-0CC4-4BB8-984A-BEA83A5F29A2}"/>
    <cellStyle name="40% - Accent1 9 7 3" xfId="21800" xr:uid="{00000000-0005-0000-0000-000032310000}"/>
    <cellStyle name="40% - Accent1 9 7 3 2" xfId="45632" xr:uid="{75AB0643-A771-46A4-9EDD-A94F4A29EF27}"/>
    <cellStyle name="40% - Accent1 9 7 4" xfId="29754" xr:uid="{BA46C102-800B-4891-8928-4D6E13D14779}"/>
    <cellStyle name="40% - Accent1 9 8" xfId="9421" xr:uid="{00000000-0005-0000-0000-000033310000}"/>
    <cellStyle name="40% - Accent1 9 8 2" xfId="17379" xr:uid="{00000000-0005-0000-0000-000034310000}"/>
    <cellStyle name="40% - Accent1 9 8 2 2" xfId="41219" xr:uid="{022493F0-26F3-461C-877A-155CBD653D84}"/>
    <cellStyle name="40% - Accent1 9 8 3" xfId="25323" xr:uid="{00000000-0005-0000-0000-000035310000}"/>
    <cellStyle name="40% - Accent1 9 8 3 2" xfId="49155" xr:uid="{8329760B-F7FC-415F-9214-642227AC25B2}"/>
    <cellStyle name="40% - Accent1 9 8 4" xfId="33278" xr:uid="{BB19D116-3BDA-4570-AE95-54C28B742F37}"/>
    <cellStyle name="40% - Accent1 9 9" xfId="10317" xr:uid="{00000000-0005-0000-0000-000036310000}"/>
    <cellStyle name="40% - Accent1 9 9 2" xfId="34166" xr:uid="{082615D7-7BB0-451D-84B9-9C7A0E6E951C}"/>
    <cellStyle name="40% - Accent1 9_Exh G" xfId="2792" xr:uid="{00000000-0005-0000-0000-000037310000}"/>
    <cellStyle name="40% - Accent2" xfId="49688" builtinId="35" customBuiltin="1"/>
    <cellStyle name="40% - Accent2 10" xfId="379" xr:uid="{00000000-0005-0000-0000-000038310000}"/>
    <cellStyle name="40% - Accent2 10 10" xfId="18276" xr:uid="{00000000-0005-0000-0000-000039310000}"/>
    <cellStyle name="40% - Accent2 10 10 2" xfId="42108" xr:uid="{70D64DB4-B8C9-4FF6-B132-F48CA97E19A3}"/>
    <cellStyle name="40% - Accent2 10 11" xfId="26228" xr:uid="{A89CFCDC-D4AA-42B6-8311-1BF93AFA47E5}"/>
    <cellStyle name="40% - Accent2 10 2" xfId="380" xr:uid="{00000000-0005-0000-0000-00003A310000}"/>
    <cellStyle name="40% - Accent2 10 2 2" xfId="381" xr:uid="{00000000-0005-0000-0000-00003B310000}"/>
    <cellStyle name="40% - Accent2 10 2 2 2" xfId="1407" xr:uid="{00000000-0005-0000-0000-00003C310000}"/>
    <cellStyle name="40% - Accent2 10 2 2 2 2" xfId="4934" xr:uid="{00000000-0005-0000-0000-00003D310000}"/>
    <cellStyle name="40% - Accent2 10 2 2 2 2 2" xfId="8525" xr:uid="{00000000-0005-0000-0000-00003E310000}"/>
    <cellStyle name="40% - Accent2 10 2 2 2 2 2 2" xfId="16495" xr:uid="{00000000-0005-0000-0000-00003F310000}"/>
    <cellStyle name="40% - Accent2 10 2 2 2 2 2 2 2" xfId="40337" xr:uid="{C289B30F-8F54-4226-95B2-CD3310E6014C}"/>
    <cellStyle name="40% - Accent2 10 2 2 2 2 2 3" xfId="24441" xr:uid="{00000000-0005-0000-0000-000040310000}"/>
    <cellStyle name="40% - Accent2 10 2 2 2 2 2 3 2" xfId="48273" xr:uid="{386F78ED-792A-49C8-9558-86F5299F9697}"/>
    <cellStyle name="40% - Accent2 10 2 2 2 2 2 4" xfId="32396" xr:uid="{41EFF96E-461F-4249-AF3E-69341F26876D}"/>
    <cellStyle name="40% - Accent2 10 2 2 2 2 3" xfId="12957" xr:uid="{00000000-0005-0000-0000-000041310000}"/>
    <cellStyle name="40% - Accent2 10 2 2 2 2 3 2" xfId="36806" xr:uid="{634E2535-3838-4E6D-A3D0-6A8F19C0B6D7}"/>
    <cellStyle name="40% - Accent2 10 2 2 2 2 4" xfId="20912" xr:uid="{00000000-0005-0000-0000-000042310000}"/>
    <cellStyle name="40% - Accent2 10 2 2 2 2 4 2" xfId="44744" xr:uid="{DA8CBB45-B58B-48AE-B5A6-775ABF4688DA}"/>
    <cellStyle name="40% - Accent2 10 2 2 2 2 5" xfId="28865" xr:uid="{0998AD8F-64A7-4319-9C8C-FA94AD8073F6}"/>
    <cellStyle name="40% - Accent2 10 2 2 2 3" xfId="6766" xr:uid="{00000000-0005-0000-0000-000043310000}"/>
    <cellStyle name="40% - Accent2 10 2 2 2 3 2" xfId="14737" xr:uid="{00000000-0005-0000-0000-000044310000}"/>
    <cellStyle name="40% - Accent2 10 2 2 2 3 2 2" xfId="38579" xr:uid="{D342521B-8ACA-4DE4-8494-E1FB774A37B2}"/>
    <cellStyle name="40% - Accent2 10 2 2 2 3 3" xfId="22684" xr:uid="{00000000-0005-0000-0000-000045310000}"/>
    <cellStyle name="40% - Accent2 10 2 2 2 3 3 2" xfId="46516" xr:uid="{1216095D-2299-405E-B257-2572DD6A3AD0}"/>
    <cellStyle name="40% - Accent2 10 2 2 2 3 4" xfId="30638" xr:uid="{5635E4A4-975C-4754-A56C-38BC119520C7}"/>
    <cellStyle name="40% - Accent2 10 2 2 2 4" xfId="11201" xr:uid="{00000000-0005-0000-0000-000046310000}"/>
    <cellStyle name="40% - Accent2 10 2 2 2 4 2" xfId="35050" xr:uid="{1510215B-A213-4FCD-AFB5-0523534B0C2B}"/>
    <cellStyle name="40% - Accent2 10 2 2 2 5" xfId="19156" xr:uid="{00000000-0005-0000-0000-000047310000}"/>
    <cellStyle name="40% - Accent2 10 2 2 2 5 2" xfId="42988" xr:uid="{7477D1E6-B747-4E93-BB33-7EE5F9371050}"/>
    <cellStyle name="40% - Accent2 10 2 2 2 6" xfId="27108" xr:uid="{8E7B1BCD-F840-48AE-952C-242B39E5B291}"/>
    <cellStyle name="40% - Accent2 10 2 2 2_Exh G" xfId="2805" xr:uid="{00000000-0005-0000-0000-000048310000}"/>
    <cellStyle name="40% - Accent2 10 2 2 3" xfId="4055" xr:uid="{00000000-0005-0000-0000-000049310000}"/>
    <cellStyle name="40% - Accent2 10 2 2 3 2" xfId="7647" xr:uid="{00000000-0005-0000-0000-00004A310000}"/>
    <cellStyle name="40% - Accent2 10 2 2 3 2 2" xfId="15617" xr:uid="{00000000-0005-0000-0000-00004B310000}"/>
    <cellStyle name="40% - Accent2 10 2 2 3 2 2 2" xfId="39459" xr:uid="{2AC63329-37E1-4DBD-BE0C-65ABD2B6C75C}"/>
    <cellStyle name="40% - Accent2 10 2 2 3 2 3" xfId="23563" xr:uid="{00000000-0005-0000-0000-00004C310000}"/>
    <cellStyle name="40% - Accent2 10 2 2 3 2 3 2" xfId="47395" xr:uid="{FF7BBBE9-9118-444E-8998-30A1572A22C1}"/>
    <cellStyle name="40% - Accent2 10 2 2 3 2 4" xfId="31518" xr:uid="{D86F2E6D-7540-4DB1-88C0-3230613FF438}"/>
    <cellStyle name="40% - Accent2 10 2 2 3 3" xfId="12079" xr:uid="{00000000-0005-0000-0000-00004D310000}"/>
    <cellStyle name="40% - Accent2 10 2 2 3 3 2" xfId="35928" xr:uid="{BB369CC7-8CC6-4CFC-8D95-7CEBA4A19BE6}"/>
    <cellStyle name="40% - Accent2 10 2 2 3 4" xfId="20034" xr:uid="{00000000-0005-0000-0000-00004E310000}"/>
    <cellStyle name="40% - Accent2 10 2 2 3 4 2" xfId="43866" xr:uid="{7D9895EA-0116-446E-B56C-D21EBAA722BC}"/>
    <cellStyle name="40% - Accent2 10 2 2 3 5" xfId="27987" xr:uid="{E5774CAE-7D5E-49D3-8C73-A43DC317A0C8}"/>
    <cellStyle name="40% - Accent2 10 2 2 4" xfId="5875" xr:uid="{00000000-0005-0000-0000-00004F310000}"/>
    <cellStyle name="40% - Accent2 10 2 2 4 2" xfId="13858" xr:uid="{00000000-0005-0000-0000-000050310000}"/>
    <cellStyle name="40% - Accent2 10 2 2 4 2 2" xfId="37701" xr:uid="{AD855680-A278-48E0-A511-8A17C39FB939}"/>
    <cellStyle name="40% - Accent2 10 2 2 4 3" xfId="21806" xr:uid="{00000000-0005-0000-0000-000051310000}"/>
    <cellStyle name="40% - Accent2 10 2 2 4 3 2" xfId="45638" xr:uid="{C62EE004-2196-49B4-8E92-94E85DA197A7}"/>
    <cellStyle name="40% - Accent2 10 2 2 4 4" xfId="29760" xr:uid="{A0F5A921-682B-4C78-A5C9-C227DF372736}"/>
    <cellStyle name="40% - Accent2 10 2 2 5" xfId="9427" xr:uid="{00000000-0005-0000-0000-000052310000}"/>
    <cellStyle name="40% - Accent2 10 2 2 5 2" xfId="17385" xr:uid="{00000000-0005-0000-0000-000053310000}"/>
    <cellStyle name="40% - Accent2 10 2 2 5 2 2" xfId="41225" xr:uid="{9955DAE0-67EE-443A-AFD5-62A92409E7FB}"/>
    <cellStyle name="40% - Accent2 10 2 2 5 3" xfId="25329" xr:uid="{00000000-0005-0000-0000-000054310000}"/>
    <cellStyle name="40% - Accent2 10 2 2 5 3 2" xfId="49161" xr:uid="{5A4E6D46-8D87-4B95-A4E3-AEE25B5285DA}"/>
    <cellStyle name="40% - Accent2 10 2 2 5 4" xfId="33284" xr:uid="{270DA43F-ECFA-4DD7-93F5-1CE05D6B977C}"/>
    <cellStyle name="40% - Accent2 10 2 2 6" xfId="10323" xr:uid="{00000000-0005-0000-0000-000055310000}"/>
    <cellStyle name="40% - Accent2 10 2 2 6 2" xfId="34172" xr:uid="{D6402C48-3FDF-42D4-9F13-715EFE34E879}"/>
    <cellStyle name="40% - Accent2 10 2 2 7" xfId="18278" xr:uid="{00000000-0005-0000-0000-000056310000}"/>
    <cellStyle name="40% - Accent2 10 2 2 7 2" xfId="42110" xr:uid="{AD0A7350-3070-49FB-9223-6A6DC2FC9CE3}"/>
    <cellStyle name="40% - Accent2 10 2 2 8" xfId="26230" xr:uid="{224BF34D-772E-4B26-9496-37D8DEAA6873}"/>
    <cellStyle name="40% - Accent2 10 2 2_Exh G" xfId="2804" xr:uid="{00000000-0005-0000-0000-000057310000}"/>
    <cellStyle name="40% - Accent2 10 2 3" xfId="1406" xr:uid="{00000000-0005-0000-0000-000058310000}"/>
    <cellStyle name="40% - Accent2 10 2 3 2" xfId="4933" xr:uid="{00000000-0005-0000-0000-000059310000}"/>
    <cellStyle name="40% - Accent2 10 2 3 2 2" xfId="8524" xr:uid="{00000000-0005-0000-0000-00005A310000}"/>
    <cellStyle name="40% - Accent2 10 2 3 2 2 2" xfId="16494" xr:uid="{00000000-0005-0000-0000-00005B310000}"/>
    <cellStyle name="40% - Accent2 10 2 3 2 2 2 2" xfId="40336" xr:uid="{0C627F1C-9948-4BAF-817F-8977DF8497DA}"/>
    <cellStyle name="40% - Accent2 10 2 3 2 2 3" xfId="24440" xr:uid="{00000000-0005-0000-0000-00005C310000}"/>
    <cellStyle name="40% - Accent2 10 2 3 2 2 3 2" xfId="48272" xr:uid="{9ADE5116-3B84-400E-B0D5-076AB76C236B}"/>
    <cellStyle name="40% - Accent2 10 2 3 2 2 4" xfId="32395" xr:uid="{92038FEF-68E2-4C7F-999C-1233088DAF40}"/>
    <cellStyle name="40% - Accent2 10 2 3 2 3" xfId="12956" xr:uid="{00000000-0005-0000-0000-00005D310000}"/>
    <cellStyle name="40% - Accent2 10 2 3 2 3 2" xfId="36805" xr:uid="{D99A74A5-A96D-4DE4-B2AB-C0E52FA872E7}"/>
    <cellStyle name="40% - Accent2 10 2 3 2 4" xfId="20911" xr:uid="{00000000-0005-0000-0000-00005E310000}"/>
    <cellStyle name="40% - Accent2 10 2 3 2 4 2" xfId="44743" xr:uid="{93F3C652-DD53-4A86-9639-CAA89EB3F0B7}"/>
    <cellStyle name="40% - Accent2 10 2 3 2 5" xfId="28864" xr:uid="{5D0E483D-ED8D-43ED-AB2C-80F7E76B98DA}"/>
    <cellStyle name="40% - Accent2 10 2 3 3" xfId="6765" xr:uid="{00000000-0005-0000-0000-00005F310000}"/>
    <cellStyle name="40% - Accent2 10 2 3 3 2" xfId="14736" xr:uid="{00000000-0005-0000-0000-000060310000}"/>
    <cellStyle name="40% - Accent2 10 2 3 3 2 2" xfId="38578" xr:uid="{A7F6B444-5A3E-4EFD-9BA6-BFA892634E74}"/>
    <cellStyle name="40% - Accent2 10 2 3 3 3" xfId="22683" xr:uid="{00000000-0005-0000-0000-000061310000}"/>
    <cellStyle name="40% - Accent2 10 2 3 3 3 2" xfId="46515" xr:uid="{3C9B7579-9E40-4C87-B735-EC25697E90E4}"/>
    <cellStyle name="40% - Accent2 10 2 3 3 4" xfId="30637" xr:uid="{D95C3F8D-0BB3-4D13-9178-35B68262218C}"/>
    <cellStyle name="40% - Accent2 10 2 3 4" xfId="11200" xr:uid="{00000000-0005-0000-0000-000062310000}"/>
    <cellStyle name="40% - Accent2 10 2 3 4 2" xfId="35049" xr:uid="{483F06FC-28D2-448E-9B84-431FA8D879C7}"/>
    <cellStyle name="40% - Accent2 10 2 3 5" xfId="19155" xr:uid="{00000000-0005-0000-0000-000063310000}"/>
    <cellStyle name="40% - Accent2 10 2 3 5 2" xfId="42987" xr:uid="{25446A1A-1E8D-4DB9-95E9-5FAC4520A32C}"/>
    <cellStyle name="40% - Accent2 10 2 3 6" xfId="27107" xr:uid="{5FF7B602-6A97-4D2C-A5B4-EF62E8B39C53}"/>
    <cellStyle name="40% - Accent2 10 2 3_Exh G" xfId="2806" xr:uid="{00000000-0005-0000-0000-000064310000}"/>
    <cellStyle name="40% - Accent2 10 2 4" xfId="4054" xr:uid="{00000000-0005-0000-0000-000065310000}"/>
    <cellStyle name="40% - Accent2 10 2 4 2" xfId="7646" xr:uid="{00000000-0005-0000-0000-000066310000}"/>
    <cellStyle name="40% - Accent2 10 2 4 2 2" xfId="15616" xr:uid="{00000000-0005-0000-0000-000067310000}"/>
    <cellStyle name="40% - Accent2 10 2 4 2 2 2" xfId="39458" xr:uid="{C4F1E9DE-6CEF-4594-98C9-024747DFE96F}"/>
    <cellStyle name="40% - Accent2 10 2 4 2 3" xfId="23562" xr:uid="{00000000-0005-0000-0000-000068310000}"/>
    <cellStyle name="40% - Accent2 10 2 4 2 3 2" xfId="47394" xr:uid="{DF4D3911-5B89-4227-A6F2-AA5EF90E91CB}"/>
    <cellStyle name="40% - Accent2 10 2 4 2 4" xfId="31517" xr:uid="{8F5D512A-6FFF-4333-9D55-911225AFB111}"/>
    <cellStyle name="40% - Accent2 10 2 4 3" xfId="12078" xr:uid="{00000000-0005-0000-0000-000069310000}"/>
    <cellStyle name="40% - Accent2 10 2 4 3 2" xfId="35927" xr:uid="{3BA94470-7773-4576-B7E1-4CD037B1B965}"/>
    <cellStyle name="40% - Accent2 10 2 4 4" xfId="20033" xr:uid="{00000000-0005-0000-0000-00006A310000}"/>
    <cellStyle name="40% - Accent2 10 2 4 4 2" xfId="43865" xr:uid="{EF251F4E-FD7A-4099-AFB5-A65EA6F50F70}"/>
    <cellStyle name="40% - Accent2 10 2 4 5" xfId="27986" xr:uid="{A34E669D-0623-473C-89A7-A8BE2DD4B835}"/>
    <cellStyle name="40% - Accent2 10 2 5" xfId="5874" xr:uid="{00000000-0005-0000-0000-00006B310000}"/>
    <cellStyle name="40% - Accent2 10 2 5 2" xfId="13857" xr:uid="{00000000-0005-0000-0000-00006C310000}"/>
    <cellStyle name="40% - Accent2 10 2 5 2 2" xfId="37700" xr:uid="{BEA6009B-38E9-4A02-8861-3A1F08BCED9C}"/>
    <cellStyle name="40% - Accent2 10 2 5 3" xfId="21805" xr:uid="{00000000-0005-0000-0000-00006D310000}"/>
    <cellStyle name="40% - Accent2 10 2 5 3 2" xfId="45637" xr:uid="{C6FDC6C5-6EA8-4A23-B5A1-3E7B4B5AF93C}"/>
    <cellStyle name="40% - Accent2 10 2 5 4" xfId="29759" xr:uid="{31549852-FAF9-4947-B326-0602666290AA}"/>
    <cellStyle name="40% - Accent2 10 2 6" xfId="9426" xr:uid="{00000000-0005-0000-0000-00006E310000}"/>
    <cellStyle name="40% - Accent2 10 2 6 2" xfId="17384" xr:uid="{00000000-0005-0000-0000-00006F310000}"/>
    <cellStyle name="40% - Accent2 10 2 6 2 2" xfId="41224" xr:uid="{CD299FC6-3990-4B40-80A9-4BC0CAC2A4A9}"/>
    <cellStyle name="40% - Accent2 10 2 6 3" xfId="25328" xr:uid="{00000000-0005-0000-0000-000070310000}"/>
    <cellStyle name="40% - Accent2 10 2 6 3 2" xfId="49160" xr:uid="{FA9AF5CE-D23A-485D-800D-11988E8054F4}"/>
    <cellStyle name="40% - Accent2 10 2 6 4" xfId="33283" xr:uid="{FF28A62A-BDF3-4C6A-8FC3-61C2AC12594C}"/>
    <cellStyle name="40% - Accent2 10 2 7" xfId="10322" xr:uid="{00000000-0005-0000-0000-000071310000}"/>
    <cellStyle name="40% - Accent2 10 2 7 2" xfId="34171" xr:uid="{DFEAE378-C836-41BF-9FD1-98D391E83A11}"/>
    <cellStyle name="40% - Accent2 10 2 8" xfId="18277" xr:uid="{00000000-0005-0000-0000-000072310000}"/>
    <cellStyle name="40% - Accent2 10 2 8 2" xfId="42109" xr:uid="{6FFC511D-C804-4933-9B27-975A3CD23C9C}"/>
    <cellStyle name="40% - Accent2 10 2 9" xfId="26229" xr:uid="{79AFD50D-3BD3-4560-9665-4C1CAC2B1844}"/>
    <cellStyle name="40% - Accent2 10 2_Exh G" xfId="2803" xr:uid="{00000000-0005-0000-0000-000073310000}"/>
    <cellStyle name="40% - Accent2 10 3" xfId="382" xr:uid="{00000000-0005-0000-0000-000074310000}"/>
    <cellStyle name="40% - Accent2 10 3 2" xfId="1408" xr:uid="{00000000-0005-0000-0000-000075310000}"/>
    <cellStyle name="40% - Accent2 10 3 2 2" xfId="4935" xr:uid="{00000000-0005-0000-0000-000076310000}"/>
    <cellStyle name="40% - Accent2 10 3 2 2 2" xfId="8526" xr:uid="{00000000-0005-0000-0000-000077310000}"/>
    <cellStyle name="40% - Accent2 10 3 2 2 2 2" xfId="16496" xr:uid="{00000000-0005-0000-0000-000078310000}"/>
    <cellStyle name="40% - Accent2 10 3 2 2 2 2 2" xfId="40338" xr:uid="{72B34B2E-2A09-40A2-95C9-F6EB1DE03A7B}"/>
    <cellStyle name="40% - Accent2 10 3 2 2 2 3" xfId="24442" xr:uid="{00000000-0005-0000-0000-000079310000}"/>
    <cellStyle name="40% - Accent2 10 3 2 2 2 3 2" xfId="48274" xr:uid="{AF8E1EBA-581A-49D9-AA4A-3E5B944D5C64}"/>
    <cellStyle name="40% - Accent2 10 3 2 2 2 4" xfId="32397" xr:uid="{39ADB3E1-4510-4D0D-B829-9B65F074AEBC}"/>
    <cellStyle name="40% - Accent2 10 3 2 2 3" xfId="12958" xr:uid="{00000000-0005-0000-0000-00007A310000}"/>
    <cellStyle name="40% - Accent2 10 3 2 2 3 2" xfId="36807" xr:uid="{448667E7-EA35-4C4C-AF50-0E2F3F08FA3A}"/>
    <cellStyle name="40% - Accent2 10 3 2 2 4" xfId="20913" xr:uid="{00000000-0005-0000-0000-00007B310000}"/>
    <cellStyle name="40% - Accent2 10 3 2 2 4 2" xfId="44745" xr:uid="{56B82E55-ED49-4527-830B-7E4AF30FC87E}"/>
    <cellStyle name="40% - Accent2 10 3 2 2 5" xfId="28866" xr:uid="{F88DBA2C-1C65-4BEF-B19B-58A9B061E3DC}"/>
    <cellStyle name="40% - Accent2 10 3 2 3" xfId="6767" xr:uid="{00000000-0005-0000-0000-00007C310000}"/>
    <cellStyle name="40% - Accent2 10 3 2 3 2" xfId="14738" xr:uid="{00000000-0005-0000-0000-00007D310000}"/>
    <cellStyle name="40% - Accent2 10 3 2 3 2 2" xfId="38580" xr:uid="{6424B57F-ED00-4AAE-B760-84A266ECFA9D}"/>
    <cellStyle name="40% - Accent2 10 3 2 3 3" xfId="22685" xr:uid="{00000000-0005-0000-0000-00007E310000}"/>
    <cellStyle name="40% - Accent2 10 3 2 3 3 2" xfId="46517" xr:uid="{9F8953D6-5048-487F-88F5-E3D4AEF3F94D}"/>
    <cellStyle name="40% - Accent2 10 3 2 3 4" xfId="30639" xr:uid="{40A820EE-5E21-462F-BEA2-9025F2E43697}"/>
    <cellStyle name="40% - Accent2 10 3 2 4" xfId="11202" xr:uid="{00000000-0005-0000-0000-00007F310000}"/>
    <cellStyle name="40% - Accent2 10 3 2 4 2" xfId="35051" xr:uid="{533DAFC7-22C6-4F91-9D0D-28BA7449FB24}"/>
    <cellStyle name="40% - Accent2 10 3 2 5" xfId="19157" xr:uid="{00000000-0005-0000-0000-000080310000}"/>
    <cellStyle name="40% - Accent2 10 3 2 5 2" xfId="42989" xr:uid="{4F31AD82-560B-47B7-9BAB-D73B7AD07F24}"/>
    <cellStyle name="40% - Accent2 10 3 2 6" xfId="27109" xr:uid="{F40BC93D-5A44-4552-BE54-9E2728CC9439}"/>
    <cellStyle name="40% - Accent2 10 3 2_Exh G" xfId="2808" xr:uid="{00000000-0005-0000-0000-000081310000}"/>
    <cellStyle name="40% - Accent2 10 3 3" xfId="4056" xr:uid="{00000000-0005-0000-0000-000082310000}"/>
    <cellStyle name="40% - Accent2 10 3 3 2" xfId="7648" xr:uid="{00000000-0005-0000-0000-000083310000}"/>
    <cellStyle name="40% - Accent2 10 3 3 2 2" xfId="15618" xr:uid="{00000000-0005-0000-0000-000084310000}"/>
    <cellStyle name="40% - Accent2 10 3 3 2 2 2" xfId="39460" xr:uid="{559BD692-2272-42A1-BD84-F53A868E976E}"/>
    <cellStyle name="40% - Accent2 10 3 3 2 3" xfId="23564" xr:uid="{00000000-0005-0000-0000-000085310000}"/>
    <cellStyle name="40% - Accent2 10 3 3 2 3 2" xfId="47396" xr:uid="{D1D629A1-0AFE-4822-8765-C7AD78E2BA17}"/>
    <cellStyle name="40% - Accent2 10 3 3 2 4" xfId="31519" xr:uid="{8D255CFE-363B-4E15-8E14-06364F339F6E}"/>
    <cellStyle name="40% - Accent2 10 3 3 3" xfId="12080" xr:uid="{00000000-0005-0000-0000-000086310000}"/>
    <cellStyle name="40% - Accent2 10 3 3 3 2" xfId="35929" xr:uid="{F8F93A72-C339-4407-AD1A-2C77C6534B60}"/>
    <cellStyle name="40% - Accent2 10 3 3 4" xfId="20035" xr:uid="{00000000-0005-0000-0000-000087310000}"/>
    <cellStyle name="40% - Accent2 10 3 3 4 2" xfId="43867" xr:uid="{27833A64-3F56-4DBA-ADB1-1FA055CEC978}"/>
    <cellStyle name="40% - Accent2 10 3 3 5" xfId="27988" xr:uid="{E821D183-8F96-460B-9180-113ABDD3308E}"/>
    <cellStyle name="40% - Accent2 10 3 4" xfId="5876" xr:uid="{00000000-0005-0000-0000-000088310000}"/>
    <cellStyle name="40% - Accent2 10 3 4 2" xfId="13859" xr:uid="{00000000-0005-0000-0000-000089310000}"/>
    <cellStyle name="40% - Accent2 10 3 4 2 2" xfId="37702" xr:uid="{7EB3D49E-FE2F-4FA3-A880-750CD49A3334}"/>
    <cellStyle name="40% - Accent2 10 3 4 3" xfId="21807" xr:uid="{00000000-0005-0000-0000-00008A310000}"/>
    <cellStyle name="40% - Accent2 10 3 4 3 2" xfId="45639" xr:uid="{FC1E19BD-AF67-491F-B04A-3A6F31441ADA}"/>
    <cellStyle name="40% - Accent2 10 3 4 4" xfId="29761" xr:uid="{8A318C04-F0DB-4FA7-83BF-EB6147DF4271}"/>
    <cellStyle name="40% - Accent2 10 3 5" xfId="9428" xr:uid="{00000000-0005-0000-0000-00008B310000}"/>
    <cellStyle name="40% - Accent2 10 3 5 2" xfId="17386" xr:uid="{00000000-0005-0000-0000-00008C310000}"/>
    <cellStyle name="40% - Accent2 10 3 5 2 2" xfId="41226" xr:uid="{95F846A2-B3E3-461B-A8A6-6F73475ACAF1}"/>
    <cellStyle name="40% - Accent2 10 3 5 3" xfId="25330" xr:uid="{00000000-0005-0000-0000-00008D310000}"/>
    <cellStyle name="40% - Accent2 10 3 5 3 2" xfId="49162" xr:uid="{977EF684-C3A5-4334-BA0F-0BC13DB5E3F0}"/>
    <cellStyle name="40% - Accent2 10 3 5 4" xfId="33285" xr:uid="{74543CDF-1AEC-40E8-B83B-AD1154EC3631}"/>
    <cellStyle name="40% - Accent2 10 3 6" xfId="10324" xr:uid="{00000000-0005-0000-0000-00008E310000}"/>
    <cellStyle name="40% - Accent2 10 3 6 2" xfId="34173" xr:uid="{CBA23BF3-A551-4AA5-880B-0AE4A6314946}"/>
    <cellStyle name="40% - Accent2 10 3 7" xfId="18279" xr:uid="{00000000-0005-0000-0000-00008F310000}"/>
    <cellStyle name="40% - Accent2 10 3 7 2" xfId="42111" xr:uid="{D0B9C5E5-2EBF-494A-9182-AF8EBBA25BD3}"/>
    <cellStyle name="40% - Accent2 10 3 8" xfId="26231" xr:uid="{DFACBAAE-49E0-417C-AC01-9167B934CC0D}"/>
    <cellStyle name="40% - Accent2 10 3_Exh G" xfId="2807" xr:uid="{00000000-0005-0000-0000-000090310000}"/>
    <cellStyle name="40% - Accent2 10 4" xfId="943" xr:uid="{00000000-0005-0000-0000-000091310000}"/>
    <cellStyle name="40% - Accent2 10 5" xfId="1405" xr:uid="{00000000-0005-0000-0000-000092310000}"/>
    <cellStyle name="40% - Accent2 10 5 2" xfId="4932" xr:uid="{00000000-0005-0000-0000-000093310000}"/>
    <cellStyle name="40% - Accent2 10 5 2 2" xfId="8523" xr:uid="{00000000-0005-0000-0000-000094310000}"/>
    <cellStyle name="40% - Accent2 10 5 2 2 2" xfId="16493" xr:uid="{00000000-0005-0000-0000-000095310000}"/>
    <cellStyle name="40% - Accent2 10 5 2 2 2 2" xfId="40335" xr:uid="{352DE82A-FBFC-496E-A111-B05ABCF0B945}"/>
    <cellStyle name="40% - Accent2 10 5 2 2 3" xfId="24439" xr:uid="{00000000-0005-0000-0000-000096310000}"/>
    <cellStyle name="40% - Accent2 10 5 2 2 3 2" xfId="48271" xr:uid="{9F2818E5-2C42-43AF-A178-3F55B1BB2C6C}"/>
    <cellStyle name="40% - Accent2 10 5 2 2 4" xfId="32394" xr:uid="{F41046BF-D3A9-4C62-A79A-824318C4AEF2}"/>
    <cellStyle name="40% - Accent2 10 5 2 3" xfId="12955" xr:uid="{00000000-0005-0000-0000-000097310000}"/>
    <cellStyle name="40% - Accent2 10 5 2 3 2" xfId="36804" xr:uid="{3777F400-AF31-42FC-A85F-8CB63823B5B7}"/>
    <cellStyle name="40% - Accent2 10 5 2 4" xfId="20910" xr:uid="{00000000-0005-0000-0000-000098310000}"/>
    <cellStyle name="40% - Accent2 10 5 2 4 2" xfId="44742" xr:uid="{6C8F7814-F420-477E-B6A3-4705CE0272FC}"/>
    <cellStyle name="40% - Accent2 10 5 2 5" xfId="28863" xr:uid="{4083307F-7461-4281-93C0-781CCA33AA84}"/>
    <cellStyle name="40% - Accent2 10 5 3" xfId="6764" xr:uid="{00000000-0005-0000-0000-000099310000}"/>
    <cellStyle name="40% - Accent2 10 5 3 2" xfId="14735" xr:uid="{00000000-0005-0000-0000-00009A310000}"/>
    <cellStyle name="40% - Accent2 10 5 3 2 2" xfId="38577" xr:uid="{3741C42D-55C3-4A89-9374-0424A886EEAA}"/>
    <cellStyle name="40% - Accent2 10 5 3 3" xfId="22682" xr:uid="{00000000-0005-0000-0000-00009B310000}"/>
    <cellStyle name="40% - Accent2 10 5 3 3 2" xfId="46514" xr:uid="{469D2C3E-77CA-484E-B7C1-CA2CCE5084EC}"/>
    <cellStyle name="40% - Accent2 10 5 3 4" xfId="30636" xr:uid="{9844BD06-7374-434A-B855-BA6676A868F9}"/>
    <cellStyle name="40% - Accent2 10 5 4" xfId="11199" xr:uid="{00000000-0005-0000-0000-00009C310000}"/>
    <cellStyle name="40% - Accent2 10 5 4 2" xfId="35048" xr:uid="{3D8B5BAC-B8D4-464E-8988-8C8688480B97}"/>
    <cellStyle name="40% - Accent2 10 5 5" xfId="19154" xr:uid="{00000000-0005-0000-0000-00009D310000}"/>
    <cellStyle name="40% - Accent2 10 5 5 2" xfId="42986" xr:uid="{D7C378E0-37E5-4996-8552-730D1337F87A}"/>
    <cellStyle name="40% - Accent2 10 5 6" xfId="27106" xr:uid="{767F17A6-8D33-4EA3-BAFC-4AF211314358}"/>
    <cellStyle name="40% - Accent2 10 5_Exh G" xfId="2809" xr:uid="{00000000-0005-0000-0000-00009E310000}"/>
    <cellStyle name="40% - Accent2 10 6" xfId="4053" xr:uid="{00000000-0005-0000-0000-00009F310000}"/>
    <cellStyle name="40% - Accent2 10 6 2" xfId="7645" xr:uid="{00000000-0005-0000-0000-0000A0310000}"/>
    <cellStyle name="40% - Accent2 10 6 2 2" xfId="15615" xr:uid="{00000000-0005-0000-0000-0000A1310000}"/>
    <cellStyle name="40% - Accent2 10 6 2 2 2" xfId="39457" xr:uid="{48DF5E7B-A8B5-48F7-A698-7A89F0FAE74F}"/>
    <cellStyle name="40% - Accent2 10 6 2 3" xfId="23561" xr:uid="{00000000-0005-0000-0000-0000A2310000}"/>
    <cellStyle name="40% - Accent2 10 6 2 3 2" xfId="47393" xr:uid="{2ACAD3B0-1826-4C47-97CC-565A4F3DED3F}"/>
    <cellStyle name="40% - Accent2 10 6 2 4" xfId="31516" xr:uid="{858721C8-AF63-4FE8-A636-600ED6AD0120}"/>
    <cellStyle name="40% - Accent2 10 6 3" xfId="12077" xr:uid="{00000000-0005-0000-0000-0000A3310000}"/>
    <cellStyle name="40% - Accent2 10 6 3 2" xfId="35926" xr:uid="{072FAEB5-1AB4-4A91-9B07-569651013465}"/>
    <cellStyle name="40% - Accent2 10 6 4" xfId="20032" xr:uid="{00000000-0005-0000-0000-0000A4310000}"/>
    <cellStyle name="40% - Accent2 10 6 4 2" xfId="43864" xr:uid="{62A75978-2D53-45C6-BF4C-16F28CAE4B3E}"/>
    <cellStyle name="40% - Accent2 10 6 5" xfId="27985" xr:uid="{02A7EF8A-974F-4CCA-9747-DAC7D4B6083F}"/>
    <cellStyle name="40% - Accent2 10 7" xfId="5873" xr:uid="{00000000-0005-0000-0000-0000A5310000}"/>
    <cellStyle name="40% - Accent2 10 7 2" xfId="13856" xr:uid="{00000000-0005-0000-0000-0000A6310000}"/>
    <cellStyle name="40% - Accent2 10 7 2 2" xfId="37699" xr:uid="{9330B93A-7DE4-45E5-909C-C68E3BAB8F18}"/>
    <cellStyle name="40% - Accent2 10 7 3" xfId="21804" xr:uid="{00000000-0005-0000-0000-0000A7310000}"/>
    <cellStyle name="40% - Accent2 10 7 3 2" xfId="45636" xr:uid="{7AEBBDFE-D415-4641-85C8-599802B89E99}"/>
    <cellStyle name="40% - Accent2 10 7 4" xfId="29758" xr:uid="{B7CAD412-DEB7-434C-B686-ADE61E605ED2}"/>
    <cellStyle name="40% - Accent2 10 8" xfId="9425" xr:uid="{00000000-0005-0000-0000-0000A8310000}"/>
    <cellStyle name="40% - Accent2 10 8 2" xfId="17383" xr:uid="{00000000-0005-0000-0000-0000A9310000}"/>
    <cellStyle name="40% - Accent2 10 8 2 2" xfId="41223" xr:uid="{DB7B518A-6300-4778-93B3-5E5C3158B781}"/>
    <cellStyle name="40% - Accent2 10 8 3" xfId="25327" xr:uid="{00000000-0005-0000-0000-0000AA310000}"/>
    <cellStyle name="40% - Accent2 10 8 3 2" xfId="49159" xr:uid="{E4E6574E-0D0E-4C2A-8C77-8626E29D3197}"/>
    <cellStyle name="40% - Accent2 10 8 4" xfId="33282" xr:uid="{A3EA0B45-4090-44F8-803F-AB1575D9D620}"/>
    <cellStyle name="40% - Accent2 10 9" xfId="10321" xr:uid="{00000000-0005-0000-0000-0000AB310000}"/>
    <cellStyle name="40% - Accent2 10 9 2" xfId="34170" xr:uid="{2CE6DBDA-11A4-430F-9937-89F38EBF64BB}"/>
    <cellStyle name="40% - Accent2 10_Exh G" xfId="2802" xr:uid="{00000000-0005-0000-0000-0000AC310000}"/>
    <cellStyle name="40% - Accent2 11" xfId="383" xr:uid="{00000000-0005-0000-0000-0000AD310000}"/>
    <cellStyle name="40% - Accent2 11 10" xfId="26232" xr:uid="{16E2BEE0-1061-4A81-92A6-F90EAB348A5E}"/>
    <cellStyle name="40% - Accent2 11 2" xfId="384" xr:uid="{00000000-0005-0000-0000-0000AE310000}"/>
    <cellStyle name="40% - Accent2 11 2 2" xfId="385" xr:uid="{00000000-0005-0000-0000-0000AF310000}"/>
    <cellStyle name="40% - Accent2 11 2 2 2" xfId="1411" xr:uid="{00000000-0005-0000-0000-0000B0310000}"/>
    <cellStyle name="40% - Accent2 11 2 2 2 2" xfId="4938" xr:uid="{00000000-0005-0000-0000-0000B1310000}"/>
    <cellStyle name="40% - Accent2 11 2 2 2 2 2" xfId="8529" xr:uid="{00000000-0005-0000-0000-0000B2310000}"/>
    <cellStyle name="40% - Accent2 11 2 2 2 2 2 2" xfId="16499" xr:uid="{00000000-0005-0000-0000-0000B3310000}"/>
    <cellStyle name="40% - Accent2 11 2 2 2 2 2 2 2" xfId="40341" xr:uid="{9802817C-64DD-4D44-B2AC-5CD2AF93EFF7}"/>
    <cellStyle name="40% - Accent2 11 2 2 2 2 2 3" xfId="24445" xr:uid="{00000000-0005-0000-0000-0000B4310000}"/>
    <cellStyle name="40% - Accent2 11 2 2 2 2 2 3 2" xfId="48277" xr:uid="{097C8A67-5077-46A4-91B7-DC78BBDB75B6}"/>
    <cellStyle name="40% - Accent2 11 2 2 2 2 2 4" xfId="32400" xr:uid="{40B8ECD9-D16E-4475-A277-C4EA17045FA6}"/>
    <cellStyle name="40% - Accent2 11 2 2 2 2 3" xfId="12961" xr:uid="{00000000-0005-0000-0000-0000B5310000}"/>
    <cellStyle name="40% - Accent2 11 2 2 2 2 3 2" xfId="36810" xr:uid="{B758E30E-5006-49F8-8010-84FAA551D651}"/>
    <cellStyle name="40% - Accent2 11 2 2 2 2 4" xfId="20916" xr:uid="{00000000-0005-0000-0000-0000B6310000}"/>
    <cellStyle name="40% - Accent2 11 2 2 2 2 4 2" xfId="44748" xr:uid="{99E1D6CA-CFCA-4D37-BD6C-540B3FD4B939}"/>
    <cellStyle name="40% - Accent2 11 2 2 2 2 5" xfId="28869" xr:uid="{F1CA7C07-032F-415A-B1B0-A7A6825B8D17}"/>
    <cellStyle name="40% - Accent2 11 2 2 2 3" xfId="6770" xr:uid="{00000000-0005-0000-0000-0000B7310000}"/>
    <cellStyle name="40% - Accent2 11 2 2 2 3 2" xfId="14741" xr:uid="{00000000-0005-0000-0000-0000B8310000}"/>
    <cellStyle name="40% - Accent2 11 2 2 2 3 2 2" xfId="38583" xr:uid="{1DB30A6B-7064-427F-89D9-CFE4A6117B82}"/>
    <cellStyle name="40% - Accent2 11 2 2 2 3 3" xfId="22688" xr:uid="{00000000-0005-0000-0000-0000B9310000}"/>
    <cellStyle name="40% - Accent2 11 2 2 2 3 3 2" xfId="46520" xr:uid="{843745F1-4E49-4061-A8EC-CCF894972F41}"/>
    <cellStyle name="40% - Accent2 11 2 2 2 3 4" xfId="30642" xr:uid="{9C50C980-5694-4DA0-9310-39E669436D6F}"/>
    <cellStyle name="40% - Accent2 11 2 2 2 4" xfId="11205" xr:uid="{00000000-0005-0000-0000-0000BA310000}"/>
    <cellStyle name="40% - Accent2 11 2 2 2 4 2" xfId="35054" xr:uid="{F86C7F67-0529-49F1-B7D0-A2D088008111}"/>
    <cellStyle name="40% - Accent2 11 2 2 2 5" xfId="19160" xr:uid="{00000000-0005-0000-0000-0000BB310000}"/>
    <cellStyle name="40% - Accent2 11 2 2 2 5 2" xfId="42992" xr:uid="{3467256D-6072-41D2-9737-01B655A9B8AE}"/>
    <cellStyle name="40% - Accent2 11 2 2 2 6" xfId="27112" xr:uid="{C02A2FD8-3CAB-4A03-BEEC-9F0E2938FA4F}"/>
    <cellStyle name="40% - Accent2 11 2 2 2_Exh G" xfId="2813" xr:uid="{00000000-0005-0000-0000-0000BC310000}"/>
    <cellStyle name="40% - Accent2 11 2 2 3" xfId="4059" xr:uid="{00000000-0005-0000-0000-0000BD310000}"/>
    <cellStyle name="40% - Accent2 11 2 2 3 2" xfId="7651" xr:uid="{00000000-0005-0000-0000-0000BE310000}"/>
    <cellStyle name="40% - Accent2 11 2 2 3 2 2" xfId="15621" xr:uid="{00000000-0005-0000-0000-0000BF310000}"/>
    <cellStyle name="40% - Accent2 11 2 2 3 2 2 2" xfId="39463" xr:uid="{E363F9FB-B1C0-434D-B1BC-7DD38BFA2FBE}"/>
    <cellStyle name="40% - Accent2 11 2 2 3 2 3" xfId="23567" xr:uid="{00000000-0005-0000-0000-0000C0310000}"/>
    <cellStyle name="40% - Accent2 11 2 2 3 2 3 2" xfId="47399" xr:uid="{00C06BC2-F64F-4FF1-9108-27426AADBC3F}"/>
    <cellStyle name="40% - Accent2 11 2 2 3 2 4" xfId="31522" xr:uid="{328B9C1C-A52D-4224-845D-F727E272E076}"/>
    <cellStyle name="40% - Accent2 11 2 2 3 3" xfId="12083" xr:uid="{00000000-0005-0000-0000-0000C1310000}"/>
    <cellStyle name="40% - Accent2 11 2 2 3 3 2" xfId="35932" xr:uid="{C40C90EA-8565-4A3E-AABA-EC792817606B}"/>
    <cellStyle name="40% - Accent2 11 2 2 3 4" xfId="20038" xr:uid="{00000000-0005-0000-0000-0000C2310000}"/>
    <cellStyle name="40% - Accent2 11 2 2 3 4 2" xfId="43870" xr:uid="{4ADBD945-DEE7-4C2D-96DB-8B03E1D48771}"/>
    <cellStyle name="40% - Accent2 11 2 2 3 5" xfId="27991" xr:uid="{A2BBAD42-124C-4E19-8616-7FDC119E0E2B}"/>
    <cellStyle name="40% - Accent2 11 2 2 4" xfId="5879" xr:uid="{00000000-0005-0000-0000-0000C3310000}"/>
    <cellStyle name="40% - Accent2 11 2 2 4 2" xfId="13862" xr:uid="{00000000-0005-0000-0000-0000C4310000}"/>
    <cellStyle name="40% - Accent2 11 2 2 4 2 2" xfId="37705" xr:uid="{3065D7AA-0273-4779-838A-E25205DD1936}"/>
    <cellStyle name="40% - Accent2 11 2 2 4 3" xfId="21810" xr:uid="{00000000-0005-0000-0000-0000C5310000}"/>
    <cellStyle name="40% - Accent2 11 2 2 4 3 2" xfId="45642" xr:uid="{DCAF9348-8F27-477D-9F1E-560679E6B8FF}"/>
    <cellStyle name="40% - Accent2 11 2 2 4 4" xfId="29764" xr:uid="{13787FF9-AC58-4666-9E49-D5DA23622E8C}"/>
    <cellStyle name="40% - Accent2 11 2 2 5" xfId="9431" xr:uid="{00000000-0005-0000-0000-0000C6310000}"/>
    <cellStyle name="40% - Accent2 11 2 2 5 2" xfId="17389" xr:uid="{00000000-0005-0000-0000-0000C7310000}"/>
    <cellStyle name="40% - Accent2 11 2 2 5 2 2" xfId="41229" xr:uid="{0C2042EB-A0EA-4141-A1B3-8A12C150CD66}"/>
    <cellStyle name="40% - Accent2 11 2 2 5 3" xfId="25333" xr:uid="{00000000-0005-0000-0000-0000C8310000}"/>
    <cellStyle name="40% - Accent2 11 2 2 5 3 2" xfId="49165" xr:uid="{D9DA5F06-49F5-40C3-A74F-CA203D58BBC9}"/>
    <cellStyle name="40% - Accent2 11 2 2 5 4" xfId="33288" xr:uid="{6B36A17D-1A3B-4C0B-AF8F-0549FFEB2211}"/>
    <cellStyle name="40% - Accent2 11 2 2 6" xfId="10327" xr:uid="{00000000-0005-0000-0000-0000C9310000}"/>
    <cellStyle name="40% - Accent2 11 2 2 6 2" xfId="34176" xr:uid="{DAA7AD96-CEAD-4D83-A283-2393BE360D8D}"/>
    <cellStyle name="40% - Accent2 11 2 2 7" xfId="18282" xr:uid="{00000000-0005-0000-0000-0000CA310000}"/>
    <cellStyle name="40% - Accent2 11 2 2 7 2" xfId="42114" xr:uid="{CDA1E0BC-B53F-4E3A-B3E3-AA1A0CC2B5E1}"/>
    <cellStyle name="40% - Accent2 11 2 2 8" xfId="26234" xr:uid="{6FA2FC99-042A-475F-AD9B-633227B39A5D}"/>
    <cellStyle name="40% - Accent2 11 2 2_Exh G" xfId="2812" xr:uid="{00000000-0005-0000-0000-0000CB310000}"/>
    <cellStyle name="40% - Accent2 11 2 3" xfId="1410" xr:uid="{00000000-0005-0000-0000-0000CC310000}"/>
    <cellStyle name="40% - Accent2 11 2 3 2" xfId="4937" xr:uid="{00000000-0005-0000-0000-0000CD310000}"/>
    <cellStyle name="40% - Accent2 11 2 3 2 2" xfId="8528" xr:uid="{00000000-0005-0000-0000-0000CE310000}"/>
    <cellStyle name="40% - Accent2 11 2 3 2 2 2" xfId="16498" xr:uid="{00000000-0005-0000-0000-0000CF310000}"/>
    <cellStyle name="40% - Accent2 11 2 3 2 2 2 2" xfId="40340" xr:uid="{CB6D1DF2-BC38-4DCA-83EE-34615E129B11}"/>
    <cellStyle name="40% - Accent2 11 2 3 2 2 3" xfId="24444" xr:uid="{00000000-0005-0000-0000-0000D0310000}"/>
    <cellStyle name="40% - Accent2 11 2 3 2 2 3 2" xfId="48276" xr:uid="{F669FB85-B767-49DA-8BC4-E68BC1B1C16E}"/>
    <cellStyle name="40% - Accent2 11 2 3 2 2 4" xfId="32399" xr:uid="{EE1B7800-901E-421D-926B-2D68F92E67F3}"/>
    <cellStyle name="40% - Accent2 11 2 3 2 3" xfId="12960" xr:uid="{00000000-0005-0000-0000-0000D1310000}"/>
    <cellStyle name="40% - Accent2 11 2 3 2 3 2" xfId="36809" xr:uid="{16A27FCB-A3B7-4251-B0F7-850F3C42D1AA}"/>
    <cellStyle name="40% - Accent2 11 2 3 2 4" xfId="20915" xr:uid="{00000000-0005-0000-0000-0000D2310000}"/>
    <cellStyle name="40% - Accent2 11 2 3 2 4 2" xfId="44747" xr:uid="{F946BC50-7B25-4166-A655-EF03A45F51EF}"/>
    <cellStyle name="40% - Accent2 11 2 3 2 5" xfId="28868" xr:uid="{2D515C5A-DD1F-432E-B06B-2E700E71A4FE}"/>
    <cellStyle name="40% - Accent2 11 2 3 3" xfId="6769" xr:uid="{00000000-0005-0000-0000-0000D3310000}"/>
    <cellStyle name="40% - Accent2 11 2 3 3 2" xfId="14740" xr:uid="{00000000-0005-0000-0000-0000D4310000}"/>
    <cellStyle name="40% - Accent2 11 2 3 3 2 2" xfId="38582" xr:uid="{DDD0BA77-E3BE-42B3-9218-E5750FF303B9}"/>
    <cellStyle name="40% - Accent2 11 2 3 3 3" xfId="22687" xr:uid="{00000000-0005-0000-0000-0000D5310000}"/>
    <cellStyle name="40% - Accent2 11 2 3 3 3 2" xfId="46519" xr:uid="{E039901B-AA53-4CD8-BA7B-68763F3AA1A0}"/>
    <cellStyle name="40% - Accent2 11 2 3 3 4" xfId="30641" xr:uid="{3073875A-110D-4AB0-BB3C-40AE791E146E}"/>
    <cellStyle name="40% - Accent2 11 2 3 4" xfId="11204" xr:uid="{00000000-0005-0000-0000-0000D6310000}"/>
    <cellStyle name="40% - Accent2 11 2 3 4 2" xfId="35053" xr:uid="{30C55099-096C-4DCF-BBDE-7A97133D256D}"/>
    <cellStyle name="40% - Accent2 11 2 3 5" xfId="19159" xr:uid="{00000000-0005-0000-0000-0000D7310000}"/>
    <cellStyle name="40% - Accent2 11 2 3 5 2" xfId="42991" xr:uid="{A18107D8-D576-418F-9D04-0781DED80310}"/>
    <cellStyle name="40% - Accent2 11 2 3 6" xfId="27111" xr:uid="{F843BB27-CE9C-4D16-A853-655513B7597B}"/>
    <cellStyle name="40% - Accent2 11 2 3_Exh G" xfId="2814" xr:uid="{00000000-0005-0000-0000-0000D8310000}"/>
    <cellStyle name="40% - Accent2 11 2 4" xfId="4058" xr:uid="{00000000-0005-0000-0000-0000D9310000}"/>
    <cellStyle name="40% - Accent2 11 2 4 2" xfId="7650" xr:uid="{00000000-0005-0000-0000-0000DA310000}"/>
    <cellStyle name="40% - Accent2 11 2 4 2 2" xfId="15620" xr:uid="{00000000-0005-0000-0000-0000DB310000}"/>
    <cellStyle name="40% - Accent2 11 2 4 2 2 2" xfId="39462" xr:uid="{E2F8B5A3-CF11-433D-95E1-55D0DE3EB61A}"/>
    <cellStyle name="40% - Accent2 11 2 4 2 3" xfId="23566" xr:uid="{00000000-0005-0000-0000-0000DC310000}"/>
    <cellStyle name="40% - Accent2 11 2 4 2 3 2" xfId="47398" xr:uid="{76E415C5-28E9-40C1-AF1A-953715516F22}"/>
    <cellStyle name="40% - Accent2 11 2 4 2 4" xfId="31521" xr:uid="{5A36C1F0-C1FD-4AE0-9766-B966666A7457}"/>
    <cellStyle name="40% - Accent2 11 2 4 3" xfId="12082" xr:uid="{00000000-0005-0000-0000-0000DD310000}"/>
    <cellStyle name="40% - Accent2 11 2 4 3 2" xfId="35931" xr:uid="{96BCEF71-A485-4C04-8BF4-F9352B1305EF}"/>
    <cellStyle name="40% - Accent2 11 2 4 4" xfId="20037" xr:uid="{00000000-0005-0000-0000-0000DE310000}"/>
    <cellStyle name="40% - Accent2 11 2 4 4 2" xfId="43869" xr:uid="{0390E031-4014-435D-A67E-54F0754CB072}"/>
    <cellStyle name="40% - Accent2 11 2 4 5" xfId="27990" xr:uid="{7BBE5554-E78C-4988-A309-0A42C4C8001A}"/>
    <cellStyle name="40% - Accent2 11 2 5" xfId="5878" xr:uid="{00000000-0005-0000-0000-0000DF310000}"/>
    <cellStyle name="40% - Accent2 11 2 5 2" xfId="13861" xr:uid="{00000000-0005-0000-0000-0000E0310000}"/>
    <cellStyle name="40% - Accent2 11 2 5 2 2" xfId="37704" xr:uid="{347004D6-B8A6-4F0F-9AEB-EE1936637C16}"/>
    <cellStyle name="40% - Accent2 11 2 5 3" xfId="21809" xr:uid="{00000000-0005-0000-0000-0000E1310000}"/>
    <cellStyle name="40% - Accent2 11 2 5 3 2" xfId="45641" xr:uid="{75C0C64C-B4B7-4C57-9C31-3CAC3A6D4421}"/>
    <cellStyle name="40% - Accent2 11 2 5 4" xfId="29763" xr:uid="{FE4303C3-81CE-407B-ACB8-341DC0A3572D}"/>
    <cellStyle name="40% - Accent2 11 2 6" xfId="9430" xr:uid="{00000000-0005-0000-0000-0000E2310000}"/>
    <cellStyle name="40% - Accent2 11 2 6 2" xfId="17388" xr:uid="{00000000-0005-0000-0000-0000E3310000}"/>
    <cellStyle name="40% - Accent2 11 2 6 2 2" xfId="41228" xr:uid="{175E76D9-1EB3-4596-BD46-CB8DEDF16BD1}"/>
    <cellStyle name="40% - Accent2 11 2 6 3" xfId="25332" xr:uid="{00000000-0005-0000-0000-0000E4310000}"/>
    <cellStyle name="40% - Accent2 11 2 6 3 2" xfId="49164" xr:uid="{553A28CD-A0C2-4635-840F-881B9A6CE529}"/>
    <cellStyle name="40% - Accent2 11 2 6 4" xfId="33287" xr:uid="{E05EC1DC-F195-4C0A-BC4F-DF9F9A50D41D}"/>
    <cellStyle name="40% - Accent2 11 2 7" xfId="10326" xr:uid="{00000000-0005-0000-0000-0000E5310000}"/>
    <cellStyle name="40% - Accent2 11 2 7 2" xfId="34175" xr:uid="{FABB62EA-3755-4E62-9F95-0FE83DCF2E3B}"/>
    <cellStyle name="40% - Accent2 11 2 8" xfId="18281" xr:uid="{00000000-0005-0000-0000-0000E6310000}"/>
    <cellStyle name="40% - Accent2 11 2 8 2" xfId="42113" xr:uid="{CF42698B-CB61-412F-9B02-B63B5F6A0F3B}"/>
    <cellStyle name="40% - Accent2 11 2 9" xfId="26233" xr:uid="{D059AACE-477F-4F99-AB77-1B43ECE873EF}"/>
    <cellStyle name="40% - Accent2 11 2_Exh G" xfId="2811" xr:uid="{00000000-0005-0000-0000-0000E7310000}"/>
    <cellStyle name="40% - Accent2 11 3" xfId="386" xr:uid="{00000000-0005-0000-0000-0000E8310000}"/>
    <cellStyle name="40% - Accent2 11 3 2" xfId="1412" xr:uid="{00000000-0005-0000-0000-0000E9310000}"/>
    <cellStyle name="40% - Accent2 11 3 2 2" xfId="4939" xr:uid="{00000000-0005-0000-0000-0000EA310000}"/>
    <cellStyle name="40% - Accent2 11 3 2 2 2" xfId="8530" xr:uid="{00000000-0005-0000-0000-0000EB310000}"/>
    <cellStyle name="40% - Accent2 11 3 2 2 2 2" xfId="16500" xr:uid="{00000000-0005-0000-0000-0000EC310000}"/>
    <cellStyle name="40% - Accent2 11 3 2 2 2 2 2" xfId="40342" xr:uid="{581E8C7C-19D6-4FE4-9E16-400A40B3C1BA}"/>
    <cellStyle name="40% - Accent2 11 3 2 2 2 3" xfId="24446" xr:uid="{00000000-0005-0000-0000-0000ED310000}"/>
    <cellStyle name="40% - Accent2 11 3 2 2 2 3 2" xfId="48278" xr:uid="{B5D0842B-EDF2-4766-84A7-96F192B42745}"/>
    <cellStyle name="40% - Accent2 11 3 2 2 2 4" xfId="32401" xr:uid="{5E72FDDD-C8BC-434B-9811-40AF93F4F06D}"/>
    <cellStyle name="40% - Accent2 11 3 2 2 3" xfId="12962" xr:uid="{00000000-0005-0000-0000-0000EE310000}"/>
    <cellStyle name="40% - Accent2 11 3 2 2 3 2" xfId="36811" xr:uid="{C3CD1716-D1E5-4723-A6F6-3BE52AC8B35C}"/>
    <cellStyle name="40% - Accent2 11 3 2 2 4" xfId="20917" xr:uid="{00000000-0005-0000-0000-0000EF310000}"/>
    <cellStyle name="40% - Accent2 11 3 2 2 4 2" xfId="44749" xr:uid="{1D62B50C-E3AF-463B-A39F-7210EC3556C1}"/>
    <cellStyle name="40% - Accent2 11 3 2 2 5" xfId="28870" xr:uid="{0F64E554-3EE1-448F-9364-9434FF4E5F0C}"/>
    <cellStyle name="40% - Accent2 11 3 2 3" xfId="6771" xr:uid="{00000000-0005-0000-0000-0000F0310000}"/>
    <cellStyle name="40% - Accent2 11 3 2 3 2" xfId="14742" xr:uid="{00000000-0005-0000-0000-0000F1310000}"/>
    <cellStyle name="40% - Accent2 11 3 2 3 2 2" xfId="38584" xr:uid="{87E9B55B-F6E4-454F-B49E-A6F7D33CA0C6}"/>
    <cellStyle name="40% - Accent2 11 3 2 3 3" xfId="22689" xr:uid="{00000000-0005-0000-0000-0000F2310000}"/>
    <cellStyle name="40% - Accent2 11 3 2 3 3 2" xfId="46521" xr:uid="{C0876B93-E1D4-4348-9316-EA47A7CF97E3}"/>
    <cellStyle name="40% - Accent2 11 3 2 3 4" xfId="30643" xr:uid="{37703C80-9EF8-407F-AA46-CFCC390CA8BD}"/>
    <cellStyle name="40% - Accent2 11 3 2 4" xfId="11206" xr:uid="{00000000-0005-0000-0000-0000F3310000}"/>
    <cellStyle name="40% - Accent2 11 3 2 4 2" xfId="35055" xr:uid="{2878D6DF-933F-4E1B-821C-B564E604487F}"/>
    <cellStyle name="40% - Accent2 11 3 2 5" xfId="19161" xr:uid="{00000000-0005-0000-0000-0000F4310000}"/>
    <cellStyle name="40% - Accent2 11 3 2 5 2" xfId="42993" xr:uid="{56B86E12-39D8-499E-98FC-929BDC5EC6EB}"/>
    <cellStyle name="40% - Accent2 11 3 2 6" xfId="27113" xr:uid="{AEAE8AAB-3C1F-405F-9B59-9CAB3A25D288}"/>
    <cellStyle name="40% - Accent2 11 3 2_Exh G" xfId="2816" xr:uid="{00000000-0005-0000-0000-0000F5310000}"/>
    <cellStyle name="40% - Accent2 11 3 3" xfId="4060" xr:uid="{00000000-0005-0000-0000-0000F6310000}"/>
    <cellStyle name="40% - Accent2 11 3 3 2" xfId="7652" xr:uid="{00000000-0005-0000-0000-0000F7310000}"/>
    <cellStyle name="40% - Accent2 11 3 3 2 2" xfId="15622" xr:uid="{00000000-0005-0000-0000-0000F8310000}"/>
    <cellStyle name="40% - Accent2 11 3 3 2 2 2" xfId="39464" xr:uid="{92214C04-9431-4393-A8E0-7BD1EF7D8DF2}"/>
    <cellStyle name="40% - Accent2 11 3 3 2 3" xfId="23568" xr:uid="{00000000-0005-0000-0000-0000F9310000}"/>
    <cellStyle name="40% - Accent2 11 3 3 2 3 2" xfId="47400" xr:uid="{4AF1B704-65A2-476D-BA9B-5022D5FA17CD}"/>
    <cellStyle name="40% - Accent2 11 3 3 2 4" xfId="31523" xr:uid="{A705D0B8-8DE1-47A9-935A-906F8A2072FA}"/>
    <cellStyle name="40% - Accent2 11 3 3 3" xfId="12084" xr:uid="{00000000-0005-0000-0000-0000FA310000}"/>
    <cellStyle name="40% - Accent2 11 3 3 3 2" xfId="35933" xr:uid="{C625CC45-63D1-4F8A-9DBC-B9EDADBA2CEB}"/>
    <cellStyle name="40% - Accent2 11 3 3 4" xfId="20039" xr:uid="{00000000-0005-0000-0000-0000FB310000}"/>
    <cellStyle name="40% - Accent2 11 3 3 4 2" xfId="43871" xr:uid="{DC0D312E-3ACE-4B49-95B4-F896AD1917E2}"/>
    <cellStyle name="40% - Accent2 11 3 3 5" xfId="27992" xr:uid="{C50E5219-9C68-4E75-86FF-B2AE9D29B4F2}"/>
    <cellStyle name="40% - Accent2 11 3 4" xfId="5880" xr:uid="{00000000-0005-0000-0000-0000FC310000}"/>
    <cellStyle name="40% - Accent2 11 3 4 2" xfId="13863" xr:uid="{00000000-0005-0000-0000-0000FD310000}"/>
    <cellStyle name="40% - Accent2 11 3 4 2 2" xfId="37706" xr:uid="{21487056-E182-4365-818A-091B2A3ACA99}"/>
    <cellStyle name="40% - Accent2 11 3 4 3" xfId="21811" xr:uid="{00000000-0005-0000-0000-0000FE310000}"/>
    <cellStyle name="40% - Accent2 11 3 4 3 2" xfId="45643" xr:uid="{AE6EE265-58DE-411C-8F1D-CCA2FA1AF7CE}"/>
    <cellStyle name="40% - Accent2 11 3 4 4" xfId="29765" xr:uid="{429AA3F0-72B5-4171-A950-16E1B1CA9DA1}"/>
    <cellStyle name="40% - Accent2 11 3 5" xfId="9432" xr:uid="{00000000-0005-0000-0000-0000FF310000}"/>
    <cellStyle name="40% - Accent2 11 3 5 2" xfId="17390" xr:uid="{00000000-0005-0000-0000-000000320000}"/>
    <cellStyle name="40% - Accent2 11 3 5 2 2" xfId="41230" xr:uid="{8771FE24-BD6E-4ECB-B3C9-86F8A41A051B}"/>
    <cellStyle name="40% - Accent2 11 3 5 3" xfId="25334" xr:uid="{00000000-0005-0000-0000-000001320000}"/>
    <cellStyle name="40% - Accent2 11 3 5 3 2" xfId="49166" xr:uid="{2DACDB6C-029F-4A3D-A655-AFD5BAD2364B}"/>
    <cellStyle name="40% - Accent2 11 3 5 4" xfId="33289" xr:uid="{FFE95CA2-482C-495C-851D-32E58BC5B6C7}"/>
    <cellStyle name="40% - Accent2 11 3 6" xfId="10328" xr:uid="{00000000-0005-0000-0000-000002320000}"/>
    <cellStyle name="40% - Accent2 11 3 6 2" xfId="34177" xr:uid="{A6DF0347-6B3A-44AE-B08C-3970F34EAF77}"/>
    <cellStyle name="40% - Accent2 11 3 7" xfId="18283" xr:uid="{00000000-0005-0000-0000-000003320000}"/>
    <cellStyle name="40% - Accent2 11 3 7 2" xfId="42115" xr:uid="{22622000-6276-455B-ACCD-38559E0452A7}"/>
    <cellStyle name="40% - Accent2 11 3 8" xfId="26235" xr:uid="{4CE5457A-EA56-4E7D-A9ED-37A514086922}"/>
    <cellStyle name="40% - Accent2 11 3_Exh G" xfId="2815" xr:uid="{00000000-0005-0000-0000-000004320000}"/>
    <cellStyle name="40% - Accent2 11 4" xfId="1409" xr:uid="{00000000-0005-0000-0000-000005320000}"/>
    <cellStyle name="40% - Accent2 11 4 2" xfId="4936" xr:uid="{00000000-0005-0000-0000-000006320000}"/>
    <cellStyle name="40% - Accent2 11 4 2 2" xfId="8527" xr:uid="{00000000-0005-0000-0000-000007320000}"/>
    <cellStyle name="40% - Accent2 11 4 2 2 2" xfId="16497" xr:uid="{00000000-0005-0000-0000-000008320000}"/>
    <cellStyle name="40% - Accent2 11 4 2 2 2 2" xfId="40339" xr:uid="{DEEC9DB5-F939-478A-8957-23DB349DC756}"/>
    <cellStyle name="40% - Accent2 11 4 2 2 3" xfId="24443" xr:uid="{00000000-0005-0000-0000-000009320000}"/>
    <cellStyle name="40% - Accent2 11 4 2 2 3 2" xfId="48275" xr:uid="{51625CC5-AD3D-47FB-95CB-6072890DD76C}"/>
    <cellStyle name="40% - Accent2 11 4 2 2 4" xfId="32398" xr:uid="{253832A2-0987-4392-9E6B-B6CC7E6A1DF2}"/>
    <cellStyle name="40% - Accent2 11 4 2 3" xfId="12959" xr:uid="{00000000-0005-0000-0000-00000A320000}"/>
    <cellStyle name="40% - Accent2 11 4 2 3 2" xfId="36808" xr:uid="{5398EFE0-99BE-4F2F-BDD6-3B9E11A46669}"/>
    <cellStyle name="40% - Accent2 11 4 2 4" xfId="20914" xr:uid="{00000000-0005-0000-0000-00000B320000}"/>
    <cellStyle name="40% - Accent2 11 4 2 4 2" xfId="44746" xr:uid="{9E04119F-84C5-422B-A4AC-D7FE8E905BAC}"/>
    <cellStyle name="40% - Accent2 11 4 2 5" xfId="28867" xr:uid="{05097386-B3A8-4296-A51C-A75651CFEE4D}"/>
    <cellStyle name="40% - Accent2 11 4 3" xfId="6768" xr:uid="{00000000-0005-0000-0000-00000C320000}"/>
    <cellStyle name="40% - Accent2 11 4 3 2" xfId="14739" xr:uid="{00000000-0005-0000-0000-00000D320000}"/>
    <cellStyle name="40% - Accent2 11 4 3 2 2" xfId="38581" xr:uid="{19C665C5-2EB1-4C95-97FA-826528DD120D}"/>
    <cellStyle name="40% - Accent2 11 4 3 3" xfId="22686" xr:uid="{00000000-0005-0000-0000-00000E320000}"/>
    <cellStyle name="40% - Accent2 11 4 3 3 2" xfId="46518" xr:uid="{2793263B-2C13-40FD-B30B-A8561E1FE23E}"/>
    <cellStyle name="40% - Accent2 11 4 3 4" xfId="30640" xr:uid="{B671B8B5-F7CF-4BD2-A1DC-8FDCCAA0287C}"/>
    <cellStyle name="40% - Accent2 11 4 4" xfId="11203" xr:uid="{00000000-0005-0000-0000-00000F320000}"/>
    <cellStyle name="40% - Accent2 11 4 4 2" xfId="35052" xr:uid="{FEF506D0-1697-4E8C-B49F-05ABCB82C6E4}"/>
    <cellStyle name="40% - Accent2 11 4 5" xfId="19158" xr:uid="{00000000-0005-0000-0000-000010320000}"/>
    <cellStyle name="40% - Accent2 11 4 5 2" xfId="42990" xr:uid="{EB8B5CBD-307D-415F-8C17-782D3BE57C86}"/>
    <cellStyle name="40% - Accent2 11 4 6" xfId="27110" xr:uid="{9BFAC685-C16E-49ED-86C4-629634EA9128}"/>
    <cellStyle name="40% - Accent2 11 4_Exh G" xfId="2817" xr:uid="{00000000-0005-0000-0000-000011320000}"/>
    <cellStyle name="40% - Accent2 11 5" xfId="4057" xr:uid="{00000000-0005-0000-0000-000012320000}"/>
    <cellStyle name="40% - Accent2 11 5 2" xfId="7649" xr:uid="{00000000-0005-0000-0000-000013320000}"/>
    <cellStyle name="40% - Accent2 11 5 2 2" xfId="15619" xr:uid="{00000000-0005-0000-0000-000014320000}"/>
    <cellStyle name="40% - Accent2 11 5 2 2 2" xfId="39461" xr:uid="{D628ABA2-7C45-4CD3-AED9-70449093DB8B}"/>
    <cellStyle name="40% - Accent2 11 5 2 3" xfId="23565" xr:uid="{00000000-0005-0000-0000-000015320000}"/>
    <cellStyle name="40% - Accent2 11 5 2 3 2" xfId="47397" xr:uid="{00AAB044-2272-40C9-9C64-A4CB79CC4D48}"/>
    <cellStyle name="40% - Accent2 11 5 2 4" xfId="31520" xr:uid="{39F8B2F2-A663-44B3-AE13-3AC6083CD41A}"/>
    <cellStyle name="40% - Accent2 11 5 3" xfId="12081" xr:uid="{00000000-0005-0000-0000-000016320000}"/>
    <cellStyle name="40% - Accent2 11 5 3 2" xfId="35930" xr:uid="{F3B57E7A-1CF0-4503-9B6E-388046DB68C1}"/>
    <cellStyle name="40% - Accent2 11 5 4" xfId="20036" xr:uid="{00000000-0005-0000-0000-000017320000}"/>
    <cellStyle name="40% - Accent2 11 5 4 2" xfId="43868" xr:uid="{3329C012-FE7F-4D82-B920-69DF76DA3087}"/>
    <cellStyle name="40% - Accent2 11 5 5" xfId="27989" xr:uid="{6CDCA418-C8BB-4E70-990B-E72BAD0718CF}"/>
    <cellStyle name="40% - Accent2 11 6" xfId="5877" xr:uid="{00000000-0005-0000-0000-000018320000}"/>
    <cellStyle name="40% - Accent2 11 6 2" xfId="13860" xr:uid="{00000000-0005-0000-0000-000019320000}"/>
    <cellStyle name="40% - Accent2 11 6 2 2" xfId="37703" xr:uid="{7357822F-EAAF-4F5A-BC3B-291E3719734C}"/>
    <cellStyle name="40% - Accent2 11 6 3" xfId="21808" xr:uid="{00000000-0005-0000-0000-00001A320000}"/>
    <cellStyle name="40% - Accent2 11 6 3 2" xfId="45640" xr:uid="{67DF308E-3358-4878-A909-3EBEECC3FECF}"/>
    <cellStyle name="40% - Accent2 11 6 4" xfId="29762" xr:uid="{B255CC2D-234B-42DE-A248-1B5DE184B6E8}"/>
    <cellStyle name="40% - Accent2 11 7" xfId="9429" xr:uid="{00000000-0005-0000-0000-00001B320000}"/>
    <cellStyle name="40% - Accent2 11 7 2" xfId="17387" xr:uid="{00000000-0005-0000-0000-00001C320000}"/>
    <cellStyle name="40% - Accent2 11 7 2 2" xfId="41227" xr:uid="{5281715B-4E1E-40BF-9A5C-F0E7650DBD1C}"/>
    <cellStyle name="40% - Accent2 11 7 3" xfId="25331" xr:uid="{00000000-0005-0000-0000-00001D320000}"/>
    <cellStyle name="40% - Accent2 11 7 3 2" xfId="49163" xr:uid="{4193EF48-9ED1-46BF-A4AF-33D3BC374CDB}"/>
    <cellStyle name="40% - Accent2 11 7 4" xfId="33286" xr:uid="{C3629C03-9134-4DF2-B586-F225AEA70D1B}"/>
    <cellStyle name="40% - Accent2 11 8" xfId="10325" xr:uid="{00000000-0005-0000-0000-00001E320000}"/>
    <cellStyle name="40% - Accent2 11 8 2" xfId="34174" xr:uid="{B8C75175-E614-4D5C-BDE9-7BCC4537CFD2}"/>
    <cellStyle name="40% - Accent2 11 9" xfId="18280" xr:uid="{00000000-0005-0000-0000-00001F320000}"/>
    <cellStyle name="40% - Accent2 11 9 2" xfId="42112" xr:uid="{19538466-F396-43AA-A1A5-90144F682238}"/>
    <cellStyle name="40% - Accent2 11_Exh G" xfId="2810" xr:uid="{00000000-0005-0000-0000-000020320000}"/>
    <cellStyle name="40% - Accent2 12" xfId="387" xr:uid="{00000000-0005-0000-0000-000021320000}"/>
    <cellStyle name="40% - Accent2 12 10" xfId="26236" xr:uid="{4C5935BA-76FF-453A-8C94-359AD72B2321}"/>
    <cellStyle name="40% - Accent2 12 2" xfId="388" xr:uid="{00000000-0005-0000-0000-000022320000}"/>
    <cellStyle name="40% - Accent2 12 2 2" xfId="389" xr:uid="{00000000-0005-0000-0000-000023320000}"/>
    <cellStyle name="40% - Accent2 12 2 2 2" xfId="1415" xr:uid="{00000000-0005-0000-0000-000024320000}"/>
    <cellStyle name="40% - Accent2 12 2 2 2 2" xfId="4942" xr:uid="{00000000-0005-0000-0000-000025320000}"/>
    <cellStyle name="40% - Accent2 12 2 2 2 2 2" xfId="8533" xr:uid="{00000000-0005-0000-0000-000026320000}"/>
    <cellStyle name="40% - Accent2 12 2 2 2 2 2 2" xfId="16503" xr:uid="{00000000-0005-0000-0000-000027320000}"/>
    <cellStyle name="40% - Accent2 12 2 2 2 2 2 2 2" xfId="40345" xr:uid="{DDC6C004-E092-4EEB-B98A-F143A1909353}"/>
    <cellStyle name="40% - Accent2 12 2 2 2 2 2 3" xfId="24449" xr:uid="{00000000-0005-0000-0000-000028320000}"/>
    <cellStyle name="40% - Accent2 12 2 2 2 2 2 3 2" xfId="48281" xr:uid="{A61632D7-C661-445D-8C91-AD5CEDCBCA3C}"/>
    <cellStyle name="40% - Accent2 12 2 2 2 2 2 4" xfId="32404" xr:uid="{4D1A4660-3B58-4C36-AC67-A3E0F44FA17E}"/>
    <cellStyle name="40% - Accent2 12 2 2 2 2 3" xfId="12965" xr:uid="{00000000-0005-0000-0000-000029320000}"/>
    <cellStyle name="40% - Accent2 12 2 2 2 2 3 2" xfId="36814" xr:uid="{210FD5E7-051E-4EA8-87FB-7685A3A3FAFB}"/>
    <cellStyle name="40% - Accent2 12 2 2 2 2 4" xfId="20920" xr:uid="{00000000-0005-0000-0000-00002A320000}"/>
    <cellStyle name="40% - Accent2 12 2 2 2 2 4 2" xfId="44752" xr:uid="{1EE9D665-8989-46BC-8097-E6B191E278C0}"/>
    <cellStyle name="40% - Accent2 12 2 2 2 2 5" xfId="28873" xr:uid="{762241BB-D237-4161-90C5-866E82213BF9}"/>
    <cellStyle name="40% - Accent2 12 2 2 2 3" xfId="6774" xr:uid="{00000000-0005-0000-0000-00002B320000}"/>
    <cellStyle name="40% - Accent2 12 2 2 2 3 2" xfId="14745" xr:uid="{00000000-0005-0000-0000-00002C320000}"/>
    <cellStyle name="40% - Accent2 12 2 2 2 3 2 2" xfId="38587" xr:uid="{BDFB3CB6-7B2C-4C24-A5C0-B7BDFEDB0B5C}"/>
    <cellStyle name="40% - Accent2 12 2 2 2 3 3" xfId="22692" xr:uid="{00000000-0005-0000-0000-00002D320000}"/>
    <cellStyle name="40% - Accent2 12 2 2 2 3 3 2" xfId="46524" xr:uid="{0848C9A5-0A81-4012-A328-04E0007C39AC}"/>
    <cellStyle name="40% - Accent2 12 2 2 2 3 4" xfId="30646" xr:uid="{771D994C-CDD8-462C-96C8-B8BAC4B7495A}"/>
    <cellStyle name="40% - Accent2 12 2 2 2 4" xfId="11209" xr:uid="{00000000-0005-0000-0000-00002E320000}"/>
    <cellStyle name="40% - Accent2 12 2 2 2 4 2" xfId="35058" xr:uid="{9ABCC008-5E93-4BEF-BC5E-BD30689A8F91}"/>
    <cellStyle name="40% - Accent2 12 2 2 2 5" xfId="19164" xr:uid="{00000000-0005-0000-0000-00002F320000}"/>
    <cellStyle name="40% - Accent2 12 2 2 2 5 2" xfId="42996" xr:uid="{AC02C8B4-2204-4CF5-BCAC-7F453A363204}"/>
    <cellStyle name="40% - Accent2 12 2 2 2 6" xfId="27116" xr:uid="{D3AFEE30-2CD2-4C29-9640-609FFD187B2A}"/>
    <cellStyle name="40% - Accent2 12 2 2 2_Exh G" xfId="2821" xr:uid="{00000000-0005-0000-0000-000030320000}"/>
    <cellStyle name="40% - Accent2 12 2 2 3" xfId="4063" xr:uid="{00000000-0005-0000-0000-000031320000}"/>
    <cellStyle name="40% - Accent2 12 2 2 3 2" xfId="7655" xr:uid="{00000000-0005-0000-0000-000032320000}"/>
    <cellStyle name="40% - Accent2 12 2 2 3 2 2" xfId="15625" xr:uid="{00000000-0005-0000-0000-000033320000}"/>
    <cellStyle name="40% - Accent2 12 2 2 3 2 2 2" xfId="39467" xr:uid="{885B645A-03D5-487D-87EE-D39B55C0C96D}"/>
    <cellStyle name="40% - Accent2 12 2 2 3 2 3" xfId="23571" xr:uid="{00000000-0005-0000-0000-000034320000}"/>
    <cellStyle name="40% - Accent2 12 2 2 3 2 3 2" xfId="47403" xr:uid="{0B9EC798-5A9A-4988-B11F-A0A8976EC9C5}"/>
    <cellStyle name="40% - Accent2 12 2 2 3 2 4" xfId="31526" xr:uid="{86AF04F5-69E9-4D16-8340-4F49E5FDE280}"/>
    <cellStyle name="40% - Accent2 12 2 2 3 3" xfId="12087" xr:uid="{00000000-0005-0000-0000-000035320000}"/>
    <cellStyle name="40% - Accent2 12 2 2 3 3 2" xfId="35936" xr:uid="{D569E5F6-D1EC-43F0-A786-C4B3C5230D09}"/>
    <cellStyle name="40% - Accent2 12 2 2 3 4" xfId="20042" xr:uid="{00000000-0005-0000-0000-000036320000}"/>
    <cellStyle name="40% - Accent2 12 2 2 3 4 2" xfId="43874" xr:uid="{AF46C24B-35CA-40AC-8EFF-97051BB5BBFD}"/>
    <cellStyle name="40% - Accent2 12 2 2 3 5" xfId="27995" xr:uid="{03F92EA8-0645-4C47-971C-D4FDBC8E6649}"/>
    <cellStyle name="40% - Accent2 12 2 2 4" xfId="5883" xr:uid="{00000000-0005-0000-0000-000037320000}"/>
    <cellStyle name="40% - Accent2 12 2 2 4 2" xfId="13866" xr:uid="{00000000-0005-0000-0000-000038320000}"/>
    <cellStyle name="40% - Accent2 12 2 2 4 2 2" xfId="37709" xr:uid="{4AE443EE-1B74-46A1-9B45-D92D4884AB27}"/>
    <cellStyle name="40% - Accent2 12 2 2 4 3" xfId="21814" xr:uid="{00000000-0005-0000-0000-000039320000}"/>
    <cellStyle name="40% - Accent2 12 2 2 4 3 2" xfId="45646" xr:uid="{5A2D389C-7BDE-4A97-BE12-0CB04796ED86}"/>
    <cellStyle name="40% - Accent2 12 2 2 4 4" xfId="29768" xr:uid="{28B39C68-AA4B-405C-8D5F-D251EE9763AE}"/>
    <cellStyle name="40% - Accent2 12 2 2 5" xfId="9435" xr:uid="{00000000-0005-0000-0000-00003A320000}"/>
    <cellStyle name="40% - Accent2 12 2 2 5 2" xfId="17393" xr:uid="{00000000-0005-0000-0000-00003B320000}"/>
    <cellStyle name="40% - Accent2 12 2 2 5 2 2" xfId="41233" xr:uid="{D41ECE4E-83C3-4B34-836E-4A86458E8D08}"/>
    <cellStyle name="40% - Accent2 12 2 2 5 3" xfId="25337" xr:uid="{00000000-0005-0000-0000-00003C320000}"/>
    <cellStyle name="40% - Accent2 12 2 2 5 3 2" xfId="49169" xr:uid="{9F38E73D-0A87-4FEE-A162-008580C2D2E0}"/>
    <cellStyle name="40% - Accent2 12 2 2 5 4" xfId="33292" xr:uid="{BF228467-006D-4657-92CD-BC1084DB0056}"/>
    <cellStyle name="40% - Accent2 12 2 2 6" xfId="10331" xr:uid="{00000000-0005-0000-0000-00003D320000}"/>
    <cellStyle name="40% - Accent2 12 2 2 6 2" xfId="34180" xr:uid="{C626B015-628F-4EC5-97A8-CE08C161BF17}"/>
    <cellStyle name="40% - Accent2 12 2 2 7" xfId="18286" xr:uid="{00000000-0005-0000-0000-00003E320000}"/>
    <cellStyle name="40% - Accent2 12 2 2 7 2" xfId="42118" xr:uid="{FD37CF4B-5AFA-4A27-97F3-B46172504D8C}"/>
    <cellStyle name="40% - Accent2 12 2 2 8" xfId="26238" xr:uid="{2E68D0CB-630D-4DEA-ABC5-D70353BA6986}"/>
    <cellStyle name="40% - Accent2 12 2 2_Exh G" xfId="2820" xr:uid="{00000000-0005-0000-0000-00003F320000}"/>
    <cellStyle name="40% - Accent2 12 2 3" xfId="1414" xr:uid="{00000000-0005-0000-0000-000040320000}"/>
    <cellStyle name="40% - Accent2 12 2 3 2" xfId="4941" xr:uid="{00000000-0005-0000-0000-000041320000}"/>
    <cellStyle name="40% - Accent2 12 2 3 2 2" xfId="8532" xr:uid="{00000000-0005-0000-0000-000042320000}"/>
    <cellStyle name="40% - Accent2 12 2 3 2 2 2" xfId="16502" xr:uid="{00000000-0005-0000-0000-000043320000}"/>
    <cellStyle name="40% - Accent2 12 2 3 2 2 2 2" xfId="40344" xr:uid="{107E7271-E622-4B39-B2EC-538BB3DC1ECF}"/>
    <cellStyle name="40% - Accent2 12 2 3 2 2 3" xfId="24448" xr:uid="{00000000-0005-0000-0000-000044320000}"/>
    <cellStyle name="40% - Accent2 12 2 3 2 2 3 2" xfId="48280" xr:uid="{BD430860-1A38-429A-8C64-5FA84F5992AE}"/>
    <cellStyle name="40% - Accent2 12 2 3 2 2 4" xfId="32403" xr:uid="{BE684A27-E68F-42F7-827B-219D1D31BCD4}"/>
    <cellStyle name="40% - Accent2 12 2 3 2 3" xfId="12964" xr:uid="{00000000-0005-0000-0000-000045320000}"/>
    <cellStyle name="40% - Accent2 12 2 3 2 3 2" xfId="36813" xr:uid="{A15C2C86-034E-4887-8043-A18F1BFB0A04}"/>
    <cellStyle name="40% - Accent2 12 2 3 2 4" xfId="20919" xr:uid="{00000000-0005-0000-0000-000046320000}"/>
    <cellStyle name="40% - Accent2 12 2 3 2 4 2" xfId="44751" xr:uid="{AC7A1D08-0846-428E-AE83-E6A865C0CC75}"/>
    <cellStyle name="40% - Accent2 12 2 3 2 5" xfId="28872" xr:uid="{6D4CDBE5-BCE8-4259-8578-4D4C55BC63D5}"/>
    <cellStyle name="40% - Accent2 12 2 3 3" xfId="6773" xr:uid="{00000000-0005-0000-0000-000047320000}"/>
    <cellStyle name="40% - Accent2 12 2 3 3 2" xfId="14744" xr:uid="{00000000-0005-0000-0000-000048320000}"/>
    <cellStyle name="40% - Accent2 12 2 3 3 2 2" xfId="38586" xr:uid="{C4195CA7-CDAC-4370-AD9C-FD4529BC04E9}"/>
    <cellStyle name="40% - Accent2 12 2 3 3 3" xfId="22691" xr:uid="{00000000-0005-0000-0000-000049320000}"/>
    <cellStyle name="40% - Accent2 12 2 3 3 3 2" xfId="46523" xr:uid="{201F05C9-95C4-433C-B1D6-4047D97C3BC2}"/>
    <cellStyle name="40% - Accent2 12 2 3 3 4" xfId="30645" xr:uid="{83FAD70B-F7F1-4587-8086-E02C265C48D8}"/>
    <cellStyle name="40% - Accent2 12 2 3 4" xfId="11208" xr:uid="{00000000-0005-0000-0000-00004A320000}"/>
    <cellStyle name="40% - Accent2 12 2 3 4 2" xfId="35057" xr:uid="{7EFB020D-2D74-4FE1-A425-F278FA97AC3F}"/>
    <cellStyle name="40% - Accent2 12 2 3 5" xfId="19163" xr:uid="{00000000-0005-0000-0000-00004B320000}"/>
    <cellStyle name="40% - Accent2 12 2 3 5 2" xfId="42995" xr:uid="{8B877A62-EFEF-4456-A46E-995372092F61}"/>
    <cellStyle name="40% - Accent2 12 2 3 6" xfId="27115" xr:uid="{D977E112-2B23-4E41-8631-E52AD721A04B}"/>
    <cellStyle name="40% - Accent2 12 2 3_Exh G" xfId="2822" xr:uid="{00000000-0005-0000-0000-00004C320000}"/>
    <cellStyle name="40% - Accent2 12 2 4" xfId="4062" xr:uid="{00000000-0005-0000-0000-00004D320000}"/>
    <cellStyle name="40% - Accent2 12 2 4 2" xfId="7654" xr:uid="{00000000-0005-0000-0000-00004E320000}"/>
    <cellStyle name="40% - Accent2 12 2 4 2 2" xfId="15624" xr:uid="{00000000-0005-0000-0000-00004F320000}"/>
    <cellStyle name="40% - Accent2 12 2 4 2 2 2" xfId="39466" xr:uid="{69AA66D3-58E4-4136-9340-42D66AAEAA9E}"/>
    <cellStyle name="40% - Accent2 12 2 4 2 3" xfId="23570" xr:uid="{00000000-0005-0000-0000-000050320000}"/>
    <cellStyle name="40% - Accent2 12 2 4 2 3 2" xfId="47402" xr:uid="{35C5D7BF-D1FB-4917-9623-AAAFA64FEB67}"/>
    <cellStyle name="40% - Accent2 12 2 4 2 4" xfId="31525" xr:uid="{4F4930E7-3275-4B7D-A7C5-313196C2C643}"/>
    <cellStyle name="40% - Accent2 12 2 4 3" xfId="12086" xr:uid="{00000000-0005-0000-0000-000051320000}"/>
    <cellStyle name="40% - Accent2 12 2 4 3 2" xfId="35935" xr:uid="{7AD2517E-952B-460B-9FC8-F3B58BF8DA01}"/>
    <cellStyle name="40% - Accent2 12 2 4 4" xfId="20041" xr:uid="{00000000-0005-0000-0000-000052320000}"/>
    <cellStyle name="40% - Accent2 12 2 4 4 2" xfId="43873" xr:uid="{15A5FF81-E264-4681-A06E-8BDDB2A90E7B}"/>
    <cellStyle name="40% - Accent2 12 2 4 5" xfId="27994" xr:uid="{E49F0E38-602F-437F-BA06-F6713F272984}"/>
    <cellStyle name="40% - Accent2 12 2 5" xfId="5882" xr:uid="{00000000-0005-0000-0000-000053320000}"/>
    <cellStyle name="40% - Accent2 12 2 5 2" xfId="13865" xr:uid="{00000000-0005-0000-0000-000054320000}"/>
    <cellStyle name="40% - Accent2 12 2 5 2 2" xfId="37708" xr:uid="{B90061E0-9E6B-41E8-9737-C3420F81600E}"/>
    <cellStyle name="40% - Accent2 12 2 5 3" xfId="21813" xr:uid="{00000000-0005-0000-0000-000055320000}"/>
    <cellStyle name="40% - Accent2 12 2 5 3 2" xfId="45645" xr:uid="{5E985686-1DD7-4CF2-9463-975165926DB9}"/>
    <cellStyle name="40% - Accent2 12 2 5 4" xfId="29767" xr:uid="{04FDD665-0CB8-4297-82AF-427BA9B31E0C}"/>
    <cellStyle name="40% - Accent2 12 2 6" xfId="9434" xr:uid="{00000000-0005-0000-0000-000056320000}"/>
    <cellStyle name="40% - Accent2 12 2 6 2" xfId="17392" xr:uid="{00000000-0005-0000-0000-000057320000}"/>
    <cellStyle name="40% - Accent2 12 2 6 2 2" xfId="41232" xr:uid="{14CCED84-B6C0-49F4-90EE-A8276310C462}"/>
    <cellStyle name="40% - Accent2 12 2 6 3" xfId="25336" xr:uid="{00000000-0005-0000-0000-000058320000}"/>
    <cellStyle name="40% - Accent2 12 2 6 3 2" xfId="49168" xr:uid="{69BEB8B9-3B4D-443F-B8B5-C7B3E962024E}"/>
    <cellStyle name="40% - Accent2 12 2 6 4" xfId="33291" xr:uid="{4A08A43C-76D9-4E1D-9A5A-381A1F8479AD}"/>
    <cellStyle name="40% - Accent2 12 2 7" xfId="10330" xr:uid="{00000000-0005-0000-0000-000059320000}"/>
    <cellStyle name="40% - Accent2 12 2 7 2" xfId="34179" xr:uid="{FD826B0D-76A4-46FF-9810-F555166EE1A4}"/>
    <cellStyle name="40% - Accent2 12 2 8" xfId="18285" xr:uid="{00000000-0005-0000-0000-00005A320000}"/>
    <cellStyle name="40% - Accent2 12 2 8 2" xfId="42117" xr:uid="{E23DFDDD-C74D-4220-90A5-63A3538756B1}"/>
    <cellStyle name="40% - Accent2 12 2 9" xfId="26237" xr:uid="{9CFD95D6-74E6-4388-8F00-7129058D77C7}"/>
    <cellStyle name="40% - Accent2 12 2_Exh G" xfId="2819" xr:uid="{00000000-0005-0000-0000-00005B320000}"/>
    <cellStyle name="40% - Accent2 12 3" xfId="390" xr:uid="{00000000-0005-0000-0000-00005C320000}"/>
    <cellStyle name="40% - Accent2 12 3 2" xfId="1416" xr:uid="{00000000-0005-0000-0000-00005D320000}"/>
    <cellStyle name="40% - Accent2 12 3 2 2" xfId="4943" xr:uid="{00000000-0005-0000-0000-00005E320000}"/>
    <cellStyle name="40% - Accent2 12 3 2 2 2" xfId="8534" xr:uid="{00000000-0005-0000-0000-00005F320000}"/>
    <cellStyle name="40% - Accent2 12 3 2 2 2 2" xfId="16504" xr:uid="{00000000-0005-0000-0000-000060320000}"/>
    <cellStyle name="40% - Accent2 12 3 2 2 2 2 2" xfId="40346" xr:uid="{27E573CE-7FA6-42A4-A1EA-28DB446F3AD1}"/>
    <cellStyle name="40% - Accent2 12 3 2 2 2 3" xfId="24450" xr:uid="{00000000-0005-0000-0000-000061320000}"/>
    <cellStyle name="40% - Accent2 12 3 2 2 2 3 2" xfId="48282" xr:uid="{1239CFFB-6590-4D72-86B9-24F99917CE88}"/>
    <cellStyle name="40% - Accent2 12 3 2 2 2 4" xfId="32405" xr:uid="{98EC799E-E730-4668-BB62-9DB242FCEC17}"/>
    <cellStyle name="40% - Accent2 12 3 2 2 3" xfId="12966" xr:uid="{00000000-0005-0000-0000-000062320000}"/>
    <cellStyle name="40% - Accent2 12 3 2 2 3 2" xfId="36815" xr:uid="{38E5AFF1-8EB6-4339-B283-39C03FA8CE0D}"/>
    <cellStyle name="40% - Accent2 12 3 2 2 4" xfId="20921" xr:uid="{00000000-0005-0000-0000-000063320000}"/>
    <cellStyle name="40% - Accent2 12 3 2 2 4 2" xfId="44753" xr:uid="{73AC6288-4FB9-41E5-97B6-272B5135AFE0}"/>
    <cellStyle name="40% - Accent2 12 3 2 2 5" xfId="28874" xr:uid="{21497349-7D50-47E6-AB56-34BDDEAED8DF}"/>
    <cellStyle name="40% - Accent2 12 3 2 3" xfId="6775" xr:uid="{00000000-0005-0000-0000-000064320000}"/>
    <cellStyle name="40% - Accent2 12 3 2 3 2" xfId="14746" xr:uid="{00000000-0005-0000-0000-000065320000}"/>
    <cellStyle name="40% - Accent2 12 3 2 3 2 2" xfId="38588" xr:uid="{E3015F91-9168-42F9-8504-7B95EF145698}"/>
    <cellStyle name="40% - Accent2 12 3 2 3 3" xfId="22693" xr:uid="{00000000-0005-0000-0000-000066320000}"/>
    <cellStyle name="40% - Accent2 12 3 2 3 3 2" xfId="46525" xr:uid="{87F6E8B9-3603-4CB2-A6A4-8945167D524C}"/>
    <cellStyle name="40% - Accent2 12 3 2 3 4" xfId="30647" xr:uid="{4B5A8885-DA49-41BC-B783-ED6FEFC8A6F2}"/>
    <cellStyle name="40% - Accent2 12 3 2 4" xfId="11210" xr:uid="{00000000-0005-0000-0000-000067320000}"/>
    <cellStyle name="40% - Accent2 12 3 2 4 2" xfId="35059" xr:uid="{20494394-9463-4580-82C5-E70277E32927}"/>
    <cellStyle name="40% - Accent2 12 3 2 5" xfId="19165" xr:uid="{00000000-0005-0000-0000-000068320000}"/>
    <cellStyle name="40% - Accent2 12 3 2 5 2" xfId="42997" xr:uid="{753CD8B0-9A0E-4681-8ABF-1BD83D0A838E}"/>
    <cellStyle name="40% - Accent2 12 3 2 6" xfId="27117" xr:uid="{57090E4D-0622-4C0B-8D09-D360DA4ECADA}"/>
    <cellStyle name="40% - Accent2 12 3 2_Exh G" xfId="2824" xr:uid="{00000000-0005-0000-0000-000069320000}"/>
    <cellStyle name="40% - Accent2 12 3 3" xfId="4064" xr:uid="{00000000-0005-0000-0000-00006A320000}"/>
    <cellStyle name="40% - Accent2 12 3 3 2" xfId="7656" xr:uid="{00000000-0005-0000-0000-00006B320000}"/>
    <cellStyle name="40% - Accent2 12 3 3 2 2" xfId="15626" xr:uid="{00000000-0005-0000-0000-00006C320000}"/>
    <cellStyle name="40% - Accent2 12 3 3 2 2 2" xfId="39468" xr:uid="{84BD4165-26FE-431F-B8D1-B2C6041D860A}"/>
    <cellStyle name="40% - Accent2 12 3 3 2 3" xfId="23572" xr:uid="{00000000-0005-0000-0000-00006D320000}"/>
    <cellStyle name="40% - Accent2 12 3 3 2 3 2" xfId="47404" xr:uid="{F293D121-0995-42B9-8394-D11653360922}"/>
    <cellStyle name="40% - Accent2 12 3 3 2 4" xfId="31527" xr:uid="{A41FB7E9-89B3-44DA-8ECA-66482C8FAA7D}"/>
    <cellStyle name="40% - Accent2 12 3 3 3" xfId="12088" xr:uid="{00000000-0005-0000-0000-00006E320000}"/>
    <cellStyle name="40% - Accent2 12 3 3 3 2" xfId="35937" xr:uid="{10D89266-61B0-44C2-8F61-727EC1974A1E}"/>
    <cellStyle name="40% - Accent2 12 3 3 4" xfId="20043" xr:uid="{00000000-0005-0000-0000-00006F320000}"/>
    <cellStyle name="40% - Accent2 12 3 3 4 2" xfId="43875" xr:uid="{CDFBBB65-A20F-4441-A6C8-0026347B953C}"/>
    <cellStyle name="40% - Accent2 12 3 3 5" xfId="27996" xr:uid="{60553DCC-158A-4B79-8A5E-D043C6BE6E0E}"/>
    <cellStyle name="40% - Accent2 12 3 4" xfId="5884" xr:uid="{00000000-0005-0000-0000-000070320000}"/>
    <cellStyle name="40% - Accent2 12 3 4 2" xfId="13867" xr:uid="{00000000-0005-0000-0000-000071320000}"/>
    <cellStyle name="40% - Accent2 12 3 4 2 2" xfId="37710" xr:uid="{0CF9085F-957C-4BC0-9E49-64C132FF1052}"/>
    <cellStyle name="40% - Accent2 12 3 4 3" xfId="21815" xr:uid="{00000000-0005-0000-0000-000072320000}"/>
    <cellStyle name="40% - Accent2 12 3 4 3 2" xfId="45647" xr:uid="{24EDF1F9-9B29-4EC6-A559-1E18AF8D26F1}"/>
    <cellStyle name="40% - Accent2 12 3 4 4" xfId="29769" xr:uid="{F61862C5-4C6B-45B4-8BB1-07693FB2F00B}"/>
    <cellStyle name="40% - Accent2 12 3 5" xfId="9436" xr:uid="{00000000-0005-0000-0000-000073320000}"/>
    <cellStyle name="40% - Accent2 12 3 5 2" xfId="17394" xr:uid="{00000000-0005-0000-0000-000074320000}"/>
    <cellStyle name="40% - Accent2 12 3 5 2 2" xfId="41234" xr:uid="{B17E9EC9-242A-4D8F-92D1-A1F09A478F2E}"/>
    <cellStyle name="40% - Accent2 12 3 5 3" xfId="25338" xr:uid="{00000000-0005-0000-0000-000075320000}"/>
    <cellStyle name="40% - Accent2 12 3 5 3 2" xfId="49170" xr:uid="{9811BAB2-F352-4719-804C-1FA0DB9CF54B}"/>
    <cellStyle name="40% - Accent2 12 3 5 4" xfId="33293" xr:uid="{53AC52D0-1587-49BA-A4CF-B76AA3C3382C}"/>
    <cellStyle name="40% - Accent2 12 3 6" xfId="10332" xr:uid="{00000000-0005-0000-0000-000076320000}"/>
    <cellStyle name="40% - Accent2 12 3 6 2" xfId="34181" xr:uid="{015E3133-4C1B-4188-AF69-2F22B5398E0F}"/>
    <cellStyle name="40% - Accent2 12 3 7" xfId="18287" xr:uid="{00000000-0005-0000-0000-000077320000}"/>
    <cellStyle name="40% - Accent2 12 3 7 2" xfId="42119" xr:uid="{029246AE-0A20-496F-B3A7-48DDB03EB50A}"/>
    <cellStyle name="40% - Accent2 12 3 8" xfId="26239" xr:uid="{59C76CC1-41D0-429D-A00D-045465F53F3A}"/>
    <cellStyle name="40% - Accent2 12 3_Exh G" xfId="2823" xr:uid="{00000000-0005-0000-0000-000078320000}"/>
    <cellStyle name="40% - Accent2 12 4" xfId="1413" xr:uid="{00000000-0005-0000-0000-000079320000}"/>
    <cellStyle name="40% - Accent2 12 4 2" xfId="4940" xr:uid="{00000000-0005-0000-0000-00007A320000}"/>
    <cellStyle name="40% - Accent2 12 4 2 2" xfId="8531" xr:uid="{00000000-0005-0000-0000-00007B320000}"/>
    <cellStyle name="40% - Accent2 12 4 2 2 2" xfId="16501" xr:uid="{00000000-0005-0000-0000-00007C320000}"/>
    <cellStyle name="40% - Accent2 12 4 2 2 2 2" xfId="40343" xr:uid="{5C5E7731-6ABA-4199-A106-3E136B88D2CE}"/>
    <cellStyle name="40% - Accent2 12 4 2 2 3" xfId="24447" xr:uid="{00000000-0005-0000-0000-00007D320000}"/>
    <cellStyle name="40% - Accent2 12 4 2 2 3 2" xfId="48279" xr:uid="{8E54B5B4-1232-4E58-9483-F7BC772EAF88}"/>
    <cellStyle name="40% - Accent2 12 4 2 2 4" xfId="32402" xr:uid="{BF0D98D0-96CE-40C6-BA83-5B98402AD3FE}"/>
    <cellStyle name="40% - Accent2 12 4 2 3" xfId="12963" xr:uid="{00000000-0005-0000-0000-00007E320000}"/>
    <cellStyle name="40% - Accent2 12 4 2 3 2" xfId="36812" xr:uid="{EE77A393-A8A9-4BCB-B03C-42E96B22AD3E}"/>
    <cellStyle name="40% - Accent2 12 4 2 4" xfId="20918" xr:uid="{00000000-0005-0000-0000-00007F320000}"/>
    <cellStyle name="40% - Accent2 12 4 2 4 2" xfId="44750" xr:uid="{E7C861C3-7888-4144-B6CF-B90C0B06EC0D}"/>
    <cellStyle name="40% - Accent2 12 4 2 5" xfId="28871" xr:uid="{239EB85C-74FE-4E11-AB6D-D69A5894398C}"/>
    <cellStyle name="40% - Accent2 12 4 3" xfId="6772" xr:uid="{00000000-0005-0000-0000-000080320000}"/>
    <cellStyle name="40% - Accent2 12 4 3 2" xfId="14743" xr:uid="{00000000-0005-0000-0000-000081320000}"/>
    <cellStyle name="40% - Accent2 12 4 3 2 2" xfId="38585" xr:uid="{A90C2A71-2DF7-412E-A7D5-12F3ED769305}"/>
    <cellStyle name="40% - Accent2 12 4 3 3" xfId="22690" xr:uid="{00000000-0005-0000-0000-000082320000}"/>
    <cellStyle name="40% - Accent2 12 4 3 3 2" xfId="46522" xr:uid="{DA37632A-D591-48C0-BD8C-53430E05EC42}"/>
    <cellStyle name="40% - Accent2 12 4 3 4" xfId="30644" xr:uid="{7BE53A74-78C1-4F75-A718-80D74576B0FB}"/>
    <cellStyle name="40% - Accent2 12 4 4" xfId="11207" xr:uid="{00000000-0005-0000-0000-000083320000}"/>
    <cellStyle name="40% - Accent2 12 4 4 2" xfId="35056" xr:uid="{1377F8EF-A642-4255-96E6-571EA7780909}"/>
    <cellStyle name="40% - Accent2 12 4 5" xfId="19162" xr:uid="{00000000-0005-0000-0000-000084320000}"/>
    <cellStyle name="40% - Accent2 12 4 5 2" xfId="42994" xr:uid="{6999EAED-6055-40A7-B6CC-7FE87277430F}"/>
    <cellStyle name="40% - Accent2 12 4 6" xfId="27114" xr:uid="{352ABE84-7845-4EDC-B895-52CB24621F31}"/>
    <cellStyle name="40% - Accent2 12 4_Exh G" xfId="2825" xr:uid="{00000000-0005-0000-0000-000085320000}"/>
    <cellStyle name="40% - Accent2 12 5" xfId="4061" xr:uid="{00000000-0005-0000-0000-000086320000}"/>
    <cellStyle name="40% - Accent2 12 5 2" xfId="7653" xr:uid="{00000000-0005-0000-0000-000087320000}"/>
    <cellStyle name="40% - Accent2 12 5 2 2" xfId="15623" xr:uid="{00000000-0005-0000-0000-000088320000}"/>
    <cellStyle name="40% - Accent2 12 5 2 2 2" xfId="39465" xr:uid="{810BFC1D-15F0-41F6-95E5-F100825B157E}"/>
    <cellStyle name="40% - Accent2 12 5 2 3" xfId="23569" xr:uid="{00000000-0005-0000-0000-000089320000}"/>
    <cellStyle name="40% - Accent2 12 5 2 3 2" xfId="47401" xr:uid="{E98204BE-2AA2-461A-9DC3-60BB14417246}"/>
    <cellStyle name="40% - Accent2 12 5 2 4" xfId="31524" xr:uid="{E1932A5E-9A03-4E7D-A25D-F2C300F1AAC1}"/>
    <cellStyle name="40% - Accent2 12 5 3" xfId="12085" xr:uid="{00000000-0005-0000-0000-00008A320000}"/>
    <cellStyle name="40% - Accent2 12 5 3 2" xfId="35934" xr:uid="{1A657933-6D43-4089-AF5B-CFB12E8D7BCD}"/>
    <cellStyle name="40% - Accent2 12 5 4" xfId="20040" xr:uid="{00000000-0005-0000-0000-00008B320000}"/>
    <cellStyle name="40% - Accent2 12 5 4 2" xfId="43872" xr:uid="{C994D28E-A85B-4230-9E43-9233370D8BA7}"/>
    <cellStyle name="40% - Accent2 12 5 5" xfId="27993" xr:uid="{5EE9B84E-5011-478D-B23D-A76BC284758B}"/>
    <cellStyle name="40% - Accent2 12 6" xfId="5881" xr:uid="{00000000-0005-0000-0000-00008C320000}"/>
    <cellStyle name="40% - Accent2 12 6 2" xfId="13864" xr:uid="{00000000-0005-0000-0000-00008D320000}"/>
    <cellStyle name="40% - Accent2 12 6 2 2" xfId="37707" xr:uid="{34680C2D-B808-45EF-BB1A-C25F933EA14B}"/>
    <cellStyle name="40% - Accent2 12 6 3" xfId="21812" xr:uid="{00000000-0005-0000-0000-00008E320000}"/>
    <cellStyle name="40% - Accent2 12 6 3 2" xfId="45644" xr:uid="{57B62DC2-75A3-4AD2-8515-BDEBE56D59C5}"/>
    <cellStyle name="40% - Accent2 12 6 4" xfId="29766" xr:uid="{84D493A9-1218-4A7E-A89A-A268B7247E37}"/>
    <cellStyle name="40% - Accent2 12 7" xfId="9433" xr:uid="{00000000-0005-0000-0000-00008F320000}"/>
    <cellStyle name="40% - Accent2 12 7 2" xfId="17391" xr:uid="{00000000-0005-0000-0000-000090320000}"/>
    <cellStyle name="40% - Accent2 12 7 2 2" xfId="41231" xr:uid="{5B8375E5-29E9-4B0A-9A27-7BD835603C0C}"/>
    <cellStyle name="40% - Accent2 12 7 3" xfId="25335" xr:uid="{00000000-0005-0000-0000-000091320000}"/>
    <cellStyle name="40% - Accent2 12 7 3 2" xfId="49167" xr:uid="{CB5B0726-7C61-4D81-B1F4-BA360FD0D4E3}"/>
    <cellStyle name="40% - Accent2 12 7 4" xfId="33290" xr:uid="{283C2376-DF05-4AEF-B203-E8D0C0DCEA6A}"/>
    <cellStyle name="40% - Accent2 12 8" xfId="10329" xr:uid="{00000000-0005-0000-0000-000092320000}"/>
    <cellStyle name="40% - Accent2 12 8 2" xfId="34178" xr:uid="{82961EBD-6D49-46FB-8C35-A6A8756A942D}"/>
    <cellStyle name="40% - Accent2 12 9" xfId="18284" xr:uid="{00000000-0005-0000-0000-000093320000}"/>
    <cellStyle name="40% - Accent2 12 9 2" xfId="42116" xr:uid="{97EBBBC7-8BEB-4818-8702-D1D6A0680FF2}"/>
    <cellStyle name="40% - Accent2 12_Exh G" xfId="2818" xr:uid="{00000000-0005-0000-0000-000094320000}"/>
    <cellStyle name="40% - Accent2 13" xfId="391" xr:uid="{00000000-0005-0000-0000-000095320000}"/>
    <cellStyle name="40% - Accent2 13 10" xfId="26240" xr:uid="{2360456E-0248-41E7-8C23-2A08203B98B7}"/>
    <cellStyle name="40% - Accent2 13 2" xfId="392" xr:uid="{00000000-0005-0000-0000-000096320000}"/>
    <cellStyle name="40% - Accent2 13 2 2" xfId="393" xr:uid="{00000000-0005-0000-0000-000097320000}"/>
    <cellStyle name="40% - Accent2 13 2 2 2" xfId="1419" xr:uid="{00000000-0005-0000-0000-000098320000}"/>
    <cellStyle name="40% - Accent2 13 2 2 2 2" xfId="4946" xr:uid="{00000000-0005-0000-0000-000099320000}"/>
    <cellStyle name="40% - Accent2 13 2 2 2 2 2" xfId="8537" xr:uid="{00000000-0005-0000-0000-00009A320000}"/>
    <cellStyle name="40% - Accent2 13 2 2 2 2 2 2" xfId="16507" xr:uid="{00000000-0005-0000-0000-00009B320000}"/>
    <cellStyle name="40% - Accent2 13 2 2 2 2 2 2 2" xfId="40349" xr:uid="{A4C1212F-A1A8-4BC1-8AA9-10AAF33DDAEE}"/>
    <cellStyle name="40% - Accent2 13 2 2 2 2 2 3" xfId="24453" xr:uid="{00000000-0005-0000-0000-00009C320000}"/>
    <cellStyle name="40% - Accent2 13 2 2 2 2 2 3 2" xfId="48285" xr:uid="{8DAF84FE-41FE-49D5-BBE3-D8D794AB2B26}"/>
    <cellStyle name="40% - Accent2 13 2 2 2 2 2 4" xfId="32408" xr:uid="{72A94ECE-2FDA-46A9-806A-9F489A906F20}"/>
    <cellStyle name="40% - Accent2 13 2 2 2 2 3" xfId="12969" xr:uid="{00000000-0005-0000-0000-00009D320000}"/>
    <cellStyle name="40% - Accent2 13 2 2 2 2 3 2" xfId="36818" xr:uid="{E6F405EA-FBBF-429A-8515-18ECC50732BE}"/>
    <cellStyle name="40% - Accent2 13 2 2 2 2 4" xfId="20924" xr:uid="{00000000-0005-0000-0000-00009E320000}"/>
    <cellStyle name="40% - Accent2 13 2 2 2 2 4 2" xfId="44756" xr:uid="{2EAEA612-7900-4F00-B074-E63AE3520EA7}"/>
    <cellStyle name="40% - Accent2 13 2 2 2 2 5" xfId="28877" xr:uid="{FB95370A-A2F3-4A9A-BAFD-B3C882D826E7}"/>
    <cellStyle name="40% - Accent2 13 2 2 2 3" xfId="6778" xr:uid="{00000000-0005-0000-0000-00009F320000}"/>
    <cellStyle name="40% - Accent2 13 2 2 2 3 2" xfId="14749" xr:uid="{00000000-0005-0000-0000-0000A0320000}"/>
    <cellStyle name="40% - Accent2 13 2 2 2 3 2 2" xfId="38591" xr:uid="{6035AF5A-EE0D-425A-B649-D4E58245A6D7}"/>
    <cellStyle name="40% - Accent2 13 2 2 2 3 3" xfId="22696" xr:uid="{00000000-0005-0000-0000-0000A1320000}"/>
    <cellStyle name="40% - Accent2 13 2 2 2 3 3 2" xfId="46528" xr:uid="{39241B76-593C-4397-8021-E6E49F8DA418}"/>
    <cellStyle name="40% - Accent2 13 2 2 2 3 4" xfId="30650" xr:uid="{80F48712-BE83-4D53-96E4-C385B414B742}"/>
    <cellStyle name="40% - Accent2 13 2 2 2 4" xfId="11213" xr:uid="{00000000-0005-0000-0000-0000A2320000}"/>
    <cellStyle name="40% - Accent2 13 2 2 2 4 2" xfId="35062" xr:uid="{0135C29F-2452-4669-87E0-C00D832A9426}"/>
    <cellStyle name="40% - Accent2 13 2 2 2 5" xfId="19168" xr:uid="{00000000-0005-0000-0000-0000A3320000}"/>
    <cellStyle name="40% - Accent2 13 2 2 2 5 2" xfId="43000" xr:uid="{78E48084-4521-4261-B9D0-390FCECC90CE}"/>
    <cellStyle name="40% - Accent2 13 2 2 2 6" xfId="27120" xr:uid="{7E1CCEB1-2FBD-4AE3-8D76-7440025FC1FA}"/>
    <cellStyle name="40% - Accent2 13 2 2 2_Exh G" xfId="2829" xr:uid="{00000000-0005-0000-0000-0000A4320000}"/>
    <cellStyle name="40% - Accent2 13 2 2 3" xfId="4067" xr:uid="{00000000-0005-0000-0000-0000A5320000}"/>
    <cellStyle name="40% - Accent2 13 2 2 3 2" xfId="7659" xr:uid="{00000000-0005-0000-0000-0000A6320000}"/>
    <cellStyle name="40% - Accent2 13 2 2 3 2 2" xfId="15629" xr:uid="{00000000-0005-0000-0000-0000A7320000}"/>
    <cellStyle name="40% - Accent2 13 2 2 3 2 2 2" xfId="39471" xr:uid="{6E792694-DD6B-40C0-8354-59C69D2CDC65}"/>
    <cellStyle name="40% - Accent2 13 2 2 3 2 3" xfId="23575" xr:uid="{00000000-0005-0000-0000-0000A8320000}"/>
    <cellStyle name="40% - Accent2 13 2 2 3 2 3 2" xfId="47407" xr:uid="{6DCC9AF0-FED6-4607-8195-0880052C78DB}"/>
    <cellStyle name="40% - Accent2 13 2 2 3 2 4" xfId="31530" xr:uid="{CEAE2067-C396-43BC-896C-CFDA10792420}"/>
    <cellStyle name="40% - Accent2 13 2 2 3 3" xfId="12091" xr:uid="{00000000-0005-0000-0000-0000A9320000}"/>
    <cellStyle name="40% - Accent2 13 2 2 3 3 2" xfId="35940" xr:uid="{32F73E3A-4392-4714-8285-920A4B51C720}"/>
    <cellStyle name="40% - Accent2 13 2 2 3 4" xfId="20046" xr:uid="{00000000-0005-0000-0000-0000AA320000}"/>
    <cellStyle name="40% - Accent2 13 2 2 3 4 2" xfId="43878" xr:uid="{F92976E9-C4D3-4C01-8367-180A46FFEC3A}"/>
    <cellStyle name="40% - Accent2 13 2 2 3 5" xfId="27999" xr:uid="{BDE48D17-FED6-412D-AA8D-54B3549BB8C0}"/>
    <cellStyle name="40% - Accent2 13 2 2 4" xfId="5887" xr:uid="{00000000-0005-0000-0000-0000AB320000}"/>
    <cellStyle name="40% - Accent2 13 2 2 4 2" xfId="13870" xr:uid="{00000000-0005-0000-0000-0000AC320000}"/>
    <cellStyle name="40% - Accent2 13 2 2 4 2 2" xfId="37713" xr:uid="{C963AE40-8695-4517-AC2C-641778394790}"/>
    <cellStyle name="40% - Accent2 13 2 2 4 3" xfId="21818" xr:uid="{00000000-0005-0000-0000-0000AD320000}"/>
    <cellStyle name="40% - Accent2 13 2 2 4 3 2" xfId="45650" xr:uid="{C0AAF68C-19BA-46F6-A6A5-1119CDF787A2}"/>
    <cellStyle name="40% - Accent2 13 2 2 4 4" xfId="29772" xr:uid="{9917D3CD-AF8A-4F9A-89E8-103849475297}"/>
    <cellStyle name="40% - Accent2 13 2 2 5" xfId="9439" xr:uid="{00000000-0005-0000-0000-0000AE320000}"/>
    <cellStyle name="40% - Accent2 13 2 2 5 2" xfId="17397" xr:uid="{00000000-0005-0000-0000-0000AF320000}"/>
    <cellStyle name="40% - Accent2 13 2 2 5 2 2" xfId="41237" xr:uid="{F8B62426-DA28-40D8-926C-03D9E5B8981A}"/>
    <cellStyle name="40% - Accent2 13 2 2 5 3" xfId="25341" xr:uid="{00000000-0005-0000-0000-0000B0320000}"/>
    <cellStyle name="40% - Accent2 13 2 2 5 3 2" xfId="49173" xr:uid="{07C7B001-6E24-48DF-928B-A8E92FEC28B0}"/>
    <cellStyle name="40% - Accent2 13 2 2 5 4" xfId="33296" xr:uid="{1AD01B89-3CD5-41DA-8EAC-87B566DD450F}"/>
    <cellStyle name="40% - Accent2 13 2 2 6" xfId="10335" xr:uid="{00000000-0005-0000-0000-0000B1320000}"/>
    <cellStyle name="40% - Accent2 13 2 2 6 2" xfId="34184" xr:uid="{40506C1B-B331-488C-A596-8A08D7E4DE4E}"/>
    <cellStyle name="40% - Accent2 13 2 2 7" xfId="18290" xr:uid="{00000000-0005-0000-0000-0000B2320000}"/>
    <cellStyle name="40% - Accent2 13 2 2 7 2" xfId="42122" xr:uid="{9D5926DD-742C-4983-8A05-E7B8662C21C1}"/>
    <cellStyle name="40% - Accent2 13 2 2 8" xfId="26242" xr:uid="{8188E07B-D6BD-4C6D-A15F-20083B7F35BA}"/>
    <cellStyle name="40% - Accent2 13 2 2_Exh G" xfId="2828" xr:uid="{00000000-0005-0000-0000-0000B3320000}"/>
    <cellStyle name="40% - Accent2 13 2 3" xfId="1418" xr:uid="{00000000-0005-0000-0000-0000B4320000}"/>
    <cellStyle name="40% - Accent2 13 2 3 2" xfId="4945" xr:uid="{00000000-0005-0000-0000-0000B5320000}"/>
    <cellStyle name="40% - Accent2 13 2 3 2 2" xfId="8536" xr:uid="{00000000-0005-0000-0000-0000B6320000}"/>
    <cellStyle name="40% - Accent2 13 2 3 2 2 2" xfId="16506" xr:uid="{00000000-0005-0000-0000-0000B7320000}"/>
    <cellStyle name="40% - Accent2 13 2 3 2 2 2 2" xfId="40348" xr:uid="{CAEEE280-31B4-4D7B-ADA0-C3DF030C8DE1}"/>
    <cellStyle name="40% - Accent2 13 2 3 2 2 3" xfId="24452" xr:uid="{00000000-0005-0000-0000-0000B8320000}"/>
    <cellStyle name="40% - Accent2 13 2 3 2 2 3 2" xfId="48284" xr:uid="{BB385FF7-D8CF-4F9E-AB21-FA1672119D52}"/>
    <cellStyle name="40% - Accent2 13 2 3 2 2 4" xfId="32407" xr:uid="{17D76A5D-DD5A-4F08-ADC5-87F79DF1AD2B}"/>
    <cellStyle name="40% - Accent2 13 2 3 2 3" xfId="12968" xr:uid="{00000000-0005-0000-0000-0000B9320000}"/>
    <cellStyle name="40% - Accent2 13 2 3 2 3 2" xfId="36817" xr:uid="{FBFD7AFA-6101-4880-846D-74AD904D62A3}"/>
    <cellStyle name="40% - Accent2 13 2 3 2 4" xfId="20923" xr:uid="{00000000-0005-0000-0000-0000BA320000}"/>
    <cellStyle name="40% - Accent2 13 2 3 2 4 2" xfId="44755" xr:uid="{45633AF3-CDF8-4C91-8E52-DFFFCFCE1B8A}"/>
    <cellStyle name="40% - Accent2 13 2 3 2 5" xfId="28876" xr:uid="{25CA4EFE-4E46-412A-B0A6-F51351210BED}"/>
    <cellStyle name="40% - Accent2 13 2 3 3" xfId="6777" xr:uid="{00000000-0005-0000-0000-0000BB320000}"/>
    <cellStyle name="40% - Accent2 13 2 3 3 2" xfId="14748" xr:uid="{00000000-0005-0000-0000-0000BC320000}"/>
    <cellStyle name="40% - Accent2 13 2 3 3 2 2" xfId="38590" xr:uid="{79F56251-798A-496F-9DA8-BAD6AC125B0D}"/>
    <cellStyle name="40% - Accent2 13 2 3 3 3" xfId="22695" xr:uid="{00000000-0005-0000-0000-0000BD320000}"/>
    <cellStyle name="40% - Accent2 13 2 3 3 3 2" xfId="46527" xr:uid="{9E7EF72D-4FCF-44F0-9A73-F7617325A7C6}"/>
    <cellStyle name="40% - Accent2 13 2 3 3 4" xfId="30649" xr:uid="{657727A1-9543-4112-BC67-A8F2D5072A1B}"/>
    <cellStyle name="40% - Accent2 13 2 3 4" xfId="11212" xr:uid="{00000000-0005-0000-0000-0000BE320000}"/>
    <cellStyle name="40% - Accent2 13 2 3 4 2" xfId="35061" xr:uid="{3C4D75D2-9CC4-4BED-8565-86909669A157}"/>
    <cellStyle name="40% - Accent2 13 2 3 5" xfId="19167" xr:uid="{00000000-0005-0000-0000-0000BF320000}"/>
    <cellStyle name="40% - Accent2 13 2 3 5 2" xfId="42999" xr:uid="{94357C87-1B96-469E-BE6E-F0D3668FF083}"/>
    <cellStyle name="40% - Accent2 13 2 3 6" xfId="27119" xr:uid="{D5BEA558-0998-4F65-82E5-1995D77516B0}"/>
    <cellStyle name="40% - Accent2 13 2 3_Exh G" xfId="2830" xr:uid="{00000000-0005-0000-0000-0000C0320000}"/>
    <cellStyle name="40% - Accent2 13 2 4" xfId="4066" xr:uid="{00000000-0005-0000-0000-0000C1320000}"/>
    <cellStyle name="40% - Accent2 13 2 4 2" xfId="7658" xr:uid="{00000000-0005-0000-0000-0000C2320000}"/>
    <cellStyle name="40% - Accent2 13 2 4 2 2" xfId="15628" xr:uid="{00000000-0005-0000-0000-0000C3320000}"/>
    <cellStyle name="40% - Accent2 13 2 4 2 2 2" xfId="39470" xr:uid="{09E80358-5C91-4C45-856F-6290C9268320}"/>
    <cellStyle name="40% - Accent2 13 2 4 2 3" xfId="23574" xr:uid="{00000000-0005-0000-0000-0000C4320000}"/>
    <cellStyle name="40% - Accent2 13 2 4 2 3 2" xfId="47406" xr:uid="{A6994A96-09D0-47F2-BC04-29FC741EBEAE}"/>
    <cellStyle name="40% - Accent2 13 2 4 2 4" xfId="31529" xr:uid="{4CD7353D-DE40-4180-A565-E0770C80C07A}"/>
    <cellStyle name="40% - Accent2 13 2 4 3" xfId="12090" xr:uid="{00000000-0005-0000-0000-0000C5320000}"/>
    <cellStyle name="40% - Accent2 13 2 4 3 2" xfId="35939" xr:uid="{3FC04AA2-E7D2-42F0-83F3-55D5B66A696D}"/>
    <cellStyle name="40% - Accent2 13 2 4 4" xfId="20045" xr:uid="{00000000-0005-0000-0000-0000C6320000}"/>
    <cellStyle name="40% - Accent2 13 2 4 4 2" xfId="43877" xr:uid="{9CEE0623-E66E-4007-9DE3-6F6A84E8B446}"/>
    <cellStyle name="40% - Accent2 13 2 4 5" xfId="27998" xr:uid="{1C295FFF-CAFC-4871-9FDD-876214FC8C99}"/>
    <cellStyle name="40% - Accent2 13 2 5" xfId="5886" xr:uid="{00000000-0005-0000-0000-0000C7320000}"/>
    <cellStyle name="40% - Accent2 13 2 5 2" xfId="13869" xr:uid="{00000000-0005-0000-0000-0000C8320000}"/>
    <cellStyle name="40% - Accent2 13 2 5 2 2" xfId="37712" xr:uid="{058ED842-F078-4EE7-A37D-DB48D0279879}"/>
    <cellStyle name="40% - Accent2 13 2 5 3" xfId="21817" xr:uid="{00000000-0005-0000-0000-0000C9320000}"/>
    <cellStyle name="40% - Accent2 13 2 5 3 2" xfId="45649" xr:uid="{FFEF97DD-B221-4C2C-8D29-548F9FA1AC9C}"/>
    <cellStyle name="40% - Accent2 13 2 5 4" xfId="29771" xr:uid="{E028BE86-9E7B-436D-A60A-2EE0260C575B}"/>
    <cellStyle name="40% - Accent2 13 2 6" xfId="9438" xr:uid="{00000000-0005-0000-0000-0000CA320000}"/>
    <cellStyle name="40% - Accent2 13 2 6 2" xfId="17396" xr:uid="{00000000-0005-0000-0000-0000CB320000}"/>
    <cellStyle name="40% - Accent2 13 2 6 2 2" xfId="41236" xr:uid="{346C4E26-AA87-4AEC-BB0D-E43CDB0E41D4}"/>
    <cellStyle name="40% - Accent2 13 2 6 3" xfId="25340" xr:uid="{00000000-0005-0000-0000-0000CC320000}"/>
    <cellStyle name="40% - Accent2 13 2 6 3 2" xfId="49172" xr:uid="{6E8C2164-66CC-4881-9B2F-E6817CE0767A}"/>
    <cellStyle name="40% - Accent2 13 2 6 4" xfId="33295" xr:uid="{9F1D34FE-2508-48C2-8431-8D20E5B01668}"/>
    <cellStyle name="40% - Accent2 13 2 7" xfId="10334" xr:uid="{00000000-0005-0000-0000-0000CD320000}"/>
    <cellStyle name="40% - Accent2 13 2 7 2" xfId="34183" xr:uid="{755A2D31-103E-4888-B126-D882D01A8E22}"/>
    <cellStyle name="40% - Accent2 13 2 8" xfId="18289" xr:uid="{00000000-0005-0000-0000-0000CE320000}"/>
    <cellStyle name="40% - Accent2 13 2 8 2" xfId="42121" xr:uid="{C08A64F2-897F-4C24-BD2A-42DD6B898FDA}"/>
    <cellStyle name="40% - Accent2 13 2 9" xfId="26241" xr:uid="{67EFBA04-BBD8-4592-9B6F-EE2F73C24809}"/>
    <cellStyle name="40% - Accent2 13 2_Exh G" xfId="2827" xr:uid="{00000000-0005-0000-0000-0000CF320000}"/>
    <cellStyle name="40% - Accent2 13 3" xfId="394" xr:uid="{00000000-0005-0000-0000-0000D0320000}"/>
    <cellStyle name="40% - Accent2 13 3 2" xfId="1420" xr:uid="{00000000-0005-0000-0000-0000D1320000}"/>
    <cellStyle name="40% - Accent2 13 3 2 2" xfId="4947" xr:uid="{00000000-0005-0000-0000-0000D2320000}"/>
    <cellStyle name="40% - Accent2 13 3 2 2 2" xfId="8538" xr:uid="{00000000-0005-0000-0000-0000D3320000}"/>
    <cellStyle name="40% - Accent2 13 3 2 2 2 2" xfId="16508" xr:uid="{00000000-0005-0000-0000-0000D4320000}"/>
    <cellStyle name="40% - Accent2 13 3 2 2 2 2 2" xfId="40350" xr:uid="{115954FB-8CD3-4347-98C1-30733990E72D}"/>
    <cellStyle name="40% - Accent2 13 3 2 2 2 3" xfId="24454" xr:uid="{00000000-0005-0000-0000-0000D5320000}"/>
    <cellStyle name="40% - Accent2 13 3 2 2 2 3 2" xfId="48286" xr:uid="{740A36CF-1F1B-4F50-96A2-0556DB4209CB}"/>
    <cellStyle name="40% - Accent2 13 3 2 2 2 4" xfId="32409" xr:uid="{79F5FBFD-0F21-4DE5-953B-3C0ED99CF6A2}"/>
    <cellStyle name="40% - Accent2 13 3 2 2 3" xfId="12970" xr:uid="{00000000-0005-0000-0000-0000D6320000}"/>
    <cellStyle name="40% - Accent2 13 3 2 2 3 2" xfId="36819" xr:uid="{04A84C2B-E312-43DA-AF3D-11B0FABA806D}"/>
    <cellStyle name="40% - Accent2 13 3 2 2 4" xfId="20925" xr:uid="{00000000-0005-0000-0000-0000D7320000}"/>
    <cellStyle name="40% - Accent2 13 3 2 2 4 2" xfId="44757" xr:uid="{F9C4E746-E3C7-42F2-B636-EB94A78D821F}"/>
    <cellStyle name="40% - Accent2 13 3 2 2 5" xfId="28878" xr:uid="{C627E227-7150-4CF7-B273-6E91BD9593A7}"/>
    <cellStyle name="40% - Accent2 13 3 2 3" xfId="6779" xr:uid="{00000000-0005-0000-0000-0000D8320000}"/>
    <cellStyle name="40% - Accent2 13 3 2 3 2" xfId="14750" xr:uid="{00000000-0005-0000-0000-0000D9320000}"/>
    <cellStyle name="40% - Accent2 13 3 2 3 2 2" xfId="38592" xr:uid="{17799ABE-AE41-4CE6-87DA-BBEBF56D044A}"/>
    <cellStyle name="40% - Accent2 13 3 2 3 3" xfId="22697" xr:uid="{00000000-0005-0000-0000-0000DA320000}"/>
    <cellStyle name="40% - Accent2 13 3 2 3 3 2" xfId="46529" xr:uid="{F03BC369-E4DC-40E1-8BF4-FAA80F99D708}"/>
    <cellStyle name="40% - Accent2 13 3 2 3 4" xfId="30651" xr:uid="{A286A739-9A66-4788-A88E-5CE9ACF0B437}"/>
    <cellStyle name="40% - Accent2 13 3 2 4" xfId="11214" xr:uid="{00000000-0005-0000-0000-0000DB320000}"/>
    <cellStyle name="40% - Accent2 13 3 2 4 2" xfId="35063" xr:uid="{4907D354-234E-44B6-93CD-A44095972FA4}"/>
    <cellStyle name="40% - Accent2 13 3 2 5" xfId="19169" xr:uid="{00000000-0005-0000-0000-0000DC320000}"/>
    <cellStyle name="40% - Accent2 13 3 2 5 2" xfId="43001" xr:uid="{DAD27DDE-CCBF-4624-9972-55C40862427F}"/>
    <cellStyle name="40% - Accent2 13 3 2 6" xfId="27121" xr:uid="{2109049D-75CA-4CEA-97E4-64B2300943C1}"/>
    <cellStyle name="40% - Accent2 13 3 2_Exh G" xfId="2832" xr:uid="{00000000-0005-0000-0000-0000DD320000}"/>
    <cellStyle name="40% - Accent2 13 3 3" xfId="4068" xr:uid="{00000000-0005-0000-0000-0000DE320000}"/>
    <cellStyle name="40% - Accent2 13 3 3 2" xfId="7660" xr:uid="{00000000-0005-0000-0000-0000DF320000}"/>
    <cellStyle name="40% - Accent2 13 3 3 2 2" xfId="15630" xr:uid="{00000000-0005-0000-0000-0000E0320000}"/>
    <cellStyle name="40% - Accent2 13 3 3 2 2 2" xfId="39472" xr:uid="{65644F0A-800B-465B-B171-259BD6A1BF3B}"/>
    <cellStyle name="40% - Accent2 13 3 3 2 3" xfId="23576" xr:uid="{00000000-0005-0000-0000-0000E1320000}"/>
    <cellStyle name="40% - Accent2 13 3 3 2 3 2" xfId="47408" xr:uid="{B75392EE-CF70-41EE-A9AA-EF43942C90BD}"/>
    <cellStyle name="40% - Accent2 13 3 3 2 4" xfId="31531" xr:uid="{CE1FBAF0-C3CA-49E0-B514-5EA694C5F792}"/>
    <cellStyle name="40% - Accent2 13 3 3 3" xfId="12092" xr:uid="{00000000-0005-0000-0000-0000E2320000}"/>
    <cellStyle name="40% - Accent2 13 3 3 3 2" xfId="35941" xr:uid="{C60D4092-5A24-424D-8C63-93DD14869C8F}"/>
    <cellStyle name="40% - Accent2 13 3 3 4" xfId="20047" xr:uid="{00000000-0005-0000-0000-0000E3320000}"/>
    <cellStyle name="40% - Accent2 13 3 3 4 2" xfId="43879" xr:uid="{54BCD3EA-BF45-44AA-8FC6-E790521A926A}"/>
    <cellStyle name="40% - Accent2 13 3 3 5" xfId="28000" xr:uid="{C2BCDB90-1326-405F-B71C-A9467CF130CF}"/>
    <cellStyle name="40% - Accent2 13 3 4" xfId="5888" xr:uid="{00000000-0005-0000-0000-0000E4320000}"/>
    <cellStyle name="40% - Accent2 13 3 4 2" xfId="13871" xr:uid="{00000000-0005-0000-0000-0000E5320000}"/>
    <cellStyle name="40% - Accent2 13 3 4 2 2" xfId="37714" xr:uid="{A26F2504-A6CD-4059-B397-80A5A28018C4}"/>
    <cellStyle name="40% - Accent2 13 3 4 3" xfId="21819" xr:uid="{00000000-0005-0000-0000-0000E6320000}"/>
    <cellStyle name="40% - Accent2 13 3 4 3 2" xfId="45651" xr:uid="{397542D3-B62B-42FD-9BB9-8FC6138094F6}"/>
    <cellStyle name="40% - Accent2 13 3 4 4" xfId="29773" xr:uid="{A8D582E7-4846-42D6-A173-7759EB3B3D0E}"/>
    <cellStyle name="40% - Accent2 13 3 5" xfId="9440" xr:uid="{00000000-0005-0000-0000-0000E7320000}"/>
    <cellStyle name="40% - Accent2 13 3 5 2" xfId="17398" xr:uid="{00000000-0005-0000-0000-0000E8320000}"/>
    <cellStyle name="40% - Accent2 13 3 5 2 2" xfId="41238" xr:uid="{80CF0E9A-65B8-4BC6-8B92-072E8E95DE04}"/>
    <cellStyle name="40% - Accent2 13 3 5 3" xfId="25342" xr:uid="{00000000-0005-0000-0000-0000E9320000}"/>
    <cellStyle name="40% - Accent2 13 3 5 3 2" xfId="49174" xr:uid="{23FA79CA-36A5-465C-99C9-D63C96CD1BC8}"/>
    <cellStyle name="40% - Accent2 13 3 5 4" xfId="33297" xr:uid="{9C8F76C9-CC1F-46E8-B392-E074CBA18AC8}"/>
    <cellStyle name="40% - Accent2 13 3 6" xfId="10336" xr:uid="{00000000-0005-0000-0000-0000EA320000}"/>
    <cellStyle name="40% - Accent2 13 3 6 2" xfId="34185" xr:uid="{2C37FEB6-FD77-427D-A496-4710872CC943}"/>
    <cellStyle name="40% - Accent2 13 3 7" xfId="18291" xr:uid="{00000000-0005-0000-0000-0000EB320000}"/>
    <cellStyle name="40% - Accent2 13 3 7 2" xfId="42123" xr:uid="{FF61D243-04B6-4A8D-9D7B-37F3054C7199}"/>
    <cellStyle name="40% - Accent2 13 3 8" xfId="26243" xr:uid="{CD2CBA4B-E086-445F-8324-84CB20578AA3}"/>
    <cellStyle name="40% - Accent2 13 3_Exh G" xfId="2831" xr:uid="{00000000-0005-0000-0000-0000EC320000}"/>
    <cellStyle name="40% - Accent2 13 4" xfId="1417" xr:uid="{00000000-0005-0000-0000-0000ED320000}"/>
    <cellStyle name="40% - Accent2 13 4 2" xfId="4944" xr:uid="{00000000-0005-0000-0000-0000EE320000}"/>
    <cellStyle name="40% - Accent2 13 4 2 2" xfId="8535" xr:uid="{00000000-0005-0000-0000-0000EF320000}"/>
    <cellStyle name="40% - Accent2 13 4 2 2 2" xfId="16505" xr:uid="{00000000-0005-0000-0000-0000F0320000}"/>
    <cellStyle name="40% - Accent2 13 4 2 2 2 2" xfId="40347" xr:uid="{F44CFB28-8B8E-4495-97DA-C97FBD4B36B4}"/>
    <cellStyle name="40% - Accent2 13 4 2 2 3" xfId="24451" xr:uid="{00000000-0005-0000-0000-0000F1320000}"/>
    <cellStyle name="40% - Accent2 13 4 2 2 3 2" xfId="48283" xr:uid="{9071A79C-7403-42E3-8B5C-B4D75B44E8D6}"/>
    <cellStyle name="40% - Accent2 13 4 2 2 4" xfId="32406" xr:uid="{3A686A56-AAA5-45F8-A640-D63910460131}"/>
    <cellStyle name="40% - Accent2 13 4 2 3" xfId="12967" xr:uid="{00000000-0005-0000-0000-0000F2320000}"/>
    <cellStyle name="40% - Accent2 13 4 2 3 2" xfId="36816" xr:uid="{33FC6731-971B-40AB-A03C-CD73828DD9F8}"/>
    <cellStyle name="40% - Accent2 13 4 2 4" xfId="20922" xr:uid="{00000000-0005-0000-0000-0000F3320000}"/>
    <cellStyle name="40% - Accent2 13 4 2 4 2" xfId="44754" xr:uid="{EFC9A43D-0133-4B4D-BF5D-5417FA7FFEE3}"/>
    <cellStyle name="40% - Accent2 13 4 2 5" xfId="28875" xr:uid="{7DF16267-7591-456A-B5A5-B1FBD21E5B6D}"/>
    <cellStyle name="40% - Accent2 13 4 3" xfId="6776" xr:uid="{00000000-0005-0000-0000-0000F4320000}"/>
    <cellStyle name="40% - Accent2 13 4 3 2" xfId="14747" xr:uid="{00000000-0005-0000-0000-0000F5320000}"/>
    <cellStyle name="40% - Accent2 13 4 3 2 2" xfId="38589" xr:uid="{5D2D2E30-E268-4B3B-B302-2C0AE39E4874}"/>
    <cellStyle name="40% - Accent2 13 4 3 3" xfId="22694" xr:uid="{00000000-0005-0000-0000-0000F6320000}"/>
    <cellStyle name="40% - Accent2 13 4 3 3 2" xfId="46526" xr:uid="{F820D9CA-046A-475D-AE3E-F5F83CC284AC}"/>
    <cellStyle name="40% - Accent2 13 4 3 4" xfId="30648" xr:uid="{62A0F472-FED2-4D02-9417-7305D72CF25A}"/>
    <cellStyle name="40% - Accent2 13 4 4" xfId="11211" xr:uid="{00000000-0005-0000-0000-0000F7320000}"/>
    <cellStyle name="40% - Accent2 13 4 4 2" xfId="35060" xr:uid="{FE77C8F0-D7BA-4547-BEF9-C2667FB54EA2}"/>
    <cellStyle name="40% - Accent2 13 4 5" xfId="19166" xr:uid="{00000000-0005-0000-0000-0000F8320000}"/>
    <cellStyle name="40% - Accent2 13 4 5 2" xfId="42998" xr:uid="{D0D698AB-2D0F-46B7-AB22-9B27518AEC1A}"/>
    <cellStyle name="40% - Accent2 13 4 6" xfId="27118" xr:uid="{D489F114-F684-4888-90D3-B00508219D5E}"/>
    <cellStyle name="40% - Accent2 13 4_Exh G" xfId="2833" xr:uid="{00000000-0005-0000-0000-0000F9320000}"/>
    <cellStyle name="40% - Accent2 13 5" xfId="4065" xr:uid="{00000000-0005-0000-0000-0000FA320000}"/>
    <cellStyle name="40% - Accent2 13 5 2" xfId="7657" xr:uid="{00000000-0005-0000-0000-0000FB320000}"/>
    <cellStyle name="40% - Accent2 13 5 2 2" xfId="15627" xr:uid="{00000000-0005-0000-0000-0000FC320000}"/>
    <cellStyle name="40% - Accent2 13 5 2 2 2" xfId="39469" xr:uid="{B6C3E0F4-8C4A-4D78-B143-0ECFBBCAD1A7}"/>
    <cellStyle name="40% - Accent2 13 5 2 3" xfId="23573" xr:uid="{00000000-0005-0000-0000-0000FD320000}"/>
    <cellStyle name="40% - Accent2 13 5 2 3 2" xfId="47405" xr:uid="{49A6A795-F6BE-4970-9EA6-2254AB0820C6}"/>
    <cellStyle name="40% - Accent2 13 5 2 4" xfId="31528" xr:uid="{D49F4824-76CC-4441-9DF4-E8D776A49BD2}"/>
    <cellStyle name="40% - Accent2 13 5 3" xfId="12089" xr:uid="{00000000-0005-0000-0000-0000FE320000}"/>
    <cellStyle name="40% - Accent2 13 5 3 2" xfId="35938" xr:uid="{9BEFA9F1-6667-4297-B7A0-86154C9D30FC}"/>
    <cellStyle name="40% - Accent2 13 5 4" xfId="20044" xr:uid="{00000000-0005-0000-0000-0000FF320000}"/>
    <cellStyle name="40% - Accent2 13 5 4 2" xfId="43876" xr:uid="{2EEDF8C8-6CD1-4568-9CE6-E4ABD02A60F4}"/>
    <cellStyle name="40% - Accent2 13 5 5" xfId="27997" xr:uid="{416E08A6-ABCB-43CF-A98F-446471906BA0}"/>
    <cellStyle name="40% - Accent2 13 6" xfId="5885" xr:uid="{00000000-0005-0000-0000-000000330000}"/>
    <cellStyle name="40% - Accent2 13 6 2" xfId="13868" xr:uid="{00000000-0005-0000-0000-000001330000}"/>
    <cellStyle name="40% - Accent2 13 6 2 2" xfId="37711" xr:uid="{E2E4BA15-54FD-4CD8-AA39-F49ACA0567FD}"/>
    <cellStyle name="40% - Accent2 13 6 3" xfId="21816" xr:uid="{00000000-0005-0000-0000-000002330000}"/>
    <cellStyle name="40% - Accent2 13 6 3 2" xfId="45648" xr:uid="{7113E17D-1EB3-4022-AC34-AC4D7C981AD9}"/>
    <cellStyle name="40% - Accent2 13 6 4" xfId="29770" xr:uid="{34ED8C80-F8E8-448C-893D-FF1D1D8C3A03}"/>
    <cellStyle name="40% - Accent2 13 7" xfId="9437" xr:uid="{00000000-0005-0000-0000-000003330000}"/>
    <cellStyle name="40% - Accent2 13 7 2" xfId="17395" xr:uid="{00000000-0005-0000-0000-000004330000}"/>
    <cellStyle name="40% - Accent2 13 7 2 2" xfId="41235" xr:uid="{E54E1310-6FC9-4A39-99B2-D571DF995EBA}"/>
    <cellStyle name="40% - Accent2 13 7 3" xfId="25339" xr:uid="{00000000-0005-0000-0000-000005330000}"/>
    <cellStyle name="40% - Accent2 13 7 3 2" xfId="49171" xr:uid="{7705D7A3-EE63-485C-BA22-57BD200A7A2C}"/>
    <cellStyle name="40% - Accent2 13 7 4" xfId="33294" xr:uid="{51A046C9-26D3-4A56-8E62-3AB6406AC120}"/>
    <cellStyle name="40% - Accent2 13 8" xfId="10333" xr:uid="{00000000-0005-0000-0000-000006330000}"/>
    <cellStyle name="40% - Accent2 13 8 2" xfId="34182" xr:uid="{51129DBE-1CEB-4CFF-B2DA-3468A3002CEE}"/>
    <cellStyle name="40% - Accent2 13 9" xfId="18288" xr:uid="{00000000-0005-0000-0000-000007330000}"/>
    <cellStyle name="40% - Accent2 13 9 2" xfId="42120" xr:uid="{76FCAA12-B105-4077-9587-09DAA039EB07}"/>
    <cellStyle name="40% - Accent2 13_Exh G" xfId="2826" xr:uid="{00000000-0005-0000-0000-000008330000}"/>
    <cellStyle name="40% - Accent2 14" xfId="395" xr:uid="{00000000-0005-0000-0000-000009330000}"/>
    <cellStyle name="40% - Accent2 14 2" xfId="396" xr:uid="{00000000-0005-0000-0000-00000A330000}"/>
    <cellStyle name="40% - Accent2 14 2 2" xfId="1422" xr:uid="{00000000-0005-0000-0000-00000B330000}"/>
    <cellStyle name="40% - Accent2 14 2 2 2" xfId="4949" xr:uid="{00000000-0005-0000-0000-00000C330000}"/>
    <cellStyle name="40% - Accent2 14 2 2 2 2" xfId="8540" xr:uid="{00000000-0005-0000-0000-00000D330000}"/>
    <cellStyle name="40% - Accent2 14 2 2 2 2 2" xfId="16510" xr:uid="{00000000-0005-0000-0000-00000E330000}"/>
    <cellStyle name="40% - Accent2 14 2 2 2 2 2 2" xfId="40352" xr:uid="{5BCD6900-64B0-4F4B-95A9-FCC0F57E9969}"/>
    <cellStyle name="40% - Accent2 14 2 2 2 2 3" xfId="24456" xr:uid="{00000000-0005-0000-0000-00000F330000}"/>
    <cellStyle name="40% - Accent2 14 2 2 2 2 3 2" xfId="48288" xr:uid="{D3B1FF6B-5FA7-4461-A854-281162470E7C}"/>
    <cellStyle name="40% - Accent2 14 2 2 2 2 4" xfId="32411" xr:uid="{AAF4CFB9-9656-45E1-AC35-EDDB14520AC3}"/>
    <cellStyle name="40% - Accent2 14 2 2 2 3" xfId="12972" xr:uid="{00000000-0005-0000-0000-000010330000}"/>
    <cellStyle name="40% - Accent2 14 2 2 2 3 2" xfId="36821" xr:uid="{06E517E7-6317-4A18-A89D-C28EFFBF0CC8}"/>
    <cellStyle name="40% - Accent2 14 2 2 2 4" xfId="20927" xr:uid="{00000000-0005-0000-0000-000011330000}"/>
    <cellStyle name="40% - Accent2 14 2 2 2 4 2" xfId="44759" xr:uid="{8CA2056E-E24E-47F1-A435-12315F1C5E5F}"/>
    <cellStyle name="40% - Accent2 14 2 2 2 5" xfId="28880" xr:uid="{EF6F0859-DDB1-4354-A339-018B74145450}"/>
    <cellStyle name="40% - Accent2 14 2 2 3" xfId="6781" xr:uid="{00000000-0005-0000-0000-000012330000}"/>
    <cellStyle name="40% - Accent2 14 2 2 3 2" xfId="14752" xr:uid="{00000000-0005-0000-0000-000013330000}"/>
    <cellStyle name="40% - Accent2 14 2 2 3 2 2" xfId="38594" xr:uid="{CBBB4017-BD98-4565-A294-73C620B84FA2}"/>
    <cellStyle name="40% - Accent2 14 2 2 3 3" xfId="22699" xr:uid="{00000000-0005-0000-0000-000014330000}"/>
    <cellStyle name="40% - Accent2 14 2 2 3 3 2" xfId="46531" xr:uid="{1CA40BE3-AD7C-4C6E-B0B4-69A6885CEEF7}"/>
    <cellStyle name="40% - Accent2 14 2 2 3 4" xfId="30653" xr:uid="{25B75122-C144-4991-BC74-B13A7319ED8D}"/>
    <cellStyle name="40% - Accent2 14 2 2 4" xfId="11216" xr:uid="{00000000-0005-0000-0000-000015330000}"/>
    <cellStyle name="40% - Accent2 14 2 2 4 2" xfId="35065" xr:uid="{E408DE37-7CDE-4AC1-AF63-0F1473542789}"/>
    <cellStyle name="40% - Accent2 14 2 2 5" xfId="19171" xr:uid="{00000000-0005-0000-0000-000016330000}"/>
    <cellStyle name="40% - Accent2 14 2 2 5 2" xfId="43003" xr:uid="{2AE498A1-3F5D-42BF-9FEF-F6E2DA5B207C}"/>
    <cellStyle name="40% - Accent2 14 2 2 6" xfId="27123" xr:uid="{2A937D53-9D42-48E6-98B3-EB6E9F201EDF}"/>
    <cellStyle name="40% - Accent2 14 2 2_Exh G" xfId="2836" xr:uid="{00000000-0005-0000-0000-000017330000}"/>
    <cellStyle name="40% - Accent2 14 2 3" xfId="4070" xr:uid="{00000000-0005-0000-0000-000018330000}"/>
    <cellStyle name="40% - Accent2 14 2 3 2" xfId="7662" xr:uid="{00000000-0005-0000-0000-000019330000}"/>
    <cellStyle name="40% - Accent2 14 2 3 2 2" xfId="15632" xr:uid="{00000000-0005-0000-0000-00001A330000}"/>
    <cellStyle name="40% - Accent2 14 2 3 2 2 2" xfId="39474" xr:uid="{33CBE5A2-E569-43E3-A79D-61DDE748089B}"/>
    <cellStyle name="40% - Accent2 14 2 3 2 3" xfId="23578" xr:uid="{00000000-0005-0000-0000-00001B330000}"/>
    <cellStyle name="40% - Accent2 14 2 3 2 3 2" xfId="47410" xr:uid="{3A83C96F-68A3-4C1D-8215-FBED9607F9F7}"/>
    <cellStyle name="40% - Accent2 14 2 3 2 4" xfId="31533" xr:uid="{5155371B-71F7-4E70-BFEF-593D2F66C3B5}"/>
    <cellStyle name="40% - Accent2 14 2 3 3" xfId="12094" xr:uid="{00000000-0005-0000-0000-00001C330000}"/>
    <cellStyle name="40% - Accent2 14 2 3 3 2" xfId="35943" xr:uid="{D3F8FA12-B286-477E-8BD5-19FA369ED405}"/>
    <cellStyle name="40% - Accent2 14 2 3 4" xfId="20049" xr:uid="{00000000-0005-0000-0000-00001D330000}"/>
    <cellStyle name="40% - Accent2 14 2 3 4 2" xfId="43881" xr:uid="{3187B58E-4DE1-4409-816B-E335571B8331}"/>
    <cellStyle name="40% - Accent2 14 2 3 5" xfId="28002" xr:uid="{F0117494-93D6-4DD2-8A4D-77C3382965F6}"/>
    <cellStyle name="40% - Accent2 14 2 4" xfId="5890" xr:uid="{00000000-0005-0000-0000-00001E330000}"/>
    <cellStyle name="40% - Accent2 14 2 4 2" xfId="13873" xr:uid="{00000000-0005-0000-0000-00001F330000}"/>
    <cellStyle name="40% - Accent2 14 2 4 2 2" xfId="37716" xr:uid="{F7A9EE28-90B5-43B6-A6B8-47845CDFEDFC}"/>
    <cellStyle name="40% - Accent2 14 2 4 3" xfId="21821" xr:uid="{00000000-0005-0000-0000-000020330000}"/>
    <cellStyle name="40% - Accent2 14 2 4 3 2" xfId="45653" xr:uid="{90CC8162-9423-4A46-9B99-D3ECF1268FE7}"/>
    <cellStyle name="40% - Accent2 14 2 4 4" xfId="29775" xr:uid="{E7F73187-6A3F-4D46-8594-9CA4BDBAD683}"/>
    <cellStyle name="40% - Accent2 14 2 5" xfId="9442" xr:uid="{00000000-0005-0000-0000-000021330000}"/>
    <cellStyle name="40% - Accent2 14 2 5 2" xfId="17400" xr:uid="{00000000-0005-0000-0000-000022330000}"/>
    <cellStyle name="40% - Accent2 14 2 5 2 2" xfId="41240" xr:uid="{C89F7B87-6562-44B5-915D-080971FCABB9}"/>
    <cellStyle name="40% - Accent2 14 2 5 3" xfId="25344" xr:uid="{00000000-0005-0000-0000-000023330000}"/>
    <cellStyle name="40% - Accent2 14 2 5 3 2" xfId="49176" xr:uid="{D3E5D7BF-657B-432B-9E00-4C7F952E6C36}"/>
    <cellStyle name="40% - Accent2 14 2 5 4" xfId="33299" xr:uid="{846ABE02-D305-40A5-9E85-D28DE4E30652}"/>
    <cellStyle name="40% - Accent2 14 2 6" xfId="10338" xr:uid="{00000000-0005-0000-0000-000024330000}"/>
    <cellStyle name="40% - Accent2 14 2 6 2" xfId="34187" xr:uid="{D52227BB-BA41-4E98-9789-A2B3FB8A8264}"/>
    <cellStyle name="40% - Accent2 14 2 7" xfId="18293" xr:uid="{00000000-0005-0000-0000-000025330000}"/>
    <cellStyle name="40% - Accent2 14 2 7 2" xfId="42125" xr:uid="{EB762E25-1B3E-4C1B-AEE8-368B4465636D}"/>
    <cellStyle name="40% - Accent2 14 2 8" xfId="26245" xr:uid="{F032B6F2-417B-46C7-9442-181265A35095}"/>
    <cellStyle name="40% - Accent2 14 2_Exh G" xfId="2835" xr:uid="{00000000-0005-0000-0000-000026330000}"/>
    <cellStyle name="40% - Accent2 14 3" xfId="1421" xr:uid="{00000000-0005-0000-0000-000027330000}"/>
    <cellStyle name="40% - Accent2 14 3 2" xfId="4948" xr:uid="{00000000-0005-0000-0000-000028330000}"/>
    <cellStyle name="40% - Accent2 14 3 2 2" xfId="8539" xr:uid="{00000000-0005-0000-0000-000029330000}"/>
    <cellStyle name="40% - Accent2 14 3 2 2 2" xfId="16509" xr:uid="{00000000-0005-0000-0000-00002A330000}"/>
    <cellStyle name="40% - Accent2 14 3 2 2 2 2" xfId="40351" xr:uid="{622DB176-5096-487D-92DC-DD1E2732CCED}"/>
    <cellStyle name="40% - Accent2 14 3 2 2 3" xfId="24455" xr:uid="{00000000-0005-0000-0000-00002B330000}"/>
    <cellStyle name="40% - Accent2 14 3 2 2 3 2" xfId="48287" xr:uid="{EF0C8C9A-CB5E-4B9F-9D8B-3E3D7988B320}"/>
    <cellStyle name="40% - Accent2 14 3 2 2 4" xfId="32410" xr:uid="{FFD52264-D402-4870-A0B2-6C7F2F1FDB0A}"/>
    <cellStyle name="40% - Accent2 14 3 2 3" xfId="12971" xr:uid="{00000000-0005-0000-0000-00002C330000}"/>
    <cellStyle name="40% - Accent2 14 3 2 3 2" xfId="36820" xr:uid="{EC51033A-20EA-4886-917E-D2BB5C2292F8}"/>
    <cellStyle name="40% - Accent2 14 3 2 4" xfId="20926" xr:uid="{00000000-0005-0000-0000-00002D330000}"/>
    <cellStyle name="40% - Accent2 14 3 2 4 2" xfId="44758" xr:uid="{99ADF378-F8C2-47C4-B8CA-DEBA2085AFB1}"/>
    <cellStyle name="40% - Accent2 14 3 2 5" xfId="28879" xr:uid="{F58B32F6-CD11-4E98-B5B6-1F028035A9E8}"/>
    <cellStyle name="40% - Accent2 14 3 3" xfId="6780" xr:uid="{00000000-0005-0000-0000-00002E330000}"/>
    <cellStyle name="40% - Accent2 14 3 3 2" xfId="14751" xr:uid="{00000000-0005-0000-0000-00002F330000}"/>
    <cellStyle name="40% - Accent2 14 3 3 2 2" xfId="38593" xr:uid="{B151DCC5-E065-4684-9339-D9C1767299E7}"/>
    <cellStyle name="40% - Accent2 14 3 3 3" xfId="22698" xr:uid="{00000000-0005-0000-0000-000030330000}"/>
    <cellStyle name="40% - Accent2 14 3 3 3 2" xfId="46530" xr:uid="{559C8068-AD02-4B51-BFC9-8F6A7CA168B5}"/>
    <cellStyle name="40% - Accent2 14 3 3 4" xfId="30652" xr:uid="{EDA31C9C-0777-4FD1-9B72-45A1619B3DF7}"/>
    <cellStyle name="40% - Accent2 14 3 4" xfId="11215" xr:uid="{00000000-0005-0000-0000-000031330000}"/>
    <cellStyle name="40% - Accent2 14 3 4 2" xfId="35064" xr:uid="{2A1C0570-67D7-4319-AB5D-5C10A1373B01}"/>
    <cellStyle name="40% - Accent2 14 3 5" xfId="19170" xr:uid="{00000000-0005-0000-0000-000032330000}"/>
    <cellStyle name="40% - Accent2 14 3 5 2" xfId="43002" xr:uid="{CC3D39BD-134E-4FD5-9309-0AC960A9BE31}"/>
    <cellStyle name="40% - Accent2 14 3 6" xfId="27122" xr:uid="{55990E36-8A6F-446B-9079-FBC9FD2A0BB7}"/>
    <cellStyle name="40% - Accent2 14 3_Exh G" xfId="2837" xr:uid="{00000000-0005-0000-0000-000033330000}"/>
    <cellStyle name="40% - Accent2 14 4" xfId="4069" xr:uid="{00000000-0005-0000-0000-000034330000}"/>
    <cellStyle name="40% - Accent2 14 4 2" xfId="7661" xr:uid="{00000000-0005-0000-0000-000035330000}"/>
    <cellStyle name="40% - Accent2 14 4 2 2" xfId="15631" xr:uid="{00000000-0005-0000-0000-000036330000}"/>
    <cellStyle name="40% - Accent2 14 4 2 2 2" xfId="39473" xr:uid="{C8E9A2AD-F311-423C-A5CD-4CE7986D976C}"/>
    <cellStyle name="40% - Accent2 14 4 2 3" xfId="23577" xr:uid="{00000000-0005-0000-0000-000037330000}"/>
    <cellStyle name="40% - Accent2 14 4 2 3 2" xfId="47409" xr:uid="{CE654F12-F8AF-44D7-A29F-3CEE66FB90A0}"/>
    <cellStyle name="40% - Accent2 14 4 2 4" xfId="31532" xr:uid="{437A25C4-7DD5-4055-B29D-04BBCB5730B1}"/>
    <cellStyle name="40% - Accent2 14 4 3" xfId="12093" xr:uid="{00000000-0005-0000-0000-000038330000}"/>
    <cellStyle name="40% - Accent2 14 4 3 2" xfId="35942" xr:uid="{EA55A769-1960-40D1-8B7F-09A511392233}"/>
    <cellStyle name="40% - Accent2 14 4 4" xfId="20048" xr:uid="{00000000-0005-0000-0000-000039330000}"/>
    <cellStyle name="40% - Accent2 14 4 4 2" xfId="43880" xr:uid="{8BFF4497-0623-4846-87C1-027B321BC0BB}"/>
    <cellStyle name="40% - Accent2 14 4 5" xfId="28001" xr:uid="{339E766F-B9C1-493A-8FF1-18A56A93CCDA}"/>
    <cellStyle name="40% - Accent2 14 5" xfId="5889" xr:uid="{00000000-0005-0000-0000-00003A330000}"/>
    <cellStyle name="40% - Accent2 14 5 2" xfId="13872" xr:uid="{00000000-0005-0000-0000-00003B330000}"/>
    <cellStyle name="40% - Accent2 14 5 2 2" xfId="37715" xr:uid="{3A47972C-0B5B-4EF2-8345-C985FD32522F}"/>
    <cellStyle name="40% - Accent2 14 5 3" xfId="21820" xr:uid="{00000000-0005-0000-0000-00003C330000}"/>
    <cellStyle name="40% - Accent2 14 5 3 2" xfId="45652" xr:uid="{B7BBA4F2-462B-4F65-B4CD-7F2477CF7957}"/>
    <cellStyle name="40% - Accent2 14 5 4" xfId="29774" xr:uid="{807FFC79-23B6-4729-9E4D-8FA680160BC0}"/>
    <cellStyle name="40% - Accent2 14 6" xfId="9441" xr:uid="{00000000-0005-0000-0000-00003D330000}"/>
    <cellStyle name="40% - Accent2 14 6 2" xfId="17399" xr:uid="{00000000-0005-0000-0000-00003E330000}"/>
    <cellStyle name="40% - Accent2 14 6 2 2" xfId="41239" xr:uid="{593593EF-3E24-4904-BB3E-3AE7DF45B7C7}"/>
    <cellStyle name="40% - Accent2 14 6 3" xfId="25343" xr:uid="{00000000-0005-0000-0000-00003F330000}"/>
    <cellStyle name="40% - Accent2 14 6 3 2" xfId="49175" xr:uid="{A81ECAC8-E146-425B-A675-9152A5725A26}"/>
    <cellStyle name="40% - Accent2 14 6 4" xfId="33298" xr:uid="{B7A2F412-C2F1-415A-8A90-FB37EF2098E5}"/>
    <cellStyle name="40% - Accent2 14 7" xfId="10337" xr:uid="{00000000-0005-0000-0000-000040330000}"/>
    <cellStyle name="40% - Accent2 14 7 2" xfId="34186" xr:uid="{FE56F25D-B69F-4E9A-A676-C45975E7F909}"/>
    <cellStyle name="40% - Accent2 14 8" xfId="18292" xr:uid="{00000000-0005-0000-0000-000041330000}"/>
    <cellStyle name="40% - Accent2 14 8 2" xfId="42124" xr:uid="{A6E5846C-BA29-42BC-9FC5-36854BDD3E42}"/>
    <cellStyle name="40% - Accent2 14 9" xfId="26244" xr:uid="{D84C2C7E-360A-4A1A-BC60-A5461E1B812A}"/>
    <cellStyle name="40% - Accent2 14_Exh G" xfId="2834" xr:uid="{00000000-0005-0000-0000-000042330000}"/>
    <cellStyle name="40% - Accent2 15" xfId="397" xr:uid="{00000000-0005-0000-0000-000043330000}"/>
    <cellStyle name="40% - Accent2 15 2" xfId="1423" xr:uid="{00000000-0005-0000-0000-000044330000}"/>
    <cellStyle name="40% - Accent2 15 2 2" xfId="4950" xr:uid="{00000000-0005-0000-0000-000045330000}"/>
    <cellStyle name="40% - Accent2 15 2 2 2" xfId="8541" xr:uid="{00000000-0005-0000-0000-000046330000}"/>
    <cellStyle name="40% - Accent2 15 2 2 2 2" xfId="16511" xr:uid="{00000000-0005-0000-0000-000047330000}"/>
    <cellStyle name="40% - Accent2 15 2 2 2 2 2" xfId="40353" xr:uid="{BBD629FC-1D4B-40B7-963F-D8BE6B56D2B7}"/>
    <cellStyle name="40% - Accent2 15 2 2 2 3" xfId="24457" xr:uid="{00000000-0005-0000-0000-000048330000}"/>
    <cellStyle name="40% - Accent2 15 2 2 2 3 2" xfId="48289" xr:uid="{FA710B56-7A62-4035-9DE7-F1C8907232B2}"/>
    <cellStyle name="40% - Accent2 15 2 2 2 4" xfId="32412" xr:uid="{3C52763E-3743-46FF-B561-F189190F9BB0}"/>
    <cellStyle name="40% - Accent2 15 2 2 3" xfId="12973" xr:uid="{00000000-0005-0000-0000-000049330000}"/>
    <cellStyle name="40% - Accent2 15 2 2 3 2" xfId="36822" xr:uid="{58671501-D65A-42AF-91F2-3ED187829A5A}"/>
    <cellStyle name="40% - Accent2 15 2 2 4" xfId="20928" xr:uid="{00000000-0005-0000-0000-00004A330000}"/>
    <cellStyle name="40% - Accent2 15 2 2 4 2" xfId="44760" xr:uid="{73D6F0D4-67A4-4629-974B-99AFCCD3D012}"/>
    <cellStyle name="40% - Accent2 15 2 2 5" xfId="28881" xr:uid="{4401E994-E647-4D19-8002-00C75633A2D5}"/>
    <cellStyle name="40% - Accent2 15 2 3" xfId="6782" xr:uid="{00000000-0005-0000-0000-00004B330000}"/>
    <cellStyle name="40% - Accent2 15 2 3 2" xfId="14753" xr:uid="{00000000-0005-0000-0000-00004C330000}"/>
    <cellStyle name="40% - Accent2 15 2 3 2 2" xfId="38595" xr:uid="{82E83214-415C-467F-BFE1-113304F01C3A}"/>
    <cellStyle name="40% - Accent2 15 2 3 3" xfId="22700" xr:uid="{00000000-0005-0000-0000-00004D330000}"/>
    <cellStyle name="40% - Accent2 15 2 3 3 2" xfId="46532" xr:uid="{E57D98E2-19BC-49DF-B4C4-E6F96E4D2ABE}"/>
    <cellStyle name="40% - Accent2 15 2 3 4" xfId="30654" xr:uid="{2668F8E7-E11D-4099-8F1E-B482C32DBD5E}"/>
    <cellStyle name="40% - Accent2 15 2 4" xfId="11217" xr:uid="{00000000-0005-0000-0000-00004E330000}"/>
    <cellStyle name="40% - Accent2 15 2 4 2" xfId="35066" xr:uid="{BF86416A-1381-4F8E-88CB-AC3162787038}"/>
    <cellStyle name="40% - Accent2 15 2 5" xfId="19172" xr:uid="{00000000-0005-0000-0000-00004F330000}"/>
    <cellStyle name="40% - Accent2 15 2 5 2" xfId="43004" xr:uid="{977CFF5C-2C24-46AF-A437-A9F447BF0875}"/>
    <cellStyle name="40% - Accent2 15 2 6" xfId="27124" xr:uid="{CA2CE4AD-3447-48B6-803F-5381D6768C93}"/>
    <cellStyle name="40% - Accent2 15 2_Exh G" xfId="2839" xr:uid="{00000000-0005-0000-0000-000050330000}"/>
    <cellStyle name="40% - Accent2 15 3" xfId="4071" xr:uid="{00000000-0005-0000-0000-000051330000}"/>
    <cellStyle name="40% - Accent2 15 3 2" xfId="7663" xr:uid="{00000000-0005-0000-0000-000052330000}"/>
    <cellStyle name="40% - Accent2 15 3 2 2" xfId="15633" xr:uid="{00000000-0005-0000-0000-000053330000}"/>
    <cellStyle name="40% - Accent2 15 3 2 2 2" xfId="39475" xr:uid="{A9DD2CAE-B0CE-4AE4-832F-E521A1DBD7D8}"/>
    <cellStyle name="40% - Accent2 15 3 2 3" xfId="23579" xr:uid="{00000000-0005-0000-0000-000054330000}"/>
    <cellStyle name="40% - Accent2 15 3 2 3 2" xfId="47411" xr:uid="{1728C54A-C708-465D-88B7-56D3126D99F1}"/>
    <cellStyle name="40% - Accent2 15 3 2 4" xfId="31534" xr:uid="{A07F3ED7-BAD4-4FF1-9503-3676140D721F}"/>
    <cellStyle name="40% - Accent2 15 3 3" xfId="12095" xr:uid="{00000000-0005-0000-0000-000055330000}"/>
    <cellStyle name="40% - Accent2 15 3 3 2" xfId="35944" xr:uid="{3B696EAC-3C1F-4923-B020-0F0EA57F9FE6}"/>
    <cellStyle name="40% - Accent2 15 3 4" xfId="20050" xr:uid="{00000000-0005-0000-0000-000056330000}"/>
    <cellStyle name="40% - Accent2 15 3 4 2" xfId="43882" xr:uid="{87FAE86E-871C-4E18-847B-C9AA3A58C5D1}"/>
    <cellStyle name="40% - Accent2 15 3 5" xfId="28003" xr:uid="{B562DE6E-F1EB-4028-86E2-FF3C95A73714}"/>
    <cellStyle name="40% - Accent2 15 4" xfId="5891" xr:uid="{00000000-0005-0000-0000-000057330000}"/>
    <cellStyle name="40% - Accent2 15 4 2" xfId="13874" xr:uid="{00000000-0005-0000-0000-000058330000}"/>
    <cellStyle name="40% - Accent2 15 4 2 2" xfId="37717" xr:uid="{2ACFF2D9-221C-4FEF-93D6-1048B402A7E5}"/>
    <cellStyle name="40% - Accent2 15 4 3" xfId="21822" xr:uid="{00000000-0005-0000-0000-000059330000}"/>
    <cellStyle name="40% - Accent2 15 4 3 2" xfId="45654" xr:uid="{D7A749E6-B0E0-4631-B1D8-16A8F555ED62}"/>
    <cellStyle name="40% - Accent2 15 4 4" xfId="29776" xr:uid="{ABFBEC5D-1CD0-4C96-8357-304CAC38BA1F}"/>
    <cellStyle name="40% - Accent2 15 5" xfId="9443" xr:uid="{00000000-0005-0000-0000-00005A330000}"/>
    <cellStyle name="40% - Accent2 15 5 2" xfId="17401" xr:uid="{00000000-0005-0000-0000-00005B330000}"/>
    <cellStyle name="40% - Accent2 15 5 2 2" xfId="41241" xr:uid="{9B9C3694-2C8F-411D-BFEA-11B6D6E16EEF}"/>
    <cellStyle name="40% - Accent2 15 5 3" xfId="25345" xr:uid="{00000000-0005-0000-0000-00005C330000}"/>
    <cellStyle name="40% - Accent2 15 5 3 2" xfId="49177" xr:uid="{E81D17DB-D153-4DF3-B7BF-B01DEF321113}"/>
    <cellStyle name="40% - Accent2 15 5 4" xfId="33300" xr:uid="{D0FADDD5-151C-4CAF-8569-9021E9DB380F}"/>
    <cellStyle name="40% - Accent2 15 6" xfId="10339" xr:uid="{00000000-0005-0000-0000-00005D330000}"/>
    <cellStyle name="40% - Accent2 15 6 2" xfId="34188" xr:uid="{69FC264F-C2E7-4AEF-A2F0-E64AB7D6FA1F}"/>
    <cellStyle name="40% - Accent2 15 7" xfId="18294" xr:uid="{00000000-0005-0000-0000-00005E330000}"/>
    <cellStyle name="40% - Accent2 15 7 2" xfId="42126" xr:uid="{5AC02A05-1006-425D-BF1F-A4C08ECDC8BC}"/>
    <cellStyle name="40% - Accent2 15 8" xfId="26246" xr:uid="{0444DF05-B5DB-4B91-820A-B38B739833EF}"/>
    <cellStyle name="40% - Accent2 15_Exh G" xfId="2838" xr:uid="{00000000-0005-0000-0000-00005F330000}"/>
    <cellStyle name="40% - Accent2 16" xfId="847" xr:uid="{00000000-0005-0000-0000-000060330000}"/>
    <cellStyle name="40% - Accent2 16 2" xfId="1782" xr:uid="{00000000-0005-0000-0000-000061330000}"/>
    <cellStyle name="40% - Accent2 16 2 2" xfId="5302" xr:uid="{00000000-0005-0000-0000-000062330000}"/>
    <cellStyle name="40% - Accent2 16 2 2 2" xfId="8893" xr:uid="{00000000-0005-0000-0000-000063330000}"/>
    <cellStyle name="40% - Accent2 16 2 2 2 2" xfId="16863" xr:uid="{00000000-0005-0000-0000-000064330000}"/>
    <cellStyle name="40% - Accent2 16 2 2 2 2 2" xfId="40705" xr:uid="{EB2E2BEE-77BB-47E0-A745-5DE68C3FB72D}"/>
    <cellStyle name="40% - Accent2 16 2 2 2 3" xfId="24809" xr:uid="{00000000-0005-0000-0000-000065330000}"/>
    <cellStyle name="40% - Accent2 16 2 2 2 3 2" xfId="48641" xr:uid="{A25B7889-45B0-41DA-8BC7-36D8E944C15F}"/>
    <cellStyle name="40% - Accent2 16 2 2 2 4" xfId="32764" xr:uid="{2A6ECFD4-AB33-4D69-94F2-6C7900CE118B}"/>
    <cellStyle name="40% - Accent2 16 2 2 3" xfId="13325" xr:uid="{00000000-0005-0000-0000-000066330000}"/>
    <cellStyle name="40% - Accent2 16 2 2 3 2" xfId="37174" xr:uid="{3FF9626B-DC6C-4F9E-8E16-602DCD0BC782}"/>
    <cellStyle name="40% - Accent2 16 2 2 4" xfId="21280" xr:uid="{00000000-0005-0000-0000-000067330000}"/>
    <cellStyle name="40% - Accent2 16 2 2 4 2" xfId="45112" xr:uid="{7E517849-7A7D-426B-969C-EF6B470B40D5}"/>
    <cellStyle name="40% - Accent2 16 2 2 5" xfId="29233" xr:uid="{7585FDB2-041C-4FA1-92D0-92861A455509}"/>
    <cellStyle name="40% - Accent2 16 2 3" xfId="7134" xr:uid="{00000000-0005-0000-0000-000068330000}"/>
    <cellStyle name="40% - Accent2 16 2 3 2" xfId="15105" xr:uid="{00000000-0005-0000-0000-000069330000}"/>
    <cellStyle name="40% - Accent2 16 2 3 2 2" xfId="38947" xr:uid="{9971F014-2222-4996-A49C-5F2D763CC6C0}"/>
    <cellStyle name="40% - Accent2 16 2 3 3" xfId="23052" xr:uid="{00000000-0005-0000-0000-00006A330000}"/>
    <cellStyle name="40% - Accent2 16 2 3 3 2" xfId="46884" xr:uid="{4F9D556A-2865-411E-8320-45E6F3CCCCD5}"/>
    <cellStyle name="40% - Accent2 16 2 3 4" xfId="31006" xr:uid="{FCCEBCEF-5A94-4981-A7B3-3149FC56D493}"/>
    <cellStyle name="40% - Accent2 16 2 4" xfId="11569" xr:uid="{00000000-0005-0000-0000-00006B330000}"/>
    <cellStyle name="40% - Accent2 16 2 4 2" xfId="35418" xr:uid="{E65C365A-AF55-4561-B1A9-A9DAD06C4CEB}"/>
    <cellStyle name="40% - Accent2 16 2 5" xfId="19524" xr:uid="{00000000-0005-0000-0000-00006C330000}"/>
    <cellStyle name="40% - Accent2 16 2 5 2" xfId="43356" xr:uid="{7E088073-C607-47F8-AED8-351503C5FAE1}"/>
    <cellStyle name="40% - Accent2 16 2 6" xfId="27476" xr:uid="{EE4DB1D5-4513-44A8-A0E7-1D9268D8521E}"/>
    <cellStyle name="40% - Accent2 16 2_Exh G" xfId="2841" xr:uid="{00000000-0005-0000-0000-00006D330000}"/>
    <cellStyle name="40% - Accent2 16 3" xfId="4423" xr:uid="{00000000-0005-0000-0000-00006E330000}"/>
    <cellStyle name="40% - Accent2 16 3 2" xfId="8015" xr:uid="{00000000-0005-0000-0000-00006F330000}"/>
    <cellStyle name="40% - Accent2 16 3 2 2" xfId="15985" xr:uid="{00000000-0005-0000-0000-000070330000}"/>
    <cellStyle name="40% - Accent2 16 3 2 2 2" xfId="39827" xr:uid="{BAEC4DDC-7E2C-48BF-910D-89B9BBBCDAB3}"/>
    <cellStyle name="40% - Accent2 16 3 2 3" xfId="23931" xr:uid="{00000000-0005-0000-0000-000071330000}"/>
    <cellStyle name="40% - Accent2 16 3 2 3 2" xfId="47763" xr:uid="{47168757-45FC-4CE9-B43C-997E133C560D}"/>
    <cellStyle name="40% - Accent2 16 3 2 4" xfId="31886" xr:uid="{3EE055EB-1285-47D9-8053-9C785FEDF63D}"/>
    <cellStyle name="40% - Accent2 16 3 3" xfId="12447" xr:uid="{00000000-0005-0000-0000-000072330000}"/>
    <cellStyle name="40% - Accent2 16 3 3 2" xfId="36296" xr:uid="{DE16D37E-344E-4BD4-8A8D-3B0086D181B6}"/>
    <cellStyle name="40% - Accent2 16 3 4" xfId="20402" xr:uid="{00000000-0005-0000-0000-000073330000}"/>
    <cellStyle name="40% - Accent2 16 3 4 2" xfId="44234" xr:uid="{4598585F-3774-42A4-ADE5-D6E4CAAF79C7}"/>
    <cellStyle name="40% - Accent2 16 3 5" xfId="28355" xr:uid="{CB91BBD2-40A4-4D2D-8538-796B4EC9DAF2}"/>
    <cellStyle name="40% - Accent2 16 4" xfId="6253" xr:uid="{00000000-0005-0000-0000-000074330000}"/>
    <cellStyle name="40% - Accent2 16 4 2" xfId="14227" xr:uid="{00000000-0005-0000-0000-000075330000}"/>
    <cellStyle name="40% - Accent2 16 4 2 2" xfId="38069" xr:uid="{E1BFB2BB-6451-4DA7-BD9B-373634DD3A0C}"/>
    <cellStyle name="40% - Accent2 16 4 3" xfId="22174" xr:uid="{00000000-0005-0000-0000-000076330000}"/>
    <cellStyle name="40% - Accent2 16 4 3 2" xfId="46006" xr:uid="{845AC612-E55E-4BC4-8503-AA431D3E1048}"/>
    <cellStyle name="40% - Accent2 16 4 4" xfId="30128" xr:uid="{8F626C47-2C73-4967-8000-4589F072CBC5}"/>
    <cellStyle name="40% - Accent2 16 5" xfId="9795" xr:uid="{00000000-0005-0000-0000-000077330000}"/>
    <cellStyle name="40% - Accent2 16 5 2" xfId="17753" xr:uid="{00000000-0005-0000-0000-000078330000}"/>
    <cellStyle name="40% - Accent2 16 5 2 2" xfId="41593" xr:uid="{27C282DE-43D1-43A5-98E5-77A400715EB0}"/>
    <cellStyle name="40% - Accent2 16 5 3" xfId="25697" xr:uid="{00000000-0005-0000-0000-000079330000}"/>
    <cellStyle name="40% - Accent2 16 5 3 2" xfId="49529" xr:uid="{EB5C33BB-7A6E-4AB4-BE2F-BD213287C9B6}"/>
    <cellStyle name="40% - Accent2 16 5 4" xfId="33652" xr:uid="{EFC6639B-F5F5-4AC4-953F-32C90492E494}"/>
    <cellStyle name="40% - Accent2 16 6" xfId="10691" xr:uid="{00000000-0005-0000-0000-00007A330000}"/>
    <cellStyle name="40% - Accent2 16 6 2" xfId="34540" xr:uid="{0CC85BAA-D0DF-42E7-B2E1-9816759141D2}"/>
    <cellStyle name="40% - Accent2 16 7" xfId="18646" xr:uid="{00000000-0005-0000-0000-00007B330000}"/>
    <cellStyle name="40% - Accent2 16 7 2" xfId="42478" xr:uid="{A1DC6AFA-3BF2-4D95-851D-036C013DF3C6}"/>
    <cellStyle name="40% - Accent2 16 8" xfId="26598" xr:uid="{5ECC5C46-EE5F-410D-AAA1-8B78F0A94D0C}"/>
    <cellStyle name="40% - Accent2 16_Exh G" xfId="2840" xr:uid="{00000000-0005-0000-0000-00007C330000}"/>
    <cellStyle name="40% - Accent2 17" xfId="49786" xr:uid="{934B2669-FC89-4786-8809-887C9D873CF5}"/>
    <cellStyle name="40% - Accent2 18" xfId="49826" xr:uid="{35F7D7A2-E004-49C0-A3FF-68E26B6E4697}"/>
    <cellStyle name="40% - Accent2 2" xfId="398" xr:uid="{00000000-0005-0000-0000-00007D330000}"/>
    <cellStyle name="40% - Accent2 2 10" xfId="18295" xr:uid="{00000000-0005-0000-0000-00007E330000}"/>
    <cellStyle name="40% - Accent2 2 10 2" xfId="42127" xr:uid="{7B6368AB-05A5-4D88-A020-AE4EA4BDD3C5}"/>
    <cellStyle name="40% - Accent2 2 11" xfId="26247" xr:uid="{6C3904DB-0280-4397-857B-EB52800E2EC6}"/>
    <cellStyle name="40% - Accent2 2 12" xfId="49771" xr:uid="{5715E6A7-F654-4C3D-8C00-95E516144BEE}"/>
    <cellStyle name="40% - Accent2 2 13" xfId="49799" xr:uid="{E8829EC1-FC92-4745-93C9-4787E6015ADC}"/>
    <cellStyle name="40% - Accent2 2 14" xfId="49840" xr:uid="{4F866B39-BDBE-4E85-AB0C-9A5DA19838CA}"/>
    <cellStyle name="40% - Accent2 2 2" xfId="399" xr:uid="{00000000-0005-0000-0000-00007F330000}"/>
    <cellStyle name="40% - Accent2 2 2 10" xfId="26248" xr:uid="{FD06B539-C595-47F3-A0FE-7124C2542900}"/>
    <cellStyle name="40% - Accent2 2 2 2" xfId="400" xr:uid="{00000000-0005-0000-0000-000080330000}"/>
    <cellStyle name="40% - Accent2 2 2 2 2" xfId="1426" xr:uid="{00000000-0005-0000-0000-000081330000}"/>
    <cellStyle name="40% - Accent2 2 2 2 2 2" xfId="4953" xr:uid="{00000000-0005-0000-0000-000082330000}"/>
    <cellStyle name="40% - Accent2 2 2 2 2 2 2" xfId="8544" xr:uid="{00000000-0005-0000-0000-000083330000}"/>
    <cellStyle name="40% - Accent2 2 2 2 2 2 2 2" xfId="16514" xr:uid="{00000000-0005-0000-0000-000084330000}"/>
    <cellStyle name="40% - Accent2 2 2 2 2 2 2 2 2" xfId="40356" xr:uid="{1704DBB4-EA1E-450A-9F34-24EEFC7C4CD5}"/>
    <cellStyle name="40% - Accent2 2 2 2 2 2 2 3" xfId="24460" xr:uid="{00000000-0005-0000-0000-000085330000}"/>
    <cellStyle name="40% - Accent2 2 2 2 2 2 2 3 2" xfId="48292" xr:uid="{DEA78F36-2CBB-43EF-97D1-7F64B087397A}"/>
    <cellStyle name="40% - Accent2 2 2 2 2 2 2 4" xfId="32415" xr:uid="{7D890616-FB50-44E9-985A-10893739D7E2}"/>
    <cellStyle name="40% - Accent2 2 2 2 2 2 3" xfId="12976" xr:uid="{00000000-0005-0000-0000-000086330000}"/>
    <cellStyle name="40% - Accent2 2 2 2 2 2 3 2" xfId="36825" xr:uid="{F1E0A8C5-E44C-451E-BD06-12BA6BF92338}"/>
    <cellStyle name="40% - Accent2 2 2 2 2 2 4" xfId="20931" xr:uid="{00000000-0005-0000-0000-000087330000}"/>
    <cellStyle name="40% - Accent2 2 2 2 2 2 4 2" xfId="44763" xr:uid="{60B0F8A5-A39F-4FB3-8CC1-9415A7022E22}"/>
    <cellStyle name="40% - Accent2 2 2 2 2 2 5" xfId="28884" xr:uid="{E09C96FF-2C0F-45D3-9A36-E21F28DF5DB6}"/>
    <cellStyle name="40% - Accent2 2 2 2 2 3" xfId="6785" xr:uid="{00000000-0005-0000-0000-000088330000}"/>
    <cellStyle name="40% - Accent2 2 2 2 2 3 2" xfId="14756" xr:uid="{00000000-0005-0000-0000-000089330000}"/>
    <cellStyle name="40% - Accent2 2 2 2 2 3 2 2" xfId="38598" xr:uid="{1200CF8C-F03E-4E2B-A3B8-A4A8F8204194}"/>
    <cellStyle name="40% - Accent2 2 2 2 2 3 3" xfId="22703" xr:uid="{00000000-0005-0000-0000-00008A330000}"/>
    <cellStyle name="40% - Accent2 2 2 2 2 3 3 2" xfId="46535" xr:uid="{3F12C9F8-4AF6-40D2-9666-154E58528E22}"/>
    <cellStyle name="40% - Accent2 2 2 2 2 3 4" xfId="30657" xr:uid="{4BFE675C-4C2C-4374-A177-003E536923A7}"/>
    <cellStyle name="40% - Accent2 2 2 2 2 4" xfId="11220" xr:uid="{00000000-0005-0000-0000-00008B330000}"/>
    <cellStyle name="40% - Accent2 2 2 2 2 4 2" xfId="35069" xr:uid="{F3832FFD-456D-47DB-9EAF-7F9BB9C762B8}"/>
    <cellStyle name="40% - Accent2 2 2 2 2 5" xfId="19175" xr:uid="{00000000-0005-0000-0000-00008C330000}"/>
    <cellStyle name="40% - Accent2 2 2 2 2 5 2" xfId="43007" xr:uid="{7DD76765-D454-4F30-B67F-B7E8748506E9}"/>
    <cellStyle name="40% - Accent2 2 2 2 2 6" xfId="27127" xr:uid="{FB38D6C1-2566-4FE9-AE5E-659A1E490B2C}"/>
    <cellStyle name="40% - Accent2 2 2 2 2_Exh G" xfId="2845" xr:uid="{00000000-0005-0000-0000-00008D330000}"/>
    <cellStyle name="40% - Accent2 2 2 2 3" xfId="4074" xr:uid="{00000000-0005-0000-0000-00008E330000}"/>
    <cellStyle name="40% - Accent2 2 2 2 3 2" xfId="7666" xr:uid="{00000000-0005-0000-0000-00008F330000}"/>
    <cellStyle name="40% - Accent2 2 2 2 3 2 2" xfId="15636" xr:uid="{00000000-0005-0000-0000-000090330000}"/>
    <cellStyle name="40% - Accent2 2 2 2 3 2 2 2" xfId="39478" xr:uid="{22B861F1-ED6F-4BA2-A777-083DFCAF2C48}"/>
    <cellStyle name="40% - Accent2 2 2 2 3 2 3" xfId="23582" xr:uid="{00000000-0005-0000-0000-000091330000}"/>
    <cellStyle name="40% - Accent2 2 2 2 3 2 3 2" xfId="47414" xr:uid="{84235A2B-BE47-4E6B-B4E3-0ED36184F13B}"/>
    <cellStyle name="40% - Accent2 2 2 2 3 2 4" xfId="31537" xr:uid="{355E0774-F7D6-4A03-9C4C-E397C3B75BF5}"/>
    <cellStyle name="40% - Accent2 2 2 2 3 3" xfId="12098" xr:uid="{00000000-0005-0000-0000-000092330000}"/>
    <cellStyle name="40% - Accent2 2 2 2 3 3 2" xfId="35947" xr:uid="{EED9B4D2-A309-4CD0-BBE8-5C8D35AAD386}"/>
    <cellStyle name="40% - Accent2 2 2 2 3 4" xfId="20053" xr:uid="{00000000-0005-0000-0000-000093330000}"/>
    <cellStyle name="40% - Accent2 2 2 2 3 4 2" xfId="43885" xr:uid="{131AED72-64F7-4402-BEF2-5394AC92DDD5}"/>
    <cellStyle name="40% - Accent2 2 2 2 3 5" xfId="28006" xr:uid="{045F714F-E76F-4289-8733-6988955263A8}"/>
    <cellStyle name="40% - Accent2 2 2 2 4" xfId="5894" xr:uid="{00000000-0005-0000-0000-000094330000}"/>
    <cellStyle name="40% - Accent2 2 2 2 4 2" xfId="13877" xr:uid="{00000000-0005-0000-0000-000095330000}"/>
    <cellStyle name="40% - Accent2 2 2 2 4 2 2" xfId="37720" xr:uid="{A6816FCF-1082-4BA8-A6A0-86B510E90CFA}"/>
    <cellStyle name="40% - Accent2 2 2 2 4 3" xfId="21825" xr:uid="{00000000-0005-0000-0000-000096330000}"/>
    <cellStyle name="40% - Accent2 2 2 2 4 3 2" xfId="45657" xr:uid="{F886982C-200C-4A96-9245-F45C6E66D6B6}"/>
    <cellStyle name="40% - Accent2 2 2 2 4 4" xfId="29779" xr:uid="{F2B366B6-2437-48DD-8557-2CA83E353738}"/>
    <cellStyle name="40% - Accent2 2 2 2 5" xfId="9446" xr:uid="{00000000-0005-0000-0000-000097330000}"/>
    <cellStyle name="40% - Accent2 2 2 2 5 2" xfId="17404" xr:uid="{00000000-0005-0000-0000-000098330000}"/>
    <cellStyle name="40% - Accent2 2 2 2 5 2 2" xfId="41244" xr:uid="{5E61F4DE-084B-4847-B5AE-24A611D345AE}"/>
    <cellStyle name="40% - Accent2 2 2 2 5 3" xfId="25348" xr:uid="{00000000-0005-0000-0000-000099330000}"/>
    <cellStyle name="40% - Accent2 2 2 2 5 3 2" xfId="49180" xr:uid="{DEF3D8EE-834A-4C9D-B28B-00942A1BA150}"/>
    <cellStyle name="40% - Accent2 2 2 2 5 4" xfId="33303" xr:uid="{DA78D494-C1D0-46F9-8EBE-C824D28CB01F}"/>
    <cellStyle name="40% - Accent2 2 2 2 6" xfId="10342" xr:uid="{00000000-0005-0000-0000-00009A330000}"/>
    <cellStyle name="40% - Accent2 2 2 2 6 2" xfId="34191" xr:uid="{311778E9-6F4A-4722-AB49-8FB01E7AAD39}"/>
    <cellStyle name="40% - Accent2 2 2 2 7" xfId="18297" xr:uid="{00000000-0005-0000-0000-00009B330000}"/>
    <cellStyle name="40% - Accent2 2 2 2 7 2" xfId="42129" xr:uid="{ECCC43AE-60A5-4E4A-BBA9-98F5E4F74613}"/>
    <cellStyle name="40% - Accent2 2 2 2 8" xfId="26249" xr:uid="{A9283E2C-A44B-4312-A9E0-CF995AF945F3}"/>
    <cellStyle name="40% - Accent2 2 2 2_Exh G" xfId="2844" xr:uid="{00000000-0005-0000-0000-00009C330000}"/>
    <cellStyle name="40% - Accent2 2 2 3" xfId="945" xr:uid="{00000000-0005-0000-0000-00009D330000}"/>
    <cellStyle name="40% - Accent2 2 2 3 2" xfId="1863" xr:uid="{00000000-0005-0000-0000-00009E330000}"/>
    <cellStyle name="40% - Accent2 2 2 3 2 2" xfId="5380" xr:uid="{00000000-0005-0000-0000-00009F330000}"/>
    <cellStyle name="40% - Accent2 2 2 3 2 2 2" xfId="8971" xr:uid="{00000000-0005-0000-0000-0000A0330000}"/>
    <cellStyle name="40% - Accent2 2 2 3 2 2 2 2" xfId="16941" xr:uid="{00000000-0005-0000-0000-0000A1330000}"/>
    <cellStyle name="40% - Accent2 2 2 3 2 2 2 2 2" xfId="40783" xr:uid="{765DCC54-8167-4C09-A614-37BE1AC5FA9E}"/>
    <cellStyle name="40% - Accent2 2 2 3 2 2 2 3" xfId="24887" xr:uid="{00000000-0005-0000-0000-0000A2330000}"/>
    <cellStyle name="40% - Accent2 2 2 3 2 2 2 3 2" xfId="48719" xr:uid="{4C0283D4-135E-44AC-8F53-D9498ED187CC}"/>
    <cellStyle name="40% - Accent2 2 2 3 2 2 2 4" xfId="32842" xr:uid="{DE923CFC-A2EA-4841-8CA8-859A4A13F1D0}"/>
    <cellStyle name="40% - Accent2 2 2 3 2 2 3" xfId="13403" xr:uid="{00000000-0005-0000-0000-0000A3330000}"/>
    <cellStyle name="40% - Accent2 2 2 3 2 2 3 2" xfId="37252" xr:uid="{70C341DF-7DCD-423D-9D59-32E3050E510B}"/>
    <cellStyle name="40% - Accent2 2 2 3 2 2 4" xfId="21358" xr:uid="{00000000-0005-0000-0000-0000A4330000}"/>
    <cellStyle name="40% - Accent2 2 2 3 2 2 4 2" xfId="45190" xr:uid="{20B16816-1373-4DD8-BE13-5421B0105114}"/>
    <cellStyle name="40% - Accent2 2 2 3 2 2 5" xfId="29311" xr:uid="{4DEC3F04-7614-490E-BB30-4F0374B0B508}"/>
    <cellStyle name="40% - Accent2 2 2 3 2 3" xfId="7212" xr:uid="{00000000-0005-0000-0000-0000A5330000}"/>
    <cellStyle name="40% - Accent2 2 2 3 2 3 2" xfId="15183" xr:uid="{00000000-0005-0000-0000-0000A6330000}"/>
    <cellStyle name="40% - Accent2 2 2 3 2 3 2 2" xfId="39025" xr:uid="{DDCDCADA-8421-4F8D-B802-7875F150EE47}"/>
    <cellStyle name="40% - Accent2 2 2 3 2 3 3" xfId="23130" xr:uid="{00000000-0005-0000-0000-0000A7330000}"/>
    <cellStyle name="40% - Accent2 2 2 3 2 3 3 2" xfId="46962" xr:uid="{DDC9F4B0-E82F-45E3-AD1C-161381185CC4}"/>
    <cellStyle name="40% - Accent2 2 2 3 2 3 4" xfId="31084" xr:uid="{00D51E91-EF68-44DF-AEF8-16147D9796B6}"/>
    <cellStyle name="40% - Accent2 2 2 3 2 4" xfId="11647" xr:uid="{00000000-0005-0000-0000-0000A8330000}"/>
    <cellStyle name="40% - Accent2 2 2 3 2 4 2" xfId="35496" xr:uid="{066DF82C-5DF1-4954-BF29-C9D04D4288DC}"/>
    <cellStyle name="40% - Accent2 2 2 3 2 5" xfId="19602" xr:uid="{00000000-0005-0000-0000-0000A9330000}"/>
    <cellStyle name="40% - Accent2 2 2 3 2 5 2" xfId="43434" xr:uid="{5FC8B52D-17B2-4A2C-8E9B-65CD36A12AF6}"/>
    <cellStyle name="40% - Accent2 2 2 3 2 6" xfId="27554" xr:uid="{9BECA483-3E4E-45A1-8679-42711C76628B}"/>
    <cellStyle name="40% - Accent2 2 2 3 2_Exh G" xfId="2847" xr:uid="{00000000-0005-0000-0000-0000AA330000}"/>
    <cellStyle name="40% - Accent2 2 2 3 3" xfId="4501" xr:uid="{00000000-0005-0000-0000-0000AB330000}"/>
    <cellStyle name="40% - Accent2 2 2 3 3 2" xfId="8093" xr:uid="{00000000-0005-0000-0000-0000AC330000}"/>
    <cellStyle name="40% - Accent2 2 2 3 3 2 2" xfId="16063" xr:uid="{00000000-0005-0000-0000-0000AD330000}"/>
    <cellStyle name="40% - Accent2 2 2 3 3 2 2 2" xfId="39905" xr:uid="{A2FE9FBB-9DA1-4B78-ABF0-9DA7841B5164}"/>
    <cellStyle name="40% - Accent2 2 2 3 3 2 3" xfId="24009" xr:uid="{00000000-0005-0000-0000-0000AE330000}"/>
    <cellStyle name="40% - Accent2 2 2 3 3 2 3 2" xfId="47841" xr:uid="{37781BFE-2DEC-498F-A192-5E564F662A41}"/>
    <cellStyle name="40% - Accent2 2 2 3 3 2 4" xfId="31964" xr:uid="{10BB9A32-809D-45A6-8056-D49D02847505}"/>
    <cellStyle name="40% - Accent2 2 2 3 3 3" xfId="12525" xr:uid="{00000000-0005-0000-0000-0000AF330000}"/>
    <cellStyle name="40% - Accent2 2 2 3 3 3 2" xfId="36374" xr:uid="{F062052F-B75D-45B0-BDB5-F14DB4C17C55}"/>
    <cellStyle name="40% - Accent2 2 2 3 3 4" xfId="20480" xr:uid="{00000000-0005-0000-0000-0000B0330000}"/>
    <cellStyle name="40% - Accent2 2 2 3 3 4 2" xfId="44312" xr:uid="{473616B6-F7C1-4CD3-864B-19A0004E8B41}"/>
    <cellStyle name="40% - Accent2 2 2 3 3 5" xfId="28433" xr:uid="{6D8F8EC3-A626-4F45-8E3A-A69F75F604FD}"/>
    <cellStyle name="40% - Accent2 2 2 3 4" xfId="6331" xr:uid="{00000000-0005-0000-0000-0000B1330000}"/>
    <cellStyle name="40% - Accent2 2 2 3 4 2" xfId="14305" xr:uid="{00000000-0005-0000-0000-0000B2330000}"/>
    <cellStyle name="40% - Accent2 2 2 3 4 2 2" xfId="38147" xr:uid="{9FBAB19A-9E73-4050-9C78-6CA05FF67454}"/>
    <cellStyle name="40% - Accent2 2 2 3 4 3" xfId="22252" xr:uid="{00000000-0005-0000-0000-0000B3330000}"/>
    <cellStyle name="40% - Accent2 2 2 3 4 3 2" xfId="46084" xr:uid="{CC4406E7-3E66-49B8-A845-505D88E50B8B}"/>
    <cellStyle name="40% - Accent2 2 2 3 4 4" xfId="30206" xr:uid="{0D9FECE6-3C8A-445A-870D-2FC750D74A75}"/>
    <cellStyle name="40% - Accent2 2 2 3 5" xfId="9873" xr:uid="{00000000-0005-0000-0000-0000B4330000}"/>
    <cellStyle name="40% - Accent2 2 2 3 5 2" xfId="17831" xr:uid="{00000000-0005-0000-0000-0000B5330000}"/>
    <cellStyle name="40% - Accent2 2 2 3 5 2 2" xfId="41671" xr:uid="{5EAE8648-C21A-431E-ACB1-3F61E5D89504}"/>
    <cellStyle name="40% - Accent2 2 2 3 5 3" xfId="25775" xr:uid="{00000000-0005-0000-0000-0000B6330000}"/>
    <cellStyle name="40% - Accent2 2 2 3 5 3 2" xfId="49607" xr:uid="{1D581DC6-A3B6-4365-B19E-4BA1B1C7AA41}"/>
    <cellStyle name="40% - Accent2 2 2 3 5 4" xfId="33730" xr:uid="{DEFEB960-E317-4CBE-B0F1-BDB2394011C4}"/>
    <cellStyle name="40% - Accent2 2 2 3 6" xfId="10769" xr:uid="{00000000-0005-0000-0000-0000B7330000}"/>
    <cellStyle name="40% - Accent2 2 2 3 6 2" xfId="34618" xr:uid="{231155F1-5D0C-4B9B-A51B-021CF9723F40}"/>
    <cellStyle name="40% - Accent2 2 2 3 7" xfId="18724" xr:uid="{00000000-0005-0000-0000-0000B8330000}"/>
    <cellStyle name="40% - Accent2 2 2 3 7 2" xfId="42556" xr:uid="{7D2436E7-5EEB-4D02-8373-981CEAABBD46}"/>
    <cellStyle name="40% - Accent2 2 2 3 8" xfId="26676" xr:uid="{169CE96A-7E81-47F0-BE7C-035E291F1E1C}"/>
    <cellStyle name="40% - Accent2 2 2 3_Exh G" xfId="2846" xr:uid="{00000000-0005-0000-0000-0000B9330000}"/>
    <cellStyle name="40% - Accent2 2 2 4" xfId="1425" xr:uid="{00000000-0005-0000-0000-0000BA330000}"/>
    <cellStyle name="40% - Accent2 2 2 4 2" xfId="4952" xr:uid="{00000000-0005-0000-0000-0000BB330000}"/>
    <cellStyle name="40% - Accent2 2 2 4 2 2" xfId="8543" xr:uid="{00000000-0005-0000-0000-0000BC330000}"/>
    <cellStyle name="40% - Accent2 2 2 4 2 2 2" xfId="16513" xr:uid="{00000000-0005-0000-0000-0000BD330000}"/>
    <cellStyle name="40% - Accent2 2 2 4 2 2 2 2" xfId="40355" xr:uid="{4206BB36-C6CE-4B4E-AE29-9F45F0FB6608}"/>
    <cellStyle name="40% - Accent2 2 2 4 2 2 3" xfId="24459" xr:uid="{00000000-0005-0000-0000-0000BE330000}"/>
    <cellStyle name="40% - Accent2 2 2 4 2 2 3 2" xfId="48291" xr:uid="{85AF9448-7616-40A9-8DE6-2C82895E3D47}"/>
    <cellStyle name="40% - Accent2 2 2 4 2 2 4" xfId="32414" xr:uid="{E4D672BD-6556-4CBE-A077-1044DC23D6D3}"/>
    <cellStyle name="40% - Accent2 2 2 4 2 3" xfId="12975" xr:uid="{00000000-0005-0000-0000-0000BF330000}"/>
    <cellStyle name="40% - Accent2 2 2 4 2 3 2" xfId="36824" xr:uid="{E2819DDF-AAAD-4640-A1F4-EDAAC7F3B78A}"/>
    <cellStyle name="40% - Accent2 2 2 4 2 4" xfId="20930" xr:uid="{00000000-0005-0000-0000-0000C0330000}"/>
    <cellStyle name="40% - Accent2 2 2 4 2 4 2" xfId="44762" xr:uid="{613D892E-79A0-47EB-BB39-E555535003CE}"/>
    <cellStyle name="40% - Accent2 2 2 4 2 5" xfId="28883" xr:uid="{0866C027-DF17-4ABA-B6B3-63E1F97CECDC}"/>
    <cellStyle name="40% - Accent2 2 2 4 3" xfId="6784" xr:uid="{00000000-0005-0000-0000-0000C1330000}"/>
    <cellStyle name="40% - Accent2 2 2 4 3 2" xfId="14755" xr:uid="{00000000-0005-0000-0000-0000C2330000}"/>
    <cellStyle name="40% - Accent2 2 2 4 3 2 2" xfId="38597" xr:uid="{26450BFB-C389-42D2-AB36-D2D7ECA5EDD0}"/>
    <cellStyle name="40% - Accent2 2 2 4 3 3" xfId="22702" xr:uid="{00000000-0005-0000-0000-0000C3330000}"/>
    <cellStyle name="40% - Accent2 2 2 4 3 3 2" xfId="46534" xr:uid="{BA4946F8-D1C1-44D9-B15D-577537A43229}"/>
    <cellStyle name="40% - Accent2 2 2 4 3 4" xfId="30656" xr:uid="{E8595A5C-2032-45F9-8F94-E22C0A025FA4}"/>
    <cellStyle name="40% - Accent2 2 2 4 4" xfId="11219" xr:uid="{00000000-0005-0000-0000-0000C4330000}"/>
    <cellStyle name="40% - Accent2 2 2 4 4 2" xfId="35068" xr:uid="{7A4372D0-FDE5-4F50-84ED-85AC4FCB0FD0}"/>
    <cellStyle name="40% - Accent2 2 2 4 5" xfId="19174" xr:uid="{00000000-0005-0000-0000-0000C5330000}"/>
    <cellStyle name="40% - Accent2 2 2 4 5 2" xfId="43006" xr:uid="{27364803-79BE-4CB8-B11E-C68166896EF4}"/>
    <cellStyle name="40% - Accent2 2 2 4 6" xfId="27126" xr:uid="{687B6FB5-E07C-4B7F-A16A-6C01FD03130D}"/>
    <cellStyle name="40% - Accent2 2 2 4_Exh G" xfId="2848" xr:uid="{00000000-0005-0000-0000-0000C6330000}"/>
    <cellStyle name="40% - Accent2 2 2 5" xfId="4073" xr:uid="{00000000-0005-0000-0000-0000C7330000}"/>
    <cellStyle name="40% - Accent2 2 2 5 2" xfId="7665" xr:uid="{00000000-0005-0000-0000-0000C8330000}"/>
    <cellStyle name="40% - Accent2 2 2 5 2 2" xfId="15635" xr:uid="{00000000-0005-0000-0000-0000C9330000}"/>
    <cellStyle name="40% - Accent2 2 2 5 2 2 2" xfId="39477" xr:uid="{EA53F49D-EC24-45E4-9980-FDDF64643A38}"/>
    <cellStyle name="40% - Accent2 2 2 5 2 3" xfId="23581" xr:uid="{00000000-0005-0000-0000-0000CA330000}"/>
    <cellStyle name="40% - Accent2 2 2 5 2 3 2" xfId="47413" xr:uid="{B63A41A5-A346-42E8-8C73-9C7C78B39572}"/>
    <cellStyle name="40% - Accent2 2 2 5 2 4" xfId="31536" xr:uid="{E3873716-BD8B-4231-9802-2697EA31F3EA}"/>
    <cellStyle name="40% - Accent2 2 2 5 3" xfId="12097" xr:uid="{00000000-0005-0000-0000-0000CB330000}"/>
    <cellStyle name="40% - Accent2 2 2 5 3 2" xfId="35946" xr:uid="{9C259F39-FD8C-4592-BC5D-7D7093087C2C}"/>
    <cellStyle name="40% - Accent2 2 2 5 4" xfId="20052" xr:uid="{00000000-0005-0000-0000-0000CC330000}"/>
    <cellStyle name="40% - Accent2 2 2 5 4 2" xfId="43884" xr:uid="{ACA132E2-C92C-4A36-B713-43E4B920C596}"/>
    <cellStyle name="40% - Accent2 2 2 5 5" xfId="28005" xr:uid="{75A11D2C-4DEC-482E-8161-15309735037C}"/>
    <cellStyle name="40% - Accent2 2 2 6" xfId="5893" xr:uid="{00000000-0005-0000-0000-0000CD330000}"/>
    <cellStyle name="40% - Accent2 2 2 6 2" xfId="13876" xr:uid="{00000000-0005-0000-0000-0000CE330000}"/>
    <cellStyle name="40% - Accent2 2 2 6 2 2" xfId="37719" xr:uid="{AB7B055F-2D92-45C0-83F6-D2B830239009}"/>
    <cellStyle name="40% - Accent2 2 2 6 3" xfId="21824" xr:uid="{00000000-0005-0000-0000-0000CF330000}"/>
    <cellStyle name="40% - Accent2 2 2 6 3 2" xfId="45656" xr:uid="{9B0959F6-0647-46FB-9BDF-0D4D14628893}"/>
    <cellStyle name="40% - Accent2 2 2 6 4" xfId="29778" xr:uid="{8FE5BC22-8AC4-4AAC-84DB-E1E098DC8EC7}"/>
    <cellStyle name="40% - Accent2 2 2 7" xfId="9445" xr:uid="{00000000-0005-0000-0000-0000D0330000}"/>
    <cellStyle name="40% - Accent2 2 2 7 2" xfId="17403" xr:uid="{00000000-0005-0000-0000-0000D1330000}"/>
    <cellStyle name="40% - Accent2 2 2 7 2 2" xfId="41243" xr:uid="{9A173E69-7E7D-4512-9CB7-5EDA09F81927}"/>
    <cellStyle name="40% - Accent2 2 2 7 3" xfId="25347" xr:uid="{00000000-0005-0000-0000-0000D2330000}"/>
    <cellStyle name="40% - Accent2 2 2 7 3 2" xfId="49179" xr:uid="{614FF4A9-6309-40C2-97D7-F76EB74A4E36}"/>
    <cellStyle name="40% - Accent2 2 2 7 4" xfId="33302" xr:uid="{9E9619AC-64BD-4CEF-9E40-28BD45BC675C}"/>
    <cellStyle name="40% - Accent2 2 2 8" xfId="10341" xr:uid="{00000000-0005-0000-0000-0000D3330000}"/>
    <cellStyle name="40% - Accent2 2 2 8 2" xfId="34190" xr:uid="{771516FD-CFB8-479B-B10B-E8A357C25E3C}"/>
    <cellStyle name="40% - Accent2 2 2 9" xfId="18296" xr:uid="{00000000-0005-0000-0000-0000D4330000}"/>
    <cellStyle name="40% - Accent2 2 2 9 2" xfId="42128" xr:uid="{6B6197CF-8507-4DF3-A78E-7BC21450131A}"/>
    <cellStyle name="40% - Accent2 2 2_Exh G" xfId="2843" xr:uid="{00000000-0005-0000-0000-0000D5330000}"/>
    <cellStyle name="40% - Accent2 2 3" xfId="401" xr:uid="{00000000-0005-0000-0000-0000D6330000}"/>
    <cellStyle name="40% - Accent2 2 3 2" xfId="1427" xr:uid="{00000000-0005-0000-0000-0000D7330000}"/>
    <cellStyle name="40% - Accent2 2 3 2 2" xfId="4954" xr:uid="{00000000-0005-0000-0000-0000D8330000}"/>
    <cellStyle name="40% - Accent2 2 3 2 2 2" xfId="8545" xr:uid="{00000000-0005-0000-0000-0000D9330000}"/>
    <cellStyle name="40% - Accent2 2 3 2 2 2 2" xfId="16515" xr:uid="{00000000-0005-0000-0000-0000DA330000}"/>
    <cellStyle name="40% - Accent2 2 3 2 2 2 2 2" xfId="40357" xr:uid="{974B6D21-3FC0-4B7E-83DC-028B5DD89F4A}"/>
    <cellStyle name="40% - Accent2 2 3 2 2 2 3" xfId="24461" xr:uid="{00000000-0005-0000-0000-0000DB330000}"/>
    <cellStyle name="40% - Accent2 2 3 2 2 2 3 2" xfId="48293" xr:uid="{DB5D4509-986A-4747-9D6B-AA6C52647FCF}"/>
    <cellStyle name="40% - Accent2 2 3 2 2 2 4" xfId="32416" xr:uid="{ECAA99BD-66CF-41FE-A438-E6A6BF4F18FA}"/>
    <cellStyle name="40% - Accent2 2 3 2 2 3" xfId="12977" xr:uid="{00000000-0005-0000-0000-0000DC330000}"/>
    <cellStyle name="40% - Accent2 2 3 2 2 3 2" xfId="36826" xr:uid="{D28A24E1-BE61-4377-B4AC-7C5DDC75484F}"/>
    <cellStyle name="40% - Accent2 2 3 2 2 4" xfId="20932" xr:uid="{00000000-0005-0000-0000-0000DD330000}"/>
    <cellStyle name="40% - Accent2 2 3 2 2 4 2" xfId="44764" xr:uid="{1DB9A4D0-47DB-4CB0-9DAC-5B599A40C73F}"/>
    <cellStyle name="40% - Accent2 2 3 2 2 5" xfId="28885" xr:uid="{2C8DC5B1-60DC-4DCD-B0A0-DAE06610A7DD}"/>
    <cellStyle name="40% - Accent2 2 3 2 3" xfId="6786" xr:uid="{00000000-0005-0000-0000-0000DE330000}"/>
    <cellStyle name="40% - Accent2 2 3 2 3 2" xfId="14757" xr:uid="{00000000-0005-0000-0000-0000DF330000}"/>
    <cellStyle name="40% - Accent2 2 3 2 3 2 2" xfId="38599" xr:uid="{82359C74-B943-4692-A899-9D153987E1C8}"/>
    <cellStyle name="40% - Accent2 2 3 2 3 3" xfId="22704" xr:uid="{00000000-0005-0000-0000-0000E0330000}"/>
    <cellStyle name="40% - Accent2 2 3 2 3 3 2" xfId="46536" xr:uid="{3E44DA10-023B-465B-B832-E8BCDC88EBDC}"/>
    <cellStyle name="40% - Accent2 2 3 2 3 4" xfId="30658" xr:uid="{2A09457D-447B-4539-9EA6-B06507CAC52B}"/>
    <cellStyle name="40% - Accent2 2 3 2 4" xfId="11221" xr:uid="{00000000-0005-0000-0000-0000E1330000}"/>
    <cellStyle name="40% - Accent2 2 3 2 4 2" xfId="35070" xr:uid="{B93A0673-5DA9-4C8D-9A8F-659E85C40338}"/>
    <cellStyle name="40% - Accent2 2 3 2 5" xfId="19176" xr:uid="{00000000-0005-0000-0000-0000E2330000}"/>
    <cellStyle name="40% - Accent2 2 3 2 5 2" xfId="43008" xr:uid="{7DA4E2C9-576D-4A3E-A510-C92D7E0086B7}"/>
    <cellStyle name="40% - Accent2 2 3 2 6" xfId="27128" xr:uid="{B6EE3830-F157-4F53-8D65-C2E841436372}"/>
    <cellStyle name="40% - Accent2 2 3 2_Exh G" xfId="2850" xr:uid="{00000000-0005-0000-0000-0000E3330000}"/>
    <cellStyle name="40% - Accent2 2 3 3" xfId="4075" xr:uid="{00000000-0005-0000-0000-0000E4330000}"/>
    <cellStyle name="40% - Accent2 2 3 3 2" xfId="7667" xr:uid="{00000000-0005-0000-0000-0000E5330000}"/>
    <cellStyle name="40% - Accent2 2 3 3 2 2" xfId="15637" xr:uid="{00000000-0005-0000-0000-0000E6330000}"/>
    <cellStyle name="40% - Accent2 2 3 3 2 2 2" xfId="39479" xr:uid="{5ADC4333-76A1-44A5-96FE-AFD72045F87D}"/>
    <cellStyle name="40% - Accent2 2 3 3 2 3" xfId="23583" xr:uid="{00000000-0005-0000-0000-0000E7330000}"/>
    <cellStyle name="40% - Accent2 2 3 3 2 3 2" xfId="47415" xr:uid="{D4F81AD4-DD10-4E6A-B776-1BAE8B397F4E}"/>
    <cellStyle name="40% - Accent2 2 3 3 2 4" xfId="31538" xr:uid="{BA96CA90-6044-41D3-9D88-F45253F9F25E}"/>
    <cellStyle name="40% - Accent2 2 3 3 3" xfId="12099" xr:uid="{00000000-0005-0000-0000-0000E8330000}"/>
    <cellStyle name="40% - Accent2 2 3 3 3 2" xfId="35948" xr:uid="{F3FDF94E-83B0-444F-8258-EB929609BC50}"/>
    <cellStyle name="40% - Accent2 2 3 3 4" xfId="20054" xr:uid="{00000000-0005-0000-0000-0000E9330000}"/>
    <cellStyle name="40% - Accent2 2 3 3 4 2" xfId="43886" xr:uid="{0306D9DB-474C-470A-9D14-2D47587BC467}"/>
    <cellStyle name="40% - Accent2 2 3 3 5" xfId="28007" xr:uid="{33D44F29-4645-4A28-B614-1AF1F599F0F8}"/>
    <cellStyle name="40% - Accent2 2 3 4" xfId="5895" xr:uid="{00000000-0005-0000-0000-0000EA330000}"/>
    <cellStyle name="40% - Accent2 2 3 4 2" xfId="13878" xr:uid="{00000000-0005-0000-0000-0000EB330000}"/>
    <cellStyle name="40% - Accent2 2 3 4 2 2" xfId="37721" xr:uid="{BA4AECBE-0E3C-485D-97EA-5F0D5AFE303B}"/>
    <cellStyle name="40% - Accent2 2 3 4 3" xfId="21826" xr:uid="{00000000-0005-0000-0000-0000EC330000}"/>
    <cellStyle name="40% - Accent2 2 3 4 3 2" xfId="45658" xr:uid="{070AB0B4-A0D6-4638-9965-AB6AE848DE8E}"/>
    <cellStyle name="40% - Accent2 2 3 4 4" xfId="29780" xr:uid="{D45FCE2E-9E30-42AF-8CD7-95B631E43B30}"/>
    <cellStyle name="40% - Accent2 2 3 5" xfId="9447" xr:uid="{00000000-0005-0000-0000-0000ED330000}"/>
    <cellStyle name="40% - Accent2 2 3 5 2" xfId="17405" xr:uid="{00000000-0005-0000-0000-0000EE330000}"/>
    <cellStyle name="40% - Accent2 2 3 5 2 2" xfId="41245" xr:uid="{56D3B245-3FC2-4752-AED2-6A54E466C329}"/>
    <cellStyle name="40% - Accent2 2 3 5 3" xfId="25349" xr:uid="{00000000-0005-0000-0000-0000EF330000}"/>
    <cellStyle name="40% - Accent2 2 3 5 3 2" xfId="49181" xr:uid="{0822C299-D287-4F52-990A-F199BFDD8589}"/>
    <cellStyle name="40% - Accent2 2 3 5 4" xfId="33304" xr:uid="{65F111E4-A43E-4193-9F6C-2E83B5EA25AC}"/>
    <cellStyle name="40% - Accent2 2 3 6" xfId="10343" xr:uid="{00000000-0005-0000-0000-0000F0330000}"/>
    <cellStyle name="40% - Accent2 2 3 6 2" xfId="34192" xr:uid="{6572B18A-64BB-49DA-A463-50724204CCF5}"/>
    <cellStyle name="40% - Accent2 2 3 7" xfId="18298" xr:uid="{00000000-0005-0000-0000-0000F1330000}"/>
    <cellStyle name="40% - Accent2 2 3 7 2" xfId="42130" xr:uid="{7BC3E964-CD3B-443D-BCB7-A2639B2A8FD2}"/>
    <cellStyle name="40% - Accent2 2 3 8" xfId="26250" xr:uid="{6663CD58-7528-4D87-915C-6DDEFB6C551C}"/>
    <cellStyle name="40% - Accent2 2 3_Exh G" xfId="2849" xr:uid="{00000000-0005-0000-0000-0000F2330000}"/>
    <cellStyle name="40% - Accent2 2 4" xfId="944" xr:uid="{00000000-0005-0000-0000-0000F3330000}"/>
    <cellStyle name="40% - Accent2 2 4 2" xfId="1862" xr:uid="{00000000-0005-0000-0000-0000F4330000}"/>
    <cellStyle name="40% - Accent2 2 4 2 2" xfId="5379" xr:uid="{00000000-0005-0000-0000-0000F5330000}"/>
    <cellStyle name="40% - Accent2 2 4 2 2 2" xfId="8970" xr:uid="{00000000-0005-0000-0000-0000F6330000}"/>
    <cellStyle name="40% - Accent2 2 4 2 2 2 2" xfId="16940" xr:uid="{00000000-0005-0000-0000-0000F7330000}"/>
    <cellStyle name="40% - Accent2 2 4 2 2 2 2 2" xfId="40782" xr:uid="{99AF3BC1-C898-4C42-8D37-EC54D6429561}"/>
    <cellStyle name="40% - Accent2 2 4 2 2 2 3" xfId="24886" xr:uid="{00000000-0005-0000-0000-0000F8330000}"/>
    <cellStyle name="40% - Accent2 2 4 2 2 2 3 2" xfId="48718" xr:uid="{9BB7A0FF-FD35-4637-8344-9E0D89407524}"/>
    <cellStyle name="40% - Accent2 2 4 2 2 2 4" xfId="32841" xr:uid="{E4534421-A8C9-4F45-9597-F16EB884BCC0}"/>
    <cellStyle name="40% - Accent2 2 4 2 2 3" xfId="13402" xr:uid="{00000000-0005-0000-0000-0000F9330000}"/>
    <cellStyle name="40% - Accent2 2 4 2 2 3 2" xfId="37251" xr:uid="{31D24031-70DF-48AB-8816-21362D5BE085}"/>
    <cellStyle name="40% - Accent2 2 4 2 2 4" xfId="21357" xr:uid="{00000000-0005-0000-0000-0000FA330000}"/>
    <cellStyle name="40% - Accent2 2 4 2 2 4 2" xfId="45189" xr:uid="{A4B66D71-AAA5-45C3-BDEB-473D87EE58EE}"/>
    <cellStyle name="40% - Accent2 2 4 2 2 5" xfId="29310" xr:uid="{EED42B63-1AF2-4B04-96B9-F9980C856ADE}"/>
    <cellStyle name="40% - Accent2 2 4 2 3" xfId="7211" xr:uid="{00000000-0005-0000-0000-0000FB330000}"/>
    <cellStyle name="40% - Accent2 2 4 2 3 2" xfId="15182" xr:uid="{00000000-0005-0000-0000-0000FC330000}"/>
    <cellStyle name="40% - Accent2 2 4 2 3 2 2" xfId="39024" xr:uid="{95A5113C-A762-4B84-8D08-65D7BE4CA330}"/>
    <cellStyle name="40% - Accent2 2 4 2 3 3" xfId="23129" xr:uid="{00000000-0005-0000-0000-0000FD330000}"/>
    <cellStyle name="40% - Accent2 2 4 2 3 3 2" xfId="46961" xr:uid="{001E1183-4C98-4E23-9A07-28DAA3550381}"/>
    <cellStyle name="40% - Accent2 2 4 2 3 4" xfId="31083" xr:uid="{F6ABF4B8-9097-46AC-9495-970C226FBFAD}"/>
    <cellStyle name="40% - Accent2 2 4 2 4" xfId="11646" xr:uid="{00000000-0005-0000-0000-0000FE330000}"/>
    <cellStyle name="40% - Accent2 2 4 2 4 2" xfId="35495" xr:uid="{62645AB1-3C26-4793-871F-2C8FB4669EBD}"/>
    <cellStyle name="40% - Accent2 2 4 2 5" xfId="19601" xr:uid="{00000000-0005-0000-0000-0000FF330000}"/>
    <cellStyle name="40% - Accent2 2 4 2 5 2" xfId="43433" xr:uid="{FAE4C790-6A5D-4C3B-BD04-B52783BE7927}"/>
    <cellStyle name="40% - Accent2 2 4 2 6" xfId="27553" xr:uid="{B4878711-68CA-4464-AD13-128BB15CF73B}"/>
    <cellStyle name="40% - Accent2 2 4 2_Exh G" xfId="2852" xr:uid="{00000000-0005-0000-0000-000000340000}"/>
    <cellStyle name="40% - Accent2 2 4 3" xfId="4500" xr:uid="{00000000-0005-0000-0000-000001340000}"/>
    <cellStyle name="40% - Accent2 2 4 3 2" xfId="8092" xr:uid="{00000000-0005-0000-0000-000002340000}"/>
    <cellStyle name="40% - Accent2 2 4 3 2 2" xfId="16062" xr:uid="{00000000-0005-0000-0000-000003340000}"/>
    <cellStyle name="40% - Accent2 2 4 3 2 2 2" xfId="39904" xr:uid="{48956BC4-0F8D-43B5-8726-F4F6DCC66A18}"/>
    <cellStyle name="40% - Accent2 2 4 3 2 3" xfId="24008" xr:uid="{00000000-0005-0000-0000-000004340000}"/>
    <cellStyle name="40% - Accent2 2 4 3 2 3 2" xfId="47840" xr:uid="{AF74FC03-D0EB-4290-94D9-7A53F7D64B50}"/>
    <cellStyle name="40% - Accent2 2 4 3 2 4" xfId="31963" xr:uid="{6759DDF4-44B4-4B90-8F16-FAB74C520C33}"/>
    <cellStyle name="40% - Accent2 2 4 3 3" xfId="12524" xr:uid="{00000000-0005-0000-0000-000005340000}"/>
    <cellStyle name="40% - Accent2 2 4 3 3 2" xfId="36373" xr:uid="{7BD2B6A1-0598-413E-835D-676789C2FE41}"/>
    <cellStyle name="40% - Accent2 2 4 3 4" xfId="20479" xr:uid="{00000000-0005-0000-0000-000006340000}"/>
    <cellStyle name="40% - Accent2 2 4 3 4 2" xfId="44311" xr:uid="{3775A701-44C7-4011-9B2C-2FEB8E12BA81}"/>
    <cellStyle name="40% - Accent2 2 4 3 5" xfId="28432" xr:uid="{07B8D10B-7B00-48B7-A953-D2C7F0F11124}"/>
    <cellStyle name="40% - Accent2 2 4 4" xfId="6330" xr:uid="{00000000-0005-0000-0000-000007340000}"/>
    <cellStyle name="40% - Accent2 2 4 4 2" xfId="14304" xr:uid="{00000000-0005-0000-0000-000008340000}"/>
    <cellStyle name="40% - Accent2 2 4 4 2 2" xfId="38146" xr:uid="{39531239-90EC-4537-AA1C-6CA302E8AAD1}"/>
    <cellStyle name="40% - Accent2 2 4 4 3" xfId="22251" xr:uid="{00000000-0005-0000-0000-000009340000}"/>
    <cellStyle name="40% - Accent2 2 4 4 3 2" xfId="46083" xr:uid="{E2F8C587-D8AB-481D-82FD-BCDA665AA9F0}"/>
    <cellStyle name="40% - Accent2 2 4 4 4" xfId="30205" xr:uid="{A5664C72-93AE-4977-A789-85538ACD4D53}"/>
    <cellStyle name="40% - Accent2 2 4 5" xfId="9872" xr:uid="{00000000-0005-0000-0000-00000A340000}"/>
    <cellStyle name="40% - Accent2 2 4 5 2" xfId="17830" xr:uid="{00000000-0005-0000-0000-00000B340000}"/>
    <cellStyle name="40% - Accent2 2 4 5 2 2" xfId="41670" xr:uid="{54D9D43A-0A10-4A0C-A4B5-B38A5EF97C4E}"/>
    <cellStyle name="40% - Accent2 2 4 5 3" xfId="25774" xr:uid="{00000000-0005-0000-0000-00000C340000}"/>
    <cellStyle name="40% - Accent2 2 4 5 3 2" xfId="49606" xr:uid="{0A9F3D53-F7E7-46B1-A106-AC7CAF5874F0}"/>
    <cellStyle name="40% - Accent2 2 4 5 4" xfId="33729" xr:uid="{34E33349-25D2-4B0D-ABC1-70CCD0E0ACD4}"/>
    <cellStyle name="40% - Accent2 2 4 6" xfId="10768" xr:uid="{00000000-0005-0000-0000-00000D340000}"/>
    <cellStyle name="40% - Accent2 2 4 6 2" xfId="34617" xr:uid="{8EC8E62E-85A7-42BE-94A8-9E185473F009}"/>
    <cellStyle name="40% - Accent2 2 4 7" xfId="18723" xr:uid="{00000000-0005-0000-0000-00000E340000}"/>
    <cellStyle name="40% - Accent2 2 4 7 2" xfId="42555" xr:uid="{508A3345-F75C-47AF-B525-7973D75EBBBF}"/>
    <cellStyle name="40% - Accent2 2 4 8" xfId="26675" xr:uid="{CA12F307-F22E-4257-95B5-B5533607E20E}"/>
    <cellStyle name="40% - Accent2 2 4_Exh G" xfId="2851" xr:uid="{00000000-0005-0000-0000-00000F340000}"/>
    <cellStyle name="40% - Accent2 2 5" xfId="1424" xr:uid="{00000000-0005-0000-0000-000010340000}"/>
    <cellStyle name="40% - Accent2 2 5 2" xfId="4951" xr:uid="{00000000-0005-0000-0000-000011340000}"/>
    <cellStyle name="40% - Accent2 2 5 2 2" xfId="8542" xr:uid="{00000000-0005-0000-0000-000012340000}"/>
    <cellStyle name="40% - Accent2 2 5 2 2 2" xfId="16512" xr:uid="{00000000-0005-0000-0000-000013340000}"/>
    <cellStyle name="40% - Accent2 2 5 2 2 2 2" xfId="40354" xr:uid="{ED28DED3-39A4-4DAC-B692-AA7EE2E52226}"/>
    <cellStyle name="40% - Accent2 2 5 2 2 3" xfId="24458" xr:uid="{00000000-0005-0000-0000-000014340000}"/>
    <cellStyle name="40% - Accent2 2 5 2 2 3 2" xfId="48290" xr:uid="{4ACC6D24-8C36-41F3-B900-260A912F5DB3}"/>
    <cellStyle name="40% - Accent2 2 5 2 2 4" xfId="32413" xr:uid="{67A3EAA9-ED59-47FE-8F98-00247BF61BBF}"/>
    <cellStyle name="40% - Accent2 2 5 2 3" xfId="12974" xr:uid="{00000000-0005-0000-0000-000015340000}"/>
    <cellStyle name="40% - Accent2 2 5 2 3 2" xfId="36823" xr:uid="{E0209ED1-BEA5-4599-B4E8-AF657C495783}"/>
    <cellStyle name="40% - Accent2 2 5 2 4" xfId="20929" xr:uid="{00000000-0005-0000-0000-000016340000}"/>
    <cellStyle name="40% - Accent2 2 5 2 4 2" xfId="44761" xr:uid="{11AD4076-D570-4B6B-87BC-86693C8516A4}"/>
    <cellStyle name="40% - Accent2 2 5 2 5" xfId="28882" xr:uid="{D44A404B-DE7F-4A3C-AA58-ED8AE4269661}"/>
    <cellStyle name="40% - Accent2 2 5 3" xfId="6783" xr:uid="{00000000-0005-0000-0000-000017340000}"/>
    <cellStyle name="40% - Accent2 2 5 3 2" xfId="14754" xr:uid="{00000000-0005-0000-0000-000018340000}"/>
    <cellStyle name="40% - Accent2 2 5 3 2 2" xfId="38596" xr:uid="{7480AD45-B4A6-4BA2-AE19-E85BB94FB11A}"/>
    <cellStyle name="40% - Accent2 2 5 3 3" xfId="22701" xr:uid="{00000000-0005-0000-0000-000019340000}"/>
    <cellStyle name="40% - Accent2 2 5 3 3 2" xfId="46533" xr:uid="{2E69AA3F-46F3-47A4-A161-305855687077}"/>
    <cellStyle name="40% - Accent2 2 5 3 4" xfId="30655" xr:uid="{7DEAF733-027E-4581-9375-EEAEA676AFB0}"/>
    <cellStyle name="40% - Accent2 2 5 4" xfId="11218" xr:uid="{00000000-0005-0000-0000-00001A340000}"/>
    <cellStyle name="40% - Accent2 2 5 4 2" xfId="35067" xr:uid="{98DE3902-A764-42BD-870E-31AFADF1338C}"/>
    <cellStyle name="40% - Accent2 2 5 5" xfId="19173" xr:uid="{00000000-0005-0000-0000-00001B340000}"/>
    <cellStyle name="40% - Accent2 2 5 5 2" xfId="43005" xr:uid="{7D3E5D37-F69C-4650-9CF3-EAA56A386112}"/>
    <cellStyle name="40% - Accent2 2 5 6" xfId="27125" xr:uid="{8B70A05D-6C97-42BB-856F-78D4C2FF133E}"/>
    <cellStyle name="40% - Accent2 2 5_Exh G" xfId="2853" xr:uid="{00000000-0005-0000-0000-00001C340000}"/>
    <cellStyle name="40% - Accent2 2 6" xfId="4072" xr:uid="{00000000-0005-0000-0000-00001D340000}"/>
    <cellStyle name="40% - Accent2 2 6 2" xfId="7664" xr:uid="{00000000-0005-0000-0000-00001E340000}"/>
    <cellStyle name="40% - Accent2 2 6 2 2" xfId="15634" xr:uid="{00000000-0005-0000-0000-00001F340000}"/>
    <cellStyle name="40% - Accent2 2 6 2 2 2" xfId="39476" xr:uid="{0B88C24E-FF88-4BFB-B2DF-46E43A0003B3}"/>
    <cellStyle name="40% - Accent2 2 6 2 3" xfId="23580" xr:uid="{00000000-0005-0000-0000-000020340000}"/>
    <cellStyle name="40% - Accent2 2 6 2 3 2" xfId="47412" xr:uid="{A7BFCCFD-A604-462A-9711-A4C8938B6D4F}"/>
    <cellStyle name="40% - Accent2 2 6 2 4" xfId="31535" xr:uid="{685680A9-E51C-42E4-BA56-35C90AD5A994}"/>
    <cellStyle name="40% - Accent2 2 6 3" xfId="12096" xr:uid="{00000000-0005-0000-0000-000021340000}"/>
    <cellStyle name="40% - Accent2 2 6 3 2" xfId="35945" xr:uid="{F48BD261-1FCF-4469-825E-1C6E4F738815}"/>
    <cellStyle name="40% - Accent2 2 6 4" xfId="20051" xr:uid="{00000000-0005-0000-0000-000022340000}"/>
    <cellStyle name="40% - Accent2 2 6 4 2" xfId="43883" xr:uid="{8C22AFE4-0109-456B-81B4-3030380B94DF}"/>
    <cellStyle name="40% - Accent2 2 6 5" xfId="28004" xr:uid="{2EB2030F-C28A-46EF-8214-79C3F2D79052}"/>
    <cellStyle name="40% - Accent2 2 7" xfId="5892" xr:uid="{00000000-0005-0000-0000-000023340000}"/>
    <cellStyle name="40% - Accent2 2 7 2" xfId="13875" xr:uid="{00000000-0005-0000-0000-000024340000}"/>
    <cellStyle name="40% - Accent2 2 7 2 2" xfId="37718" xr:uid="{81D67CCD-1A1F-4127-9D5D-57886D1BD049}"/>
    <cellStyle name="40% - Accent2 2 7 3" xfId="21823" xr:uid="{00000000-0005-0000-0000-000025340000}"/>
    <cellStyle name="40% - Accent2 2 7 3 2" xfId="45655" xr:uid="{FF433155-8725-4AE5-B148-8EDD334151D9}"/>
    <cellStyle name="40% - Accent2 2 7 4" xfId="29777" xr:uid="{1338D655-8A91-4108-B313-2F7E037990D8}"/>
    <cellStyle name="40% - Accent2 2 8" xfId="9444" xr:uid="{00000000-0005-0000-0000-000026340000}"/>
    <cellStyle name="40% - Accent2 2 8 2" xfId="17402" xr:uid="{00000000-0005-0000-0000-000027340000}"/>
    <cellStyle name="40% - Accent2 2 8 2 2" xfId="41242" xr:uid="{F4B1A729-2548-4332-8746-7DD92A661B5B}"/>
    <cellStyle name="40% - Accent2 2 8 3" xfId="25346" xr:uid="{00000000-0005-0000-0000-000028340000}"/>
    <cellStyle name="40% - Accent2 2 8 3 2" xfId="49178" xr:uid="{E3343A4E-DD47-49D7-A1B0-645BCA45E6CC}"/>
    <cellStyle name="40% - Accent2 2 8 4" xfId="33301" xr:uid="{86404E1F-6155-4454-9C03-3ACEB3211760}"/>
    <cellStyle name="40% - Accent2 2 9" xfId="10340" xr:uid="{00000000-0005-0000-0000-000029340000}"/>
    <cellStyle name="40% - Accent2 2 9 2" xfId="34189" xr:uid="{B2F04425-08B1-4D84-AA69-F37536099E91}"/>
    <cellStyle name="40% - Accent2 2_Exh G" xfId="2842" xr:uid="{00000000-0005-0000-0000-00002A340000}"/>
    <cellStyle name="40% - Accent2 3" xfId="402" xr:uid="{00000000-0005-0000-0000-00002B340000}"/>
    <cellStyle name="40% - Accent2 3 10" xfId="18299" xr:uid="{00000000-0005-0000-0000-00002C340000}"/>
    <cellStyle name="40% - Accent2 3 10 2" xfId="42131" xr:uid="{023C5DB5-ADF2-48D1-AB05-755F519BC687}"/>
    <cellStyle name="40% - Accent2 3 11" xfId="26251" xr:uid="{ABF359AB-2D95-4520-8B75-D55EB0ADDB6F}"/>
    <cellStyle name="40% - Accent2 3 12" xfId="49757" xr:uid="{DF3D5C3A-C82C-42EA-AF19-AFE978B1DE03}"/>
    <cellStyle name="40% - Accent2 3 13" xfId="49811" xr:uid="{ABD6F147-D953-423D-8A69-4ED201EB38F7}"/>
    <cellStyle name="40% - Accent2 3 2" xfId="403" xr:uid="{00000000-0005-0000-0000-00002D340000}"/>
    <cellStyle name="40% - Accent2 3 2 10" xfId="26252" xr:uid="{D504ABB3-67A6-462D-9711-AC1A5911AF69}"/>
    <cellStyle name="40% - Accent2 3 2 2" xfId="404" xr:uid="{00000000-0005-0000-0000-00002E340000}"/>
    <cellStyle name="40% - Accent2 3 2 2 2" xfId="1430" xr:uid="{00000000-0005-0000-0000-00002F340000}"/>
    <cellStyle name="40% - Accent2 3 2 2 2 2" xfId="4957" xr:uid="{00000000-0005-0000-0000-000030340000}"/>
    <cellStyle name="40% - Accent2 3 2 2 2 2 2" xfId="8548" xr:uid="{00000000-0005-0000-0000-000031340000}"/>
    <cellStyle name="40% - Accent2 3 2 2 2 2 2 2" xfId="16518" xr:uid="{00000000-0005-0000-0000-000032340000}"/>
    <cellStyle name="40% - Accent2 3 2 2 2 2 2 2 2" xfId="40360" xr:uid="{1C24ACC0-EC7B-4887-ABE6-1F125388AB6A}"/>
    <cellStyle name="40% - Accent2 3 2 2 2 2 2 3" xfId="24464" xr:uid="{00000000-0005-0000-0000-000033340000}"/>
    <cellStyle name="40% - Accent2 3 2 2 2 2 2 3 2" xfId="48296" xr:uid="{9B646997-0A1C-4023-9F3D-0F7B9551E911}"/>
    <cellStyle name="40% - Accent2 3 2 2 2 2 2 4" xfId="32419" xr:uid="{C4EC2E21-898F-49F9-8D4C-7D9860D540FF}"/>
    <cellStyle name="40% - Accent2 3 2 2 2 2 3" xfId="12980" xr:uid="{00000000-0005-0000-0000-000034340000}"/>
    <cellStyle name="40% - Accent2 3 2 2 2 2 3 2" xfId="36829" xr:uid="{C5D05D64-9D88-466E-9621-5529E696E993}"/>
    <cellStyle name="40% - Accent2 3 2 2 2 2 4" xfId="20935" xr:uid="{00000000-0005-0000-0000-000035340000}"/>
    <cellStyle name="40% - Accent2 3 2 2 2 2 4 2" xfId="44767" xr:uid="{ACCC3764-D1EB-48FC-B72D-124A836EF92B}"/>
    <cellStyle name="40% - Accent2 3 2 2 2 2 5" xfId="28888" xr:uid="{6EE91F54-DFA3-4476-B7B5-C9843BA35A13}"/>
    <cellStyle name="40% - Accent2 3 2 2 2 3" xfId="6789" xr:uid="{00000000-0005-0000-0000-000036340000}"/>
    <cellStyle name="40% - Accent2 3 2 2 2 3 2" xfId="14760" xr:uid="{00000000-0005-0000-0000-000037340000}"/>
    <cellStyle name="40% - Accent2 3 2 2 2 3 2 2" xfId="38602" xr:uid="{12F4D85E-806E-47EC-B0D6-4F5AB24EAFB3}"/>
    <cellStyle name="40% - Accent2 3 2 2 2 3 3" xfId="22707" xr:uid="{00000000-0005-0000-0000-000038340000}"/>
    <cellStyle name="40% - Accent2 3 2 2 2 3 3 2" xfId="46539" xr:uid="{EE690F37-9A06-448E-BDC8-626A5E47AB32}"/>
    <cellStyle name="40% - Accent2 3 2 2 2 3 4" xfId="30661" xr:uid="{FDC87792-CE28-4C91-9E45-220129896850}"/>
    <cellStyle name="40% - Accent2 3 2 2 2 4" xfId="11224" xr:uid="{00000000-0005-0000-0000-000039340000}"/>
    <cellStyle name="40% - Accent2 3 2 2 2 4 2" xfId="35073" xr:uid="{A8E9627F-BA39-403A-AA62-814F8343425A}"/>
    <cellStyle name="40% - Accent2 3 2 2 2 5" xfId="19179" xr:uid="{00000000-0005-0000-0000-00003A340000}"/>
    <cellStyle name="40% - Accent2 3 2 2 2 5 2" xfId="43011" xr:uid="{08A2A677-A776-4400-A0A2-28E5DDAB8FFD}"/>
    <cellStyle name="40% - Accent2 3 2 2 2 6" xfId="27131" xr:uid="{F7370289-ACCC-499A-9B27-A1CB4897FA5F}"/>
    <cellStyle name="40% - Accent2 3 2 2 2_Exh G" xfId="2857" xr:uid="{00000000-0005-0000-0000-00003B340000}"/>
    <cellStyle name="40% - Accent2 3 2 2 3" xfId="4078" xr:uid="{00000000-0005-0000-0000-00003C340000}"/>
    <cellStyle name="40% - Accent2 3 2 2 3 2" xfId="7670" xr:uid="{00000000-0005-0000-0000-00003D340000}"/>
    <cellStyle name="40% - Accent2 3 2 2 3 2 2" xfId="15640" xr:uid="{00000000-0005-0000-0000-00003E340000}"/>
    <cellStyle name="40% - Accent2 3 2 2 3 2 2 2" xfId="39482" xr:uid="{581CECCE-8590-4CEB-9035-241829130FD7}"/>
    <cellStyle name="40% - Accent2 3 2 2 3 2 3" xfId="23586" xr:uid="{00000000-0005-0000-0000-00003F340000}"/>
    <cellStyle name="40% - Accent2 3 2 2 3 2 3 2" xfId="47418" xr:uid="{613B8961-AD61-407F-A700-0EF45BF17359}"/>
    <cellStyle name="40% - Accent2 3 2 2 3 2 4" xfId="31541" xr:uid="{49E307B9-C444-4DC1-AF74-EE9BB3AA7710}"/>
    <cellStyle name="40% - Accent2 3 2 2 3 3" xfId="12102" xr:uid="{00000000-0005-0000-0000-000040340000}"/>
    <cellStyle name="40% - Accent2 3 2 2 3 3 2" xfId="35951" xr:uid="{C2C21B4B-039C-4745-82C4-6C9DE2D6545D}"/>
    <cellStyle name="40% - Accent2 3 2 2 3 4" xfId="20057" xr:uid="{00000000-0005-0000-0000-000041340000}"/>
    <cellStyle name="40% - Accent2 3 2 2 3 4 2" xfId="43889" xr:uid="{CF3CF247-AA1E-4B6C-864A-2B19CD943E3B}"/>
    <cellStyle name="40% - Accent2 3 2 2 3 5" xfId="28010" xr:uid="{F3E5163A-52B7-4994-952A-E44A8CB017F3}"/>
    <cellStyle name="40% - Accent2 3 2 2 4" xfId="5898" xr:uid="{00000000-0005-0000-0000-000042340000}"/>
    <cellStyle name="40% - Accent2 3 2 2 4 2" xfId="13881" xr:uid="{00000000-0005-0000-0000-000043340000}"/>
    <cellStyle name="40% - Accent2 3 2 2 4 2 2" xfId="37724" xr:uid="{B6876B3A-6B8A-4E64-A68A-ADCCD39CEAB3}"/>
    <cellStyle name="40% - Accent2 3 2 2 4 3" xfId="21829" xr:uid="{00000000-0005-0000-0000-000044340000}"/>
    <cellStyle name="40% - Accent2 3 2 2 4 3 2" xfId="45661" xr:uid="{AD092AFF-D182-4C02-BF7A-B0624D28B94D}"/>
    <cellStyle name="40% - Accent2 3 2 2 4 4" xfId="29783" xr:uid="{7DE13C5A-ADED-43D4-AA33-6DB3641FE8C9}"/>
    <cellStyle name="40% - Accent2 3 2 2 5" xfId="9450" xr:uid="{00000000-0005-0000-0000-000045340000}"/>
    <cellStyle name="40% - Accent2 3 2 2 5 2" xfId="17408" xr:uid="{00000000-0005-0000-0000-000046340000}"/>
    <cellStyle name="40% - Accent2 3 2 2 5 2 2" xfId="41248" xr:uid="{1242EB74-96A7-4220-B350-3A5E9B2C57EB}"/>
    <cellStyle name="40% - Accent2 3 2 2 5 3" xfId="25352" xr:uid="{00000000-0005-0000-0000-000047340000}"/>
    <cellStyle name="40% - Accent2 3 2 2 5 3 2" xfId="49184" xr:uid="{CD3DC280-39DA-467A-A330-6F07F004A6BF}"/>
    <cellStyle name="40% - Accent2 3 2 2 5 4" xfId="33307" xr:uid="{1941A041-0B7A-4999-8077-11B48B2CCBE4}"/>
    <cellStyle name="40% - Accent2 3 2 2 6" xfId="10346" xr:uid="{00000000-0005-0000-0000-000048340000}"/>
    <cellStyle name="40% - Accent2 3 2 2 6 2" xfId="34195" xr:uid="{16D8BA25-7A64-4BE8-8567-F3E3FB548082}"/>
    <cellStyle name="40% - Accent2 3 2 2 7" xfId="18301" xr:uid="{00000000-0005-0000-0000-000049340000}"/>
    <cellStyle name="40% - Accent2 3 2 2 7 2" xfId="42133" xr:uid="{40BBB939-FF33-4CC4-BF1D-7FC3E840FB5B}"/>
    <cellStyle name="40% - Accent2 3 2 2 8" xfId="26253" xr:uid="{774FFA49-8ED0-4A64-AC8A-C311542C1A10}"/>
    <cellStyle name="40% - Accent2 3 2 2_Exh G" xfId="2856" xr:uid="{00000000-0005-0000-0000-00004A340000}"/>
    <cellStyle name="40% - Accent2 3 2 3" xfId="947" xr:uid="{00000000-0005-0000-0000-00004B340000}"/>
    <cellStyle name="40% - Accent2 3 2 3 2" xfId="1865" xr:uid="{00000000-0005-0000-0000-00004C340000}"/>
    <cellStyle name="40% - Accent2 3 2 3 2 2" xfId="5382" xr:uid="{00000000-0005-0000-0000-00004D340000}"/>
    <cellStyle name="40% - Accent2 3 2 3 2 2 2" xfId="8973" xr:uid="{00000000-0005-0000-0000-00004E340000}"/>
    <cellStyle name="40% - Accent2 3 2 3 2 2 2 2" xfId="16943" xr:uid="{00000000-0005-0000-0000-00004F340000}"/>
    <cellStyle name="40% - Accent2 3 2 3 2 2 2 2 2" xfId="40785" xr:uid="{932A4EBC-BF6D-4510-94C5-332A90EE91C2}"/>
    <cellStyle name="40% - Accent2 3 2 3 2 2 2 3" xfId="24889" xr:uid="{00000000-0005-0000-0000-000050340000}"/>
    <cellStyle name="40% - Accent2 3 2 3 2 2 2 3 2" xfId="48721" xr:uid="{1FB7098A-714D-4A94-B785-51CE1D679CB3}"/>
    <cellStyle name="40% - Accent2 3 2 3 2 2 2 4" xfId="32844" xr:uid="{BD6CDE78-D4BC-454B-95F8-145D29FF8996}"/>
    <cellStyle name="40% - Accent2 3 2 3 2 2 3" xfId="13405" xr:uid="{00000000-0005-0000-0000-000051340000}"/>
    <cellStyle name="40% - Accent2 3 2 3 2 2 3 2" xfId="37254" xr:uid="{CCABD80B-71A3-4B32-9E55-F86DBA38D2D0}"/>
    <cellStyle name="40% - Accent2 3 2 3 2 2 4" xfId="21360" xr:uid="{00000000-0005-0000-0000-000052340000}"/>
    <cellStyle name="40% - Accent2 3 2 3 2 2 4 2" xfId="45192" xr:uid="{2F4862DE-A7FD-4976-A1AB-B283F6126958}"/>
    <cellStyle name="40% - Accent2 3 2 3 2 2 5" xfId="29313" xr:uid="{951465A6-6FFA-4FE3-87C2-BF07238C1D7D}"/>
    <cellStyle name="40% - Accent2 3 2 3 2 3" xfId="7214" xr:uid="{00000000-0005-0000-0000-000053340000}"/>
    <cellStyle name="40% - Accent2 3 2 3 2 3 2" xfId="15185" xr:uid="{00000000-0005-0000-0000-000054340000}"/>
    <cellStyle name="40% - Accent2 3 2 3 2 3 2 2" xfId="39027" xr:uid="{97A0BE34-5CC4-41A8-90A4-98DFA4B89268}"/>
    <cellStyle name="40% - Accent2 3 2 3 2 3 3" xfId="23132" xr:uid="{00000000-0005-0000-0000-000055340000}"/>
    <cellStyle name="40% - Accent2 3 2 3 2 3 3 2" xfId="46964" xr:uid="{CF0C7C2F-410F-48A7-A842-CEA0C58EE61F}"/>
    <cellStyle name="40% - Accent2 3 2 3 2 3 4" xfId="31086" xr:uid="{25A834BA-C156-4BE1-A628-81C35B955E1D}"/>
    <cellStyle name="40% - Accent2 3 2 3 2 4" xfId="11649" xr:uid="{00000000-0005-0000-0000-000056340000}"/>
    <cellStyle name="40% - Accent2 3 2 3 2 4 2" xfId="35498" xr:uid="{6CF074C5-3DB0-47EE-BD9E-B5A3CCB95896}"/>
    <cellStyle name="40% - Accent2 3 2 3 2 5" xfId="19604" xr:uid="{00000000-0005-0000-0000-000057340000}"/>
    <cellStyle name="40% - Accent2 3 2 3 2 5 2" xfId="43436" xr:uid="{7F8C34FD-ABF7-4A70-8A9E-16CACD4A427F}"/>
    <cellStyle name="40% - Accent2 3 2 3 2 6" xfId="27556" xr:uid="{078EBB1D-9323-4EC8-A91C-9730FE91214A}"/>
    <cellStyle name="40% - Accent2 3 2 3 2_Exh G" xfId="2859" xr:uid="{00000000-0005-0000-0000-000058340000}"/>
    <cellStyle name="40% - Accent2 3 2 3 3" xfId="4503" xr:uid="{00000000-0005-0000-0000-000059340000}"/>
    <cellStyle name="40% - Accent2 3 2 3 3 2" xfId="8095" xr:uid="{00000000-0005-0000-0000-00005A340000}"/>
    <cellStyle name="40% - Accent2 3 2 3 3 2 2" xfId="16065" xr:uid="{00000000-0005-0000-0000-00005B340000}"/>
    <cellStyle name="40% - Accent2 3 2 3 3 2 2 2" xfId="39907" xr:uid="{0AEA1ABD-DF0F-467E-B547-3A7890C03699}"/>
    <cellStyle name="40% - Accent2 3 2 3 3 2 3" xfId="24011" xr:uid="{00000000-0005-0000-0000-00005C340000}"/>
    <cellStyle name="40% - Accent2 3 2 3 3 2 3 2" xfId="47843" xr:uid="{6CBD4780-B703-4B8E-BB3F-13B1E39F6727}"/>
    <cellStyle name="40% - Accent2 3 2 3 3 2 4" xfId="31966" xr:uid="{371F4197-7D20-47F1-9581-893049B9FBE4}"/>
    <cellStyle name="40% - Accent2 3 2 3 3 3" xfId="12527" xr:uid="{00000000-0005-0000-0000-00005D340000}"/>
    <cellStyle name="40% - Accent2 3 2 3 3 3 2" xfId="36376" xr:uid="{53939399-2BFA-4B90-ADF3-53CE8A2A134E}"/>
    <cellStyle name="40% - Accent2 3 2 3 3 4" xfId="20482" xr:uid="{00000000-0005-0000-0000-00005E340000}"/>
    <cellStyle name="40% - Accent2 3 2 3 3 4 2" xfId="44314" xr:uid="{4EE5873C-76FC-4DC7-9958-5E0FB5137288}"/>
    <cellStyle name="40% - Accent2 3 2 3 3 5" xfId="28435" xr:uid="{618F5CCB-5F8E-4067-B740-972A69E0E822}"/>
    <cellStyle name="40% - Accent2 3 2 3 4" xfId="6333" xr:uid="{00000000-0005-0000-0000-00005F340000}"/>
    <cellStyle name="40% - Accent2 3 2 3 4 2" xfId="14307" xr:uid="{00000000-0005-0000-0000-000060340000}"/>
    <cellStyle name="40% - Accent2 3 2 3 4 2 2" xfId="38149" xr:uid="{C4E0E714-B033-4CE0-8A99-4D871DB67969}"/>
    <cellStyle name="40% - Accent2 3 2 3 4 3" xfId="22254" xr:uid="{00000000-0005-0000-0000-000061340000}"/>
    <cellStyle name="40% - Accent2 3 2 3 4 3 2" xfId="46086" xr:uid="{7B529CFE-DF96-4A40-AE99-C195EB1E7150}"/>
    <cellStyle name="40% - Accent2 3 2 3 4 4" xfId="30208" xr:uid="{C432985B-990A-4F1D-AFB6-AA6B82F19F5B}"/>
    <cellStyle name="40% - Accent2 3 2 3 5" xfId="9875" xr:uid="{00000000-0005-0000-0000-000062340000}"/>
    <cellStyle name="40% - Accent2 3 2 3 5 2" xfId="17833" xr:uid="{00000000-0005-0000-0000-000063340000}"/>
    <cellStyle name="40% - Accent2 3 2 3 5 2 2" xfId="41673" xr:uid="{46E2AB73-599E-478A-A85A-58A687DC60E8}"/>
    <cellStyle name="40% - Accent2 3 2 3 5 3" xfId="25777" xr:uid="{00000000-0005-0000-0000-000064340000}"/>
    <cellStyle name="40% - Accent2 3 2 3 5 3 2" xfId="49609" xr:uid="{D1942D59-4B41-42AA-9FBD-4EB502E4D5A1}"/>
    <cellStyle name="40% - Accent2 3 2 3 5 4" xfId="33732" xr:uid="{31E42F5E-B086-41DC-9D2C-BD2F479EB3A7}"/>
    <cellStyle name="40% - Accent2 3 2 3 6" xfId="10771" xr:uid="{00000000-0005-0000-0000-000065340000}"/>
    <cellStyle name="40% - Accent2 3 2 3 6 2" xfId="34620" xr:uid="{AF8ED8DD-CAA9-4B86-A693-69E0CFED7809}"/>
    <cellStyle name="40% - Accent2 3 2 3 7" xfId="18726" xr:uid="{00000000-0005-0000-0000-000066340000}"/>
    <cellStyle name="40% - Accent2 3 2 3 7 2" xfId="42558" xr:uid="{4037C418-8257-4DEB-BBC2-F4ED3E6D1892}"/>
    <cellStyle name="40% - Accent2 3 2 3 8" xfId="26678" xr:uid="{C4CED0F9-9C5B-41EE-8B3A-6518BFA1BB9F}"/>
    <cellStyle name="40% - Accent2 3 2 3_Exh G" xfId="2858" xr:uid="{00000000-0005-0000-0000-000067340000}"/>
    <cellStyle name="40% - Accent2 3 2 4" xfId="1429" xr:uid="{00000000-0005-0000-0000-000068340000}"/>
    <cellStyle name="40% - Accent2 3 2 4 2" xfId="4956" xr:uid="{00000000-0005-0000-0000-000069340000}"/>
    <cellStyle name="40% - Accent2 3 2 4 2 2" xfId="8547" xr:uid="{00000000-0005-0000-0000-00006A340000}"/>
    <cellStyle name="40% - Accent2 3 2 4 2 2 2" xfId="16517" xr:uid="{00000000-0005-0000-0000-00006B340000}"/>
    <cellStyle name="40% - Accent2 3 2 4 2 2 2 2" xfId="40359" xr:uid="{F52887BE-FAAA-49AB-B968-D0C16A15023B}"/>
    <cellStyle name="40% - Accent2 3 2 4 2 2 3" xfId="24463" xr:uid="{00000000-0005-0000-0000-00006C340000}"/>
    <cellStyle name="40% - Accent2 3 2 4 2 2 3 2" xfId="48295" xr:uid="{2FD11B60-D296-4C31-9D41-48842048926C}"/>
    <cellStyle name="40% - Accent2 3 2 4 2 2 4" xfId="32418" xr:uid="{6E0947A2-F927-427C-AF5A-D4A5D46FAF06}"/>
    <cellStyle name="40% - Accent2 3 2 4 2 3" xfId="12979" xr:uid="{00000000-0005-0000-0000-00006D340000}"/>
    <cellStyle name="40% - Accent2 3 2 4 2 3 2" xfId="36828" xr:uid="{76330EB6-DCF5-4BFD-9F12-AF948E86ED99}"/>
    <cellStyle name="40% - Accent2 3 2 4 2 4" xfId="20934" xr:uid="{00000000-0005-0000-0000-00006E340000}"/>
    <cellStyle name="40% - Accent2 3 2 4 2 4 2" xfId="44766" xr:uid="{3FAAAE91-75DF-43A3-B6F7-EB2DDF64F02D}"/>
    <cellStyle name="40% - Accent2 3 2 4 2 5" xfId="28887" xr:uid="{6271170E-EE81-41BB-9628-67C5C8FA4BA3}"/>
    <cellStyle name="40% - Accent2 3 2 4 3" xfId="6788" xr:uid="{00000000-0005-0000-0000-00006F340000}"/>
    <cellStyle name="40% - Accent2 3 2 4 3 2" xfId="14759" xr:uid="{00000000-0005-0000-0000-000070340000}"/>
    <cellStyle name="40% - Accent2 3 2 4 3 2 2" xfId="38601" xr:uid="{111A56FE-A6EC-4CF0-ABAC-A206D6D04EB8}"/>
    <cellStyle name="40% - Accent2 3 2 4 3 3" xfId="22706" xr:uid="{00000000-0005-0000-0000-000071340000}"/>
    <cellStyle name="40% - Accent2 3 2 4 3 3 2" xfId="46538" xr:uid="{C2498986-C3DD-48EB-8AEE-A816EDFDD30D}"/>
    <cellStyle name="40% - Accent2 3 2 4 3 4" xfId="30660" xr:uid="{AE87BA86-B6E2-468A-8531-3B7DAE68C023}"/>
    <cellStyle name="40% - Accent2 3 2 4 4" xfId="11223" xr:uid="{00000000-0005-0000-0000-000072340000}"/>
    <cellStyle name="40% - Accent2 3 2 4 4 2" xfId="35072" xr:uid="{532809EA-CABB-47D4-AF26-6EE06C3D647A}"/>
    <cellStyle name="40% - Accent2 3 2 4 5" xfId="19178" xr:uid="{00000000-0005-0000-0000-000073340000}"/>
    <cellStyle name="40% - Accent2 3 2 4 5 2" xfId="43010" xr:uid="{9049752A-B79F-4157-B9AD-F2B62920E713}"/>
    <cellStyle name="40% - Accent2 3 2 4 6" xfId="27130" xr:uid="{A711C0F9-1CCA-4D2E-A7BB-66EE02588835}"/>
    <cellStyle name="40% - Accent2 3 2 4_Exh G" xfId="2860" xr:uid="{00000000-0005-0000-0000-000074340000}"/>
    <cellStyle name="40% - Accent2 3 2 5" xfId="4077" xr:uid="{00000000-0005-0000-0000-000075340000}"/>
    <cellStyle name="40% - Accent2 3 2 5 2" xfId="7669" xr:uid="{00000000-0005-0000-0000-000076340000}"/>
    <cellStyle name="40% - Accent2 3 2 5 2 2" xfId="15639" xr:uid="{00000000-0005-0000-0000-000077340000}"/>
    <cellStyle name="40% - Accent2 3 2 5 2 2 2" xfId="39481" xr:uid="{ED71229B-3C42-4913-831F-2B5B3CBB2087}"/>
    <cellStyle name="40% - Accent2 3 2 5 2 3" xfId="23585" xr:uid="{00000000-0005-0000-0000-000078340000}"/>
    <cellStyle name="40% - Accent2 3 2 5 2 3 2" xfId="47417" xr:uid="{0827D97A-F1C3-4B76-9F07-334BC3897D49}"/>
    <cellStyle name="40% - Accent2 3 2 5 2 4" xfId="31540" xr:uid="{18397711-4535-455F-A9C7-C02A6566E121}"/>
    <cellStyle name="40% - Accent2 3 2 5 3" xfId="12101" xr:uid="{00000000-0005-0000-0000-000079340000}"/>
    <cellStyle name="40% - Accent2 3 2 5 3 2" xfId="35950" xr:uid="{D35B740B-C095-4DD1-AB40-D618206365BE}"/>
    <cellStyle name="40% - Accent2 3 2 5 4" xfId="20056" xr:uid="{00000000-0005-0000-0000-00007A340000}"/>
    <cellStyle name="40% - Accent2 3 2 5 4 2" xfId="43888" xr:uid="{5D17274E-9881-4513-8C16-44CE9DEE1872}"/>
    <cellStyle name="40% - Accent2 3 2 5 5" xfId="28009" xr:uid="{0B414AE1-DEC0-4236-8476-BB4CF3387C95}"/>
    <cellStyle name="40% - Accent2 3 2 6" xfId="5897" xr:uid="{00000000-0005-0000-0000-00007B340000}"/>
    <cellStyle name="40% - Accent2 3 2 6 2" xfId="13880" xr:uid="{00000000-0005-0000-0000-00007C340000}"/>
    <cellStyle name="40% - Accent2 3 2 6 2 2" xfId="37723" xr:uid="{00A171EC-66C3-430A-82D2-A03570D78FA3}"/>
    <cellStyle name="40% - Accent2 3 2 6 3" xfId="21828" xr:uid="{00000000-0005-0000-0000-00007D340000}"/>
    <cellStyle name="40% - Accent2 3 2 6 3 2" xfId="45660" xr:uid="{B82BEBF9-3C27-4F01-A6B3-0C84AEF3F830}"/>
    <cellStyle name="40% - Accent2 3 2 6 4" xfId="29782" xr:uid="{03D04318-9C54-4C92-9340-15BA823B4A2F}"/>
    <cellStyle name="40% - Accent2 3 2 7" xfId="9449" xr:uid="{00000000-0005-0000-0000-00007E340000}"/>
    <cellStyle name="40% - Accent2 3 2 7 2" xfId="17407" xr:uid="{00000000-0005-0000-0000-00007F340000}"/>
    <cellStyle name="40% - Accent2 3 2 7 2 2" xfId="41247" xr:uid="{DB74B8B9-2F33-496A-BF67-5896B1F83DB9}"/>
    <cellStyle name="40% - Accent2 3 2 7 3" xfId="25351" xr:uid="{00000000-0005-0000-0000-000080340000}"/>
    <cellStyle name="40% - Accent2 3 2 7 3 2" xfId="49183" xr:uid="{86BDC367-61ED-4C65-8680-0229F263A1D5}"/>
    <cellStyle name="40% - Accent2 3 2 7 4" xfId="33306" xr:uid="{E9AEF855-A42B-45AD-B5A2-C7DC7B61045E}"/>
    <cellStyle name="40% - Accent2 3 2 8" xfId="10345" xr:uid="{00000000-0005-0000-0000-000081340000}"/>
    <cellStyle name="40% - Accent2 3 2 8 2" xfId="34194" xr:uid="{E7F5DD78-D7D0-443B-B6FE-A916010E3D07}"/>
    <cellStyle name="40% - Accent2 3 2 9" xfId="18300" xr:uid="{00000000-0005-0000-0000-000082340000}"/>
    <cellStyle name="40% - Accent2 3 2 9 2" xfId="42132" xr:uid="{3D37D386-F935-483D-BF9B-B04B804DFF57}"/>
    <cellStyle name="40% - Accent2 3 2_Exh G" xfId="2855" xr:uid="{00000000-0005-0000-0000-000083340000}"/>
    <cellStyle name="40% - Accent2 3 3" xfId="405" xr:uid="{00000000-0005-0000-0000-000084340000}"/>
    <cellStyle name="40% - Accent2 3 3 2" xfId="1431" xr:uid="{00000000-0005-0000-0000-000085340000}"/>
    <cellStyle name="40% - Accent2 3 3 2 2" xfId="4958" xr:uid="{00000000-0005-0000-0000-000086340000}"/>
    <cellStyle name="40% - Accent2 3 3 2 2 2" xfId="8549" xr:uid="{00000000-0005-0000-0000-000087340000}"/>
    <cellStyle name="40% - Accent2 3 3 2 2 2 2" xfId="16519" xr:uid="{00000000-0005-0000-0000-000088340000}"/>
    <cellStyle name="40% - Accent2 3 3 2 2 2 2 2" xfId="40361" xr:uid="{2281B771-2A55-4A28-B631-54ACF633D5BA}"/>
    <cellStyle name="40% - Accent2 3 3 2 2 2 3" xfId="24465" xr:uid="{00000000-0005-0000-0000-000089340000}"/>
    <cellStyle name="40% - Accent2 3 3 2 2 2 3 2" xfId="48297" xr:uid="{042B1AFF-53C7-4A8D-AAC8-9044F9C0CC42}"/>
    <cellStyle name="40% - Accent2 3 3 2 2 2 4" xfId="32420" xr:uid="{66B453C6-E6BB-439D-B519-800FB2DDDD84}"/>
    <cellStyle name="40% - Accent2 3 3 2 2 3" xfId="12981" xr:uid="{00000000-0005-0000-0000-00008A340000}"/>
    <cellStyle name="40% - Accent2 3 3 2 2 3 2" xfId="36830" xr:uid="{AB47AA6F-E9C0-4CF2-BA92-CF7567694320}"/>
    <cellStyle name="40% - Accent2 3 3 2 2 4" xfId="20936" xr:uid="{00000000-0005-0000-0000-00008B340000}"/>
    <cellStyle name="40% - Accent2 3 3 2 2 4 2" xfId="44768" xr:uid="{F41D4AE8-8F68-4ED9-9E02-675A6E297D4E}"/>
    <cellStyle name="40% - Accent2 3 3 2 2 5" xfId="28889" xr:uid="{FD4661C0-B9FD-40DD-82C0-3B33452DD7E6}"/>
    <cellStyle name="40% - Accent2 3 3 2 3" xfId="6790" xr:uid="{00000000-0005-0000-0000-00008C340000}"/>
    <cellStyle name="40% - Accent2 3 3 2 3 2" xfId="14761" xr:uid="{00000000-0005-0000-0000-00008D340000}"/>
    <cellStyle name="40% - Accent2 3 3 2 3 2 2" xfId="38603" xr:uid="{6F1030FD-7E4D-45A2-8C8F-0DFFD7853CD6}"/>
    <cellStyle name="40% - Accent2 3 3 2 3 3" xfId="22708" xr:uid="{00000000-0005-0000-0000-00008E340000}"/>
    <cellStyle name="40% - Accent2 3 3 2 3 3 2" xfId="46540" xr:uid="{8DB35185-F55E-4EF8-9F75-E3D4A5F4674E}"/>
    <cellStyle name="40% - Accent2 3 3 2 3 4" xfId="30662" xr:uid="{09A971D0-5619-4648-88D7-E2AF8A2C7B32}"/>
    <cellStyle name="40% - Accent2 3 3 2 4" xfId="11225" xr:uid="{00000000-0005-0000-0000-00008F340000}"/>
    <cellStyle name="40% - Accent2 3 3 2 4 2" xfId="35074" xr:uid="{9EBB10EF-6892-47D6-BDF0-93F5D73ECFFF}"/>
    <cellStyle name="40% - Accent2 3 3 2 5" xfId="19180" xr:uid="{00000000-0005-0000-0000-000090340000}"/>
    <cellStyle name="40% - Accent2 3 3 2 5 2" xfId="43012" xr:uid="{D48D5E9C-8AF8-4475-B15D-32E26296D89A}"/>
    <cellStyle name="40% - Accent2 3 3 2 6" xfId="27132" xr:uid="{F3389704-12F2-42A4-A2C4-09AFCA719E85}"/>
    <cellStyle name="40% - Accent2 3 3 2_Exh G" xfId="2862" xr:uid="{00000000-0005-0000-0000-000091340000}"/>
    <cellStyle name="40% - Accent2 3 3 3" xfId="4079" xr:uid="{00000000-0005-0000-0000-000092340000}"/>
    <cellStyle name="40% - Accent2 3 3 3 2" xfId="7671" xr:uid="{00000000-0005-0000-0000-000093340000}"/>
    <cellStyle name="40% - Accent2 3 3 3 2 2" xfId="15641" xr:uid="{00000000-0005-0000-0000-000094340000}"/>
    <cellStyle name="40% - Accent2 3 3 3 2 2 2" xfId="39483" xr:uid="{E579040F-B6B7-4D7B-9531-E0C3C07E658B}"/>
    <cellStyle name="40% - Accent2 3 3 3 2 3" xfId="23587" xr:uid="{00000000-0005-0000-0000-000095340000}"/>
    <cellStyle name="40% - Accent2 3 3 3 2 3 2" xfId="47419" xr:uid="{512FA589-F988-40A0-B954-8EA1A322246F}"/>
    <cellStyle name="40% - Accent2 3 3 3 2 4" xfId="31542" xr:uid="{6CB89514-850C-4691-A8DC-9B120520710A}"/>
    <cellStyle name="40% - Accent2 3 3 3 3" xfId="12103" xr:uid="{00000000-0005-0000-0000-000096340000}"/>
    <cellStyle name="40% - Accent2 3 3 3 3 2" xfId="35952" xr:uid="{20B33B6E-5938-4A6F-9C37-C61C46EDC6DD}"/>
    <cellStyle name="40% - Accent2 3 3 3 4" xfId="20058" xr:uid="{00000000-0005-0000-0000-000097340000}"/>
    <cellStyle name="40% - Accent2 3 3 3 4 2" xfId="43890" xr:uid="{EE3A586A-DC30-471C-8A8F-D0ADED7A5871}"/>
    <cellStyle name="40% - Accent2 3 3 3 5" xfId="28011" xr:uid="{57727DD1-DA2E-4ECE-A7F2-542E006CA17D}"/>
    <cellStyle name="40% - Accent2 3 3 4" xfId="5899" xr:uid="{00000000-0005-0000-0000-000098340000}"/>
    <cellStyle name="40% - Accent2 3 3 4 2" xfId="13882" xr:uid="{00000000-0005-0000-0000-000099340000}"/>
    <cellStyle name="40% - Accent2 3 3 4 2 2" xfId="37725" xr:uid="{C5E1F4C3-5D22-4802-A34E-A550BDCD5DE0}"/>
    <cellStyle name="40% - Accent2 3 3 4 3" xfId="21830" xr:uid="{00000000-0005-0000-0000-00009A340000}"/>
    <cellStyle name="40% - Accent2 3 3 4 3 2" xfId="45662" xr:uid="{DEAB7684-C514-4DB4-A994-CE047B709D6B}"/>
    <cellStyle name="40% - Accent2 3 3 4 4" xfId="29784" xr:uid="{7223998C-5F95-4EAE-965F-AEEEC9718D18}"/>
    <cellStyle name="40% - Accent2 3 3 5" xfId="9451" xr:uid="{00000000-0005-0000-0000-00009B340000}"/>
    <cellStyle name="40% - Accent2 3 3 5 2" xfId="17409" xr:uid="{00000000-0005-0000-0000-00009C340000}"/>
    <cellStyle name="40% - Accent2 3 3 5 2 2" xfId="41249" xr:uid="{083A5562-BF32-46C0-BEA2-39BA63A91655}"/>
    <cellStyle name="40% - Accent2 3 3 5 3" xfId="25353" xr:uid="{00000000-0005-0000-0000-00009D340000}"/>
    <cellStyle name="40% - Accent2 3 3 5 3 2" xfId="49185" xr:uid="{FC705EA9-F467-413A-89EF-4270E49032E7}"/>
    <cellStyle name="40% - Accent2 3 3 5 4" xfId="33308" xr:uid="{CBA467B7-8110-4C71-863A-09BF0AFDEBF2}"/>
    <cellStyle name="40% - Accent2 3 3 6" xfId="10347" xr:uid="{00000000-0005-0000-0000-00009E340000}"/>
    <cellStyle name="40% - Accent2 3 3 6 2" xfId="34196" xr:uid="{350CFB15-0577-406B-B6FA-55B45F62D93C}"/>
    <cellStyle name="40% - Accent2 3 3 7" xfId="18302" xr:uid="{00000000-0005-0000-0000-00009F340000}"/>
    <cellStyle name="40% - Accent2 3 3 7 2" xfId="42134" xr:uid="{63ABC386-7811-4C1D-9411-00BCFF8C011B}"/>
    <cellStyle name="40% - Accent2 3 3 8" xfId="26254" xr:uid="{74DD4B8D-E870-4E38-ADBC-7E5BBFB2D877}"/>
    <cellStyle name="40% - Accent2 3 3_Exh G" xfId="2861" xr:uid="{00000000-0005-0000-0000-0000A0340000}"/>
    <cellStyle name="40% - Accent2 3 4" xfId="946" xr:uid="{00000000-0005-0000-0000-0000A1340000}"/>
    <cellStyle name="40% - Accent2 3 4 2" xfId="1864" xr:uid="{00000000-0005-0000-0000-0000A2340000}"/>
    <cellStyle name="40% - Accent2 3 4 2 2" xfId="5381" xr:uid="{00000000-0005-0000-0000-0000A3340000}"/>
    <cellStyle name="40% - Accent2 3 4 2 2 2" xfId="8972" xr:uid="{00000000-0005-0000-0000-0000A4340000}"/>
    <cellStyle name="40% - Accent2 3 4 2 2 2 2" xfId="16942" xr:uid="{00000000-0005-0000-0000-0000A5340000}"/>
    <cellStyle name="40% - Accent2 3 4 2 2 2 2 2" xfId="40784" xr:uid="{6FFE5EE5-6C65-4B7D-BD3F-84749DA86405}"/>
    <cellStyle name="40% - Accent2 3 4 2 2 2 3" xfId="24888" xr:uid="{00000000-0005-0000-0000-0000A6340000}"/>
    <cellStyle name="40% - Accent2 3 4 2 2 2 3 2" xfId="48720" xr:uid="{69497D61-35AE-454A-B237-C2D65FC4F881}"/>
    <cellStyle name="40% - Accent2 3 4 2 2 2 4" xfId="32843" xr:uid="{7AA5C870-4E37-456A-8750-5B1197EC08E9}"/>
    <cellStyle name="40% - Accent2 3 4 2 2 3" xfId="13404" xr:uid="{00000000-0005-0000-0000-0000A7340000}"/>
    <cellStyle name="40% - Accent2 3 4 2 2 3 2" xfId="37253" xr:uid="{7EEA568A-52A3-4821-9C0D-58AC3A14BB83}"/>
    <cellStyle name="40% - Accent2 3 4 2 2 4" xfId="21359" xr:uid="{00000000-0005-0000-0000-0000A8340000}"/>
    <cellStyle name="40% - Accent2 3 4 2 2 4 2" xfId="45191" xr:uid="{88902E26-4F0A-4B17-ABAA-E1D6BBAD6D7E}"/>
    <cellStyle name="40% - Accent2 3 4 2 2 5" xfId="29312" xr:uid="{73979463-3C71-44E9-A3E2-A4CD0729251A}"/>
    <cellStyle name="40% - Accent2 3 4 2 3" xfId="7213" xr:uid="{00000000-0005-0000-0000-0000A9340000}"/>
    <cellStyle name="40% - Accent2 3 4 2 3 2" xfId="15184" xr:uid="{00000000-0005-0000-0000-0000AA340000}"/>
    <cellStyle name="40% - Accent2 3 4 2 3 2 2" xfId="39026" xr:uid="{9CC44C11-E10A-49E4-A938-A0EFB1A1414D}"/>
    <cellStyle name="40% - Accent2 3 4 2 3 3" xfId="23131" xr:uid="{00000000-0005-0000-0000-0000AB340000}"/>
    <cellStyle name="40% - Accent2 3 4 2 3 3 2" xfId="46963" xr:uid="{5AE482E9-6730-4E2D-951F-19ABB7D133F4}"/>
    <cellStyle name="40% - Accent2 3 4 2 3 4" xfId="31085" xr:uid="{3D445BBF-D7A2-4A63-B180-1CF146296DB3}"/>
    <cellStyle name="40% - Accent2 3 4 2 4" xfId="11648" xr:uid="{00000000-0005-0000-0000-0000AC340000}"/>
    <cellStyle name="40% - Accent2 3 4 2 4 2" xfId="35497" xr:uid="{314B42AF-66FC-49C6-9F6E-6566138E44B6}"/>
    <cellStyle name="40% - Accent2 3 4 2 5" xfId="19603" xr:uid="{00000000-0005-0000-0000-0000AD340000}"/>
    <cellStyle name="40% - Accent2 3 4 2 5 2" xfId="43435" xr:uid="{F1D7E867-D313-4D4E-9FBE-85720027EA18}"/>
    <cellStyle name="40% - Accent2 3 4 2 6" xfId="27555" xr:uid="{49FBC857-F6A8-4D57-BDC2-55FC8C456A3D}"/>
    <cellStyle name="40% - Accent2 3 4 2_Exh G" xfId="2864" xr:uid="{00000000-0005-0000-0000-0000AE340000}"/>
    <cellStyle name="40% - Accent2 3 4 3" xfId="4502" xr:uid="{00000000-0005-0000-0000-0000AF340000}"/>
    <cellStyle name="40% - Accent2 3 4 3 2" xfId="8094" xr:uid="{00000000-0005-0000-0000-0000B0340000}"/>
    <cellStyle name="40% - Accent2 3 4 3 2 2" xfId="16064" xr:uid="{00000000-0005-0000-0000-0000B1340000}"/>
    <cellStyle name="40% - Accent2 3 4 3 2 2 2" xfId="39906" xr:uid="{84748E19-9205-4880-A460-B560EE0AB9AC}"/>
    <cellStyle name="40% - Accent2 3 4 3 2 3" xfId="24010" xr:uid="{00000000-0005-0000-0000-0000B2340000}"/>
    <cellStyle name="40% - Accent2 3 4 3 2 3 2" xfId="47842" xr:uid="{1401B81A-29FA-4DEE-8F06-900FF58CA11F}"/>
    <cellStyle name="40% - Accent2 3 4 3 2 4" xfId="31965" xr:uid="{03F5080A-22B0-48EF-A16A-13FA9E4E1508}"/>
    <cellStyle name="40% - Accent2 3 4 3 3" xfId="12526" xr:uid="{00000000-0005-0000-0000-0000B3340000}"/>
    <cellStyle name="40% - Accent2 3 4 3 3 2" xfId="36375" xr:uid="{B69239A2-35EE-46AA-AC3C-BD48FC0D33D0}"/>
    <cellStyle name="40% - Accent2 3 4 3 4" xfId="20481" xr:uid="{00000000-0005-0000-0000-0000B4340000}"/>
    <cellStyle name="40% - Accent2 3 4 3 4 2" xfId="44313" xr:uid="{B9C25386-4227-4412-9123-BFE25CB4EA3A}"/>
    <cellStyle name="40% - Accent2 3 4 3 5" xfId="28434" xr:uid="{A2A3A72F-E0A0-4BB4-8A50-BF47D9CA48FC}"/>
    <cellStyle name="40% - Accent2 3 4 4" xfId="6332" xr:uid="{00000000-0005-0000-0000-0000B5340000}"/>
    <cellStyle name="40% - Accent2 3 4 4 2" xfId="14306" xr:uid="{00000000-0005-0000-0000-0000B6340000}"/>
    <cellStyle name="40% - Accent2 3 4 4 2 2" xfId="38148" xr:uid="{5B24C4AB-AC90-4753-BA5C-4E32FCDFFC76}"/>
    <cellStyle name="40% - Accent2 3 4 4 3" xfId="22253" xr:uid="{00000000-0005-0000-0000-0000B7340000}"/>
    <cellStyle name="40% - Accent2 3 4 4 3 2" xfId="46085" xr:uid="{5ADA1988-ED72-4FE6-A40E-AEB26869A971}"/>
    <cellStyle name="40% - Accent2 3 4 4 4" xfId="30207" xr:uid="{13843600-3DE7-4F84-9361-94539E87C6E5}"/>
    <cellStyle name="40% - Accent2 3 4 5" xfId="9874" xr:uid="{00000000-0005-0000-0000-0000B8340000}"/>
    <cellStyle name="40% - Accent2 3 4 5 2" xfId="17832" xr:uid="{00000000-0005-0000-0000-0000B9340000}"/>
    <cellStyle name="40% - Accent2 3 4 5 2 2" xfId="41672" xr:uid="{7A5C8004-C001-4A37-B0DA-E7D543DC17FF}"/>
    <cellStyle name="40% - Accent2 3 4 5 3" xfId="25776" xr:uid="{00000000-0005-0000-0000-0000BA340000}"/>
    <cellStyle name="40% - Accent2 3 4 5 3 2" xfId="49608" xr:uid="{163ECD1D-1E64-4605-916E-0D53FB9A2FF1}"/>
    <cellStyle name="40% - Accent2 3 4 5 4" xfId="33731" xr:uid="{1E747B83-E9B2-4C43-A80B-4F7E125F673C}"/>
    <cellStyle name="40% - Accent2 3 4 6" xfId="10770" xr:uid="{00000000-0005-0000-0000-0000BB340000}"/>
    <cellStyle name="40% - Accent2 3 4 6 2" xfId="34619" xr:uid="{76854E61-C47C-4746-BE2F-FFC8C8512392}"/>
    <cellStyle name="40% - Accent2 3 4 7" xfId="18725" xr:uid="{00000000-0005-0000-0000-0000BC340000}"/>
    <cellStyle name="40% - Accent2 3 4 7 2" xfId="42557" xr:uid="{572ECF92-E477-4BBA-83B8-6221C62DD7EE}"/>
    <cellStyle name="40% - Accent2 3 4 8" xfId="26677" xr:uid="{6F8FA915-0CF9-4656-A5EA-A676587BBDA5}"/>
    <cellStyle name="40% - Accent2 3 4_Exh G" xfId="2863" xr:uid="{00000000-0005-0000-0000-0000BD340000}"/>
    <cellStyle name="40% - Accent2 3 5" xfId="1428" xr:uid="{00000000-0005-0000-0000-0000BE340000}"/>
    <cellStyle name="40% - Accent2 3 5 2" xfId="4955" xr:uid="{00000000-0005-0000-0000-0000BF340000}"/>
    <cellStyle name="40% - Accent2 3 5 2 2" xfId="8546" xr:uid="{00000000-0005-0000-0000-0000C0340000}"/>
    <cellStyle name="40% - Accent2 3 5 2 2 2" xfId="16516" xr:uid="{00000000-0005-0000-0000-0000C1340000}"/>
    <cellStyle name="40% - Accent2 3 5 2 2 2 2" xfId="40358" xr:uid="{2D0EC80E-E539-4797-8CEC-AAB274167819}"/>
    <cellStyle name="40% - Accent2 3 5 2 2 3" xfId="24462" xr:uid="{00000000-0005-0000-0000-0000C2340000}"/>
    <cellStyle name="40% - Accent2 3 5 2 2 3 2" xfId="48294" xr:uid="{C11B488C-22B8-4D66-A037-8A40B5831E35}"/>
    <cellStyle name="40% - Accent2 3 5 2 2 4" xfId="32417" xr:uid="{DA4DE058-43B4-46FE-A655-EA1C2509CFAB}"/>
    <cellStyle name="40% - Accent2 3 5 2 3" xfId="12978" xr:uid="{00000000-0005-0000-0000-0000C3340000}"/>
    <cellStyle name="40% - Accent2 3 5 2 3 2" xfId="36827" xr:uid="{BDAAE24A-62DE-41DB-9431-D434DD17732E}"/>
    <cellStyle name="40% - Accent2 3 5 2 4" xfId="20933" xr:uid="{00000000-0005-0000-0000-0000C4340000}"/>
    <cellStyle name="40% - Accent2 3 5 2 4 2" xfId="44765" xr:uid="{A20417D3-FFE9-4766-BE0A-F5E49FFC778C}"/>
    <cellStyle name="40% - Accent2 3 5 2 5" xfId="28886" xr:uid="{82F11FF4-E3D4-46FE-A31C-73071C059C38}"/>
    <cellStyle name="40% - Accent2 3 5 3" xfId="6787" xr:uid="{00000000-0005-0000-0000-0000C5340000}"/>
    <cellStyle name="40% - Accent2 3 5 3 2" xfId="14758" xr:uid="{00000000-0005-0000-0000-0000C6340000}"/>
    <cellStyle name="40% - Accent2 3 5 3 2 2" xfId="38600" xr:uid="{465422AA-8F2A-42D1-849A-18898F3BBABC}"/>
    <cellStyle name="40% - Accent2 3 5 3 3" xfId="22705" xr:uid="{00000000-0005-0000-0000-0000C7340000}"/>
    <cellStyle name="40% - Accent2 3 5 3 3 2" xfId="46537" xr:uid="{F49D1AE3-465A-43D8-94E8-67DA705A3C39}"/>
    <cellStyle name="40% - Accent2 3 5 3 4" xfId="30659" xr:uid="{11AF54DF-2673-4386-B48A-A4C5BB71088C}"/>
    <cellStyle name="40% - Accent2 3 5 4" xfId="11222" xr:uid="{00000000-0005-0000-0000-0000C8340000}"/>
    <cellStyle name="40% - Accent2 3 5 4 2" xfId="35071" xr:uid="{34BED6D8-5EC5-4E2A-8B43-69B1A1BCE35F}"/>
    <cellStyle name="40% - Accent2 3 5 5" xfId="19177" xr:uid="{00000000-0005-0000-0000-0000C9340000}"/>
    <cellStyle name="40% - Accent2 3 5 5 2" xfId="43009" xr:uid="{518AC358-37E6-4C19-9CB4-554B3962C607}"/>
    <cellStyle name="40% - Accent2 3 5 6" xfId="27129" xr:uid="{F31F9F0B-2F3E-40D9-AE66-01E2311205E9}"/>
    <cellStyle name="40% - Accent2 3 5_Exh G" xfId="2865" xr:uid="{00000000-0005-0000-0000-0000CA340000}"/>
    <cellStyle name="40% - Accent2 3 6" xfId="4076" xr:uid="{00000000-0005-0000-0000-0000CB340000}"/>
    <cellStyle name="40% - Accent2 3 6 2" xfId="7668" xr:uid="{00000000-0005-0000-0000-0000CC340000}"/>
    <cellStyle name="40% - Accent2 3 6 2 2" xfId="15638" xr:uid="{00000000-0005-0000-0000-0000CD340000}"/>
    <cellStyle name="40% - Accent2 3 6 2 2 2" xfId="39480" xr:uid="{8F41C03A-BD9B-4C13-A064-E44A51D6EF2D}"/>
    <cellStyle name="40% - Accent2 3 6 2 3" xfId="23584" xr:uid="{00000000-0005-0000-0000-0000CE340000}"/>
    <cellStyle name="40% - Accent2 3 6 2 3 2" xfId="47416" xr:uid="{5539A4AA-815D-42CC-AB75-919772634669}"/>
    <cellStyle name="40% - Accent2 3 6 2 4" xfId="31539" xr:uid="{4447DFC3-DB5A-4736-A7B2-CBAA56E0F18A}"/>
    <cellStyle name="40% - Accent2 3 6 3" xfId="12100" xr:uid="{00000000-0005-0000-0000-0000CF340000}"/>
    <cellStyle name="40% - Accent2 3 6 3 2" xfId="35949" xr:uid="{52922DD9-7AFE-4206-9D2F-345CDC28CB8D}"/>
    <cellStyle name="40% - Accent2 3 6 4" xfId="20055" xr:uid="{00000000-0005-0000-0000-0000D0340000}"/>
    <cellStyle name="40% - Accent2 3 6 4 2" xfId="43887" xr:uid="{5C17DDAB-995D-4030-B1B1-0042ED03B580}"/>
    <cellStyle name="40% - Accent2 3 6 5" xfId="28008" xr:uid="{1548B122-54DE-4708-80E0-7B69FDC526B6}"/>
    <cellStyle name="40% - Accent2 3 7" xfId="5896" xr:uid="{00000000-0005-0000-0000-0000D1340000}"/>
    <cellStyle name="40% - Accent2 3 7 2" xfId="13879" xr:uid="{00000000-0005-0000-0000-0000D2340000}"/>
    <cellStyle name="40% - Accent2 3 7 2 2" xfId="37722" xr:uid="{2E92E7D5-0038-4B25-AC62-5F21CAE57733}"/>
    <cellStyle name="40% - Accent2 3 7 3" xfId="21827" xr:uid="{00000000-0005-0000-0000-0000D3340000}"/>
    <cellStyle name="40% - Accent2 3 7 3 2" xfId="45659" xr:uid="{7B3FBF0C-6E83-451E-933C-57441250EDE0}"/>
    <cellStyle name="40% - Accent2 3 7 4" xfId="29781" xr:uid="{653E44A0-2F21-413E-A641-66FD57033A74}"/>
    <cellStyle name="40% - Accent2 3 8" xfId="9448" xr:uid="{00000000-0005-0000-0000-0000D4340000}"/>
    <cellStyle name="40% - Accent2 3 8 2" xfId="17406" xr:uid="{00000000-0005-0000-0000-0000D5340000}"/>
    <cellStyle name="40% - Accent2 3 8 2 2" xfId="41246" xr:uid="{79C75F7C-EB5C-47C0-8257-D90A950E4455}"/>
    <cellStyle name="40% - Accent2 3 8 3" xfId="25350" xr:uid="{00000000-0005-0000-0000-0000D6340000}"/>
    <cellStyle name="40% - Accent2 3 8 3 2" xfId="49182" xr:uid="{6B233170-A3B0-4472-8D22-F54C6BD1AC15}"/>
    <cellStyle name="40% - Accent2 3 8 4" xfId="33305" xr:uid="{9A474D4A-F53E-4D62-96C4-8D9D932364A6}"/>
    <cellStyle name="40% - Accent2 3 9" xfId="10344" xr:uid="{00000000-0005-0000-0000-0000D7340000}"/>
    <cellStyle name="40% - Accent2 3 9 2" xfId="34193" xr:uid="{4D28216E-8ACB-4D85-8486-F13A88208060}"/>
    <cellStyle name="40% - Accent2 3_Exh G" xfId="2854" xr:uid="{00000000-0005-0000-0000-0000D8340000}"/>
    <cellStyle name="40% - Accent2 4" xfId="406" xr:uid="{00000000-0005-0000-0000-0000D9340000}"/>
    <cellStyle name="40% - Accent2 4 10" xfId="18303" xr:uid="{00000000-0005-0000-0000-0000DA340000}"/>
    <cellStyle name="40% - Accent2 4 10 2" xfId="42135" xr:uid="{51E4C3EF-D026-48D1-A608-C40A9304C26D}"/>
    <cellStyle name="40% - Accent2 4 11" xfId="26255" xr:uid="{1871CE31-2CF1-4631-A00D-AC33BFFD5300}"/>
    <cellStyle name="40% - Accent2 4 2" xfId="407" xr:uid="{00000000-0005-0000-0000-0000DB340000}"/>
    <cellStyle name="40% - Accent2 4 2 10" xfId="26256" xr:uid="{0EECB09D-050B-483F-BC04-32C3E5CAB9EC}"/>
    <cellStyle name="40% - Accent2 4 2 2" xfId="408" xr:uid="{00000000-0005-0000-0000-0000DC340000}"/>
    <cellStyle name="40% - Accent2 4 2 2 2" xfId="1434" xr:uid="{00000000-0005-0000-0000-0000DD340000}"/>
    <cellStyle name="40% - Accent2 4 2 2 2 2" xfId="4961" xr:uid="{00000000-0005-0000-0000-0000DE340000}"/>
    <cellStyle name="40% - Accent2 4 2 2 2 2 2" xfId="8552" xr:uid="{00000000-0005-0000-0000-0000DF340000}"/>
    <cellStyle name="40% - Accent2 4 2 2 2 2 2 2" xfId="16522" xr:uid="{00000000-0005-0000-0000-0000E0340000}"/>
    <cellStyle name="40% - Accent2 4 2 2 2 2 2 2 2" xfId="40364" xr:uid="{305CA29C-0682-4F46-B98A-DCC59AC47405}"/>
    <cellStyle name="40% - Accent2 4 2 2 2 2 2 3" xfId="24468" xr:uid="{00000000-0005-0000-0000-0000E1340000}"/>
    <cellStyle name="40% - Accent2 4 2 2 2 2 2 3 2" xfId="48300" xr:uid="{E1891B47-23C6-4974-BA3F-9649FF9EF870}"/>
    <cellStyle name="40% - Accent2 4 2 2 2 2 2 4" xfId="32423" xr:uid="{03A37545-D4A1-4196-8EB2-B01BD5F8D486}"/>
    <cellStyle name="40% - Accent2 4 2 2 2 2 3" xfId="12984" xr:uid="{00000000-0005-0000-0000-0000E2340000}"/>
    <cellStyle name="40% - Accent2 4 2 2 2 2 3 2" xfId="36833" xr:uid="{3E930998-99C5-4D77-A9EE-D93FF8099AE8}"/>
    <cellStyle name="40% - Accent2 4 2 2 2 2 4" xfId="20939" xr:uid="{00000000-0005-0000-0000-0000E3340000}"/>
    <cellStyle name="40% - Accent2 4 2 2 2 2 4 2" xfId="44771" xr:uid="{7DBA1330-2E44-4BCA-8C5F-40C6A1BB4383}"/>
    <cellStyle name="40% - Accent2 4 2 2 2 2 5" xfId="28892" xr:uid="{FCB960D5-8A3E-4E22-B307-B537601C7E38}"/>
    <cellStyle name="40% - Accent2 4 2 2 2 3" xfId="6793" xr:uid="{00000000-0005-0000-0000-0000E4340000}"/>
    <cellStyle name="40% - Accent2 4 2 2 2 3 2" xfId="14764" xr:uid="{00000000-0005-0000-0000-0000E5340000}"/>
    <cellStyle name="40% - Accent2 4 2 2 2 3 2 2" xfId="38606" xr:uid="{82D78919-797E-42E0-BABE-22D7C10759C0}"/>
    <cellStyle name="40% - Accent2 4 2 2 2 3 3" xfId="22711" xr:uid="{00000000-0005-0000-0000-0000E6340000}"/>
    <cellStyle name="40% - Accent2 4 2 2 2 3 3 2" xfId="46543" xr:uid="{B43DF547-6066-4942-BA8F-8E695514E677}"/>
    <cellStyle name="40% - Accent2 4 2 2 2 3 4" xfId="30665" xr:uid="{BFBA9DF6-E314-4B58-983C-A8BC23F27D4E}"/>
    <cellStyle name="40% - Accent2 4 2 2 2 4" xfId="11228" xr:uid="{00000000-0005-0000-0000-0000E7340000}"/>
    <cellStyle name="40% - Accent2 4 2 2 2 4 2" xfId="35077" xr:uid="{57F2F0C7-76F3-42B6-8DB7-D1DAD2A0F76A}"/>
    <cellStyle name="40% - Accent2 4 2 2 2 5" xfId="19183" xr:uid="{00000000-0005-0000-0000-0000E8340000}"/>
    <cellStyle name="40% - Accent2 4 2 2 2 5 2" xfId="43015" xr:uid="{5A72010D-29AC-4A80-8C55-D300BEA45911}"/>
    <cellStyle name="40% - Accent2 4 2 2 2 6" xfId="27135" xr:uid="{484AFE9A-21F5-47D3-BABA-950B14A4468A}"/>
    <cellStyle name="40% - Accent2 4 2 2 2_Exh G" xfId="2869" xr:uid="{00000000-0005-0000-0000-0000E9340000}"/>
    <cellStyle name="40% - Accent2 4 2 2 3" xfId="4082" xr:uid="{00000000-0005-0000-0000-0000EA340000}"/>
    <cellStyle name="40% - Accent2 4 2 2 3 2" xfId="7674" xr:uid="{00000000-0005-0000-0000-0000EB340000}"/>
    <cellStyle name="40% - Accent2 4 2 2 3 2 2" xfId="15644" xr:uid="{00000000-0005-0000-0000-0000EC340000}"/>
    <cellStyle name="40% - Accent2 4 2 2 3 2 2 2" xfId="39486" xr:uid="{136FA063-572D-4191-8647-94A2D259E1BA}"/>
    <cellStyle name="40% - Accent2 4 2 2 3 2 3" xfId="23590" xr:uid="{00000000-0005-0000-0000-0000ED340000}"/>
    <cellStyle name="40% - Accent2 4 2 2 3 2 3 2" xfId="47422" xr:uid="{F6287334-6483-4BD1-9177-5DCAA1A05E60}"/>
    <cellStyle name="40% - Accent2 4 2 2 3 2 4" xfId="31545" xr:uid="{49C7C96C-EBF2-4477-B6EE-1CB35C4C2729}"/>
    <cellStyle name="40% - Accent2 4 2 2 3 3" xfId="12106" xr:uid="{00000000-0005-0000-0000-0000EE340000}"/>
    <cellStyle name="40% - Accent2 4 2 2 3 3 2" xfId="35955" xr:uid="{C5F04399-1896-4E41-9D68-4AFFAE463FCC}"/>
    <cellStyle name="40% - Accent2 4 2 2 3 4" xfId="20061" xr:uid="{00000000-0005-0000-0000-0000EF340000}"/>
    <cellStyle name="40% - Accent2 4 2 2 3 4 2" xfId="43893" xr:uid="{24E8B4CD-544B-4A24-A9EA-9926B2B9E061}"/>
    <cellStyle name="40% - Accent2 4 2 2 3 5" xfId="28014" xr:uid="{633F93ED-CDD5-44B0-BF2F-3635227202D9}"/>
    <cellStyle name="40% - Accent2 4 2 2 4" xfId="5902" xr:uid="{00000000-0005-0000-0000-0000F0340000}"/>
    <cellStyle name="40% - Accent2 4 2 2 4 2" xfId="13885" xr:uid="{00000000-0005-0000-0000-0000F1340000}"/>
    <cellStyle name="40% - Accent2 4 2 2 4 2 2" xfId="37728" xr:uid="{EB9131C3-2888-4845-8802-C4AEC70DB082}"/>
    <cellStyle name="40% - Accent2 4 2 2 4 3" xfId="21833" xr:uid="{00000000-0005-0000-0000-0000F2340000}"/>
    <cellStyle name="40% - Accent2 4 2 2 4 3 2" xfId="45665" xr:uid="{64EA2AF6-3005-484F-ADAC-E4EDD7C06464}"/>
    <cellStyle name="40% - Accent2 4 2 2 4 4" xfId="29787" xr:uid="{3EE8E603-6A03-4CAA-BBEF-8C4286A94A90}"/>
    <cellStyle name="40% - Accent2 4 2 2 5" xfId="9454" xr:uid="{00000000-0005-0000-0000-0000F3340000}"/>
    <cellStyle name="40% - Accent2 4 2 2 5 2" xfId="17412" xr:uid="{00000000-0005-0000-0000-0000F4340000}"/>
    <cellStyle name="40% - Accent2 4 2 2 5 2 2" xfId="41252" xr:uid="{9BE234D8-CA4D-47F6-93F1-E5E0A0E4C109}"/>
    <cellStyle name="40% - Accent2 4 2 2 5 3" xfId="25356" xr:uid="{00000000-0005-0000-0000-0000F5340000}"/>
    <cellStyle name="40% - Accent2 4 2 2 5 3 2" xfId="49188" xr:uid="{7A95D6BD-C4F6-4ABD-970D-116887888D93}"/>
    <cellStyle name="40% - Accent2 4 2 2 5 4" xfId="33311" xr:uid="{32410EB1-CB24-4B0E-B734-21D2610603A2}"/>
    <cellStyle name="40% - Accent2 4 2 2 6" xfId="10350" xr:uid="{00000000-0005-0000-0000-0000F6340000}"/>
    <cellStyle name="40% - Accent2 4 2 2 6 2" xfId="34199" xr:uid="{51A62DF8-C644-40BD-9389-55815158BABB}"/>
    <cellStyle name="40% - Accent2 4 2 2 7" xfId="18305" xr:uid="{00000000-0005-0000-0000-0000F7340000}"/>
    <cellStyle name="40% - Accent2 4 2 2 7 2" xfId="42137" xr:uid="{930AFB7E-93E3-4E55-AF80-B5A3DD08E0DC}"/>
    <cellStyle name="40% - Accent2 4 2 2 8" xfId="26257" xr:uid="{18546B5C-FCB2-46D9-989A-8F835933565B}"/>
    <cellStyle name="40% - Accent2 4 2 2_Exh G" xfId="2868" xr:uid="{00000000-0005-0000-0000-0000F8340000}"/>
    <cellStyle name="40% - Accent2 4 2 3" xfId="949" xr:uid="{00000000-0005-0000-0000-0000F9340000}"/>
    <cellStyle name="40% - Accent2 4 2 3 2" xfId="1867" xr:uid="{00000000-0005-0000-0000-0000FA340000}"/>
    <cellStyle name="40% - Accent2 4 2 3 2 2" xfId="5384" xr:uid="{00000000-0005-0000-0000-0000FB340000}"/>
    <cellStyle name="40% - Accent2 4 2 3 2 2 2" xfId="8975" xr:uid="{00000000-0005-0000-0000-0000FC340000}"/>
    <cellStyle name="40% - Accent2 4 2 3 2 2 2 2" xfId="16945" xr:uid="{00000000-0005-0000-0000-0000FD340000}"/>
    <cellStyle name="40% - Accent2 4 2 3 2 2 2 2 2" xfId="40787" xr:uid="{C8FC33C7-5D3D-42BE-B4A1-87E2123A2755}"/>
    <cellStyle name="40% - Accent2 4 2 3 2 2 2 3" xfId="24891" xr:uid="{00000000-0005-0000-0000-0000FE340000}"/>
    <cellStyle name="40% - Accent2 4 2 3 2 2 2 3 2" xfId="48723" xr:uid="{B131F10F-8452-4242-ABFD-971CE5A7B00E}"/>
    <cellStyle name="40% - Accent2 4 2 3 2 2 2 4" xfId="32846" xr:uid="{4A65F237-2B89-42BC-B810-D4F7243E9484}"/>
    <cellStyle name="40% - Accent2 4 2 3 2 2 3" xfId="13407" xr:uid="{00000000-0005-0000-0000-0000FF340000}"/>
    <cellStyle name="40% - Accent2 4 2 3 2 2 3 2" xfId="37256" xr:uid="{2D524C04-47DB-4A84-8A91-93BEBC7D3B1F}"/>
    <cellStyle name="40% - Accent2 4 2 3 2 2 4" xfId="21362" xr:uid="{00000000-0005-0000-0000-000000350000}"/>
    <cellStyle name="40% - Accent2 4 2 3 2 2 4 2" xfId="45194" xr:uid="{B7C19017-9BCD-4A4C-AC69-058A1C3D23FF}"/>
    <cellStyle name="40% - Accent2 4 2 3 2 2 5" xfId="29315" xr:uid="{6BD51513-11C9-48D2-A74C-B47E3904F454}"/>
    <cellStyle name="40% - Accent2 4 2 3 2 3" xfId="7216" xr:uid="{00000000-0005-0000-0000-000001350000}"/>
    <cellStyle name="40% - Accent2 4 2 3 2 3 2" xfId="15187" xr:uid="{00000000-0005-0000-0000-000002350000}"/>
    <cellStyle name="40% - Accent2 4 2 3 2 3 2 2" xfId="39029" xr:uid="{76A50237-DC5D-47B4-B990-F933F6B25796}"/>
    <cellStyle name="40% - Accent2 4 2 3 2 3 3" xfId="23134" xr:uid="{00000000-0005-0000-0000-000003350000}"/>
    <cellStyle name="40% - Accent2 4 2 3 2 3 3 2" xfId="46966" xr:uid="{6DAC7FF3-F8A6-4F29-93FA-43484026AE60}"/>
    <cellStyle name="40% - Accent2 4 2 3 2 3 4" xfId="31088" xr:uid="{9ECD2A1B-A983-43CC-B146-E2FF6CF9B4D3}"/>
    <cellStyle name="40% - Accent2 4 2 3 2 4" xfId="11651" xr:uid="{00000000-0005-0000-0000-000004350000}"/>
    <cellStyle name="40% - Accent2 4 2 3 2 4 2" xfId="35500" xr:uid="{24F86864-F630-4DEB-84B2-B444F359D502}"/>
    <cellStyle name="40% - Accent2 4 2 3 2 5" xfId="19606" xr:uid="{00000000-0005-0000-0000-000005350000}"/>
    <cellStyle name="40% - Accent2 4 2 3 2 5 2" xfId="43438" xr:uid="{A2E141B6-1BAB-499A-95AB-120C927BD7C3}"/>
    <cellStyle name="40% - Accent2 4 2 3 2 6" xfId="27558" xr:uid="{0984546E-30AD-4973-9456-E1538BEECF8F}"/>
    <cellStyle name="40% - Accent2 4 2 3 2_Exh G" xfId="2871" xr:uid="{00000000-0005-0000-0000-000006350000}"/>
    <cellStyle name="40% - Accent2 4 2 3 3" xfId="4505" xr:uid="{00000000-0005-0000-0000-000007350000}"/>
    <cellStyle name="40% - Accent2 4 2 3 3 2" xfId="8097" xr:uid="{00000000-0005-0000-0000-000008350000}"/>
    <cellStyle name="40% - Accent2 4 2 3 3 2 2" xfId="16067" xr:uid="{00000000-0005-0000-0000-000009350000}"/>
    <cellStyle name="40% - Accent2 4 2 3 3 2 2 2" xfId="39909" xr:uid="{F563290D-8D17-4D5A-A042-451CB3ABB3F5}"/>
    <cellStyle name="40% - Accent2 4 2 3 3 2 3" xfId="24013" xr:uid="{00000000-0005-0000-0000-00000A350000}"/>
    <cellStyle name="40% - Accent2 4 2 3 3 2 3 2" xfId="47845" xr:uid="{8884309B-9BD9-44D4-AC59-D365DFF52864}"/>
    <cellStyle name="40% - Accent2 4 2 3 3 2 4" xfId="31968" xr:uid="{2D99AC3E-D79D-4C47-A63C-608FE849B9D9}"/>
    <cellStyle name="40% - Accent2 4 2 3 3 3" xfId="12529" xr:uid="{00000000-0005-0000-0000-00000B350000}"/>
    <cellStyle name="40% - Accent2 4 2 3 3 3 2" xfId="36378" xr:uid="{496A9EB2-18B7-4E77-84FB-F10C3D6E08E9}"/>
    <cellStyle name="40% - Accent2 4 2 3 3 4" xfId="20484" xr:uid="{00000000-0005-0000-0000-00000C350000}"/>
    <cellStyle name="40% - Accent2 4 2 3 3 4 2" xfId="44316" xr:uid="{92556BC9-7855-4FE8-9E07-04F71D4E620F}"/>
    <cellStyle name="40% - Accent2 4 2 3 3 5" xfId="28437" xr:uid="{90CA9AC6-03DB-493A-9B1E-7F2EAE4B44E3}"/>
    <cellStyle name="40% - Accent2 4 2 3 4" xfId="6335" xr:uid="{00000000-0005-0000-0000-00000D350000}"/>
    <cellStyle name="40% - Accent2 4 2 3 4 2" xfId="14309" xr:uid="{00000000-0005-0000-0000-00000E350000}"/>
    <cellStyle name="40% - Accent2 4 2 3 4 2 2" xfId="38151" xr:uid="{2F0107FC-B4E7-4B53-A538-80FDAB592D43}"/>
    <cellStyle name="40% - Accent2 4 2 3 4 3" xfId="22256" xr:uid="{00000000-0005-0000-0000-00000F350000}"/>
    <cellStyle name="40% - Accent2 4 2 3 4 3 2" xfId="46088" xr:uid="{F98BFDE0-819D-4E07-8482-763ABEDBD6FD}"/>
    <cellStyle name="40% - Accent2 4 2 3 4 4" xfId="30210" xr:uid="{F732A852-AB72-41C6-BAFC-4F5DEA5C971B}"/>
    <cellStyle name="40% - Accent2 4 2 3 5" xfId="9877" xr:uid="{00000000-0005-0000-0000-000010350000}"/>
    <cellStyle name="40% - Accent2 4 2 3 5 2" xfId="17835" xr:uid="{00000000-0005-0000-0000-000011350000}"/>
    <cellStyle name="40% - Accent2 4 2 3 5 2 2" xfId="41675" xr:uid="{116A256F-CA68-482C-834F-9E345E286F96}"/>
    <cellStyle name="40% - Accent2 4 2 3 5 3" xfId="25779" xr:uid="{00000000-0005-0000-0000-000012350000}"/>
    <cellStyle name="40% - Accent2 4 2 3 5 3 2" xfId="49611" xr:uid="{8AD5A2E5-3F6C-4539-BA3D-A238E0899148}"/>
    <cellStyle name="40% - Accent2 4 2 3 5 4" xfId="33734" xr:uid="{83776F70-2026-40F7-9D25-893DAE07ABC3}"/>
    <cellStyle name="40% - Accent2 4 2 3 6" xfId="10773" xr:uid="{00000000-0005-0000-0000-000013350000}"/>
    <cellStyle name="40% - Accent2 4 2 3 6 2" xfId="34622" xr:uid="{1709FDD4-1493-4324-9C0A-8F4E2546605A}"/>
    <cellStyle name="40% - Accent2 4 2 3 7" xfId="18728" xr:uid="{00000000-0005-0000-0000-000014350000}"/>
    <cellStyle name="40% - Accent2 4 2 3 7 2" xfId="42560" xr:uid="{E3B5B06F-2117-4EDC-83D4-6AEEF4A40283}"/>
    <cellStyle name="40% - Accent2 4 2 3 8" xfId="26680" xr:uid="{4EE09BFE-1C99-4644-A6F1-32B11771DBC5}"/>
    <cellStyle name="40% - Accent2 4 2 3_Exh G" xfId="2870" xr:uid="{00000000-0005-0000-0000-000015350000}"/>
    <cellStyle name="40% - Accent2 4 2 4" xfId="1433" xr:uid="{00000000-0005-0000-0000-000016350000}"/>
    <cellStyle name="40% - Accent2 4 2 4 2" xfId="4960" xr:uid="{00000000-0005-0000-0000-000017350000}"/>
    <cellStyle name="40% - Accent2 4 2 4 2 2" xfId="8551" xr:uid="{00000000-0005-0000-0000-000018350000}"/>
    <cellStyle name="40% - Accent2 4 2 4 2 2 2" xfId="16521" xr:uid="{00000000-0005-0000-0000-000019350000}"/>
    <cellStyle name="40% - Accent2 4 2 4 2 2 2 2" xfId="40363" xr:uid="{544493F0-F0A4-4AA5-8B79-5A72147FF250}"/>
    <cellStyle name="40% - Accent2 4 2 4 2 2 3" xfId="24467" xr:uid="{00000000-0005-0000-0000-00001A350000}"/>
    <cellStyle name="40% - Accent2 4 2 4 2 2 3 2" xfId="48299" xr:uid="{C6772678-AE2D-443A-9D68-3AFF0806AE6E}"/>
    <cellStyle name="40% - Accent2 4 2 4 2 2 4" xfId="32422" xr:uid="{E008F8AC-4435-4525-A8A1-D28D5ADD08E9}"/>
    <cellStyle name="40% - Accent2 4 2 4 2 3" xfId="12983" xr:uid="{00000000-0005-0000-0000-00001B350000}"/>
    <cellStyle name="40% - Accent2 4 2 4 2 3 2" xfId="36832" xr:uid="{9330BF1C-5395-4BAD-9D95-8C3D829D2618}"/>
    <cellStyle name="40% - Accent2 4 2 4 2 4" xfId="20938" xr:uid="{00000000-0005-0000-0000-00001C350000}"/>
    <cellStyle name="40% - Accent2 4 2 4 2 4 2" xfId="44770" xr:uid="{18D59E3C-8F43-4C0E-86BE-A33FBAA3184C}"/>
    <cellStyle name="40% - Accent2 4 2 4 2 5" xfId="28891" xr:uid="{18F4FFEF-1A30-4382-B450-03C9E2403FB1}"/>
    <cellStyle name="40% - Accent2 4 2 4 3" xfId="6792" xr:uid="{00000000-0005-0000-0000-00001D350000}"/>
    <cellStyle name="40% - Accent2 4 2 4 3 2" xfId="14763" xr:uid="{00000000-0005-0000-0000-00001E350000}"/>
    <cellStyle name="40% - Accent2 4 2 4 3 2 2" xfId="38605" xr:uid="{546D9636-A3C7-48EA-BA2B-498354C0D468}"/>
    <cellStyle name="40% - Accent2 4 2 4 3 3" xfId="22710" xr:uid="{00000000-0005-0000-0000-00001F350000}"/>
    <cellStyle name="40% - Accent2 4 2 4 3 3 2" xfId="46542" xr:uid="{9409A940-622A-4AB6-B66D-526A195BF544}"/>
    <cellStyle name="40% - Accent2 4 2 4 3 4" xfId="30664" xr:uid="{6CE9E074-81DA-4AD1-A87A-52AC5E92B8B1}"/>
    <cellStyle name="40% - Accent2 4 2 4 4" xfId="11227" xr:uid="{00000000-0005-0000-0000-000020350000}"/>
    <cellStyle name="40% - Accent2 4 2 4 4 2" xfId="35076" xr:uid="{591D806A-B792-4FB7-8F77-864BAF78A967}"/>
    <cellStyle name="40% - Accent2 4 2 4 5" xfId="19182" xr:uid="{00000000-0005-0000-0000-000021350000}"/>
    <cellStyle name="40% - Accent2 4 2 4 5 2" xfId="43014" xr:uid="{2CB49303-D023-4C6C-8777-DE30162D389F}"/>
    <cellStyle name="40% - Accent2 4 2 4 6" xfId="27134" xr:uid="{13A8838A-1975-4F28-9B7B-F7DCF64C6EA7}"/>
    <cellStyle name="40% - Accent2 4 2 4_Exh G" xfId="2872" xr:uid="{00000000-0005-0000-0000-000022350000}"/>
    <cellStyle name="40% - Accent2 4 2 5" xfId="4081" xr:uid="{00000000-0005-0000-0000-000023350000}"/>
    <cellStyle name="40% - Accent2 4 2 5 2" xfId="7673" xr:uid="{00000000-0005-0000-0000-000024350000}"/>
    <cellStyle name="40% - Accent2 4 2 5 2 2" xfId="15643" xr:uid="{00000000-0005-0000-0000-000025350000}"/>
    <cellStyle name="40% - Accent2 4 2 5 2 2 2" xfId="39485" xr:uid="{FCB9C97A-0D15-4741-88BE-C7720E4E1086}"/>
    <cellStyle name="40% - Accent2 4 2 5 2 3" xfId="23589" xr:uid="{00000000-0005-0000-0000-000026350000}"/>
    <cellStyle name="40% - Accent2 4 2 5 2 3 2" xfId="47421" xr:uid="{EFCBBFBA-B617-4E64-8D46-72D223C5355D}"/>
    <cellStyle name="40% - Accent2 4 2 5 2 4" xfId="31544" xr:uid="{C5EC4E8B-1415-457B-A0D3-A07E3C161244}"/>
    <cellStyle name="40% - Accent2 4 2 5 3" xfId="12105" xr:uid="{00000000-0005-0000-0000-000027350000}"/>
    <cellStyle name="40% - Accent2 4 2 5 3 2" xfId="35954" xr:uid="{DD2EEC99-7418-4126-B166-2A588E8FC747}"/>
    <cellStyle name="40% - Accent2 4 2 5 4" xfId="20060" xr:uid="{00000000-0005-0000-0000-000028350000}"/>
    <cellStyle name="40% - Accent2 4 2 5 4 2" xfId="43892" xr:uid="{427CA061-15C7-4A13-A08E-283AFBBB902A}"/>
    <cellStyle name="40% - Accent2 4 2 5 5" xfId="28013" xr:uid="{E6CD2F38-CE70-4CC8-88F1-302EDD3032E6}"/>
    <cellStyle name="40% - Accent2 4 2 6" xfId="5901" xr:uid="{00000000-0005-0000-0000-000029350000}"/>
    <cellStyle name="40% - Accent2 4 2 6 2" xfId="13884" xr:uid="{00000000-0005-0000-0000-00002A350000}"/>
    <cellStyle name="40% - Accent2 4 2 6 2 2" xfId="37727" xr:uid="{3BAA550E-CB17-480B-8D54-DC5591DFAFC0}"/>
    <cellStyle name="40% - Accent2 4 2 6 3" xfId="21832" xr:uid="{00000000-0005-0000-0000-00002B350000}"/>
    <cellStyle name="40% - Accent2 4 2 6 3 2" xfId="45664" xr:uid="{308DFD8A-5AF9-4016-A581-E76BBFE50693}"/>
    <cellStyle name="40% - Accent2 4 2 6 4" xfId="29786" xr:uid="{E4F57001-A7A9-456A-BB6C-80EEDEEC19DB}"/>
    <cellStyle name="40% - Accent2 4 2 7" xfId="9453" xr:uid="{00000000-0005-0000-0000-00002C350000}"/>
    <cellStyle name="40% - Accent2 4 2 7 2" xfId="17411" xr:uid="{00000000-0005-0000-0000-00002D350000}"/>
    <cellStyle name="40% - Accent2 4 2 7 2 2" xfId="41251" xr:uid="{994E626A-6857-43CC-B750-9CE95F9185B7}"/>
    <cellStyle name="40% - Accent2 4 2 7 3" xfId="25355" xr:uid="{00000000-0005-0000-0000-00002E350000}"/>
    <cellStyle name="40% - Accent2 4 2 7 3 2" xfId="49187" xr:uid="{4D629F0D-7B19-4306-9D58-57AB25DEF524}"/>
    <cellStyle name="40% - Accent2 4 2 7 4" xfId="33310" xr:uid="{70AC69DE-7750-4164-A6F7-90BB34036AC1}"/>
    <cellStyle name="40% - Accent2 4 2 8" xfId="10349" xr:uid="{00000000-0005-0000-0000-00002F350000}"/>
    <cellStyle name="40% - Accent2 4 2 8 2" xfId="34198" xr:uid="{213E98AC-C060-4FF5-818C-965BB8B969C0}"/>
    <cellStyle name="40% - Accent2 4 2 9" xfId="18304" xr:uid="{00000000-0005-0000-0000-000030350000}"/>
    <cellStyle name="40% - Accent2 4 2 9 2" xfId="42136" xr:uid="{6851B9EF-C49B-49CD-AD5A-F3F1B1634E53}"/>
    <cellStyle name="40% - Accent2 4 2_Exh G" xfId="2867" xr:uid="{00000000-0005-0000-0000-000031350000}"/>
    <cellStyle name="40% - Accent2 4 3" xfId="409" xr:uid="{00000000-0005-0000-0000-000032350000}"/>
    <cellStyle name="40% - Accent2 4 3 2" xfId="1435" xr:uid="{00000000-0005-0000-0000-000033350000}"/>
    <cellStyle name="40% - Accent2 4 3 2 2" xfId="4962" xr:uid="{00000000-0005-0000-0000-000034350000}"/>
    <cellStyle name="40% - Accent2 4 3 2 2 2" xfId="8553" xr:uid="{00000000-0005-0000-0000-000035350000}"/>
    <cellStyle name="40% - Accent2 4 3 2 2 2 2" xfId="16523" xr:uid="{00000000-0005-0000-0000-000036350000}"/>
    <cellStyle name="40% - Accent2 4 3 2 2 2 2 2" xfId="40365" xr:uid="{B04BF069-DC4B-4BA6-AD43-7223CDD12319}"/>
    <cellStyle name="40% - Accent2 4 3 2 2 2 3" xfId="24469" xr:uid="{00000000-0005-0000-0000-000037350000}"/>
    <cellStyle name="40% - Accent2 4 3 2 2 2 3 2" xfId="48301" xr:uid="{8D813002-DE00-4BF4-920B-96E4C10CA6FD}"/>
    <cellStyle name="40% - Accent2 4 3 2 2 2 4" xfId="32424" xr:uid="{EB65195B-8EC9-429B-A127-A8002870240A}"/>
    <cellStyle name="40% - Accent2 4 3 2 2 3" xfId="12985" xr:uid="{00000000-0005-0000-0000-000038350000}"/>
    <cellStyle name="40% - Accent2 4 3 2 2 3 2" xfId="36834" xr:uid="{9CC6234E-A200-47ED-BA31-466CC15CDB4E}"/>
    <cellStyle name="40% - Accent2 4 3 2 2 4" xfId="20940" xr:uid="{00000000-0005-0000-0000-000039350000}"/>
    <cellStyle name="40% - Accent2 4 3 2 2 4 2" xfId="44772" xr:uid="{0475B6E0-C489-441B-A028-D4F85ACFB6DF}"/>
    <cellStyle name="40% - Accent2 4 3 2 2 5" xfId="28893" xr:uid="{480031BA-A618-48D8-999A-F981AA00359E}"/>
    <cellStyle name="40% - Accent2 4 3 2 3" xfId="6794" xr:uid="{00000000-0005-0000-0000-00003A350000}"/>
    <cellStyle name="40% - Accent2 4 3 2 3 2" xfId="14765" xr:uid="{00000000-0005-0000-0000-00003B350000}"/>
    <cellStyle name="40% - Accent2 4 3 2 3 2 2" xfId="38607" xr:uid="{84037655-559A-4241-BA45-B4EB72FDF8F5}"/>
    <cellStyle name="40% - Accent2 4 3 2 3 3" xfId="22712" xr:uid="{00000000-0005-0000-0000-00003C350000}"/>
    <cellStyle name="40% - Accent2 4 3 2 3 3 2" xfId="46544" xr:uid="{CB796C6D-E052-4326-A5AA-B280187C29ED}"/>
    <cellStyle name="40% - Accent2 4 3 2 3 4" xfId="30666" xr:uid="{E3DA5E95-B014-4925-BB06-25DFF6881149}"/>
    <cellStyle name="40% - Accent2 4 3 2 4" xfId="11229" xr:uid="{00000000-0005-0000-0000-00003D350000}"/>
    <cellStyle name="40% - Accent2 4 3 2 4 2" xfId="35078" xr:uid="{BD206368-E061-4264-A90B-4CEB03ED0150}"/>
    <cellStyle name="40% - Accent2 4 3 2 5" xfId="19184" xr:uid="{00000000-0005-0000-0000-00003E350000}"/>
    <cellStyle name="40% - Accent2 4 3 2 5 2" xfId="43016" xr:uid="{37EBCD9F-4AE0-44FD-836A-7CF51D20E4B2}"/>
    <cellStyle name="40% - Accent2 4 3 2 6" xfId="27136" xr:uid="{78FDE1AC-24A9-4116-A6CC-F938EA55EDE1}"/>
    <cellStyle name="40% - Accent2 4 3 2_Exh G" xfId="2874" xr:uid="{00000000-0005-0000-0000-00003F350000}"/>
    <cellStyle name="40% - Accent2 4 3 3" xfId="4083" xr:uid="{00000000-0005-0000-0000-000040350000}"/>
    <cellStyle name="40% - Accent2 4 3 3 2" xfId="7675" xr:uid="{00000000-0005-0000-0000-000041350000}"/>
    <cellStyle name="40% - Accent2 4 3 3 2 2" xfId="15645" xr:uid="{00000000-0005-0000-0000-000042350000}"/>
    <cellStyle name="40% - Accent2 4 3 3 2 2 2" xfId="39487" xr:uid="{B10366CD-EB36-43BD-AE51-B58875917084}"/>
    <cellStyle name="40% - Accent2 4 3 3 2 3" xfId="23591" xr:uid="{00000000-0005-0000-0000-000043350000}"/>
    <cellStyle name="40% - Accent2 4 3 3 2 3 2" xfId="47423" xr:uid="{AA38A6B8-A243-4250-B424-50B40CD90F72}"/>
    <cellStyle name="40% - Accent2 4 3 3 2 4" xfId="31546" xr:uid="{D07B59D0-6C81-460C-9C82-567F6FFEF886}"/>
    <cellStyle name="40% - Accent2 4 3 3 3" xfId="12107" xr:uid="{00000000-0005-0000-0000-000044350000}"/>
    <cellStyle name="40% - Accent2 4 3 3 3 2" xfId="35956" xr:uid="{6D6B8882-C0EA-43D1-B9BA-6FBC94C2C581}"/>
    <cellStyle name="40% - Accent2 4 3 3 4" xfId="20062" xr:uid="{00000000-0005-0000-0000-000045350000}"/>
    <cellStyle name="40% - Accent2 4 3 3 4 2" xfId="43894" xr:uid="{8F68AC82-FD1F-41DC-BAEB-8D627C51AE86}"/>
    <cellStyle name="40% - Accent2 4 3 3 5" xfId="28015" xr:uid="{A87B92C5-6DBB-421B-9AC0-182A56B97C72}"/>
    <cellStyle name="40% - Accent2 4 3 4" xfId="5903" xr:uid="{00000000-0005-0000-0000-000046350000}"/>
    <cellStyle name="40% - Accent2 4 3 4 2" xfId="13886" xr:uid="{00000000-0005-0000-0000-000047350000}"/>
    <cellStyle name="40% - Accent2 4 3 4 2 2" xfId="37729" xr:uid="{B580C376-6FA8-4243-9F4A-95EC1EE987EA}"/>
    <cellStyle name="40% - Accent2 4 3 4 3" xfId="21834" xr:uid="{00000000-0005-0000-0000-000048350000}"/>
    <cellStyle name="40% - Accent2 4 3 4 3 2" xfId="45666" xr:uid="{02EECEB2-87A9-449D-8498-87C44F5F8BD6}"/>
    <cellStyle name="40% - Accent2 4 3 4 4" xfId="29788" xr:uid="{5A582DAA-09CB-498F-8889-31437185343F}"/>
    <cellStyle name="40% - Accent2 4 3 5" xfId="9455" xr:uid="{00000000-0005-0000-0000-000049350000}"/>
    <cellStyle name="40% - Accent2 4 3 5 2" xfId="17413" xr:uid="{00000000-0005-0000-0000-00004A350000}"/>
    <cellStyle name="40% - Accent2 4 3 5 2 2" xfId="41253" xr:uid="{B93BABCE-4CB1-45BD-8954-3287E58B17F6}"/>
    <cellStyle name="40% - Accent2 4 3 5 3" xfId="25357" xr:uid="{00000000-0005-0000-0000-00004B350000}"/>
    <cellStyle name="40% - Accent2 4 3 5 3 2" xfId="49189" xr:uid="{2698A047-81ED-42EE-AB1F-990FEDC69F36}"/>
    <cellStyle name="40% - Accent2 4 3 5 4" xfId="33312" xr:uid="{2AC89C15-9FD2-46D4-AE5E-6A5EF8678060}"/>
    <cellStyle name="40% - Accent2 4 3 6" xfId="10351" xr:uid="{00000000-0005-0000-0000-00004C350000}"/>
    <cellStyle name="40% - Accent2 4 3 6 2" xfId="34200" xr:uid="{ABE5EC30-842E-4881-939A-C6BFC82B3CA4}"/>
    <cellStyle name="40% - Accent2 4 3 7" xfId="18306" xr:uid="{00000000-0005-0000-0000-00004D350000}"/>
    <cellStyle name="40% - Accent2 4 3 7 2" xfId="42138" xr:uid="{0CE66F22-4904-4E8E-BE76-E5B08144F3D2}"/>
    <cellStyle name="40% - Accent2 4 3 8" xfId="26258" xr:uid="{FBAF5B9F-EA04-4557-9364-682E6C962A43}"/>
    <cellStyle name="40% - Accent2 4 3_Exh G" xfId="2873" xr:uid="{00000000-0005-0000-0000-00004E350000}"/>
    <cellStyle name="40% - Accent2 4 4" xfId="948" xr:uid="{00000000-0005-0000-0000-00004F350000}"/>
    <cellStyle name="40% - Accent2 4 4 2" xfId="1866" xr:uid="{00000000-0005-0000-0000-000050350000}"/>
    <cellStyle name="40% - Accent2 4 4 2 2" xfId="5383" xr:uid="{00000000-0005-0000-0000-000051350000}"/>
    <cellStyle name="40% - Accent2 4 4 2 2 2" xfId="8974" xr:uid="{00000000-0005-0000-0000-000052350000}"/>
    <cellStyle name="40% - Accent2 4 4 2 2 2 2" xfId="16944" xr:uid="{00000000-0005-0000-0000-000053350000}"/>
    <cellStyle name="40% - Accent2 4 4 2 2 2 2 2" xfId="40786" xr:uid="{242AC0A7-4E44-4A9C-A1EF-41378E425EBC}"/>
    <cellStyle name="40% - Accent2 4 4 2 2 2 3" xfId="24890" xr:uid="{00000000-0005-0000-0000-000054350000}"/>
    <cellStyle name="40% - Accent2 4 4 2 2 2 3 2" xfId="48722" xr:uid="{5D6EFEE4-9470-4D85-89AA-AC3341A6C7F8}"/>
    <cellStyle name="40% - Accent2 4 4 2 2 2 4" xfId="32845" xr:uid="{40F9E5FE-434C-4F44-AFCC-3D3603464362}"/>
    <cellStyle name="40% - Accent2 4 4 2 2 3" xfId="13406" xr:uid="{00000000-0005-0000-0000-000055350000}"/>
    <cellStyle name="40% - Accent2 4 4 2 2 3 2" xfId="37255" xr:uid="{2BA4FF38-41DF-4D7D-B9A5-0B92604CA7F5}"/>
    <cellStyle name="40% - Accent2 4 4 2 2 4" xfId="21361" xr:uid="{00000000-0005-0000-0000-000056350000}"/>
    <cellStyle name="40% - Accent2 4 4 2 2 4 2" xfId="45193" xr:uid="{95CF61FD-220B-483F-B560-3B63FB1C30A5}"/>
    <cellStyle name="40% - Accent2 4 4 2 2 5" xfId="29314" xr:uid="{1DB7AEB1-AAD9-41DB-93B3-D0098DB1A3AD}"/>
    <cellStyle name="40% - Accent2 4 4 2 3" xfId="7215" xr:uid="{00000000-0005-0000-0000-000057350000}"/>
    <cellStyle name="40% - Accent2 4 4 2 3 2" xfId="15186" xr:uid="{00000000-0005-0000-0000-000058350000}"/>
    <cellStyle name="40% - Accent2 4 4 2 3 2 2" xfId="39028" xr:uid="{31B94832-6088-4F47-BB89-E86DB7A606DF}"/>
    <cellStyle name="40% - Accent2 4 4 2 3 3" xfId="23133" xr:uid="{00000000-0005-0000-0000-000059350000}"/>
    <cellStyle name="40% - Accent2 4 4 2 3 3 2" xfId="46965" xr:uid="{A17A4D44-649D-4288-99AD-9A2971FC4F43}"/>
    <cellStyle name="40% - Accent2 4 4 2 3 4" xfId="31087" xr:uid="{AC516E68-06E6-4CBC-A1BA-2BAA1A37549E}"/>
    <cellStyle name="40% - Accent2 4 4 2 4" xfId="11650" xr:uid="{00000000-0005-0000-0000-00005A350000}"/>
    <cellStyle name="40% - Accent2 4 4 2 4 2" xfId="35499" xr:uid="{3792178D-6665-4EC6-A5BB-BD45305EC61D}"/>
    <cellStyle name="40% - Accent2 4 4 2 5" xfId="19605" xr:uid="{00000000-0005-0000-0000-00005B350000}"/>
    <cellStyle name="40% - Accent2 4 4 2 5 2" xfId="43437" xr:uid="{EFE81011-2A09-4EAC-8064-C16B7026EADC}"/>
    <cellStyle name="40% - Accent2 4 4 2 6" xfId="27557" xr:uid="{726C7F65-175A-4F23-A5BE-643B7D644D8B}"/>
    <cellStyle name="40% - Accent2 4 4 2_Exh G" xfId="2876" xr:uid="{00000000-0005-0000-0000-00005C350000}"/>
    <cellStyle name="40% - Accent2 4 4 3" xfId="4504" xr:uid="{00000000-0005-0000-0000-00005D350000}"/>
    <cellStyle name="40% - Accent2 4 4 3 2" xfId="8096" xr:uid="{00000000-0005-0000-0000-00005E350000}"/>
    <cellStyle name="40% - Accent2 4 4 3 2 2" xfId="16066" xr:uid="{00000000-0005-0000-0000-00005F350000}"/>
    <cellStyle name="40% - Accent2 4 4 3 2 2 2" xfId="39908" xr:uid="{C6C0ED9F-E184-4C4E-90CA-4542182EB3CE}"/>
    <cellStyle name="40% - Accent2 4 4 3 2 3" xfId="24012" xr:uid="{00000000-0005-0000-0000-000060350000}"/>
    <cellStyle name="40% - Accent2 4 4 3 2 3 2" xfId="47844" xr:uid="{93BD192C-7AF9-4BE4-A840-1EC751C02F53}"/>
    <cellStyle name="40% - Accent2 4 4 3 2 4" xfId="31967" xr:uid="{4679DFFE-81E6-4EAB-9419-F06E617D59DC}"/>
    <cellStyle name="40% - Accent2 4 4 3 3" xfId="12528" xr:uid="{00000000-0005-0000-0000-000061350000}"/>
    <cellStyle name="40% - Accent2 4 4 3 3 2" xfId="36377" xr:uid="{EF411A62-5AE1-4516-95A1-6F9EF4C9223F}"/>
    <cellStyle name="40% - Accent2 4 4 3 4" xfId="20483" xr:uid="{00000000-0005-0000-0000-000062350000}"/>
    <cellStyle name="40% - Accent2 4 4 3 4 2" xfId="44315" xr:uid="{F3055211-EF55-4F42-8345-E3336EC0C0BD}"/>
    <cellStyle name="40% - Accent2 4 4 3 5" xfId="28436" xr:uid="{EDF17766-7773-4C7B-9C59-4C58DD6FB486}"/>
    <cellStyle name="40% - Accent2 4 4 4" xfId="6334" xr:uid="{00000000-0005-0000-0000-000063350000}"/>
    <cellStyle name="40% - Accent2 4 4 4 2" xfId="14308" xr:uid="{00000000-0005-0000-0000-000064350000}"/>
    <cellStyle name="40% - Accent2 4 4 4 2 2" xfId="38150" xr:uid="{F01A9641-1376-4729-BE5A-2C0E9AD3B163}"/>
    <cellStyle name="40% - Accent2 4 4 4 3" xfId="22255" xr:uid="{00000000-0005-0000-0000-000065350000}"/>
    <cellStyle name="40% - Accent2 4 4 4 3 2" xfId="46087" xr:uid="{9DCE82C3-F1DD-45F9-AEEF-2E9EFC517FFD}"/>
    <cellStyle name="40% - Accent2 4 4 4 4" xfId="30209" xr:uid="{AC398784-4659-4455-AD6D-E1F7C9785467}"/>
    <cellStyle name="40% - Accent2 4 4 5" xfId="9876" xr:uid="{00000000-0005-0000-0000-000066350000}"/>
    <cellStyle name="40% - Accent2 4 4 5 2" xfId="17834" xr:uid="{00000000-0005-0000-0000-000067350000}"/>
    <cellStyle name="40% - Accent2 4 4 5 2 2" xfId="41674" xr:uid="{08887B5B-6E37-4C3F-A731-0183B4596132}"/>
    <cellStyle name="40% - Accent2 4 4 5 3" xfId="25778" xr:uid="{00000000-0005-0000-0000-000068350000}"/>
    <cellStyle name="40% - Accent2 4 4 5 3 2" xfId="49610" xr:uid="{4D026CC1-9B91-41C9-A793-0E74D7D3BD83}"/>
    <cellStyle name="40% - Accent2 4 4 5 4" xfId="33733" xr:uid="{EA8017CF-323E-4B8E-98AC-5611F054A7AA}"/>
    <cellStyle name="40% - Accent2 4 4 6" xfId="10772" xr:uid="{00000000-0005-0000-0000-000069350000}"/>
    <cellStyle name="40% - Accent2 4 4 6 2" xfId="34621" xr:uid="{D69B1679-B744-4612-9C54-17C33953E602}"/>
    <cellStyle name="40% - Accent2 4 4 7" xfId="18727" xr:uid="{00000000-0005-0000-0000-00006A350000}"/>
    <cellStyle name="40% - Accent2 4 4 7 2" xfId="42559" xr:uid="{50A19EE3-D9AD-4126-A6E2-D542828E6346}"/>
    <cellStyle name="40% - Accent2 4 4 8" xfId="26679" xr:uid="{0AE4DF68-43E4-4A2F-B72B-B381D4CB9394}"/>
    <cellStyle name="40% - Accent2 4 4_Exh G" xfId="2875" xr:uid="{00000000-0005-0000-0000-00006B350000}"/>
    <cellStyle name="40% - Accent2 4 5" xfId="1432" xr:uid="{00000000-0005-0000-0000-00006C350000}"/>
    <cellStyle name="40% - Accent2 4 5 2" xfId="4959" xr:uid="{00000000-0005-0000-0000-00006D350000}"/>
    <cellStyle name="40% - Accent2 4 5 2 2" xfId="8550" xr:uid="{00000000-0005-0000-0000-00006E350000}"/>
    <cellStyle name="40% - Accent2 4 5 2 2 2" xfId="16520" xr:uid="{00000000-0005-0000-0000-00006F350000}"/>
    <cellStyle name="40% - Accent2 4 5 2 2 2 2" xfId="40362" xr:uid="{A1B9B540-02B9-44BE-9AC4-F56E539C5D04}"/>
    <cellStyle name="40% - Accent2 4 5 2 2 3" xfId="24466" xr:uid="{00000000-0005-0000-0000-000070350000}"/>
    <cellStyle name="40% - Accent2 4 5 2 2 3 2" xfId="48298" xr:uid="{39487002-30F6-42DE-8BBC-AEC80032B38F}"/>
    <cellStyle name="40% - Accent2 4 5 2 2 4" xfId="32421" xr:uid="{404DEDFC-2EF6-4BC4-BFAC-FFB029BBFCC4}"/>
    <cellStyle name="40% - Accent2 4 5 2 3" xfId="12982" xr:uid="{00000000-0005-0000-0000-000071350000}"/>
    <cellStyle name="40% - Accent2 4 5 2 3 2" xfId="36831" xr:uid="{7AE7099F-18E5-465E-85EE-7DD1A01226AD}"/>
    <cellStyle name="40% - Accent2 4 5 2 4" xfId="20937" xr:uid="{00000000-0005-0000-0000-000072350000}"/>
    <cellStyle name="40% - Accent2 4 5 2 4 2" xfId="44769" xr:uid="{0F72FCF2-6D9A-4CE4-AAFE-02C58A9AD58A}"/>
    <cellStyle name="40% - Accent2 4 5 2 5" xfId="28890" xr:uid="{CDD69E69-578A-4CF5-BA5B-A418D8BC57A9}"/>
    <cellStyle name="40% - Accent2 4 5 3" xfId="6791" xr:uid="{00000000-0005-0000-0000-000073350000}"/>
    <cellStyle name="40% - Accent2 4 5 3 2" xfId="14762" xr:uid="{00000000-0005-0000-0000-000074350000}"/>
    <cellStyle name="40% - Accent2 4 5 3 2 2" xfId="38604" xr:uid="{87B0BD84-EAED-4A6D-B8F0-FBA41126FE0F}"/>
    <cellStyle name="40% - Accent2 4 5 3 3" xfId="22709" xr:uid="{00000000-0005-0000-0000-000075350000}"/>
    <cellStyle name="40% - Accent2 4 5 3 3 2" xfId="46541" xr:uid="{F2839526-6515-4A1E-9E68-A5CA143836F5}"/>
    <cellStyle name="40% - Accent2 4 5 3 4" xfId="30663" xr:uid="{B359A6EA-24DE-452B-ACF6-7B152CD9F1BC}"/>
    <cellStyle name="40% - Accent2 4 5 4" xfId="11226" xr:uid="{00000000-0005-0000-0000-000076350000}"/>
    <cellStyle name="40% - Accent2 4 5 4 2" xfId="35075" xr:uid="{37FAF1B6-767B-4450-9077-2082B7ADC142}"/>
    <cellStyle name="40% - Accent2 4 5 5" xfId="19181" xr:uid="{00000000-0005-0000-0000-000077350000}"/>
    <cellStyle name="40% - Accent2 4 5 5 2" xfId="43013" xr:uid="{0F8A2C73-F58C-4C48-B910-A97DCD694D40}"/>
    <cellStyle name="40% - Accent2 4 5 6" xfId="27133" xr:uid="{FAD3E34B-93B4-4316-9ED6-FDDB5C0D05EA}"/>
    <cellStyle name="40% - Accent2 4 5_Exh G" xfId="2877" xr:uid="{00000000-0005-0000-0000-000078350000}"/>
    <cellStyle name="40% - Accent2 4 6" xfId="4080" xr:uid="{00000000-0005-0000-0000-000079350000}"/>
    <cellStyle name="40% - Accent2 4 6 2" xfId="7672" xr:uid="{00000000-0005-0000-0000-00007A350000}"/>
    <cellStyle name="40% - Accent2 4 6 2 2" xfId="15642" xr:uid="{00000000-0005-0000-0000-00007B350000}"/>
    <cellStyle name="40% - Accent2 4 6 2 2 2" xfId="39484" xr:uid="{11D4EC63-33DA-41AC-81A4-D74E8395860F}"/>
    <cellStyle name="40% - Accent2 4 6 2 3" xfId="23588" xr:uid="{00000000-0005-0000-0000-00007C350000}"/>
    <cellStyle name="40% - Accent2 4 6 2 3 2" xfId="47420" xr:uid="{8B73131A-28FD-48A6-88A0-4761BD687756}"/>
    <cellStyle name="40% - Accent2 4 6 2 4" xfId="31543" xr:uid="{C73230DC-FD62-451D-ADFE-C0891F6EE315}"/>
    <cellStyle name="40% - Accent2 4 6 3" xfId="12104" xr:uid="{00000000-0005-0000-0000-00007D350000}"/>
    <cellStyle name="40% - Accent2 4 6 3 2" xfId="35953" xr:uid="{234CEFDC-43DE-459E-977C-34B74F44E871}"/>
    <cellStyle name="40% - Accent2 4 6 4" xfId="20059" xr:uid="{00000000-0005-0000-0000-00007E350000}"/>
    <cellStyle name="40% - Accent2 4 6 4 2" xfId="43891" xr:uid="{423ABA58-1568-4002-9CBD-C78F1361DBA3}"/>
    <cellStyle name="40% - Accent2 4 6 5" xfId="28012" xr:uid="{C5FDAD61-1514-4194-8C4C-124D012BAC0D}"/>
    <cellStyle name="40% - Accent2 4 7" xfId="5900" xr:uid="{00000000-0005-0000-0000-00007F350000}"/>
    <cellStyle name="40% - Accent2 4 7 2" xfId="13883" xr:uid="{00000000-0005-0000-0000-000080350000}"/>
    <cellStyle name="40% - Accent2 4 7 2 2" xfId="37726" xr:uid="{C316D647-261D-4A2D-8B09-7288B5E55F2B}"/>
    <cellStyle name="40% - Accent2 4 7 3" xfId="21831" xr:uid="{00000000-0005-0000-0000-000081350000}"/>
    <cellStyle name="40% - Accent2 4 7 3 2" xfId="45663" xr:uid="{011428D0-A799-4422-AA9F-A141534AD04F}"/>
    <cellStyle name="40% - Accent2 4 7 4" xfId="29785" xr:uid="{D85E6A15-748C-494B-9B60-44117BAD4417}"/>
    <cellStyle name="40% - Accent2 4 8" xfId="9452" xr:uid="{00000000-0005-0000-0000-000082350000}"/>
    <cellStyle name="40% - Accent2 4 8 2" xfId="17410" xr:uid="{00000000-0005-0000-0000-000083350000}"/>
    <cellStyle name="40% - Accent2 4 8 2 2" xfId="41250" xr:uid="{0A81B682-0676-41CD-989B-292181633B38}"/>
    <cellStyle name="40% - Accent2 4 8 3" xfId="25354" xr:uid="{00000000-0005-0000-0000-000084350000}"/>
    <cellStyle name="40% - Accent2 4 8 3 2" xfId="49186" xr:uid="{D2B2E422-4B61-4CF5-BDCB-75BF2C4AB0E8}"/>
    <cellStyle name="40% - Accent2 4 8 4" xfId="33309" xr:uid="{DFA1333F-3C42-444C-A65E-5C872187DAC2}"/>
    <cellStyle name="40% - Accent2 4 9" xfId="10348" xr:uid="{00000000-0005-0000-0000-000085350000}"/>
    <cellStyle name="40% - Accent2 4 9 2" xfId="34197" xr:uid="{788F91A1-A5D1-4E69-80B9-38C6479ED330}"/>
    <cellStyle name="40% - Accent2 4_Exh G" xfId="2866" xr:uid="{00000000-0005-0000-0000-000086350000}"/>
    <cellStyle name="40% - Accent2 5" xfId="410" xr:uid="{00000000-0005-0000-0000-000087350000}"/>
    <cellStyle name="40% - Accent2 5 10" xfId="18307" xr:uid="{00000000-0005-0000-0000-000088350000}"/>
    <cellStyle name="40% - Accent2 5 10 2" xfId="42139" xr:uid="{0BBF5141-83F1-408A-AA7E-393D16F91831}"/>
    <cellStyle name="40% - Accent2 5 11" xfId="26259" xr:uid="{DDE78923-6C0E-487B-85D3-E4E948F781AF}"/>
    <cellStyle name="40% - Accent2 5 2" xfId="411" xr:uid="{00000000-0005-0000-0000-000089350000}"/>
    <cellStyle name="40% - Accent2 5 2 2" xfId="412" xr:uid="{00000000-0005-0000-0000-00008A350000}"/>
    <cellStyle name="40% - Accent2 5 2 2 2" xfId="1438" xr:uid="{00000000-0005-0000-0000-00008B350000}"/>
    <cellStyle name="40% - Accent2 5 2 2 2 2" xfId="4965" xr:uid="{00000000-0005-0000-0000-00008C350000}"/>
    <cellStyle name="40% - Accent2 5 2 2 2 2 2" xfId="8556" xr:uid="{00000000-0005-0000-0000-00008D350000}"/>
    <cellStyle name="40% - Accent2 5 2 2 2 2 2 2" xfId="16526" xr:uid="{00000000-0005-0000-0000-00008E350000}"/>
    <cellStyle name="40% - Accent2 5 2 2 2 2 2 2 2" xfId="40368" xr:uid="{EC1ADF51-F328-4642-BDCF-6486F316345C}"/>
    <cellStyle name="40% - Accent2 5 2 2 2 2 2 3" xfId="24472" xr:uid="{00000000-0005-0000-0000-00008F350000}"/>
    <cellStyle name="40% - Accent2 5 2 2 2 2 2 3 2" xfId="48304" xr:uid="{C3B31F58-A568-4F00-B303-CA6A2BA74FF2}"/>
    <cellStyle name="40% - Accent2 5 2 2 2 2 2 4" xfId="32427" xr:uid="{9569486F-EB80-48A4-97FD-FBBB9ACEF790}"/>
    <cellStyle name="40% - Accent2 5 2 2 2 2 3" xfId="12988" xr:uid="{00000000-0005-0000-0000-000090350000}"/>
    <cellStyle name="40% - Accent2 5 2 2 2 2 3 2" xfId="36837" xr:uid="{0642220F-63AF-499F-9085-9B8A92A01EC8}"/>
    <cellStyle name="40% - Accent2 5 2 2 2 2 4" xfId="20943" xr:uid="{00000000-0005-0000-0000-000091350000}"/>
    <cellStyle name="40% - Accent2 5 2 2 2 2 4 2" xfId="44775" xr:uid="{960D2F7B-8506-46C9-A35A-01B3D6340C58}"/>
    <cellStyle name="40% - Accent2 5 2 2 2 2 5" xfId="28896" xr:uid="{5CEC4E4C-14FF-4BE6-A10A-B829E26FF660}"/>
    <cellStyle name="40% - Accent2 5 2 2 2 3" xfId="6797" xr:uid="{00000000-0005-0000-0000-000092350000}"/>
    <cellStyle name="40% - Accent2 5 2 2 2 3 2" xfId="14768" xr:uid="{00000000-0005-0000-0000-000093350000}"/>
    <cellStyle name="40% - Accent2 5 2 2 2 3 2 2" xfId="38610" xr:uid="{11FE5F4D-3851-439B-91D9-94825E7B091F}"/>
    <cellStyle name="40% - Accent2 5 2 2 2 3 3" xfId="22715" xr:uid="{00000000-0005-0000-0000-000094350000}"/>
    <cellStyle name="40% - Accent2 5 2 2 2 3 3 2" xfId="46547" xr:uid="{8F17AEA6-3BBD-4057-B9CA-F2C3FFC3CCCA}"/>
    <cellStyle name="40% - Accent2 5 2 2 2 3 4" xfId="30669" xr:uid="{71B12350-909A-43D1-A505-1C8426FA83FD}"/>
    <cellStyle name="40% - Accent2 5 2 2 2 4" xfId="11232" xr:uid="{00000000-0005-0000-0000-000095350000}"/>
    <cellStyle name="40% - Accent2 5 2 2 2 4 2" xfId="35081" xr:uid="{5B217F22-0E97-4214-9508-945F23343F01}"/>
    <cellStyle name="40% - Accent2 5 2 2 2 5" xfId="19187" xr:uid="{00000000-0005-0000-0000-000096350000}"/>
    <cellStyle name="40% - Accent2 5 2 2 2 5 2" xfId="43019" xr:uid="{05BDEEF1-99AB-4784-A8DA-57D15A324DEB}"/>
    <cellStyle name="40% - Accent2 5 2 2 2 6" xfId="27139" xr:uid="{DD6AEDA2-2B7B-4CE0-BD60-50E8BABE2520}"/>
    <cellStyle name="40% - Accent2 5 2 2 2_Exh G" xfId="2881" xr:uid="{00000000-0005-0000-0000-000097350000}"/>
    <cellStyle name="40% - Accent2 5 2 2 3" xfId="4086" xr:uid="{00000000-0005-0000-0000-000098350000}"/>
    <cellStyle name="40% - Accent2 5 2 2 3 2" xfId="7678" xr:uid="{00000000-0005-0000-0000-000099350000}"/>
    <cellStyle name="40% - Accent2 5 2 2 3 2 2" xfId="15648" xr:uid="{00000000-0005-0000-0000-00009A350000}"/>
    <cellStyle name="40% - Accent2 5 2 2 3 2 2 2" xfId="39490" xr:uid="{074C8657-E4B8-4B7E-AE8C-7A4219198F58}"/>
    <cellStyle name="40% - Accent2 5 2 2 3 2 3" xfId="23594" xr:uid="{00000000-0005-0000-0000-00009B350000}"/>
    <cellStyle name="40% - Accent2 5 2 2 3 2 3 2" xfId="47426" xr:uid="{A54FD08D-3117-4DD4-8F4E-03C89522173A}"/>
    <cellStyle name="40% - Accent2 5 2 2 3 2 4" xfId="31549" xr:uid="{C0BC8981-30C1-4EAB-A743-740252FCD24D}"/>
    <cellStyle name="40% - Accent2 5 2 2 3 3" xfId="12110" xr:uid="{00000000-0005-0000-0000-00009C350000}"/>
    <cellStyle name="40% - Accent2 5 2 2 3 3 2" xfId="35959" xr:uid="{4CC639B4-7370-4D3C-A517-99ABE72F5D34}"/>
    <cellStyle name="40% - Accent2 5 2 2 3 4" xfId="20065" xr:uid="{00000000-0005-0000-0000-00009D350000}"/>
    <cellStyle name="40% - Accent2 5 2 2 3 4 2" xfId="43897" xr:uid="{7254C6EC-87F0-4646-96CB-95A65989F77D}"/>
    <cellStyle name="40% - Accent2 5 2 2 3 5" xfId="28018" xr:uid="{130751AC-38C9-4705-9197-9E8827D4B03A}"/>
    <cellStyle name="40% - Accent2 5 2 2 4" xfId="5906" xr:uid="{00000000-0005-0000-0000-00009E350000}"/>
    <cellStyle name="40% - Accent2 5 2 2 4 2" xfId="13889" xr:uid="{00000000-0005-0000-0000-00009F350000}"/>
    <cellStyle name="40% - Accent2 5 2 2 4 2 2" xfId="37732" xr:uid="{85775F95-C719-45C1-8BFB-A095AE66C350}"/>
    <cellStyle name="40% - Accent2 5 2 2 4 3" xfId="21837" xr:uid="{00000000-0005-0000-0000-0000A0350000}"/>
    <cellStyle name="40% - Accent2 5 2 2 4 3 2" xfId="45669" xr:uid="{A4A3B39E-7D5E-4CC6-B4FC-E7D1512556CB}"/>
    <cellStyle name="40% - Accent2 5 2 2 4 4" xfId="29791" xr:uid="{C177F8AA-8A9D-4FC9-95AD-435B1CAC551B}"/>
    <cellStyle name="40% - Accent2 5 2 2 5" xfId="9458" xr:uid="{00000000-0005-0000-0000-0000A1350000}"/>
    <cellStyle name="40% - Accent2 5 2 2 5 2" xfId="17416" xr:uid="{00000000-0005-0000-0000-0000A2350000}"/>
    <cellStyle name="40% - Accent2 5 2 2 5 2 2" xfId="41256" xr:uid="{31E34538-8933-4102-9F15-CBCE8A589FAC}"/>
    <cellStyle name="40% - Accent2 5 2 2 5 3" xfId="25360" xr:uid="{00000000-0005-0000-0000-0000A3350000}"/>
    <cellStyle name="40% - Accent2 5 2 2 5 3 2" xfId="49192" xr:uid="{DD128740-DF92-4932-8159-F3876F4EF093}"/>
    <cellStyle name="40% - Accent2 5 2 2 5 4" xfId="33315" xr:uid="{A0595582-6843-4AB2-9A31-82E3CDCCF552}"/>
    <cellStyle name="40% - Accent2 5 2 2 6" xfId="10354" xr:uid="{00000000-0005-0000-0000-0000A4350000}"/>
    <cellStyle name="40% - Accent2 5 2 2 6 2" xfId="34203" xr:uid="{FF1E1845-E1C0-4B26-AA54-2687ED52B49A}"/>
    <cellStyle name="40% - Accent2 5 2 2 7" xfId="18309" xr:uid="{00000000-0005-0000-0000-0000A5350000}"/>
    <cellStyle name="40% - Accent2 5 2 2 7 2" xfId="42141" xr:uid="{8AC0B318-E8C8-471F-BC8E-299A13F4789D}"/>
    <cellStyle name="40% - Accent2 5 2 2 8" xfId="26261" xr:uid="{2123E4E6-E881-4A61-9C4B-A02015D7E299}"/>
    <cellStyle name="40% - Accent2 5 2 2_Exh G" xfId="2880" xr:uid="{00000000-0005-0000-0000-0000A6350000}"/>
    <cellStyle name="40% - Accent2 5 2 3" xfId="1437" xr:uid="{00000000-0005-0000-0000-0000A7350000}"/>
    <cellStyle name="40% - Accent2 5 2 3 2" xfId="4964" xr:uid="{00000000-0005-0000-0000-0000A8350000}"/>
    <cellStyle name="40% - Accent2 5 2 3 2 2" xfId="8555" xr:uid="{00000000-0005-0000-0000-0000A9350000}"/>
    <cellStyle name="40% - Accent2 5 2 3 2 2 2" xfId="16525" xr:uid="{00000000-0005-0000-0000-0000AA350000}"/>
    <cellStyle name="40% - Accent2 5 2 3 2 2 2 2" xfId="40367" xr:uid="{9441B270-431B-4163-BD83-33D31DE2EC73}"/>
    <cellStyle name="40% - Accent2 5 2 3 2 2 3" xfId="24471" xr:uid="{00000000-0005-0000-0000-0000AB350000}"/>
    <cellStyle name="40% - Accent2 5 2 3 2 2 3 2" xfId="48303" xr:uid="{539C0098-5C7A-4ED1-B535-28843F1D4090}"/>
    <cellStyle name="40% - Accent2 5 2 3 2 2 4" xfId="32426" xr:uid="{310F2065-C5DC-4E88-B293-93CABA97ADBF}"/>
    <cellStyle name="40% - Accent2 5 2 3 2 3" xfId="12987" xr:uid="{00000000-0005-0000-0000-0000AC350000}"/>
    <cellStyle name="40% - Accent2 5 2 3 2 3 2" xfId="36836" xr:uid="{DDFB6CDD-AF4B-4516-91B2-BB2FAAC296CE}"/>
    <cellStyle name="40% - Accent2 5 2 3 2 4" xfId="20942" xr:uid="{00000000-0005-0000-0000-0000AD350000}"/>
    <cellStyle name="40% - Accent2 5 2 3 2 4 2" xfId="44774" xr:uid="{CC53B726-B2D9-416D-95C6-3E2083B25042}"/>
    <cellStyle name="40% - Accent2 5 2 3 2 5" xfId="28895" xr:uid="{11719406-5980-4A4C-9BBE-84539E76B328}"/>
    <cellStyle name="40% - Accent2 5 2 3 3" xfId="6796" xr:uid="{00000000-0005-0000-0000-0000AE350000}"/>
    <cellStyle name="40% - Accent2 5 2 3 3 2" xfId="14767" xr:uid="{00000000-0005-0000-0000-0000AF350000}"/>
    <cellStyle name="40% - Accent2 5 2 3 3 2 2" xfId="38609" xr:uid="{40A6D612-6BD7-455C-9696-9A73EF86F078}"/>
    <cellStyle name="40% - Accent2 5 2 3 3 3" xfId="22714" xr:uid="{00000000-0005-0000-0000-0000B0350000}"/>
    <cellStyle name="40% - Accent2 5 2 3 3 3 2" xfId="46546" xr:uid="{1FB47CE4-3E89-4D6D-B6FA-6B9938C721CD}"/>
    <cellStyle name="40% - Accent2 5 2 3 3 4" xfId="30668" xr:uid="{80091409-F61C-424A-9DE1-6DA1F567BAF3}"/>
    <cellStyle name="40% - Accent2 5 2 3 4" xfId="11231" xr:uid="{00000000-0005-0000-0000-0000B1350000}"/>
    <cellStyle name="40% - Accent2 5 2 3 4 2" xfId="35080" xr:uid="{0BAF9104-FED1-4252-9217-CF3D44E91F90}"/>
    <cellStyle name="40% - Accent2 5 2 3 5" xfId="19186" xr:uid="{00000000-0005-0000-0000-0000B2350000}"/>
    <cellStyle name="40% - Accent2 5 2 3 5 2" xfId="43018" xr:uid="{D4E8E2DB-9376-4990-9CCB-77AD66096845}"/>
    <cellStyle name="40% - Accent2 5 2 3 6" xfId="27138" xr:uid="{1E9D092B-33B9-4F1E-8138-2818CD0BD21A}"/>
    <cellStyle name="40% - Accent2 5 2 3_Exh G" xfId="2882" xr:uid="{00000000-0005-0000-0000-0000B3350000}"/>
    <cellStyle name="40% - Accent2 5 2 4" xfId="4085" xr:uid="{00000000-0005-0000-0000-0000B4350000}"/>
    <cellStyle name="40% - Accent2 5 2 4 2" xfId="7677" xr:uid="{00000000-0005-0000-0000-0000B5350000}"/>
    <cellStyle name="40% - Accent2 5 2 4 2 2" xfId="15647" xr:uid="{00000000-0005-0000-0000-0000B6350000}"/>
    <cellStyle name="40% - Accent2 5 2 4 2 2 2" xfId="39489" xr:uid="{9568F6EC-2F3B-4740-8509-37836764DE74}"/>
    <cellStyle name="40% - Accent2 5 2 4 2 3" xfId="23593" xr:uid="{00000000-0005-0000-0000-0000B7350000}"/>
    <cellStyle name="40% - Accent2 5 2 4 2 3 2" xfId="47425" xr:uid="{7C170114-B32A-4372-BA0F-73E3822ED149}"/>
    <cellStyle name="40% - Accent2 5 2 4 2 4" xfId="31548" xr:uid="{1297FA96-8510-435C-AA9B-8CEDFBF8915D}"/>
    <cellStyle name="40% - Accent2 5 2 4 3" xfId="12109" xr:uid="{00000000-0005-0000-0000-0000B8350000}"/>
    <cellStyle name="40% - Accent2 5 2 4 3 2" xfId="35958" xr:uid="{4873DBD8-E1D4-4EDF-9E45-DB15FCCB2FEF}"/>
    <cellStyle name="40% - Accent2 5 2 4 4" xfId="20064" xr:uid="{00000000-0005-0000-0000-0000B9350000}"/>
    <cellStyle name="40% - Accent2 5 2 4 4 2" xfId="43896" xr:uid="{2B906D67-34E5-40A4-A3D0-B8180693FBDB}"/>
    <cellStyle name="40% - Accent2 5 2 4 5" xfId="28017" xr:uid="{01161FBA-46E0-4FEE-AC3B-18BA927EE406}"/>
    <cellStyle name="40% - Accent2 5 2 5" xfId="5905" xr:uid="{00000000-0005-0000-0000-0000BA350000}"/>
    <cellStyle name="40% - Accent2 5 2 5 2" xfId="13888" xr:uid="{00000000-0005-0000-0000-0000BB350000}"/>
    <cellStyle name="40% - Accent2 5 2 5 2 2" xfId="37731" xr:uid="{BE7F5693-3FF5-419E-A2D9-6D7816928158}"/>
    <cellStyle name="40% - Accent2 5 2 5 3" xfId="21836" xr:uid="{00000000-0005-0000-0000-0000BC350000}"/>
    <cellStyle name="40% - Accent2 5 2 5 3 2" xfId="45668" xr:uid="{2903A151-DDD2-4B7A-9011-066F758F37B6}"/>
    <cellStyle name="40% - Accent2 5 2 5 4" xfId="29790" xr:uid="{C8D77EBD-B06D-406A-9601-49299F878889}"/>
    <cellStyle name="40% - Accent2 5 2 6" xfId="9457" xr:uid="{00000000-0005-0000-0000-0000BD350000}"/>
    <cellStyle name="40% - Accent2 5 2 6 2" xfId="17415" xr:uid="{00000000-0005-0000-0000-0000BE350000}"/>
    <cellStyle name="40% - Accent2 5 2 6 2 2" xfId="41255" xr:uid="{933B407C-CD94-4AA8-BF73-A59659132C06}"/>
    <cellStyle name="40% - Accent2 5 2 6 3" xfId="25359" xr:uid="{00000000-0005-0000-0000-0000BF350000}"/>
    <cellStyle name="40% - Accent2 5 2 6 3 2" xfId="49191" xr:uid="{A5DD2474-6920-437A-B632-F0ECECF8309B}"/>
    <cellStyle name="40% - Accent2 5 2 6 4" xfId="33314" xr:uid="{5BD7A202-5F5E-40E7-8D33-859C5E22EF05}"/>
    <cellStyle name="40% - Accent2 5 2 7" xfId="10353" xr:uid="{00000000-0005-0000-0000-0000C0350000}"/>
    <cellStyle name="40% - Accent2 5 2 7 2" xfId="34202" xr:uid="{5D3B280D-D467-4487-AE6A-6BA370055E93}"/>
    <cellStyle name="40% - Accent2 5 2 8" xfId="18308" xr:uid="{00000000-0005-0000-0000-0000C1350000}"/>
    <cellStyle name="40% - Accent2 5 2 8 2" xfId="42140" xr:uid="{AC228C75-4061-4881-95B1-10B6C3BF2454}"/>
    <cellStyle name="40% - Accent2 5 2 9" xfId="26260" xr:uid="{E6977AC3-8818-4534-8C5A-413F5EB17814}"/>
    <cellStyle name="40% - Accent2 5 2_Exh G" xfId="2879" xr:uid="{00000000-0005-0000-0000-0000C2350000}"/>
    <cellStyle name="40% - Accent2 5 3" xfId="413" xr:uid="{00000000-0005-0000-0000-0000C3350000}"/>
    <cellStyle name="40% - Accent2 5 3 2" xfId="1439" xr:uid="{00000000-0005-0000-0000-0000C4350000}"/>
    <cellStyle name="40% - Accent2 5 3 2 2" xfId="4966" xr:uid="{00000000-0005-0000-0000-0000C5350000}"/>
    <cellStyle name="40% - Accent2 5 3 2 2 2" xfId="8557" xr:uid="{00000000-0005-0000-0000-0000C6350000}"/>
    <cellStyle name="40% - Accent2 5 3 2 2 2 2" xfId="16527" xr:uid="{00000000-0005-0000-0000-0000C7350000}"/>
    <cellStyle name="40% - Accent2 5 3 2 2 2 2 2" xfId="40369" xr:uid="{1862434E-F517-4B34-8403-038A38905278}"/>
    <cellStyle name="40% - Accent2 5 3 2 2 2 3" xfId="24473" xr:uid="{00000000-0005-0000-0000-0000C8350000}"/>
    <cellStyle name="40% - Accent2 5 3 2 2 2 3 2" xfId="48305" xr:uid="{2CF921A9-536D-4E81-AA86-EBEBBE410A7C}"/>
    <cellStyle name="40% - Accent2 5 3 2 2 2 4" xfId="32428" xr:uid="{974EB611-B3D5-44FA-B35B-7C4F9117B787}"/>
    <cellStyle name="40% - Accent2 5 3 2 2 3" xfId="12989" xr:uid="{00000000-0005-0000-0000-0000C9350000}"/>
    <cellStyle name="40% - Accent2 5 3 2 2 3 2" xfId="36838" xr:uid="{D8C409DC-7AA2-43B3-9115-61103287110D}"/>
    <cellStyle name="40% - Accent2 5 3 2 2 4" xfId="20944" xr:uid="{00000000-0005-0000-0000-0000CA350000}"/>
    <cellStyle name="40% - Accent2 5 3 2 2 4 2" xfId="44776" xr:uid="{9D7C8E04-CAD1-45CD-8EB6-7BADF1557A49}"/>
    <cellStyle name="40% - Accent2 5 3 2 2 5" xfId="28897" xr:uid="{4AE655B2-C15E-4B39-AEA7-85DFA73A95A8}"/>
    <cellStyle name="40% - Accent2 5 3 2 3" xfId="6798" xr:uid="{00000000-0005-0000-0000-0000CB350000}"/>
    <cellStyle name="40% - Accent2 5 3 2 3 2" xfId="14769" xr:uid="{00000000-0005-0000-0000-0000CC350000}"/>
    <cellStyle name="40% - Accent2 5 3 2 3 2 2" xfId="38611" xr:uid="{3E94958D-AA28-4D9C-AEE4-193A6DC5737C}"/>
    <cellStyle name="40% - Accent2 5 3 2 3 3" xfId="22716" xr:uid="{00000000-0005-0000-0000-0000CD350000}"/>
    <cellStyle name="40% - Accent2 5 3 2 3 3 2" xfId="46548" xr:uid="{7322220A-E83C-490B-8525-87315F633E3F}"/>
    <cellStyle name="40% - Accent2 5 3 2 3 4" xfId="30670" xr:uid="{741BF4BC-42A5-45F1-813C-A18FC51EEEE6}"/>
    <cellStyle name="40% - Accent2 5 3 2 4" xfId="11233" xr:uid="{00000000-0005-0000-0000-0000CE350000}"/>
    <cellStyle name="40% - Accent2 5 3 2 4 2" xfId="35082" xr:uid="{7AF22F5F-88EE-4219-AC29-F3D6A7A7E80D}"/>
    <cellStyle name="40% - Accent2 5 3 2 5" xfId="19188" xr:uid="{00000000-0005-0000-0000-0000CF350000}"/>
    <cellStyle name="40% - Accent2 5 3 2 5 2" xfId="43020" xr:uid="{62285E60-3098-4AB8-B516-61FD50A1F81F}"/>
    <cellStyle name="40% - Accent2 5 3 2 6" xfId="27140" xr:uid="{E44E4F5E-FC67-4C57-B070-9D2B6F61846F}"/>
    <cellStyle name="40% - Accent2 5 3 2_Exh G" xfId="2884" xr:uid="{00000000-0005-0000-0000-0000D0350000}"/>
    <cellStyle name="40% - Accent2 5 3 3" xfId="4087" xr:uid="{00000000-0005-0000-0000-0000D1350000}"/>
    <cellStyle name="40% - Accent2 5 3 3 2" xfId="7679" xr:uid="{00000000-0005-0000-0000-0000D2350000}"/>
    <cellStyle name="40% - Accent2 5 3 3 2 2" xfId="15649" xr:uid="{00000000-0005-0000-0000-0000D3350000}"/>
    <cellStyle name="40% - Accent2 5 3 3 2 2 2" xfId="39491" xr:uid="{D22CC09C-AF6A-4131-A12B-C584F5097022}"/>
    <cellStyle name="40% - Accent2 5 3 3 2 3" xfId="23595" xr:uid="{00000000-0005-0000-0000-0000D4350000}"/>
    <cellStyle name="40% - Accent2 5 3 3 2 3 2" xfId="47427" xr:uid="{1353F690-B9B8-4284-9A1A-AC69D8B526DF}"/>
    <cellStyle name="40% - Accent2 5 3 3 2 4" xfId="31550" xr:uid="{C68841F6-E4C9-4979-B948-7C9B599F63B1}"/>
    <cellStyle name="40% - Accent2 5 3 3 3" xfId="12111" xr:uid="{00000000-0005-0000-0000-0000D5350000}"/>
    <cellStyle name="40% - Accent2 5 3 3 3 2" xfId="35960" xr:uid="{94828A8C-1960-45D2-B640-C2077EB2EB2B}"/>
    <cellStyle name="40% - Accent2 5 3 3 4" xfId="20066" xr:uid="{00000000-0005-0000-0000-0000D6350000}"/>
    <cellStyle name="40% - Accent2 5 3 3 4 2" xfId="43898" xr:uid="{9DD88BED-F588-47CD-8385-8BC340581CD7}"/>
    <cellStyle name="40% - Accent2 5 3 3 5" xfId="28019" xr:uid="{745AA701-C7B5-4E39-96DB-2B4313890676}"/>
    <cellStyle name="40% - Accent2 5 3 4" xfId="5907" xr:uid="{00000000-0005-0000-0000-0000D7350000}"/>
    <cellStyle name="40% - Accent2 5 3 4 2" xfId="13890" xr:uid="{00000000-0005-0000-0000-0000D8350000}"/>
    <cellStyle name="40% - Accent2 5 3 4 2 2" xfId="37733" xr:uid="{1C9D9E61-C2F4-46FE-8BE4-291DBEB03125}"/>
    <cellStyle name="40% - Accent2 5 3 4 3" xfId="21838" xr:uid="{00000000-0005-0000-0000-0000D9350000}"/>
    <cellStyle name="40% - Accent2 5 3 4 3 2" xfId="45670" xr:uid="{8C6F01F5-764E-4890-BFC6-17DD2D94F981}"/>
    <cellStyle name="40% - Accent2 5 3 4 4" xfId="29792" xr:uid="{7B313EE1-D131-4F1E-8830-96B6BFC65D2E}"/>
    <cellStyle name="40% - Accent2 5 3 5" xfId="9459" xr:uid="{00000000-0005-0000-0000-0000DA350000}"/>
    <cellStyle name="40% - Accent2 5 3 5 2" xfId="17417" xr:uid="{00000000-0005-0000-0000-0000DB350000}"/>
    <cellStyle name="40% - Accent2 5 3 5 2 2" xfId="41257" xr:uid="{0A5CA459-A555-4DD1-8EBC-B5F92A0703AC}"/>
    <cellStyle name="40% - Accent2 5 3 5 3" xfId="25361" xr:uid="{00000000-0005-0000-0000-0000DC350000}"/>
    <cellStyle name="40% - Accent2 5 3 5 3 2" xfId="49193" xr:uid="{729CF9A6-2156-4E34-BCF4-51D7D93022FB}"/>
    <cellStyle name="40% - Accent2 5 3 5 4" xfId="33316" xr:uid="{2FAF0800-0BBF-4043-806E-68D39E4EBFD9}"/>
    <cellStyle name="40% - Accent2 5 3 6" xfId="10355" xr:uid="{00000000-0005-0000-0000-0000DD350000}"/>
    <cellStyle name="40% - Accent2 5 3 6 2" xfId="34204" xr:uid="{1B30DC21-2979-4EB8-AA2F-F6FFAD992413}"/>
    <cellStyle name="40% - Accent2 5 3 7" xfId="18310" xr:uid="{00000000-0005-0000-0000-0000DE350000}"/>
    <cellStyle name="40% - Accent2 5 3 7 2" xfId="42142" xr:uid="{1C196BC3-EB49-4691-B9AB-38522C31D2FB}"/>
    <cellStyle name="40% - Accent2 5 3 8" xfId="26262" xr:uid="{B6BADC5C-FEC2-415E-830F-583603C97A6B}"/>
    <cellStyle name="40% - Accent2 5 3_Exh G" xfId="2883" xr:uid="{00000000-0005-0000-0000-0000DF350000}"/>
    <cellStyle name="40% - Accent2 5 4" xfId="950" xr:uid="{00000000-0005-0000-0000-0000E0350000}"/>
    <cellStyle name="40% - Accent2 5 5" xfId="1436" xr:uid="{00000000-0005-0000-0000-0000E1350000}"/>
    <cellStyle name="40% - Accent2 5 5 2" xfId="4963" xr:uid="{00000000-0005-0000-0000-0000E2350000}"/>
    <cellStyle name="40% - Accent2 5 5 2 2" xfId="8554" xr:uid="{00000000-0005-0000-0000-0000E3350000}"/>
    <cellStyle name="40% - Accent2 5 5 2 2 2" xfId="16524" xr:uid="{00000000-0005-0000-0000-0000E4350000}"/>
    <cellStyle name="40% - Accent2 5 5 2 2 2 2" xfId="40366" xr:uid="{67D4A7D7-9212-46D4-993D-5393946172EA}"/>
    <cellStyle name="40% - Accent2 5 5 2 2 3" xfId="24470" xr:uid="{00000000-0005-0000-0000-0000E5350000}"/>
    <cellStyle name="40% - Accent2 5 5 2 2 3 2" xfId="48302" xr:uid="{01D0BFA9-C462-4E43-A900-C4E425A0F4E4}"/>
    <cellStyle name="40% - Accent2 5 5 2 2 4" xfId="32425" xr:uid="{6787A473-CC03-4B75-8F7E-4B3BAEC5A7BF}"/>
    <cellStyle name="40% - Accent2 5 5 2 3" xfId="12986" xr:uid="{00000000-0005-0000-0000-0000E6350000}"/>
    <cellStyle name="40% - Accent2 5 5 2 3 2" xfId="36835" xr:uid="{486517C9-359A-4EEE-AF57-7473676D6B22}"/>
    <cellStyle name="40% - Accent2 5 5 2 4" xfId="20941" xr:uid="{00000000-0005-0000-0000-0000E7350000}"/>
    <cellStyle name="40% - Accent2 5 5 2 4 2" xfId="44773" xr:uid="{269B029D-5F25-4AF0-87DC-FED3B6566873}"/>
    <cellStyle name="40% - Accent2 5 5 2 5" xfId="28894" xr:uid="{F7688CFD-6353-4A7C-B923-95E08A7CF69A}"/>
    <cellStyle name="40% - Accent2 5 5 3" xfId="6795" xr:uid="{00000000-0005-0000-0000-0000E8350000}"/>
    <cellStyle name="40% - Accent2 5 5 3 2" xfId="14766" xr:uid="{00000000-0005-0000-0000-0000E9350000}"/>
    <cellStyle name="40% - Accent2 5 5 3 2 2" xfId="38608" xr:uid="{1BDB80A2-8975-4F28-8BC1-B33CE806DE4C}"/>
    <cellStyle name="40% - Accent2 5 5 3 3" xfId="22713" xr:uid="{00000000-0005-0000-0000-0000EA350000}"/>
    <cellStyle name="40% - Accent2 5 5 3 3 2" xfId="46545" xr:uid="{36A46823-9D18-4EB5-89C3-4CCE2ACC3FF7}"/>
    <cellStyle name="40% - Accent2 5 5 3 4" xfId="30667" xr:uid="{9BBD6247-4E08-4DC1-9686-2D5F77A04A51}"/>
    <cellStyle name="40% - Accent2 5 5 4" xfId="11230" xr:uid="{00000000-0005-0000-0000-0000EB350000}"/>
    <cellStyle name="40% - Accent2 5 5 4 2" xfId="35079" xr:uid="{6BC62F98-20C4-4F74-9C85-7A4047971852}"/>
    <cellStyle name="40% - Accent2 5 5 5" xfId="19185" xr:uid="{00000000-0005-0000-0000-0000EC350000}"/>
    <cellStyle name="40% - Accent2 5 5 5 2" xfId="43017" xr:uid="{8AF791AD-A665-4CF4-9321-BEC1CC6D9062}"/>
    <cellStyle name="40% - Accent2 5 5 6" xfId="27137" xr:uid="{B373BF8A-7D41-424B-AE0C-1E6C059B219A}"/>
    <cellStyle name="40% - Accent2 5 5_Exh G" xfId="2885" xr:uid="{00000000-0005-0000-0000-0000ED350000}"/>
    <cellStyle name="40% - Accent2 5 6" xfId="4084" xr:uid="{00000000-0005-0000-0000-0000EE350000}"/>
    <cellStyle name="40% - Accent2 5 6 2" xfId="7676" xr:uid="{00000000-0005-0000-0000-0000EF350000}"/>
    <cellStyle name="40% - Accent2 5 6 2 2" xfId="15646" xr:uid="{00000000-0005-0000-0000-0000F0350000}"/>
    <cellStyle name="40% - Accent2 5 6 2 2 2" xfId="39488" xr:uid="{3CE37FE7-4E4E-4519-BFD3-0D639D4EADD8}"/>
    <cellStyle name="40% - Accent2 5 6 2 3" xfId="23592" xr:uid="{00000000-0005-0000-0000-0000F1350000}"/>
    <cellStyle name="40% - Accent2 5 6 2 3 2" xfId="47424" xr:uid="{5D6A11B2-FEBD-496F-92AF-E2A2AC1FD036}"/>
    <cellStyle name="40% - Accent2 5 6 2 4" xfId="31547" xr:uid="{D42FA128-8DDD-4EC5-9A21-D7395DB337C3}"/>
    <cellStyle name="40% - Accent2 5 6 3" xfId="12108" xr:uid="{00000000-0005-0000-0000-0000F2350000}"/>
    <cellStyle name="40% - Accent2 5 6 3 2" xfId="35957" xr:uid="{4FB7BEFC-B297-454D-BEA0-F07B78DA2F31}"/>
    <cellStyle name="40% - Accent2 5 6 4" xfId="20063" xr:uid="{00000000-0005-0000-0000-0000F3350000}"/>
    <cellStyle name="40% - Accent2 5 6 4 2" xfId="43895" xr:uid="{0A0CDA66-6193-4422-9559-5294E957408B}"/>
    <cellStyle name="40% - Accent2 5 6 5" xfId="28016" xr:uid="{5F251950-0ADC-4C2E-89A3-5995A7E859F1}"/>
    <cellStyle name="40% - Accent2 5 7" xfId="5904" xr:uid="{00000000-0005-0000-0000-0000F4350000}"/>
    <cellStyle name="40% - Accent2 5 7 2" xfId="13887" xr:uid="{00000000-0005-0000-0000-0000F5350000}"/>
    <cellStyle name="40% - Accent2 5 7 2 2" xfId="37730" xr:uid="{528C675D-4F2D-4671-9BA2-2D42BAFEC445}"/>
    <cellStyle name="40% - Accent2 5 7 3" xfId="21835" xr:uid="{00000000-0005-0000-0000-0000F6350000}"/>
    <cellStyle name="40% - Accent2 5 7 3 2" xfId="45667" xr:uid="{C269208E-2BC9-4D29-A96E-356BB7662701}"/>
    <cellStyle name="40% - Accent2 5 7 4" xfId="29789" xr:uid="{D7251E87-FF89-46C9-9B2A-8BB0EE6F3637}"/>
    <cellStyle name="40% - Accent2 5 8" xfId="9456" xr:uid="{00000000-0005-0000-0000-0000F7350000}"/>
    <cellStyle name="40% - Accent2 5 8 2" xfId="17414" xr:uid="{00000000-0005-0000-0000-0000F8350000}"/>
    <cellStyle name="40% - Accent2 5 8 2 2" xfId="41254" xr:uid="{F61BB934-33F7-42BC-B537-67DEFCB7A4E7}"/>
    <cellStyle name="40% - Accent2 5 8 3" xfId="25358" xr:uid="{00000000-0005-0000-0000-0000F9350000}"/>
    <cellStyle name="40% - Accent2 5 8 3 2" xfId="49190" xr:uid="{13B59B0E-7518-4588-8A09-EC5AC8660409}"/>
    <cellStyle name="40% - Accent2 5 8 4" xfId="33313" xr:uid="{878D0418-F0A1-4D2D-BD33-5C07F3FCE6E4}"/>
    <cellStyle name="40% - Accent2 5 9" xfId="10352" xr:uid="{00000000-0005-0000-0000-0000FA350000}"/>
    <cellStyle name="40% - Accent2 5 9 2" xfId="34201" xr:uid="{9AEB0684-549C-4209-AC9C-017A7C5273B8}"/>
    <cellStyle name="40% - Accent2 5_Exh G" xfId="2878" xr:uid="{00000000-0005-0000-0000-0000FB350000}"/>
    <cellStyle name="40% - Accent2 6" xfId="414" xr:uid="{00000000-0005-0000-0000-0000FC350000}"/>
    <cellStyle name="40% - Accent2 6 10" xfId="18311" xr:uid="{00000000-0005-0000-0000-0000FD350000}"/>
    <cellStyle name="40% - Accent2 6 10 2" xfId="42143" xr:uid="{1C8B2E8D-BC58-4A6F-A41D-2FD43CEE9577}"/>
    <cellStyle name="40% - Accent2 6 11" xfId="26263" xr:uid="{F859D9F4-A5CE-4974-8FEE-D3CC7298EDB3}"/>
    <cellStyle name="40% - Accent2 6 2" xfId="415" xr:uid="{00000000-0005-0000-0000-0000FE350000}"/>
    <cellStyle name="40% - Accent2 6 2 2" xfId="416" xr:uid="{00000000-0005-0000-0000-0000FF350000}"/>
    <cellStyle name="40% - Accent2 6 2 2 2" xfId="1442" xr:uid="{00000000-0005-0000-0000-000000360000}"/>
    <cellStyle name="40% - Accent2 6 2 2 2 2" xfId="4969" xr:uid="{00000000-0005-0000-0000-000001360000}"/>
    <cellStyle name="40% - Accent2 6 2 2 2 2 2" xfId="8560" xr:uid="{00000000-0005-0000-0000-000002360000}"/>
    <cellStyle name="40% - Accent2 6 2 2 2 2 2 2" xfId="16530" xr:uid="{00000000-0005-0000-0000-000003360000}"/>
    <cellStyle name="40% - Accent2 6 2 2 2 2 2 2 2" xfId="40372" xr:uid="{E95826CC-B4D7-45CB-98C6-374E340535BA}"/>
    <cellStyle name="40% - Accent2 6 2 2 2 2 2 3" xfId="24476" xr:uid="{00000000-0005-0000-0000-000004360000}"/>
    <cellStyle name="40% - Accent2 6 2 2 2 2 2 3 2" xfId="48308" xr:uid="{C6DA9A95-80EF-40A2-B35F-61F6052095F2}"/>
    <cellStyle name="40% - Accent2 6 2 2 2 2 2 4" xfId="32431" xr:uid="{976A5AC1-5E2F-4031-AAA4-A19526CC3F3D}"/>
    <cellStyle name="40% - Accent2 6 2 2 2 2 3" xfId="12992" xr:uid="{00000000-0005-0000-0000-000005360000}"/>
    <cellStyle name="40% - Accent2 6 2 2 2 2 3 2" xfId="36841" xr:uid="{BF21DEB4-9C24-4445-9B53-A0A99117B517}"/>
    <cellStyle name="40% - Accent2 6 2 2 2 2 4" xfId="20947" xr:uid="{00000000-0005-0000-0000-000006360000}"/>
    <cellStyle name="40% - Accent2 6 2 2 2 2 4 2" xfId="44779" xr:uid="{B49F42D6-F763-4683-A092-01D41EC3C381}"/>
    <cellStyle name="40% - Accent2 6 2 2 2 2 5" xfId="28900" xr:uid="{CDF6A0FD-8FE3-4E48-A70D-B7178E52D569}"/>
    <cellStyle name="40% - Accent2 6 2 2 2 3" xfId="6801" xr:uid="{00000000-0005-0000-0000-000007360000}"/>
    <cellStyle name="40% - Accent2 6 2 2 2 3 2" xfId="14772" xr:uid="{00000000-0005-0000-0000-000008360000}"/>
    <cellStyle name="40% - Accent2 6 2 2 2 3 2 2" xfId="38614" xr:uid="{7F768D71-CB5B-470F-A7D9-4ED27E46E3B2}"/>
    <cellStyle name="40% - Accent2 6 2 2 2 3 3" xfId="22719" xr:uid="{00000000-0005-0000-0000-000009360000}"/>
    <cellStyle name="40% - Accent2 6 2 2 2 3 3 2" xfId="46551" xr:uid="{3D29567C-7574-44EE-B15A-757F4E1701E5}"/>
    <cellStyle name="40% - Accent2 6 2 2 2 3 4" xfId="30673" xr:uid="{4982C787-4995-46C4-8C05-3117CB49EDB9}"/>
    <cellStyle name="40% - Accent2 6 2 2 2 4" xfId="11236" xr:uid="{00000000-0005-0000-0000-00000A360000}"/>
    <cellStyle name="40% - Accent2 6 2 2 2 4 2" xfId="35085" xr:uid="{5386C729-AB79-4A4C-9AB8-094133C78951}"/>
    <cellStyle name="40% - Accent2 6 2 2 2 5" xfId="19191" xr:uid="{00000000-0005-0000-0000-00000B360000}"/>
    <cellStyle name="40% - Accent2 6 2 2 2 5 2" xfId="43023" xr:uid="{01147D27-27FB-4F73-9A41-BC723AF4BBBA}"/>
    <cellStyle name="40% - Accent2 6 2 2 2 6" xfId="27143" xr:uid="{BD4869CB-4D74-4ECF-AE57-EB47AB111701}"/>
    <cellStyle name="40% - Accent2 6 2 2 2_Exh G" xfId="2889" xr:uid="{00000000-0005-0000-0000-00000C360000}"/>
    <cellStyle name="40% - Accent2 6 2 2 3" xfId="4090" xr:uid="{00000000-0005-0000-0000-00000D360000}"/>
    <cellStyle name="40% - Accent2 6 2 2 3 2" xfId="7682" xr:uid="{00000000-0005-0000-0000-00000E360000}"/>
    <cellStyle name="40% - Accent2 6 2 2 3 2 2" xfId="15652" xr:uid="{00000000-0005-0000-0000-00000F360000}"/>
    <cellStyle name="40% - Accent2 6 2 2 3 2 2 2" xfId="39494" xr:uid="{21422A7F-CA59-4E53-9125-F2816CAD4E22}"/>
    <cellStyle name="40% - Accent2 6 2 2 3 2 3" xfId="23598" xr:uid="{00000000-0005-0000-0000-000010360000}"/>
    <cellStyle name="40% - Accent2 6 2 2 3 2 3 2" xfId="47430" xr:uid="{9F16DB45-11CA-469F-94D9-DA360DDC9EA4}"/>
    <cellStyle name="40% - Accent2 6 2 2 3 2 4" xfId="31553" xr:uid="{12B9A628-832D-4D37-A00E-119A256125B6}"/>
    <cellStyle name="40% - Accent2 6 2 2 3 3" xfId="12114" xr:uid="{00000000-0005-0000-0000-000011360000}"/>
    <cellStyle name="40% - Accent2 6 2 2 3 3 2" xfId="35963" xr:uid="{A6D40895-95AC-4136-BE48-46C768455ECF}"/>
    <cellStyle name="40% - Accent2 6 2 2 3 4" xfId="20069" xr:uid="{00000000-0005-0000-0000-000012360000}"/>
    <cellStyle name="40% - Accent2 6 2 2 3 4 2" xfId="43901" xr:uid="{139F0930-D05D-43B2-BF48-E21CCD3EC041}"/>
    <cellStyle name="40% - Accent2 6 2 2 3 5" xfId="28022" xr:uid="{D5D271F3-77E4-4DB8-9B41-A2A5E3EC2638}"/>
    <cellStyle name="40% - Accent2 6 2 2 4" xfId="5910" xr:uid="{00000000-0005-0000-0000-000013360000}"/>
    <cellStyle name="40% - Accent2 6 2 2 4 2" xfId="13893" xr:uid="{00000000-0005-0000-0000-000014360000}"/>
    <cellStyle name="40% - Accent2 6 2 2 4 2 2" xfId="37736" xr:uid="{A261FC01-1C81-4CC2-ABC8-2CA99323B36B}"/>
    <cellStyle name="40% - Accent2 6 2 2 4 3" xfId="21841" xr:uid="{00000000-0005-0000-0000-000015360000}"/>
    <cellStyle name="40% - Accent2 6 2 2 4 3 2" xfId="45673" xr:uid="{733CAE9D-4810-4242-A49C-033EAC438C08}"/>
    <cellStyle name="40% - Accent2 6 2 2 4 4" xfId="29795" xr:uid="{5DD964E5-00EF-4614-BB87-8F2E19EBE599}"/>
    <cellStyle name="40% - Accent2 6 2 2 5" xfId="9462" xr:uid="{00000000-0005-0000-0000-000016360000}"/>
    <cellStyle name="40% - Accent2 6 2 2 5 2" xfId="17420" xr:uid="{00000000-0005-0000-0000-000017360000}"/>
    <cellStyle name="40% - Accent2 6 2 2 5 2 2" xfId="41260" xr:uid="{C13FC989-9ADA-4663-BB9D-A6A880DC4419}"/>
    <cellStyle name="40% - Accent2 6 2 2 5 3" xfId="25364" xr:uid="{00000000-0005-0000-0000-000018360000}"/>
    <cellStyle name="40% - Accent2 6 2 2 5 3 2" xfId="49196" xr:uid="{D3AD7B6B-5DFE-4FE2-BFA3-9DA5B4DDA190}"/>
    <cellStyle name="40% - Accent2 6 2 2 5 4" xfId="33319" xr:uid="{2402AA21-36C4-4126-B5FB-0AD08AEA6C38}"/>
    <cellStyle name="40% - Accent2 6 2 2 6" xfId="10358" xr:uid="{00000000-0005-0000-0000-000019360000}"/>
    <cellStyle name="40% - Accent2 6 2 2 6 2" xfId="34207" xr:uid="{13CF32B7-484B-44BE-8098-46ACF9B77FBC}"/>
    <cellStyle name="40% - Accent2 6 2 2 7" xfId="18313" xr:uid="{00000000-0005-0000-0000-00001A360000}"/>
    <cellStyle name="40% - Accent2 6 2 2 7 2" xfId="42145" xr:uid="{1B6280DB-EDE2-4265-BBF2-73CD7014A6C1}"/>
    <cellStyle name="40% - Accent2 6 2 2 8" xfId="26265" xr:uid="{65A280BB-F71A-428E-AABC-9008A8440F93}"/>
    <cellStyle name="40% - Accent2 6 2 2_Exh G" xfId="2888" xr:uid="{00000000-0005-0000-0000-00001B360000}"/>
    <cellStyle name="40% - Accent2 6 2 3" xfId="1441" xr:uid="{00000000-0005-0000-0000-00001C360000}"/>
    <cellStyle name="40% - Accent2 6 2 3 2" xfId="4968" xr:uid="{00000000-0005-0000-0000-00001D360000}"/>
    <cellStyle name="40% - Accent2 6 2 3 2 2" xfId="8559" xr:uid="{00000000-0005-0000-0000-00001E360000}"/>
    <cellStyle name="40% - Accent2 6 2 3 2 2 2" xfId="16529" xr:uid="{00000000-0005-0000-0000-00001F360000}"/>
    <cellStyle name="40% - Accent2 6 2 3 2 2 2 2" xfId="40371" xr:uid="{B33BED86-A02D-4205-B72E-AC7C972BF3E4}"/>
    <cellStyle name="40% - Accent2 6 2 3 2 2 3" xfId="24475" xr:uid="{00000000-0005-0000-0000-000020360000}"/>
    <cellStyle name="40% - Accent2 6 2 3 2 2 3 2" xfId="48307" xr:uid="{CB4FEEE9-A2F3-4283-8682-FAEC8ECFBEE9}"/>
    <cellStyle name="40% - Accent2 6 2 3 2 2 4" xfId="32430" xr:uid="{ECCD114B-9821-4569-8387-D38B59B1B065}"/>
    <cellStyle name="40% - Accent2 6 2 3 2 3" xfId="12991" xr:uid="{00000000-0005-0000-0000-000021360000}"/>
    <cellStyle name="40% - Accent2 6 2 3 2 3 2" xfId="36840" xr:uid="{FB9BFD1E-C82E-4C6F-9DB1-398F534FD22B}"/>
    <cellStyle name="40% - Accent2 6 2 3 2 4" xfId="20946" xr:uid="{00000000-0005-0000-0000-000022360000}"/>
    <cellStyle name="40% - Accent2 6 2 3 2 4 2" xfId="44778" xr:uid="{0FF2A0C8-974F-44E4-9EA3-D9EB8A3FB28F}"/>
    <cellStyle name="40% - Accent2 6 2 3 2 5" xfId="28899" xr:uid="{BAC767C6-9C08-49C1-907E-EF1743098DC8}"/>
    <cellStyle name="40% - Accent2 6 2 3 3" xfId="6800" xr:uid="{00000000-0005-0000-0000-000023360000}"/>
    <cellStyle name="40% - Accent2 6 2 3 3 2" xfId="14771" xr:uid="{00000000-0005-0000-0000-000024360000}"/>
    <cellStyle name="40% - Accent2 6 2 3 3 2 2" xfId="38613" xr:uid="{064A2990-DF6A-45E1-B6A6-D287CADBD103}"/>
    <cellStyle name="40% - Accent2 6 2 3 3 3" xfId="22718" xr:uid="{00000000-0005-0000-0000-000025360000}"/>
    <cellStyle name="40% - Accent2 6 2 3 3 3 2" xfId="46550" xr:uid="{1ADFF4FC-E999-4329-A769-7A5546ECC796}"/>
    <cellStyle name="40% - Accent2 6 2 3 3 4" xfId="30672" xr:uid="{8CAB5152-4F16-4A2F-8FF6-465583465CD8}"/>
    <cellStyle name="40% - Accent2 6 2 3 4" xfId="11235" xr:uid="{00000000-0005-0000-0000-000026360000}"/>
    <cellStyle name="40% - Accent2 6 2 3 4 2" xfId="35084" xr:uid="{9C7541BD-5DD5-4111-87F4-501693756977}"/>
    <cellStyle name="40% - Accent2 6 2 3 5" xfId="19190" xr:uid="{00000000-0005-0000-0000-000027360000}"/>
    <cellStyle name="40% - Accent2 6 2 3 5 2" xfId="43022" xr:uid="{766A0FC8-4DB6-4C5E-8BB8-6589F4DB1122}"/>
    <cellStyle name="40% - Accent2 6 2 3 6" xfId="27142" xr:uid="{93379CE2-B705-45B2-9E8F-4A1D833C6DAE}"/>
    <cellStyle name="40% - Accent2 6 2 3_Exh G" xfId="2890" xr:uid="{00000000-0005-0000-0000-000028360000}"/>
    <cellStyle name="40% - Accent2 6 2 4" xfId="4089" xr:uid="{00000000-0005-0000-0000-000029360000}"/>
    <cellStyle name="40% - Accent2 6 2 4 2" xfId="7681" xr:uid="{00000000-0005-0000-0000-00002A360000}"/>
    <cellStyle name="40% - Accent2 6 2 4 2 2" xfId="15651" xr:uid="{00000000-0005-0000-0000-00002B360000}"/>
    <cellStyle name="40% - Accent2 6 2 4 2 2 2" xfId="39493" xr:uid="{00BD0D10-E574-4952-A91F-0C33D4C977A3}"/>
    <cellStyle name="40% - Accent2 6 2 4 2 3" xfId="23597" xr:uid="{00000000-0005-0000-0000-00002C360000}"/>
    <cellStyle name="40% - Accent2 6 2 4 2 3 2" xfId="47429" xr:uid="{D39103E4-6886-42C1-A88C-AC886327B26B}"/>
    <cellStyle name="40% - Accent2 6 2 4 2 4" xfId="31552" xr:uid="{D291E2E6-BF3A-442B-A143-C5A2423138D0}"/>
    <cellStyle name="40% - Accent2 6 2 4 3" xfId="12113" xr:uid="{00000000-0005-0000-0000-00002D360000}"/>
    <cellStyle name="40% - Accent2 6 2 4 3 2" xfId="35962" xr:uid="{B6172423-35BF-44CC-9551-285324503D29}"/>
    <cellStyle name="40% - Accent2 6 2 4 4" xfId="20068" xr:uid="{00000000-0005-0000-0000-00002E360000}"/>
    <cellStyle name="40% - Accent2 6 2 4 4 2" xfId="43900" xr:uid="{14C3123B-1E5A-4803-910C-21EE9E51C195}"/>
    <cellStyle name="40% - Accent2 6 2 4 5" xfId="28021" xr:uid="{999F0779-46C1-4C55-A140-9118845D22B3}"/>
    <cellStyle name="40% - Accent2 6 2 5" xfId="5909" xr:uid="{00000000-0005-0000-0000-00002F360000}"/>
    <cellStyle name="40% - Accent2 6 2 5 2" xfId="13892" xr:uid="{00000000-0005-0000-0000-000030360000}"/>
    <cellStyle name="40% - Accent2 6 2 5 2 2" xfId="37735" xr:uid="{A29CEC6F-E01C-491F-8F01-24761F600998}"/>
    <cellStyle name="40% - Accent2 6 2 5 3" xfId="21840" xr:uid="{00000000-0005-0000-0000-000031360000}"/>
    <cellStyle name="40% - Accent2 6 2 5 3 2" xfId="45672" xr:uid="{FC4E0C27-DFD0-45DD-B48B-413C65D4D5B8}"/>
    <cellStyle name="40% - Accent2 6 2 5 4" xfId="29794" xr:uid="{FF626714-93DC-4614-98FB-CBE823271499}"/>
    <cellStyle name="40% - Accent2 6 2 6" xfId="9461" xr:uid="{00000000-0005-0000-0000-000032360000}"/>
    <cellStyle name="40% - Accent2 6 2 6 2" xfId="17419" xr:uid="{00000000-0005-0000-0000-000033360000}"/>
    <cellStyle name="40% - Accent2 6 2 6 2 2" xfId="41259" xr:uid="{E57A4147-157E-4A57-9F71-FC6249FB3F30}"/>
    <cellStyle name="40% - Accent2 6 2 6 3" xfId="25363" xr:uid="{00000000-0005-0000-0000-000034360000}"/>
    <cellStyle name="40% - Accent2 6 2 6 3 2" xfId="49195" xr:uid="{65C06FEC-1A47-47D0-804C-82E379256230}"/>
    <cellStyle name="40% - Accent2 6 2 6 4" xfId="33318" xr:uid="{36E7E98E-42C5-42B2-9BBE-E567E237EEA3}"/>
    <cellStyle name="40% - Accent2 6 2 7" xfId="10357" xr:uid="{00000000-0005-0000-0000-000035360000}"/>
    <cellStyle name="40% - Accent2 6 2 7 2" xfId="34206" xr:uid="{E809122C-F136-474B-9F71-9771E0616A76}"/>
    <cellStyle name="40% - Accent2 6 2 8" xfId="18312" xr:uid="{00000000-0005-0000-0000-000036360000}"/>
    <cellStyle name="40% - Accent2 6 2 8 2" xfId="42144" xr:uid="{9E05DE1A-9207-4089-B35E-D6D3A7DA12D4}"/>
    <cellStyle name="40% - Accent2 6 2 9" xfId="26264" xr:uid="{67A32EA0-4E2D-497D-896B-E1594288980C}"/>
    <cellStyle name="40% - Accent2 6 2_Exh G" xfId="2887" xr:uid="{00000000-0005-0000-0000-000037360000}"/>
    <cellStyle name="40% - Accent2 6 3" xfId="417" xr:uid="{00000000-0005-0000-0000-000038360000}"/>
    <cellStyle name="40% - Accent2 6 3 2" xfId="1443" xr:uid="{00000000-0005-0000-0000-000039360000}"/>
    <cellStyle name="40% - Accent2 6 3 2 2" xfId="4970" xr:uid="{00000000-0005-0000-0000-00003A360000}"/>
    <cellStyle name="40% - Accent2 6 3 2 2 2" xfId="8561" xr:uid="{00000000-0005-0000-0000-00003B360000}"/>
    <cellStyle name="40% - Accent2 6 3 2 2 2 2" xfId="16531" xr:uid="{00000000-0005-0000-0000-00003C360000}"/>
    <cellStyle name="40% - Accent2 6 3 2 2 2 2 2" xfId="40373" xr:uid="{728BD024-74D4-4D5D-B1C1-B0CCEA3D7529}"/>
    <cellStyle name="40% - Accent2 6 3 2 2 2 3" xfId="24477" xr:uid="{00000000-0005-0000-0000-00003D360000}"/>
    <cellStyle name="40% - Accent2 6 3 2 2 2 3 2" xfId="48309" xr:uid="{ECD69224-A1DB-454A-B08C-733B9D0FCD62}"/>
    <cellStyle name="40% - Accent2 6 3 2 2 2 4" xfId="32432" xr:uid="{28A52944-F158-4270-A247-332943505019}"/>
    <cellStyle name="40% - Accent2 6 3 2 2 3" xfId="12993" xr:uid="{00000000-0005-0000-0000-00003E360000}"/>
    <cellStyle name="40% - Accent2 6 3 2 2 3 2" xfId="36842" xr:uid="{69ADCA3C-E192-4CB0-9C6B-A080F6E8A1CA}"/>
    <cellStyle name="40% - Accent2 6 3 2 2 4" xfId="20948" xr:uid="{00000000-0005-0000-0000-00003F360000}"/>
    <cellStyle name="40% - Accent2 6 3 2 2 4 2" xfId="44780" xr:uid="{04473271-9DE4-47E2-9C08-6BE2F42E8ADA}"/>
    <cellStyle name="40% - Accent2 6 3 2 2 5" xfId="28901" xr:uid="{A6FE6691-7003-4A23-858A-E6CEF803E0CF}"/>
    <cellStyle name="40% - Accent2 6 3 2 3" xfId="6802" xr:uid="{00000000-0005-0000-0000-000040360000}"/>
    <cellStyle name="40% - Accent2 6 3 2 3 2" xfId="14773" xr:uid="{00000000-0005-0000-0000-000041360000}"/>
    <cellStyle name="40% - Accent2 6 3 2 3 2 2" xfId="38615" xr:uid="{0CBDBBBA-DE4F-40F2-8E2D-5CA335851194}"/>
    <cellStyle name="40% - Accent2 6 3 2 3 3" xfId="22720" xr:uid="{00000000-0005-0000-0000-000042360000}"/>
    <cellStyle name="40% - Accent2 6 3 2 3 3 2" xfId="46552" xr:uid="{16B8E1F2-262C-44EE-AD4D-F748C68EB9B2}"/>
    <cellStyle name="40% - Accent2 6 3 2 3 4" xfId="30674" xr:uid="{B1B3943D-375A-47DB-BFDA-B90A688F1022}"/>
    <cellStyle name="40% - Accent2 6 3 2 4" xfId="11237" xr:uid="{00000000-0005-0000-0000-000043360000}"/>
    <cellStyle name="40% - Accent2 6 3 2 4 2" xfId="35086" xr:uid="{23FA1763-B9FB-4A4D-99F7-E921C18932F2}"/>
    <cellStyle name="40% - Accent2 6 3 2 5" xfId="19192" xr:uid="{00000000-0005-0000-0000-000044360000}"/>
    <cellStyle name="40% - Accent2 6 3 2 5 2" xfId="43024" xr:uid="{35915CD8-24C2-48DF-9DB2-A9FE2AA7B9D3}"/>
    <cellStyle name="40% - Accent2 6 3 2 6" xfId="27144" xr:uid="{CA60BF66-DF38-48F8-B2DC-63E21CA93C3F}"/>
    <cellStyle name="40% - Accent2 6 3 2_Exh G" xfId="2892" xr:uid="{00000000-0005-0000-0000-000045360000}"/>
    <cellStyle name="40% - Accent2 6 3 3" xfId="4091" xr:uid="{00000000-0005-0000-0000-000046360000}"/>
    <cellStyle name="40% - Accent2 6 3 3 2" xfId="7683" xr:uid="{00000000-0005-0000-0000-000047360000}"/>
    <cellStyle name="40% - Accent2 6 3 3 2 2" xfId="15653" xr:uid="{00000000-0005-0000-0000-000048360000}"/>
    <cellStyle name="40% - Accent2 6 3 3 2 2 2" xfId="39495" xr:uid="{E2E0D82F-37CD-4732-92F5-F132A765CD0F}"/>
    <cellStyle name="40% - Accent2 6 3 3 2 3" xfId="23599" xr:uid="{00000000-0005-0000-0000-000049360000}"/>
    <cellStyle name="40% - Accent2 6 3 3 2 3 2" xfId="47431" xr:uid="{DBAFFFEB-6FF0-41E9-A60D-CD407005EEA2}"/>
    <cellStyle name="40% - Accent2 6 3 3 2 4" xfId="31554" xr:uid="{47B38BA6-1FED-4FEA-A724-3137DE20F9FC}"/>
    <cellStyle name="40% - Accent2 6 3 3 3" xfId="12115" xr:uid="{00000000-0005-0000-0000-00004A360000}"/>
    <cellStyle name="40% - Accent2 6 3 3 3 2" xfId="35964" xr:uid="{A839B9FA-8DD6-4704-A79E-317D6B7C8EA0}"/>
    <cellStyle name="40% - Accent2 6 3 3 4" xfId="20070" xr:uid="{00000000-0005-0000-0000-00004B360000}"/>
    <cellStyle name="40% - Accent2 6 3 3 4 2" xfId="43902" xr:uid="{E5C10669-EF4A-4C5B-B98A-F1A9BFF93FAF}"/>
    <cellStyle name="40% - Accent2 6 3 3 5" xfId="28023" xr:uid="{6FEC2550-B45D-4E10-9E67-A22F34572F82}"/>
    <cellStyle name="40% - Accent2 6 3 4" xfId="5911" xr:uid="{00000000-0005-0000-0000-00004C360000}"/>
    <cellStyle name="40% - Accent2 6 3 4 2" xfId="13894" xr:uid="{00000000-0005-0000-0000-00004D360000}"/>
    <cellStyle name="40% - Accent2 6 3 4 2 2" xfId="37737" xr:uid="{FC30A006-0567-4502-8D80-9F11BC6905F3}"/>
    <cellStyle name="40% - Accent2 6 3 4 3" xfId="21842" xr:uid="{00000000-0005-0000-0000-00004E360000}"/>
    <cellStyle name="40% - Accent2 6 3 4 3 2" xfId="45674" xr:uid="{85B9782F-8CDB-4306-9FA6-3A7D9E2CB233}"/>
    <cellStyle name="40% - Accent2 6 3 4 4" xfId="29796" xr:uid="{0243FF40-A6B4-4884-8D5B-375BF457D3AD}"/>
    <cellStyle name="40% - Accent2 6 3 5" xfId="9463" xr:uid="{00000000-0005-0000-0000-00004F360000}"/>
    <cellStyle name="40% - Accent2 6 3 5 2" xfId="17421" xr:uid="{00000000-0005-0000-0000-000050360000}"/>
    <cellStyle name="40% - Accent2 6 3 5 2 2" xfId="41261" xr:uid="{75A2FE73-671B-437F-A6A4-8410BB8F20ED}"/>
    <cellStyle name="40% - Accent2 6 3 5 3" xfId="25365" xr:uid="{00000000-0005-0000-0000-000051360000}"/>
    <cellStyle name="40% - Accent2 6 3 5 3 2" xfId="49197" xr:uid="{13EE6CD9-050B-4061-9DAE-F36129270456}"/>
    <cellStyle name="40% - Accent2 6 3 5 4" xfId="33320" xr:uid="{D8921CAC-44A3-49B0-B902-8AE3757077C9}"/>
    <cellStyle name="40% - Accent2 6 3 6" xfId="10359" xr:uid="{00000000-0005-0000-0000-000052360000}"/>
    <cellStyle name="40% - Accent2 6 3 6 2" xfId="34208" xr:uid="{1FF8CB94-B70B-413C-BD9E-9ADD0A8BAD88}"/>
    <cellStyle name="40% - Accent2 6 3 7" xfId="18314" xr:uid="{00000000-0005-0000-0000-000053360000}"/>
    <cellStyle name="40% - Accent2 6 3 7 2" xfId="42146" xr:uid="{85F7CE3E-AC6A-4E4C-9E3D-B085663D39E9}"/>
    <cellStyle name="40% - Accent2 6 3 8" xfId="26266" xr:uid="{89D17E27-43B3-4F4E-BE24-6E3182E48EB2}"/>
    <cellStyle name="40% - Accent2 6 3_Exh G" xfId="2891" xr:uid="{00000000-0005-0000-0000-000054360000}"/>
    <cellStyle name="40% - Accent2 6 4" xfId="951" xr:uid="{00000000-0005-0000-0000-000055360000}"/>
    <cellStyle name="40% - Accent2 6 4 2" xfId="1868" xr:uid="{00000000-0005-0000-0000-000056360000}"/>
    <cellStyle name="40% - Accent2 6 4 2 2" xfId="5385" xr:uid="{00000000-0005-0000-0000-000057360000}"/>
    <cellStyle name="40% - Accent2 6 4 2 2 2" xfId="8976" xr:uid="{00000000-0005-0000-0000-000058360000}"/>
    <cellStyle name="40% - Accent2 6 4 2 2 2 2" xfId="16946" xr:uid="{00000000-0005-0000-0000-000059360000}"/>
    <cellStyle name="40% - Accent2 6 4 2 2 2 2 2" xfId="40788" xr:uid="{E947C116-5CCC-4DB4-86F5-C241F886AED8}"/>
    <cellStyle name="40% - Accent2 6 4 2 2 2 3" xfId="24892" xr:uid="{00000000-0005-0000-0000-00005A360000}"/>
    <cellStyle name="40% - Accent2 6 4 2 2 2 3 2" xfId="48724" xr:uid="{67984B06-3729-47CB-8B0A-37594B73CE42}"/>
    <cellStyle name="40% - Accent2 6 4 2 2 2 4" xfId="32847" xr:uid="{C04966DF-E15F-4C38-9109-EFA70639FF2C}"/>
    <cellStyle name="40% - Accent2 6 4 2 2 3" xfId="13408" xr:uid="{00000000-0005-0000-0000-00005B360000}"/>
    <cellStyle name="40% - Accent2 6 4 2 2 3 2" xfId="37257" xr:uid="{515A34B7-B864-4370-B27B-A6818F4931DF}"/>
    <cellStyle name="40% - Accent2 6 4 2 2 4" xfId="21363" xr:uid="{00000000-0005-0000-0000-00005C360000}"/>
    <cellStyle name="40% - Accent2 6 4 2 2 4 2" xfId="45195" xr:uid="{C3D035BD-599B-4B86-A126-C795D608D337}"/>
    <cellStyle name="40% - Accent2 6 4 2 2 5" xfId="29316" xr:uid="{3BA26163-5713-4E11-981F-DFCA6D341A35}"/>
    <cellStyle name="40% - Accent2 6 4 2 3" xfId="7217" xr:uid="{00000000-0005-0000-0000-00005D360000}"/>
    <cellStyle name="40% - Accent2 6 4 2 3 2" xfId="15188" xr:uid="{00000000-0005-0000-0000-00005E360000}"/>
    <cellStyle name="40% - Accent2 6 4 2 3 2 2" xfId="39030" xr:uid="{D6D29148-9C6E-4E76-A742-1DE0E6AD6090}"/>
    <cellStyle name="40% - Accent2 6 4 2 3 3" xfId="23135" xr:uid="{00000000-0005-0000-0000-00005F360000}"/>
    <cellStyle name="40% - Accent2 6 4 2 3 3 2" xfId="46967" xr:uid="{CC996DE2-D6D6-4B66-8CA8-CA74B553CE8F}"/>
    <cellStyle name="40% - Accent2 6 4 2 3 4" xfId="31089" xr:uid="{979585C4-81B7-4D18-AE7E-15E945CE4F07}"/>
    <cellStyle name="40% - Accent2 6 4 2 4" xfId="11652" xr:uid="{00000000-0005-0000-0000-000060360000}"/>
    <cellStyle name="40% - Accent2 6 4 2 4 2" xfId="35501" xr:uid="{D0EB261F-6EA3-4AA2-AA07-34DB1CD69F5D}"/>
    <cellStyle name="40% - Accent2 6 4 2 5" xfId="19607" xr:uid="{00000000-0005-0000-0000-000061360000}"/>
    <cellStyle name="40% - Accent2 6 4 2 5 2" xfId="43439" xr:uid="{A689512F-9B1F-4A0D-99D0-F479C538EFF6}"/>
    <cellStyle name="40% - Accent2 6 4 2 6" xfId="27559" xr:uid="{B96D3667-75DB-4167-B56C-05A4B0CF601A}"/>
    <cellStyle name="40% - Accent2 6 4 2_Exh G" xfId="2894" xr:uid="{00000000-0005-0000-0000-000062360000}"/>
    <cellStyle name="40% - Accent2 6 4 3" xfId="4506" xr:uid="{00000000-0005-0000-0000-000063360000}"/>
    <cellStyle name="40% - Accent2 6 4 3 2" xfId="8098" xr:uid="{00000000-0005-0000-0000-000064360000}"/>
    <cellStyle name="40% - Accent2 6 4 3 2 2" xfId="16068" xr:uid="{00000000-0005-0000-0000-000065360000}"/>
    <cellStyle name="40% - Accent2 6 4 3 2 2 2" xfId="39910" xr:uid="{2035E387-A485-4A4B-AEFB-6F95D76BD72A}"/>
    <cellStyle name="40% - Accent2 6 4 3 2 3" xfId="24014" xr:uid="{00000000-0005-0000-0000-000066360000}"/>
    <cellStyle name="40% - Accent2 6 4 3 2 3 2" xfId="47846" xr:uid="{85AEA3C8-80F4-4BFE-9F7A-C04D57690F3D}"/>
    <cellStyle name="40% - Accent2 6 4 3 2 4" xfId="31969" xr:uid="{8635099E-292D-4405-9149-4C52F69FCE95}"/>
    <cellStyle name="40% - Accent2 6 4 3 3" xfId="12530" xr:uid="{00000000-0005-0000-0000-000067360000}"/>
    <cellStyle name="40% - Accent2 6 4 3 3 2" xfId="36379" xr:uid="{0DCB56E3-3C44-486B-B49C-D64B0D2E0AF7}"/>
    <cellStyle name="40% - Accent2 6 4 3 4" xfId="20485" xr:uid="{00000000-0005-0000-0000-000068360000}"/>
    <cellStyle name="40% - Accent2 6 4 3 4 2" xfId="44317" xr:uid="{0F6CC355-5B3A-40ED-B33D-16FA3B425920}"/>
    <cellStyle name="40% - Accent2 6 4 3 5" xfId="28438" xr:uid="{9E9CE308-F197-46C3-8E03-CDF43EF9656C}"/>
    <cellStyle name="40% - Accent2 6 4 4" xfId="6336" xr:uid="{00000000-0005-0000-0000-000069360000}"/>
    <cellStyle name="40% - Accent2 6 4 4 2" xfId="14310" xr:uid="{00000000-0005-0000-0000-00006A360000}"/>
    <cellStyle name="40% - Accent2 6 4 4 2 2" xfId="38152" xr:uid="{3D3F5EA4-60DA-4542-BE01-662E175B789F}"/>
    <cellStyle name="40% - Accent2 6 4 4 3" xfId="22257" xr:uid="{00000000-0005-0000-0000-00006B360000}"/>
    <cellStyle name="40% - Accent2 6 4 4 3 2" xfId="46089" xr:uid="{3CDA65A2-EDBE-43A0-BDD5-2A6C5155C7CB}"/>
    <cellStyle name="40% - Accent2 6 4 4 4" xfId="30211" xr:uid="{B205C560-D565-43BB-94FA-00232962340B}"/>
    <cellStyle name="40% - Accent2 6 4 5" xfId="9878" xr:uid="{00000000-0005-0000-0000-00006C360000}"/>
    <cellStyle name="40% - Accent2 6 4 5 2" xfId="17836" xr:uid="{00000000-0005-0000-0000-00006D360000}"/>
    <cellStyle name="40% - Accent2 6 4 5 2 2" xfId="41676" xr:uid="{736AE602-25E4-4AE6-8ECD-825FDDD1D0C5}"/>
    <cellStyle name="40% - Accent2 6 4 5 3" xfId="25780" xr:uid="{00000000-0005-0000-0000-00006E360000}"/>
    <cellStyle name="40% - Accent2 6 4 5 3 2" xfId="49612" xr:uid="{FEA48D69-3C1B-420F-8980-8E5648C5FB45}"/>
    <cellStyle name="40% - Accent2 6 4 5 4" xfId="33735" xr:uid="{34E43B64-DB79-462A-BA3B-621BF459C242}"/>
    <cellStyle name="40% - Accent2 6 4 6" xfId="10774" xr:uid="{00000000-0005-0000-0000-00006F360000}"/>
    <cellStyle name="40% - Accent2 6 4 6 2" xfId="34623" xr:uid="{3034184A-FFFD-4F71-9085-872C190771BB}"/>
    <cellStyle name="40% - Accent2 6 4 7" xfId="18729" xr:uid="{00000000-0005-0000-0000-000070360000}"/>
    <cellStyle name="40% - Accent2 6 4 7 2" xfId="42561" xr:uid="{849E8CB9-3A66-4549-A19D-F16651DC8AA2}"/>
    <cellStyle name="40% - Accent2 6 4 8" xfId="26681" xr:uid="{57AC1B36-26D6-4DA7-9C77-FF055702BFF9}"/>
    <cellStyle name="40% - Accent2 6 4_Exh G" xfId="2893" xr:uid="{00000000-0005-0000-0000-000071360000}"/>
    <cellStyle name="40% - Accent2 6 5" xfId="1440" xr:uid="{00000000-0005-0000-0000-000072360000}"/>
    <cellStyle name="40% - Accent2 6 5 2" xfId="4967" xr:uid="{00000000-0005-0000-0000-000073360000}"/>
    <cellStyle name="40% - Accent2 6 5 2 2" xfId="8558" xr:uid="{00000000-0005-0000-0000-000074360000}"/>
    <cellStyle name="40% - Accent2 6 5 2 2 2" xfId="16528" xr:uid="{00000000-0005-0000-0000-000075360000}"/>
    <cellStyle name="40% - Accent2 6 5 2 2 2 2" xfId="40370" xr:uid="{D62CF5FF-61F5-46B6-AA83-D8A85CE0F799}"/>
    <cellStyle name="40% - Accent2 6 5 2 2 3" xfId="24474" xr:uid="{00000000-0005-0000-0000-000076360000}"/>
    <cellStyle name="40% - Accent2 6 5 2 2 3 2" xfId="48306" xr:uid="{DBAC7668-449C-4942-ABB9-5AABFB938CEA}"/>
    <cellStyle name="40% - Accent2 6 5 2 2 4" xfId="32429" xr:uid="{A6F7E7E8-80BA-4844-A5B3-1BD7CE06C1FD}"/>
    <cellStyle name="40% - Accent2 6 5 2 3" xfId="12990" xr:uid="{00000000-0005-0000-0000-000077360000}"/>
    <cellStyle name="40% - Accent2 6 5 2 3 2" xfId="36839" xr:uid="{2544595D-3B37-4DAF-96D9-FA1D2622AA07}"/>
    <cellStyle name="40% - Accent2 6 5 2 4" xfId="20945" xr:uid="{00000000-0005-0000-0000-000078360000}"/>
    <cellStyle name="40% - Accent2 6 5 2 4 2" xfId="44777" xr:uid="{7A72CE60-D10F-4A5F-9819-247C2D456C73}"/>
    <cellStyle name="40% - Accent2 6 5 2 5" xfId="28898" xr:uid="{5FF7F5C3-15C5-417B-B45B-6D7726F72A8D}"/>
    <cellStyle name="40% - Accent2 6 5 3" xfId="6799" xr:uid="{00000000-0005-0000-0000-000079360000}"/>
    <cellStyle name="40% - Accent2 6 5 3 2" xfId="14770" xr:uid="{00000000-0005-0000-0000-00007A360000}"/>
    <cellStyle name="40% - Accent2 6 5 3 2 2" xfId="38612" xr:uid="{2EE72209-8549-4BF6-A22D-14C6A0B44C41}"/>
    <cellStyle name="40% - Accent2 6 5 3 3" xfId="22717" xr:uid="{00000000-0005-0000-0000-00007B360000}"/>
    <cellStyle name="40% - Accent2 6 5 3 3 2" xfId="46549" xr:uid="{E168E41E-9C6B-463B-9C89-ECF55ABF6783}"/>
    <cellStyle name="40% - Accent2 6 5 3 4" xfId="30671" xr:uid="{54B3BA51-5AE3-4684-8808-A68B9B8F0284}"/>
    <cellStyle name="40% - Accent2 6 5 4" xfId="11234" xr:uid="{00000000-0005-0000-0000-00007C360000}"/>
    <cellStyle name="40% - Accent2 6 5 4 2" xfId="35083" xr:uid="{7C6B5B16-4213-42BF-AFE6-09DCFC296649}"/>
    <cellStyle name="40% - Accent2 6 5 5" xfId="19189" xr:uid="{00000000-0005-0000-0000-00007D360000}"/>
    <cellStyle name="40% - Accent2 6 5 5 2" xfId="43021" xr:uid="{B7F44030-86CA-4327-A6DF-144F6ED90C5E}"/>
    <cellStyle name="40% - Accent2 6 5 6" xfId="27141" xr:uid="{5E8D5422-F491-401A-876F-2844BDE576D9}"/>
    <cellStyle name="40% - Accent2 6 5_Exh G" xfId="2895" xr:uid="{00000000-0005-0000-0000-00007E360000}"/>
    <cellStyle name="40% - Accent2 6 6" xfId="4088" xr:uid="{00000000-0005-0000-0000-00007F360000}"/>
    <cellStyle name="40% - Accent2 6 6 2" xfId="7680" xr:uid="{00000000-0005-0000-0000-000080360000}"/>
    <cellStyle name="40% - Accent2 6 6 2 2" xfId="15650" xr:uid="{00000000-0005-0000-0000-000081360000}"/>
    <cellStyle name="40% - Accent2 6 6 2 2 2" xfId="39492" xr:uid="{558E1EC6-2B7C-42E3-954D-4581B1B9087B}"/>
    <cellStyle name="40% - Accent2 6 6 2 3" xfId="23596" xr:uid="{00000000-0005-0000-0000-000082360000}"/>
    <cellStyle name="40% - Accent2 6 6 2 3 2" xfId="47428" xr:uid="{CBE4F388-9279-4491-B1FE-5D58B5689937}"/>
    <cellStyle name="40% - Accent2 6 6 2 4" xfId="31551" xr:uid="{25B952BD-6588-4BF7-9E63-1A06B73BB6D9}"/>
    <cellStyle name="40% - Accent2 6 6 3" xfId="12112" xr:uid="{00000000-0005-0000-0000-000083360000}"/>
    <cellStyle name="40% - Accent2 6 6 3 2" xfId="35961" xr:uid="{C94D62A3-F4B7-47AA-97F4-05B6FC3D8692}"/>
    <cellStyle name="40% - Accent2 6 6 4" xfId="20067" xr:uid="{00000000-0005-0000-0000-000084360000}"/>
    <cellStyle name="40% - Accent2 6 6 4 2" xfId="43899" xr:uid="{77CDA010-827C-44BA-8F6C-AE1BA065434F}"/>
    <cellStyle name="40% - Accent2 6 6 5" xfId="28020" xr:uid="{CF6079AD-0858-4372-A322-2F12AC542365}"/>
    <cellStyle name="40% - Accent2 6 7" xfId="5908" xr:uid="{00000000-0005-0000-0000-000085360000}"/>
    <cellStyle name="40% - Accent2 6 7 2" xfId="13891" xr:uid="{00000000-0005-0000-0000-000086360000}"/>
    <cellStyle name="40% - Accent2 6 7 2 2" xfId="37734" xr:uid="{08CF703C-91D1-453A-B955-3E1274A8AB17}"/>
    <cellStyle name="40% - Accent2 6 7 3" xfId="21839" xr:uid="{00000000-0005-0000-0000-000087360000}"/>
    <cellStyle name="40% - Accent2 6 7 3 2" xfId="45671" xr:uid="{10382DAC-DB86-4767-8679-ACC8E0C5B572}"/>
    <cellStyle name="40% - Accent2 6 7 4" xfId="29793" xr:uid="{A756305E-BCA2-4CD7-A710-621E168F0A1B}"/>
    <cellStyle name="40% - Accent2 6 8" xfId="9460" xr:uid="{00000000-0005-0000-0000-000088360000}"/>
    <cellStyle name="40% - Accent2 6 8 2" xfId="17418" xr:uid="{00000000-0005-0000-0000-000089360000}"/>
    <cellStyle name="40% - Accent2 6 8 2 2" xfId="41258" xr:uid="{3C492D67-3B31-48E9-982B-B6295B1D1206}"/>
    <cellStyle name="40% - Accent2 6 8 3" xfId="25362" xr:uid="{00000000-0005-0000-0000-00008A360000}"/>
    <cellStyle name="40% - Accent2 6 8 3 2" xfId="49194" xr:uid="{4B627A38-CC68-4605-8163-2FBE936433D6}"/>
    <cellStyle name="40% - Accent2 6 8 4" xfId="33317" xr:uid="{45A3F2D6-18E4-4DCB-B779-A6A9F4940BA4}"/>
    <cellStyle name="40% - Accent2 6 9" xfId="10356" xr:uid="{00000000-0005-0000-0000-00008B360000}"/>
    <cellStyle name="40% - Accent2 6 9 2" xfId="34205" xr:uid="{CDB32A53-74A8-4051-A176-B304E5BB712B}"/>
    <cellStyle name="40% - Accent2 6_Exh G" xfId="2886" xr:uid="{00000000-0005-0000-0000-00008C360000}"/>
    <cellStyle name="40% - Accent2 7" xfId="418" xr:uid="{00000000-0005-0000-0000-00008D360000}"/>
    <cellStyle name="40% - Accent2 7 10" xfId="18315" xr:uid="{00000000-0005-0000-0000-00008E360000}"/>
    <cellStyle name="40% - Accent2 7 10 2" xfId="42147" xr:uid="{49F349FA-4D19-4980-9DC9-B0E55821F18C}"/>
    <cellStyle name="40% - Accent2 7 11" xfId="26267" xr:uid="{AA8184AB-46EC-4732-9C4F-7A3C717436C8}"/>
    <cellStyle name="40% - Accent2 7 2" xfId="419" xr:uid="{00000000-0005-0000-0000-00008F360000}"/>
    <cellStyle name="40% - Accent2 7 2 2" xfId="420" xr:uid="{00000000-0005-0000-0000-000090360000}"/>
    <cellStyle name="40% - Accent2 7 2 2 2" xfId="1446" xr:uid="{00000000-0005-0000-0000-000091360000}"/>
    <cellStyle name="40% - Accent2 7 2 2 2 2" xfId="4973" xr:uid="{00000000-0005-0000-0000-000092360000}"/>
    <cellStyle name="40% - Accent2 7 2 2 2 2 2" xfId="8564" xr:uid="{00000000-0005-0000-0000-000093360000}"/>
    <cellStyle name="40% - Accent2 7 2 2 2 2 2 2" xfId="16534" xr:uid="{00000000-0005-0000-0000-000094360000}"/>
    <cellStyle name="40% - Accent2 7 2 2 2 2 2 2 2" xfId="40376" xr:uid="{0C22E43C-7150-4DB7-84C2-85ADCDD531E3}"/>
    <cellStyle name="40% - Accent2 7 2 2 2 2 2 3" xfId="24480" xr:uid="{00000000-0005-0000-0000-000095360000}"/>
    <cellStyle name="40% - Accent2 7 2 2 2 2 2 3 2" xfId="48312" xr:uid="{6BDB3C7D-5AF2-42A1-BDA7-D7BE58053154}"/>
    <cellStyle name="40% - Accent2 7 2 2 2 2 2 4" xfId="32435" xr:uid="{84368FA0-342A-4CC8-819F-ED78A64EC0F3}"/>
    <cellStyle name="40% - Accent2 7 2 2 2 2 3" xfId="12996" xr:uid="{00000000-0005-0000-0000-000096360000}"/>
    <cellStyle name="40% - Accent2 7 2 2 2 2 3 2" xfId="36845" xr:uid="{C4E85F34-4EF0-4E10-A4CD-8693ACE0272A}"/>
    <cellStyle name="40% - Accent2 7 2 2 2 2 4" xfId="20951" xr:uid="{00000000-0005-0000-0000-000097360000}"/>
    <cellStyle name="40% - Accent2 7 2 2 2 2 4 2" xfId="44783" xr:uid="{06AEDD5B-4BC9-4E31-9555-560FB69CD7AD}"/>
    <cellStyle name="40% - Accent2 7 2 2 2 2 5" xfId="28904" xr:uid="{648E3A5A-DFD9-4BC7-B069-0B83FDDDE759}"/>
    <cellStyle name="40% - Accent2 7 2 2 2 3" xfId="6805" xr:uid="{00000000-0005-0000-0000-000098360000}"/>
    <cellStyle name="40% - Accent2 7 2 2 2 3 2" xfId="14776" xr:uid="{00000000-0005-0000-0000-000099360000}"/>
    <cellStyle name="40% - Accent2 7 2 2 2 3 2 2" xfId="38618" xr:uid="{C43BC31C-29B4-41E4-A67D-907D11F3C9E1}"/>
    <cellStyle name="40% - Accent2 7 2 2 2 3 3" xfId="22723" xr:uid="{00000000-0005-0000-0000-00009A360000}"/>
    <cellStyle name="40% - Accent2 7 2 2 2 3 3 2" xfId="46555" xr:uid="{6C80ABC1-4F35-4219-A9B1-29EB3D1A8B7E}"/>
    <cellStyle name="40% - Accent2 7 2 2 2 3 4" xfId="30677" xr:uid="{E8E4878D-8E2C-4BE7-9EF1-77BA3CC9FC29}"/>
    <cellStyle name="40% - Accent2 7 2 2 2 4" xfId="11240" xr:uid="{00000000-0005-0000-0000-00009B360000}"/>
    <cellStyle name="40% - Accent2 7 2 2 2 4 2" xfId="35089" xr:uid="{632E57E4-6AD8-40BC-BA3C-E57588F03646}"/>
    <cellStyle name="40% - Accent2 7 2 2 2 5" xfId="19195" xr:uid="{00000000-0005-0000-0000-00009C360000}"/>
    <cellStyle name="40% - Accent2 7 2 2 2 5 2" xfId="43027" xr:uid="{201D181C-08BF-41B7-88C8-8DEE0380B289}"/>
    <cellStyle name="40% - Accent2 7 2 2 2 6" xfId="27147" xr:uid="{4651D422-A9A5-4523-B585-389D45A472F3}"/>
    <cellStyle name="40% - Accent2 7 2 2 2_Exh G" xfId="2899" xr:uid="{00000000-0005-0000-0000-00009D360000}"/>
    <cellStyle name="40% - Accent2 7 2 2 3" xfId="4094" xr:uid="{00000000-0005-0000-0000-00009E360000}"/>
    <cellStyle name="40% - Accent2 7 2 2 3 2" xfId="7686" xr:uid="{00000000-0005-0000-0000-00009F360000}"/>
    <cellStyle name="40% - Accent2 7 2 2 3 2 2" xfId="15656" xr:uid="{00000000-0005-0000-0000-0000A0360000}"/>
    <cellStyle name="40% - Accent2 7 2 2 3 2 2 2" xfId="39498" xr:uid="{D5E2D470-0DEA-4EC6-B989-4233FA410B13}"/>
    <cellStyle name="40% - Accent2 7 2 2 3 2 3" xfId="23602" xr:uid="{00000000-0005-0000-0000-0000A1360000}"/>
    <cellStyle name="40% - Accent2 7 2 2 3 2 3 2" xfId="47434" xr:uid="{9D65E10F-5FE1-4134-B2F1-1E6F691C2B47}"/>
    <cellStyle name="40% - Accent2 7 2 2 3 2 4" xfId="31557" xr:uid="{CEC217EF-FFA6-4DBF-891E-991CCC5BEB0B}"/>
    <cellStyle name="40% - Accent2 7 2 2 3 3" xfId="12118" xr:uid="{00000000-0005-0000-0000-0000A2360000}"/>
    <cellStyle name="40% - Accent2 7 2 2 3 3 2" xfId="35967" xr:uid="{E3C86173-A192-4F7A-990D-1A1BB6F2F6F0}"/>
    <cellStyle name="40% - Accent2 7 2 2 3 4" xfId="20073" xr:uid="{00000000-0005-0000-0000-0000A3360000}"/>
    <cellStyle name="40% - Accent2 7 2 2 3 4 2" xfId="43905" xr:uid="{47594CA2-6949-4665-A9EB-3439FF499D40}"/>
    <cellStyle name="40% - Accent2 7 2 2 3 5" xfId="28026" xr:uid="{0515708B-AF52-4960-9319-C399FCC72AE2}"/>
    <cellStyle name="40% - Accent2 7 2 2 4" xfId="5914" xr:uid="{00000000-0005-0000-0000-0000A4360000}"/>
    <cellStyle name="40% - Accent2 7 2 2 4 2" xfId="13897" xr:uid="{00000000-0005-0000-0000-0000A5360000}"/>
    <cellStyle name="40% - Accent2 7 2 2 4 2 2" xfId="37740" xr:uid="{493CD4AB-3D82-4DC8-BE43-5C2F551019FB}"/>
    <cellStyle name="40% - Accent2 7 2 2 4 3" xfId="21845" xr:uid="{00000000-0005-0000-0000-0000A6360000}"/>
    <cellStyle name="40% - Accent2 7 2 2 4 3 2" xfId="45677" xr:uid="{96C90A09-67F9-4D19-8F85-D1E7B2AC04E6}"/>
    <cellStyle name="40% - Accent2 7 2 2 4 4" xfId="29799" xr:uid="{C13597E1-9E45-4B12-B542-CF562238C19D}"/>
    <cellStyle name="40% - Accent2 7 2 2 5" xfId="9466" xr:uid="{00000000-0005-0000-0000-0000A7360000}"/>
    <cellStyle name="40% - Accent2 7 2 2 5 2" xfId="17424" xr:uid="{00000000-0005-0000-0000-0000A8360000}"/>
    <cellStyle name="40% - Accent2 7 2 2 5 2 2" xfId="41264" xr:uid="{7541638C-C3A9-470A-8E7A-21FCE318E45E}"/>
    <cellStyle name="40% - Accent2 7 2 2 5 3" xfId="25368" xr:uid="{00000000-0005-0000-0000-0000A9360000}"/>
    <cellStyle name="40% - Accent2 7 2 2 5 3 2" xfId="49200" xr:uid="{9AC1F3EC-A373-4F50-93E1-0FFD2CF1EB41}"/>
    <cellStyle name="40% - Accent2 7 2 2 5 4" xfId="33323" xr:uid="{642AB921-9388-42EC-943A-33E4439EA606}"/>
    <cellStyle name="40% - Accent2 7 2 2 6" xfId="10362" xr:uid="{00000000-0005-0000-0000-0000AA360000}"/>
    <cellStyle name="40% - Accent2 7 2 2 6 2" xfId="34211" xr:uid="{D13EA1F8-2184-4156-B085-6F4C9C244D19}"/>
    <cellStyle name="40% - Accent2 7 2 2 7" xfId="18317" xr:uid="{00000000-0005-0000-0000-0000AB360000}"/>
    <cellStyle name="40% - Accent2 7 2 2 7 2" xfId="42149" xr:uid="{41AE658E-0606-4F43-8F69-9E68D8186EE6}"/>
    <cellStyle name="40% - Accent2 7 2 2 8" xfId="26269" xr:uid="{237F8F13-19BC-4A22-8212-74B5D3E794E0}"/>
    <cellStyle name="40% - Accent2 7 2 2_Exh G" xfId="2898" xr:uid="{00000000-0005-0000-0000-0000AC360000}"/>
    <cellStyle name="40% - Accent2 7 2 3" xfId="1445" xr:uid="{00000000-0005-0000-0000-0000AD360000}"/>
    <cellStyle name="40% - Accent2 7 2 3 2" xfId="4972" xr:uid="{00000000-0005-0000-0000-0000AE360000}"/>
    <cellStyle name="40% - Accent2 7 2 3 2 2" xfId="8563" xr:uid="{00000000-0005-0000-0000-0000AF360000}"/>
    <cellStyle name="40% - Accent2 7 2 3 2 2 2" xfId="16533" xr:uid="{00000000-0005-0000-0000-0000B0360000}"/>
    <cellStyle name="40% - Accent2 7 2 3 2 2 2 2" xfId="40375" xr:uid="{AC310EAA-33F4-4F35-813E-D87F142B2BED}"/>
    <cellStyle name="40% - Accent2 7 2 3 2 2 3" xfId="24479" xr:uid="{00000000-0005-0000-0000-0000B1360000}"/>
    <cellStyle name="40% - Accent2 7 2 3 2 2 3 2" xfId="48311" xr:uid="{8171B26E-E322-4377-85D7-7A82B015A6C0}"/>
    <cellStyle name="40% - Accent2 7 2 3 2 2 4" xfId="32434" xr:uid="{83D7061A-FF1B-45E8-A4B1-CE6AB73CAD19}"/>
    <cellStyle name="40% - Accent2 7 2 3 2 3" xfId="12995" xr:uid="{00000000-0005-0000-0000-0000B2360000}"/>
    <cellStyle name="40% - Accent2 7 2 3 2 3 2" xfId="36844" xr:uid="{FB95A21E-CABB-466D-90AD-7DAD6220E632}"/>
    <cellStyle name="40% - Accent2 7 2 3 2 4" xfId="20950" xr:uid="{00000000-0005-0000-0000-0000B3360000}"/>
    <cellStyle name="40% - Accent2 7 2 3 2 4 2" xfId="44782" xr:uid="{01C231C2-E9FA-42E8-ABF6-3E9D27C83529}"/>
    <cellStyle name="40% - Accent2 7 2 3 2 5" xfId="28903" xr:uid="{49FCCAE3-DC06-4976-87E8-9A66A9F9DC87}"/>
    <cellStyle name="40% - Accent2 7 2 3 3" xfId="6804" xr:uid="{00000000-0005-0000-0000-0000B4360000}"/>
    <cellStyle name="40% - Accent2 7 2 3 3 2" xfId="14775" xr:uid="{00000000-0005-0000-0000-0000B5360000}"/>
    <cellStyle name="40% - Accent2 7 2 3 3 2 2" xfId="38617" xr:uid="{CE4D672F-DACA-4BBC-97AE-EDE3B45806C9}"/>
    <cellStyle name="40% - Accent2 7 2 3 3 3" xfId="22722" xr:uid="{00000000-0005-0000-0000-0000B6360000}"/>
    <cellStyle name="40% - Accent2 7 2 3 3 3 2" xfId="46554" xr:uid="{75C3B3B7-27F8-49D5-9B19-DA7E6FC03F7E}"/>
    <cellStyle name="40% - Accent2 7 2 3 3 4" xfId="30676" xr:uid="{B6836403-CAD8-4CEE-9B5A-529471FA7862}"/>
    <cellStyle name="40% - Accent2 7 2 3 4" xfId="11239" xr:uid="{00000000-0005-0000-0000-0000B7360000}"/>
    <cellStyle name="40% - Accent2 7 2 3 4 2" xfId="35088" xr:uid="{90965EEA-FF99-4D49-8726-AF0674C12095}"/>
    <cellStyle name="40% - Accent2 7 2 3 5" xfId="19194" xr:uid="{00000000-0005-0000-0000-0000B8360000}"/>
    <cellStyle name="40% - Accent2 7 2 3 5 2" xfId="43026" xr:uid="{1AD125CB-B506-403A-BFD4-7BCB908F6225}"/>
    <cellStyle name="40% - Accent2 7 2 3 6" xfId="27146" xr:uid="{A21EE124-F5BB-4619-B42A-7AEDAB6A7967}"/>
    <cellStyle name="40% - Accent2 7 2 3_Exh G" xfId="2900" xr:uid="{00000000-0005-0000-0000-0000B9360000}"/>
    <cellStyle name="40% - Accent2 7 2 4" xfId="4093" xr:uid="{00000000-0005-0000-0000-0000BA360000}"/>
    <cellStyle name="40% - Accent2 7 2 4 2" xfId="7685" xr:uid="{00000000-0005-0000-0000-0000BB360000}"/>
    <cellStyle name="40% - Accent2 7 2 4 2 2" xfId="15655" xr:uid="{00000000-0005-0000-0000-0000BC360000}"/>
    <cellStyle name="40% - Accent2 7 2 4 2 2 2" xfId="39497" xr:uid="{0D1BD1C7-1C6F-4423-8501-2AF376A8D983}"/>
    <cellStyle name="40% - Accent2 7 2 4 2 3" xfId="23601" xr:uid="{00000000-0005-0000-0000-0000BD360000}"/>
    <cellStyle name="40% - Accent2 7 2 4 2 3 2" xfId="47433" xr:uid="{E250F73E-0C74-4103-8944-A89900813E65}"/>
    <cellStyle name="40% - Accent2 7 2 4 2 4" xfId="31556" xr:uid="{5FF7E5B0-1C80-484E-85C8-143F3E61B891}"/>
    <cellStyle name="40% - Accent2 7 2 4 3" xfId="12117" xr:uid="{00000000-0005-0000-0000-0000BE360000}"/>
    <cellStyle name="40% - Accent2 7 2 4 3 2" xfId="35966" xr:uid="{A2817982-5035-42DC-8737-FA0290F728BF}"/>
    <cellStyle name="40% - Accent2 7 2 4 4" xfId="20072" xr:uid="{00000000-0005-0000-0000-0000BF360000}"/>
    <cellStyle name="40% - Accent2 7 2 4 4 2" xfId="43904" xr:uid="{F4F96E32-72DE-4A96-B58C-BAECC1172AFE}"/>
    <cellStyle name="40% - Accent2 7 2 4 5" xfId="28025" xr:uid="{A1DC503E-D570-4A23-9165-2D7674BC81A8}"/>
    <cellStyle name="40% - Accent2 7 2 5" xfId="5913" xr:uid="{00000000-0005-0000-0000-0000C0360000}"/>
    <cellStyle name="40% - Accent2 7 2 5 2" xfId="13896" xr:uid="{00000000-0005-0000-0000-0000C1360000}"/>
    <cellStyle name="40% - Accent2 7 2 5 2 2" xfId="37739" xr:uid="{5DBE9EAF-B491-4994-9748-9D8DB5998298}"/>
    <cellStyle name="40% - Accent2 7 2 5 3" xfId="21844" xr:uid="{00000000-0005-0000-0000-0000C2360000}"/>
    <cellStyle name="40% - Accent2 7 2 5 3 2" xfId="45676" xr:uid="{B242B8BF-9C0F-457C-B3BA-BA5A391AEB29}"/>
    <cellStyle name="40% - Accent2 7 2 5 4" xfId="29798" xr:uid="{3B316129-2119-464D-836D-165160B42B98}"/>
    <cellStyle name="40% - Accent2 7 2 6" xfId="9465" xr:uid="{00000000-0005-0000-0000-0000C3360000}"/>
    <cellStyle name="40% - Accent2 7 2 6 2" xfId="17423" xr:uid="{00000000-0005-0000-0000-0000C4360000}"/>
    <cellStyle name="40% - Accent2 7 2 6 2 2" xfId="41263" xr:uid="{29AF511E-5FE3-48F9-8CAE-FE6A9D872480}"/>
    <cellStyle name="40% - Accent2 7 2 6 3" xfId="25367" xr:uid="{00000000-0005-0000-0000-0000C5360000}"/>
    <cellStyle name="40% - Accent2 7 2 6 3 2" xfId="49199" xr:uid="{9426A29F-E543-4B36-992A-BFD515240636}"/>
    <cellStyle name="40% - Accent2 7 2 6 4" xfId="33322" xr:uid="{3EE7318E-8C11-4100-828C-85B2BBEC3E64}"/>
    <cellStyle name="40% - Accent2 7 2 7" xfId="10361" xr:uid="{00000000-0005-0000-0000-0000C6360000}"/>
    <cellStyle name="40% - Accent2 7 2 7 2" xfId="34210" xr:uid="{FDC12FF1-0C89-479C-ACBF-14CBD4A52438}"/>
    <cellStyle name="40% - Accent2 7 2 8" xfId="18316" xr:uid="{00000000-0005-0000-0000-0000C7360000}"/>
    <cellStyle name="40% - Accent2 7 2 8 2" xfId="42148" xr:uid="{06BA69F6-AF4C-42A7-9ADA-2A74F9D11FF5}"/>
    <cellStyle name="40% - Accent2 7 2 9" xfId="26268" xr:uid="{0CD0BBA6-E275-48ED-A7DF-24AD2A50D53E}"/>
    <cellStyle name="40% - Accent2 7 2_Exh G" xfId="2897" xr:uid="{00000000-0005-0000-0000-0000C8360000}"/>
    <cellStyle name="40% - Accent2 7 3" xfId="421" xr:uid="{00000000-0005-0000-0000-0000C9360000}"/>
    <cellStyle name="40% - Accent2 7 3 2" xfId="1447" xr:uid="{00000000-0005-0000-0000-0000CA360000}"/>
    <cellStyle name="40% - Accent2 7 3 2 2" xfId="4974" xr:uid="{00000000-0005-0000-0000-0000CB360000}"/>
    <cellStyle name="40% - Accent2 7 3 2 2 2" xfId="8565" xr:uid="{00000000-0005-0000-0000-0000CC360000}"/>
    <cellStyle name="40% - Accent2 7 3 2 2 2 2" xfId="16535" xr:uid="{00000000-0005-0000-0000-0000CD360000}"/>
    <cellStyle name="40% - Accent2 7 3 2 2 2 2 2" xfId="40377" xr:uid="{F97AA14F-CC06-4341-B91B-4C9AEB03FC0D}"/>
    <cellStyle name="40% - Accent2 7 3 2 2 2 3" xfId="24481" xr:uid="{00000000-0005-0000-0000-0000CE360000}"/>
    <cellStyle name="40% - Accent2 7 3 2 2 2 3 2" xfId="48313" xr:uid="{4A3043EF-F69B-48F1-B74F-A2CE9C0BD849}"/>
    <cellStyle name="40% - Accent2 7 3 2 2 2 4" xfId="32436" xr:uid="{BBC32C24-F0B0-440C-B3E2-02B7629E1CA6}"/>
    <cellStyle name="40% - Accent2 7 3 2 2 3" xfId="12997" xr:uid="{00000000-0005-0000-0000-0000CF360000}"/>
    <cellStyle name="40% - Accent2 7 3 2 2 3 2" xfId="36846" xr:uid="{43667967-2EF3-4CDB-A23F-61BD362441BF}"/>
    <cellStyle name="40% - Accent2 7 3 2 2 4" xfId="20952" xr:uid="{00000000-0005-0000-0000-0000D0360000}"/>
    <cellStyle name="40% - Accent2 7 3 2 2 4 2" xfId="44784" xr:uid="{8B4C207A-E704-4323-B304-ED836926CB0A}"/>
    <cellStyle name="40% - Accent2 7 3 2 2 5" xfId="28905" xr:uid="{472C88C6-E884-4E3A-B920-BDC87DEEDA87}"/>
    <cellStyle name="40% - Accent2 7 3 2 3" xfId="6806" xr:uid="{00000000-0005-0000-0000-0000D1360000}"/>
    <cellStyle name="40% - Accent2 7 3 2 3 2" xfId="14777" xr:uid="{00000000-0005-0000-0000-0000D2360000}"/>
    <cellStyle name="40% - Accent2 7 3 2 3 2 2" xfId="38619" xr:uid="{B5EA48A4-0545-45F2-BB84-66CEDB795F0D}"/>
    <cellStyle name="40% - Accent2 7 3 2 3 3" xfId="22724" xr:uid="{00000000-0005-0000-0000-0000D3360000}"/>
    <cellStyle name="40% - Accent2 7 3 2 3 3 2" xfId="46556" xr:uid="{2CF7FB22-0CE4-494D-94C8-3915FEA74B65}"/>
    <cellStyle name="40% - Accent2 7 3 2 3 4" xfId="30678" xr:uid="{5D993C4B-1016-49FB-BB36-0E4DDE82B83D}"/>
    <cellStyle name="40% - Accent2 7 3 2 4" xfId="11241" xr:uid="{00000000-0005-0000-0000-0000D4360000}"/>
    <cellStyle name="40% - Accent2 7 3 2 4 2" xfId="35090" xr:uid="{C599B48A-44FD-4BF5-92CF-AF8F21F2E92C}"/>
    <cellStyle name="40% - Accent2 7 3 2 5" xfId="19196" xr:uid="{00000000-0005-0000-0000-0000D5360000}"/>
    <cellStyle name="40% - Accent2 7 3 2 5 2" xfId="43028" xr:uid="{81CF83E6-758C-4003-B09F-8F2042BBBB00}"/>
    <cellStyle name="40% - Accent2 7 3 2 6" xfId="27148" xr:uid="{3F00A1B1-A547-41D3-AA88-898751EFE32E}"/>
    <cellStyle name="40% - Accent2 7 3 2_Exh G" xfId="2902" xr:uid="{00000000-0005-0000-0000-0000D6360000}"/>
    <cellStyle name="40% - Accent2 7 3 3" xfId="4095" xr:uid="{00000000-0005-0000-0000-0000D7360000}"/>
    <cellStyle name="40% - Accent2 7 3 3 2" xfId="7687" xr:uid="{00000000-0005-0000-0000-0000D8360000}"/>
    <cellStyle name="40% - Accent2 7 3 3 2 2" xfId="15657" xr:uid="{00000000-0005-0000-0000-0000D9360000}"/>
    <cellStyle name="40% - Accent2 7 3 3 2 2 2" xfId="39499" xr:uid="{A2593999-2A32-4CFF-96BD-5A7CA17934DC}"/>
    <cellStyle name="40% - Accent2 7 3 3 2 3" xfId="23603" xr:uid="{00000000-0005-0000-0000-0000DA360000}"/>
    <cellStyle name="40% - Accent2 7 3 3 2 3 2" xfId="47435" xr:uid="{74B00345-67A1-403F-81D8-CC4A95D22530}"/>
    <cellStyle name="40% - Accent2 7 3 3 2 4" xfId="31558" xr:uid="{9A5EEDB8-F7E2-4B67-9186-46EC6D45DA90}"/>
    <cellStyle name="40% - Accent2 7 3 3 3" xfId="12119" xr:uid="{00000000-0005-0000-0000-0000DB360000}"/>
    <cellStyle name="40% - Accent2 7 3 3 3 2" xfId="35968" xr:uid="{8E08186B-40F0-40E5-A168-3B4FF85BF18A}"/>
    <cellStyle name="40% - Accent2 7 3 3 4" xfId="20074" xr:uid="{00000000-0005-0000-0000-0000DC360000}"/>
    <cellStyle name="40% - Accent2 7 3 3 4 2" xfId="43906" xr:uid="{7F7B972F-E4D0-4B98-B0AA-A7E06A4C9AD9}"/>
    <cellStyle name="40% - Accent2 7 3 3 5" xfId="28027" xr:uid="{F9F0E527-E484-4383-BFC4-B84CF6CC844B}"/>
    <cellStyle name="40% - Accent2 7 3 4" xfId="5915" xr:uid="{00000000-0005-0000-0000-0000DD360000}"/>
    <cellStyle name="40% - Accent2 7 3 4 2" xfId="13898" xr:uid="{00000000-0005-0000-0000-0000DE360000}"/>
    <cellStyle name="40% - Accent2 7 3 4 2 2" xfId="37741" xr:uid="{A72ED007-B8D7-4A44-BAD6-BE2352C00928}"/>
    <cellStyle name="40% - Accent2 7 3 4 3" xfId="21846" xr:uid="{00000000-0005-0000-0000-0000DF360000}"/>
    <cellStyle name="40% - Accent2 7 3 4 3 2" xfId="45678" xr:uid="{BBAC55FC-2101-42F1-8FCF-7B45CC14112B}"/>
    <cellStyle name="40% - Accent2 7 3 4 4" xfId="29800" xr:uid="{968B9666-D86F-4D11-AA2D-CB3E6BB6DDD4}"/>
    <cellStyle name="40% - Accent2 7 3 5" xfId="9467" xr:uid="{00000000-0005-0000-0000-0000E0360000}"/>
    <cellStyle name="40% - Accent2 7 3 5 2" xfId="17425" xr:uid="{00000000-0005-0000-0000-0000E1360000}"/>
    <cellStyle name="40% - Accent2 7 3 5 2 2" xfId="41265" xr:uid="{B0BC0397-1FAE-4174-BC62-A677BBA42518}"/>
    <cellStyle name="40% - Accent2 7 3 5 3" xfId="25369" xr:uid="{00000000-0005-0000-0000-0000E2360000}"/>
    <cellStyle name="40% - Accent2 7 3 5 3 2" xfId="49201" xr:uid="{3E47B02B-506E-40EA-91BA-46D1236EA812}"/>
    <cellStyle name="40% - Accent2 7 3 5 4" xfId="33324" xr:uid="{6B0F85D2-AC0A-4040-8BB5-911D767B6C5E}"/>
    <cellStyle name="40% - Accent2 7 3 6" xfId="10363" xr:uid="{00000000-0005-0000-0000-0000E3360000}"/>
    <cellStyle name="40% - Accent2 7 3 6 2" xfId="34212" xr:uid="{3ABCF1F5-E52C-478E-AE25-E1B4A3AD23BB}"/>
    <cellStyle name="40% - Accent2 7 3 7" xfId="18318" xr:uid="{00000000-0005-0000-0000-0000E4360000}"/>
    <cellStyle name="40% - Accent2 7 3 7 2" xfId="42150" xr:uid="{8E8ACCA7-3AE1-441D-A596-C9EC3C4DCF92}"/>
    <cellStyle name="40% - Accent2 7 3 8" xfId="26270" xr:uid="{C2746FC2-F8C7-493F-9A94-C7FEBB37C5A4}"/>
    <cellStyle name="40% - Accent2 7 3_Exh G" xfId="2901" xr:uid="{00000000-0005-0000-0000-0000E5360000}"/>
    <cellStyle name="40% - Accent2 7 4" xfId="952" xr:uid="{00000000-0005-0000-0000-0000E6360000}"/>
    <cellStyle name="40% - Accent2 7 4 2" xfId="1869" xr:uid="{00000000-0005-0000-0000-0000E7360000}"/>
    <cellStyle name="40% - Accent2 7 4 2 2" xfId="5386" xr:uid="{00000000-0005-0000-0000-0000E8360000}"/>
    <cellStyle name="40% - Accent2 7 4 2 2 2" xfId="8977" xr:uid="{00000000-0005-0000-0000-0000E9360000}"/>
    <cellStyle name="40% - Accent2 7 4 2 2 2 2" xfId="16947" xr:uid="{00000000-0005-0000-0000-0000EA360000}"/>
    <cellStyle name="40% - Accent2 7 4 2 2 2 2 2" xfId="40789" xr:uid="{BA0DC2C9-6A80-488E-904D-2345E53C80A0}"/>
    <cellStyle name="40% - Accent2 7 4 2 2 2 3" xfId="24893" xr:uid="{00000000-0005-0000-0000-0000EB360000}"/>
    <cellStyle name="40% - Accent2 7 4 2 2 2 3 2" xfId="48725" xr:uid="{99E14347-C8E3-4543-84D3-8E9BF1AEA74D}"/>
    <cellStyle name="40% - Accent2 7 4 2 2 2 4" xfId="32848" xr:uid="{BC32681A-A18E-4EE8-B4A9-C254988ED70E}"/>
    <cellStyle name="40% - Accent2 7 4 2 2 3" xfId="13409" xr:uid="{00000000-0005-0000-0000-0000EC360000}"/>
    <cellStyle name="40% - Accent2 7 4 2 2 3 2" xfId="37258" xr:uid="{10E0F474-244E-4C92-BD12-C7C4AFFCA27E}"/>
    <cellStyle name="40% - Accent2 7 4 2 2 4" xfId="21364" xr:uid="{00000000-0005-0000-0000-0000ED360000}"/>
    <cellStyle name="40% - Accent2 7 4 2 2 4 2" xfId="45196" xr:uid="{5356ED9A-1F9E-4587-8C22-BAFCA8D8F7A2}"/>
    <cellStyle name="40% - Accent2 7 4 2 2 5" xfId="29317" xr:uid="{201184C0-84BA-4618-A0CD-63278E7467D1}"/>
    <cellStyle name="40% - Accent2 7 4 2 3" xfId="7218" xr:uid="{00000000-0005-0000-0000-0000EE360000}"/>
    <cellStyle name="40% - Accent2 7 4 2 3 2" xfId="15189" xr:uid="{00000000-0005-0000-0000-0000EF360000}"/>
    <cellStyle name="40% - Accent2 7 4 2 3 2 2" xfId="39031" xr:uid="{AD29C9EC-EE4A-404C-90FF-C971E6F4EC8F}"/>
    <cellStyle name="40% - Accent2 7 4 2 3 3" xfId="23136" xr:uid="{00000000-0005-0000-0000-0000F0360000}"/>
    <cellStyle name="40% - Accent2 7 4 2 3 3 2" xfId="46968" xr:uid="{46268CD2-1572-464C-9A7A-B68887E439E5}"/>
    <cellStyle name="40% - Accent2 7 4 2 3 4" xfId="31090" xr:uid="{624B82B3-5FB2-4DEC-A07F-EF4426D40C4A}"/>
    <cellStyle name="40% - Accent2 7 4 2 4" xfId="11653" xr:uid="{00000000-0005-0000-0000-0000F1360000}"/>
    <cellStyle name="40% - Accent2 7 4 2 4 2" xfId="35502" xr:uid="{FC976C31-4B4D-4B33-86FA-87C79DE9D384}"/>
    <cellStyle name="40% - Accent2 7 4 2 5" xfId="19608" xr:uid="{00000000-0005-0000-0000-0000F2360000}"/>
    <cellStyle name="40% - Accent2 7 4 2 5 2" xfId="43440" xr:uid="{A7800988-C5E6-4637-9BA9-FB38FC24F30D}"/>
    <cellStyle name="40% - Accent2 7 4 2 6" xfId="27560" xr:uid="{9FE4E6EA-DEDA-43CE-A096-FB958735A083}"/>
    <cellStyle name="40% - Accent2 7 4 2_Exh G" xfId="2904" xr:uid="{00000000-0005-0000-0000-0000F3360000}"/>
    <cellStyle name="40% - Accent2 7 4 3" xfId="4507" xr:uid="{00000000-0005-0000-0000-0000F4360000}"/>
    <cellStyle name="40% - Accent2 7 4 3 2" xfId="8099" xr:uid="{00000000-0005-0000-0000-0000F5360000}"/>
    <cellStyle name="40% - Accent2 7 4 3 2 2" xfId="16069" xr:uid="{00000000-0005-0000-0000-0000F6360000}"/>
    <cellStyle name="40% - Accent2 7 4 3 2 2 2" xfId="39911" xr:uid="{FC8AE248-9EA9-4258-87AA-88083C7A7C0E}"/>
    <cellStyle name="40% - Accent2 7 4 3 2 3" xfId="24015" xr:uid="{00000000-0005-0000-0000-0000F7360000}"/>
    <cellStyle name="40% - Accent2 7 4 3 2 3 2" xfId="47847" xr:uid="{75B71305-2019-4DC6-B968-4C0172174FB0}"/>
    <cellStyle name="40% - Accent2 7 4 3 2 4" xfId="31970" xr:uid="{EB7E1869-D011-4D8B-A102-B948D1AF5E8A}"/>
    <cellStyle name="40% - Accent2 7 4 3 3" xfId="12531" xr:uid="{00000000-0005-0000-0000-0000F8360000}"/>
    <cellStyle name="40% - Accent2 7 4 3 3 2" xfId="36380" xr:uid="{27B8B578-B4AA-4760-9693-9BF3AAEF6D79}"/>
    <cellStyle name="40% - Accent2 7 4 3 4" xfId="20486" xr:uid="{00000000-0005-0000-0000-0000F9360000}"/>
    <cellStyle name="40% - Accent2 7 4 3 4 2" xfId="44318" xr:uid="{21C53ECF-406B-4D55-BF5B-950F2F5E9D51}"/>
    <cellStyle name="40% - Accent2 7 4 3 5" xfId="28439" xr:uid="{F898D311-3844-4F5C-9C4B-8953BBF61FDF}"/>
    <cellStyle name="40% - Accent2 7 4 4" xfId="6337" xr:uid="{00000000-0005-0000-0000-0000FA360000}"/>
    <cellStyle name="40% - Accent2 7 4 4 2" xfId="14311" xr:uid="{00000000-0005-0000-0000-0000FB360000}"/>
    <cellStyle name="40% - Accent2 7 4 4 2 2" xfId="38153" xr:uid="{BE70F177-F55A-44E6-8ABE-A173A24529BB}"/>
    <cellStyle name="40% - Accent2 7 4 4 3" xfId="22258" xr:uid="{00000000-0005-0000-0000-0000FC360000}"/>
    <cellStyle name="40% - Accent2 7 4 4 3 2" xfId="46090" xr:uid="{8BC97117-6BD5-46EE-87C0-AF4C0E46D07B}"/>
    <cellStyle name="40% - Accent2 7 4 4 4" xfId="30212" xr:uid="{276370F7-F08F-438B-A36D-F74D5C3C9B11}"/>
    <cellStyle name="40% - Accent2 7 4 5" xfId="9879" xr:uid="{00000000-0005-0000-0000-0000FD360000}"/>
    <cellStyle name="40% - Accent2 7 4 5 2" xfId="17837" xr:uid="{00000000-0005-0000-0000-0000FE360000}"/>
    <cellStyle name="40% - Accent2 7 4 5 2 2" xfId="41677" xr:uid="{26872498-F853-430B-B6E7-0305AF89660F}"/>
    <cellStyle name="40% - Accent2 7 4 5 3" xfId="25781" xr:uid="{00000000-0005-0000-0000-0000FF360000}"/>
    <cellStyle name="40% - Accent2 7 4 5 3 2" xfId="49613" xr:uid="{E3C17AC5-ED52-4CCD-9E8A-4C6FE33D00BF}"/>
    <cellStyle name="40% - Accent2 7 4 5 4" xfId="33736" xr:uid="{F063A29D-3A2E-4312-B646-1DA362F29213}"/>
    <cellStyle name="40% - Accent2 7 4 6" xfId="10775" xr:uid="{00000000-0005-0000-0000-000000370000}"/>
    <cellStyle name="40% - Accent2 7 4 6 2" xfId="34624" xr:uid="{004991C6-248C-4E8B-92A1-18552B19F835}"/>
    <cellStyle name="40% - Accent2 7 4 7" xfId="18730" xr:uid="{00000000-0005-0000-0000-000001370000}"/>
    <cellStyle name="40% - Accent2 7 4 7 2" xfId="42562" xr:uid="{56336CA0-804F-4C4F-8D6F-3932CFC928B5}"/>
    <cellStyle name="40% - Accent2 7 4 8" xfId="26682" xr:uid="{D499A65C-B34D-4A32-9B34-372302BE61E8}"/>
    <cellStyle name="40% - Accent2 7 4_Exh G" xfId="2903" xr:uid="{00000000-0005-0000-0000-000002370000}"/>
    <cellStyle name="40% - Accent2 7 5" xfId="1444" xr:uid="{00000000-0005-0000-0000-000003370000}"/>
    <cellStyle name="40% - Accent2 7 5 2" xfId="4971" xr:uid="{00000000-0005-0000-0000-000004370000}"/>
    <cellStyle name="40% - Accent2 7 5 2 2" xfId="8562" xr:uid="{00000000-0005-0000-0000-000005370000}"/>
    <cellStyle name="40% - Accent2 7 5 2 2 2" xfId="16532" xr:uid="{00000000-0005-0000-0000-000006370000}"/>
    <cellStyle name="40% - Accent2 7 5 2 2 2 2" xfId="40374" xr:uid="{074A23DA-BCBA-4A68-801B-C398B093D2DB}"/>
    <cellStyle name="40% - Accent2 7 5 2 2 3" xfId="24478" xr:uid="{00000000-0005-0000-0000-000007370000}"/>
    <cellStyle name="40% - Accent2 7 5 2 2 3 2" xfId="48310" xr:uid="{F4EA54E4-C25F-4D09-9EE4-AD1EB4041BC8}"/>
    <cellStyle name="40% - Accent2 7 5 2 2 4" xfId="32433" xr:uid="{9848D111-ACE0-4B2E-8B58-260BF189F408}"/>
    <cellStyle name="40% - Accent2 7 5 2 3" xfId="12994" xr:uid="{00000000-0005-0000-0000-000008370000}"/>
    <cellStyle name="40% - Accent2 7 5 2 3 2" xfId="36843" xr:uid="{58E1C946-F0E4-4E16-A152-A156AD40495D}"/>
    <cellStyle name="40% - Accent2 7 5 2 4" xfId="20949" xr:uid="{00000000-0005-0000-0000-000009370000}"/>
    <cellStyle name="40% - Accent2 7 5 2 4 2" xfId="44781" xr:uid="{DF78E525-0E2E-488A-BDC7-0031803A2B48}"/>
    <cellStyle name="40% - Accent2 7 5 2 5" xfId="28902" xr:uid="{FD01D8E9-3AD2-4CE7-AF48-09170F5E3444}"/>
    <cellStyle name="40% - Accent2 7 5 3" xfId="6803" xr:uid="{00000000-0005-0000-0000-00000A370000}"/>
    <cellStyle name="40% - Accent2 7 5 3 2" xfId="14774" xr:uid="{00000000-0005-0000-0000-00000B370000}"/>
    <cellStyle name="40% - Accent2 7 5 3 2 2" xfId="38616" xr:uid="{F4B00D8C-FBEB-450B-B88E-2DFFDB7FA3AF}"/>
    <cellStyle name="40% - Accent2 7 5 3 3" xfId="22721" xr:uid="{00000000-0005-0000-0000-00000C370000}"/>
    <cellStyle name="40% - Accent2 7 5 3 3 2" xfId="46553" xr:uid="{470FDA0C-B30D-48F0-9FF0-7E498CD74A8B}"/>
    <cellStyle name="40% - Accent2 7 5 3 4" xfId="30675" xr:uid="{0828E386-E984-4855-8050-3CA03DBE210C}"/>
    <cellStyle name="40% - Accent2 7 5 4" xfId="11238" xr:uid="{00000000-0005-0000-0000-00000D370000}"/>
    <cellStyle name="40% - Accent2 7 5 4 2" xfId="35087" xr:uid="{B5CD9C22-6CEC-4431-8B06-66E54DA7497F}"/>
    <cellStyle name="40% - Accent2 7 5 5" xfId="19193" xr:uid="{00000000-0005-0000-0000-00000E370000}"/>
    <cellStyle name="40% - Accent2 7 5 5 2" xfId="43025" xr:uid="{7381E626-36B5-403F-AC38-56FABCA2ED44}"/>
    <cellStyle name="40% - Accent2 7 5 6" xfId="27145" xr:uid="{F25D8C9B-3697-4A08-B289-361191184CC3}"/>
    <cellStyle name="40% - Accent2 7 5_Exh G" xfId="2905" xr:uid="{00000000-0005-0000-0000-00000F370000}"/>
    <cellStyle name="40% - Accent2 7 6" xfId="4092" xr:uid="{00000000-0005-0000-0000-000010370000}"/>
    <cellStyle name="40% - Accent2 7 6 2" xfId="7684" xr:uid="{00000000-0005-0000-0000-000011370000}"/>
    <cellStyle name="40% - Accent2 7 6 2 2" xfId="15654" xr:uid="{00000000-0005-0000-0000-000012370000}"/>
    <cellStyle name="40% - Accent2 7 6 2 2 2" xfId="39496" xr:uid="{39F5E5DD-C2AE-4DA0-ACBE-1D901A5A70E8}"/>
    <cellStyle name="40% - Accent2 7 6 2 3" xfId="23600" xr:uid="{00000000-0005-0000-0000-000013370000}"/>
    <cellStyle name="40% - Accent2 7 6 2 3 2" xfId="47432" xr:uid="{F86098D9-A776-474B-98C5-36993FAB90F6}"/>
    <cellStyle name="40% - Accent2 7 6 2 4" xfId="31555" xr:uid="{D3828852-ABF2-4F27-975A-C90E33658D8C}"/>
    <cellStyle name="40% - Accent2 7 6 3" xfId="12116" xr:uid="{00000000-0005-0000-0000-000014370000}"/>
    <cellStyle name="40% - Accent2 7 6 3 2" xfId="35965" xr:uid="{1F1383FF-19B4-44E9-A9E7-BDC8B223FE07}"/>
    <cellStyle name="40% - Accent2 7 6 4" xfId="20071" xr:uid="{00000000-0005-0000-0000-000015370000}"/>
    <cellStyle name="40% - Accent2 7 6 4 2" xfId="43903" xr:uid="{A22AC932-784F-4418-8DB2-432805A22C97}"/>
    <cellStyle name="40% - Accent2 7 6 5" xfId="28024" xr:uid="{3964287A-96FB-420A-A85A-BE8EB7401722}"/>
    <cellStyle name="40% - Accent2 7 7" xfId="5912" xr:uid="{00000000-0005-0000-0000-000016370000}"/>
    <cellStyle name="40% - Accent2 7 7 2" xfId="13895" xr:uid="{00000000-0005-0000-0000-000017370000}"/>
    <cellStyle name="40% - Accent2 7 7 2 2" xfId="37738" xr:uid="{61E5A472-18AB-4C33-9DBE-F42B550D6C26}"/>
    <cellStyle name="40% - Accent2 7 7 3" xfId="21843" xr:uid="{00000000-0005-0000-0000-000018370000}"/>
    <cellStyle name="40% - Accent2 7 7 3 2" xfId="45675" xr:uid="{14AFA0CF-3302-40B2-982B-B39ACB2B9F83}"/>
    <cellStyle name="40% - Accent2 7 7 4" xfId="29797" xr:uid="{157F7162-3454-48EC-9D12-5EE990BF8AED}"/>
    <cellStyle name="40% - Accent2 7 8" xfId="9464" xr:uid="{00000000-0005-0000-0000-000019370000}"/>
    <cellStyle name="40% - Accent2 7 8 2" xfId="17422" xr:uid="{00000000-0005-0000-0000-00001A370000}"/>
    <cellStyle name="40% - Accent2 7 8 2 2" xfId="41262" xr:uid="{60AC1A19-73ED-458F-9FFD-222C7EA9B77D}"/>
    <cellStyle name="40% - Accent2 7 8 3" xfId="25366" xr:uid="{00000000-0005-0000-0000-00001B370000}"/>
    <cellStyle name="40% - Accent2 7 8 3 2" xfId="49198" xr:uid="{AF09E9C3-C874-4C2C-ADD2-6C5EFD0BA8E3}"/>
    <cellStyle name="40% - Accent2 7 8 4" xfId="33321" xr:uid="{3C1D2293-B70A-458C-9CA8-0A370D495C33}"/>
    <cellStyle name="40% - Accent2 7 9" xfId="10360" xr:uid="{00000000-0005-0000-0000-00001C370000}"/>
    <cellStyle name="40% - Accent2 7 9 2" xfId="34209" xr:uid="{F797DE64-04DF-4E20-9BD6-09EF7B8A436F}"/>
    <cellStyle name="40% - Accent2 7_Exh G" xfId="2896" xr:uid="{00000000-0005-0000-0000-00001D370000}"/>
    <cellStyle name="40% - Accent2 8" xfId="422" xr:uid="{00000000-0005-0000-0000-00001E370000}"/>
    <cellStyle name="40% - Accent2 8 10" xfId="18319" xr:uid="{00000000-0005-0000-0000-00001F370000}"/>
    <cellStyle name="40% - Accent2 8 10 2" xfId="42151" xr:uid="{FD2D3FB0-35EA-4C6B-8A63-7BB86CC2324F}"/>
    <cellStyle name="40% - Accent2 8 11" xfId="26271" xr:uid="{354F1B97-A954-48CF-B18E-492C2B4DB7D6}"/>
    <cellStyle name="40% - Accent2 8 2" xfId="423" xr:uid="{00000000-0005-0000-0000-000020370000}"/>
    <cellStyle name="40% - Accent2 8 2 2" xfId="424" xr:uid="{00000000-0005-0000-0000-000021370000}"/>
    <cellStyle name="40% - Accent2 8 2 2 2" xfId="1450" xr:uid="{00000000-0005-0000-0000-000022370000}"/>
    <cellStyle name="40% - Accent2 8 2 2 2 2" xfId="4977" xr:uid="{00000000-0005-0000-0000-000023370000}"/>
    <cellStyle name="40% - Accent2 8 2 2 2 2 2" xfId="8568" xr:uid="{00000000-0005-0000-0000-000024370000}"/>
    <cellStyle name="40% - Accent2 8 2 2 2 2 2 2" xfId="16538" xr:uid="{00000000-0005-0000-0000-000025370000}"/>
    <cellStyle name="40% - Accent2 8 2 2 2 2 2 2 2" xfId="40380" xr:uid="{2E225F7A-6CC9-422C-AB33-45D3A2F29E3B}"/>
    <cellStyle name="40% - Accent2 8 2 2 2 2 2 3" xfId="24484" xr:uid="{00000000-0005-0000-0000-000026370000}"/>
    <cellStyle name="40% - Accent2 8 2 2 2 2 2 3 2" xfId="48316" xr:uid="{D7D08312-04AA-4AF0-A3BB-4A2C4BC47B2D}"/>
    <cellStyle name="40% - Accent2 8 2 2 2 2 2 4" xfId="32439" xr:uid="{9537474A-027A-4EB8-B32A-EAA762970771}"/>
    <cellStyle name="40% - Accent2 8 2 2 2 2 3" xfId="13000" xr:uid="{00000000-0005-0000-0000-000027370000}"/>
    <cellStyle name="40% - Accent2 8 2 2 2 2 3 2" xfId="36849" xr:uid="{BA4FBC5A-C18F-4FD5-B05E-1AFE94C7DE82}"/>
    <cellStyle name="40% - Accent2 8 2 2 2 2 4" xfId="20955" xr:uid="{00000000-0005-0000-0000-000028370000}"/>
    <cellStyle name="40% - Accent2 8 2 2 2 2 4 2" xfId="44787" xr:uid="{2DF3C982-5FA9-4E17-AB5C-F7C1CCE12065}"/>
    <cellStyle name="40% - Accent2 8 2 2 2 2 5" xfId="28908" xr:uid="{0E78E2DB-30BF-4CC6-854C-C9819335ABA7}"/>
    <cellStyle name="40% - Accent2 8 2 2 2 3" xfId="6809" xr:uid="{00000000-0005-0000-0000-000029370000}"/>
    <cellStyle name="40% - Accent2 8 2 2 2 3 2" xfId="14780" xr:uid="{00000000-0005-0000-0000-00002A370000}"/>
    <cellStyle name="40% - Accent2 8 2 2 2 3 2 2" xfId="38622" xr:uid="{120FF5A9-BF97-461A-8B75-3C279BE30391}"/>
    <cellStyle name="40% - Accent2 8 2 2 2 3 3" xfId="22727" xr:uid="{00000000-0005-0000-0000-00002B370000}"/>
    <cellStyle name="40% - Accent2 8 2 2 2 3 3 2" xfId="46559" xr:uid="{A7CFE4C6-0FB2-40AB-9F4D-6B895BEE8DD8}"/>
    <cellStyle name="40% - Accent2 8 2 2 2 3 4" xfId="30681" xr:uid="{59934B1E-E5F6-4D73-AB6C-F28F935EC129}"/>
    <cellStyle name="40% - Accent2 8 2 2 2 4" xfId="11244" xr:uid="{00000000-0005-0000-0000-00002C370000}"/>
    <cellStyle name="40% - Accent2 8 2 2 2 4 2" xfId="35093" xr:uid="{87BF1148-0E82-4C1F-9246-AA80F0CABA54}"/>
    <cellStyle name="40% - Accent2 8 2 2 2 5" xfId="19199" xr:uid="{00000000-0005-0000-0000-00002D370000}"/>
    <cellStyle name="40% - Accent2 8 2 2 2 5 2" xfId="43031" xr:uid="{3AB44FAA-9A17-445A-B7FC-1F13C9099B88}"/>
    <cellStyle name="40% - Accent2 8 2 2 2 6" xfId="27151" xr:uid="{7E8C26B2-3F69-4D1E-85F7-8A875D99DC99}"/>
    <cellStyle name="40% - Accent2 8 2 2 2_Exh G" xfId="2909" xr:uid="{00000000-0005-0000-0000-00002E370000}"/>
    <cellStyle name="40% - Accent2 8 2 2 3" xfId="4098" xr:uid="{00000000-0005-0000-0000-00002F370000}"/>
    <cellStyle name="40% - Accent2 8 2 2 3 2" xfId="7690" xr:uid="{00000000-0005-0000-0000-000030370000}"/>
    <cellStyle name="40% - Accent2 8 2 2 3 2 2" xfId="15660" xr:uid="{00000000-0005-0000-0000-000031370000}"/>
    <cellStyle name="40% - Accent2 8 2 2 3 2 2 2" xfId="39502" xr:uid="{114B299D-63DC-4B23-8B35-D8D24AFA2846}"/>
    <cellStyle name="40% - Accent2 8 2 2 3 2 3" xfId="23606" xr:uid="{00000000-0005-0000-0000-000032370000}"/>
    <cellStyle name="40% - Accent2 8 2 2 3 2 3 2" xfId="47438" xr:uid="{CCE8DB8E-7C88-4708-BD71-DDEEE09A005A}"/>
    <cellStyle name="40% - Accent2 8 2 2 3 2 4" xfId="31561" xr:uid="{06E92A8B-F586-408D-91A3-2D3548E8457E}"/>
    <cellStyle name="40% - Accent2 8 2 2 3 3" xfId="12122" xr:uid="{00000000-0005-0000-0000-000033370000}"/>
    <cellStyle name="40% - Accent2 8 2 2 3 3 2" xfId="35971" xr:uid="{66738711-DCB1-4684-9D5D-E5395F2158F8}"/>
    <cellStyle name="40% - Accent2 8 2 2 3 4" xfId="20077" xr:uid="{00000000-0005-0000-0000-000034370000}"/>
    <cellStyle name="40% - Accent2 8 2 2 3 4 2" xfId="43909" xr:uid="{2C53E1B2-9152-4348-AF98-54AF7021F172}"/>
    <cellStyle name="40% - Accent2 8 2 2 3 5" xfId="28030" xr:uid="{1B31AD2C-D755-40F5-8879-6B5E7C117730}"/>
    <cellStyle name="40% - Accent2 8 2 2 4" xfId="5918" xr:uid="{00000000-0005-0000-0000-000035370000}"/>
    <cellStyle name="40% - Accent2 8 2 2 4 2" xfId="13901" xr:uid="{00000000-0005-0000-0000-000036370000}"/>
    <cellStyle name="40% - Accent2 8 2 2 4 2 2" xfId="37744" xr:uid="{5A7873B2-2379-43AC-AE00-C2B6E388A13B}"/>
    <cellStyle name="40% - Accent2 8 2 2 4 3" xfId="21849" xr:uid="{00000000-0005-0000-0000-000037370000}"/>
    <cellStyle name="40% - Accent2 8 2 2 4 3 2" xfId="45681" xr:uid="{2BCBD240-F970-49AA-9979-1CB2B4572231}"/>
    <cellStyle name="40% - Accent2 8 2 2 4 4" xfId="29803" xr:uid="{7B9A35C9-198D-4038-AFC2-58A73947EFD6}"/>
    <cellStyle name="40% - Accent2 8 2 2 5" xfId="9470" xr:uid="{00000000-0005-0000-0000-000038370000}"/>
    <cellStyle name="40% - Accent2 8 2 2 5 2" xfId="17428" xr:uid="{00000000-0005-0000-0000-000039370000}"/>
    <cellStyle name="40% - Accent2 8 2 2 5 2 2" xfId="41268" xr:uid="{9BCA4A96-81C1-45BF-8585-CE4DE73A9584}"/>
    <cellStyle name="40% - Accent2 8 2 2 5 3" xfId="25372" xr:uid="{00000000-0005-0000-0000-00003A370000}"/>
    <cellStyle name="40% - Accent2 8 2 2 5 3 2" xfId="49204" xr:uid="{940E0A9E-4B2F-46B2-8624-0A782994A3A6}"/>
    <cellStyle name="40% - Accent2 8 2 2 5 4" xfId="33327" xr:uid="{5304529B-1D99-4B8C-AB23-A65F496DC415}"/>
    <cellStyle name="40% - Accent2 8 2 2 6" xfId="10366" xr:uid="{00000000-0005-0000-0000-00003B370000}"/>
    <cellStyle name="40% - Accent2 8 2 2 6 2" xfId="34215" xr:uid="{DC8ED17C-428D-4A2A-AA9C-38177B47B7AB}"/>
    <cellStyle name="40% - Accent2 8 2 2 7" xfId="18321" xr:uid="{00000000-0005-0000-0000-00003C370000}"/>
    <cellStyle name="40% - Accent2 8 2 2 7 2" xfId="42153" xr:uid="{849CCEC2-0CCC-4E81-B325-D9C0DE558F70}"/>
    <cellStyle name="40% - Accent2 8 2 2 8" xfId="26273" xr:uid="{F1B71589-FDEC-4EAA-AD2A-9A8E2BD7B337}"/>
    <cellStyle name="40% - Accent2 8 2 2_Exh G" xfId="2908" xr:uid="{00000000-0005-0000-0000-00003D370000}"/>
    <cellStyle name="40% - Accent2 8 2 3" xfId="1449" xr:uid="{00000000-0005-0000-0000-00003E370000}"/>
    <cellStyle name="40% - Accent2 8 2 3 2" xfId="4976" xr:uid="{00000000-0005-0000-0000-00003F370000}"/>
    <cellStyle name="40% - Accent2 8 2 3 2 2" xfId="8567" xr:uid="{00000000-0005-0000-0000-000040370000}"/>
    <cellStyle name="40% - Accent2 8 2 3 2 2 2" xfId="16537" xr:uid="{00000000-0005-0000-0000-000041370000}"/>
    <cellStyle name="40% - Accent2 8 2 3 2 2 2 2" xfId="40379" xr:uid="{3A827EE2-1202-4245-BC86-91144D8121D1}"/>
    <cellStyle name="40% - Accent2 8 2 3 2 2 3" xfId="24483" xr:uid="{00000000-0005-0000-0000-000042370000}"/>
    <cellStyle name="40% - Accent2 8 2 3 2 2 3 2" xfId="48315" xr:uid="{FBD71264-D469-4B71-A41B-2D3F0A4A6904}"/>
    <cellStyle name="40% - Accent2 8 2 3 2 2 4" xfId="32438" xr:uid="{16A20070-C8B5-4F89-BD1E-52994A499078}"/>
    <cellStyle name="40% - Accent2 8 2 3 2 3" xfId="12999" xr:uid="{00000000-0005-0000-0000-000043370000}"/>
    <cellStyle name="40% - Accent2 8 2 3 2 3 2" xfId="36848" xr:uid="{F878BDA6-4906-43D0-A6F6-A826607A51B2}"/>
    <cellStyle name="40% - Accent2 8 2 3 2 4" xfId="20954" xr:uid="{00000000-0005-0000-0000-000044370000}"/>
    <cellStyle name="40% - Accent2 8 2 3 2 4 2" xfId="44786" xr:uid="{267C9137-98EB-4914-BB83-DCAF8A465368}"/>
    <cellStyle name="40% - Accent2 8 2 3 2 5" xfId="28907" xr:uid="{54F5F73B-E7A5-49E7-88A4-AB7AF56742C0}"/>
    <cellStyle name="40% - Accent2 8 2 3 3" xfId="6808" xr:uid="{00000000-0005-0000-0000-000045370000}"/>
    <cellStyle name="40% - Accent2 8 2 3 3 2" xfId="14779" xr:uid="{00000000-0005-0000-0000-000046370000}"/>
    <cellStyle name="40% - Accent2 8 2 3 3 2 2" xfId="38621" xr:uid="{40579D99-C4EA-4D6D-900F-2A790BB3516C}"/>
    <cellStyle name="40% - Accent2 8 2 3 3 3" xfId="22726" xr:uid="{00000000-0005-0000-0000-000047370000}"/>
    <cellStyle name="40% - Accent2 8 2 3 3 3 2" xfId="46558" xr:uid="{CEE7E2F3-8928-4218-8A94-A3FBACF31698}"/>
    <cellStyle name="40% - Accent2 8 2 3 3 4" xfId="30680" xr:uid="{68D4054A-44E6-4635-94DD-452F46B0BD1C}"/>
    <cellStyle name="40% - Accent2 8 2 3 4" xfId="11243" xr:uid="{00000000-0005-0000-0000-000048370000}"/>
    <cellStyle name="40% - Accent2 8 2 3 4 2" xfId="35092" xr:uid="{0898A93A-A03A-4594-9457-46B365BA5D01}"/>
    <cellStyle name="40% - Accent2 8 2 3 5" xfId="19198" xr:uid="{00000000-0005-0000-0000-000049370000}"/>
    <cellStyle name="40% - Accent2 8 2 3 5 2" xfId="43030" xr:uid="{0A8177A0-3811-482B-8F39-8BEA7FC3D9FE}"/>
    <cellStyle name="40% - Accent2 8 2 3 6" xfId="27150" xr:uid="{13DD78FD-D7CD-4E2E-AB22-5F80BF450055}"/>
    <cellStyle name="40% - Accent2 8 2 3_Exh G" xfId="2910" xr:uid="{00000000-0005-0000-0000-00004A370000}"/>
    <cellStyle name="40% - Accent2 8 2 4" xfId="4097" xr:uid="{00000000-0005-0000-0000-00004B370000}"/>
    <cellStyle name="40% - Accent2 8 2 4 2" xfId="7689" xr:uid="{00000000-0005-0000-0000-00004C370000}"/>
    <cellStyle name="40% - Accent2 8 2 4 2 2" xfId="15659" xr:uid="{00000000-0005-0000-0000-00004D370000}"/>
    <cellStyle name="40% - Accent2 8 2 4 2 2 2" xfId="39501" xr:uid="{A59C5477-FC86-4A57-A097-2EB725C75F3C}"/>
    <cellStyle name="40% - Accent2 8 2 4 2 3" xfId="23605" xr:uid="{00000000-0005-0000-0000-00004E370000}"/>
    <cellStyle name="40% - Accent2 8 2 4 2 3 2" xfId="47437" xr:uid="{84370C5C-BE6A-46D4-91D9-4F47A11B7636}"/>
    <cellStyle name="40% - Accent2 8 2 4 2 4" xfId="31560" xr:uid="{E04C9837-CEA9-440B-8532-31D6E5E9CCF5}"/>
    <cellStyle name="40% - Accent2 8 2 4 3" xfId="12121" xr:uid="{00000000-0005-0000-0000-00004F370000}"/>
    <cellStyle name="40% - Accent2 8 2 4 3 2" xfId="35970" xr:uid="{C45ED26A-D3CC-4B56-9CEA-2C53C1A40069}"/>
    <cellStyle name="40% - Accent2 8 2 4 4" xfId="20076" xr:uid="{00000000-0005-0000-0000-000050370000}"/>
    <cellStyle name="40% - Accent2 8 2 4 4 2" xfId="43908" xr:uid="{15B3132C-B154-47F0-B217-9DFCA17966F1}"/>
    <cellStyle name="40% - Accent2 8 2 4 5" xfId="28029" xr:uid="{2F8DE1C1-EA27-4ED0-8CB4-1EA620F3CDA9}"/>
    <cellStyle name="40% - Accent2 8 2 5" xfId="5917" xr:uid="{00000000-0005-0000-0000-000051370000}"/>
    <cellStyle name="40% - Accent2 8 2 5 2" xfId="13900" xr:uid="{00000000-0005-0000-0000-000052370000}"/>
    <cellStyle name="40% - Accent2 8 2 5 2 2" xfId="37743" xr:uid="{7FB0AA73-F617-4ED0-8889-B60251F74622}"/>
    <cellStyle name="40% - Accent2 8 2 5 3" xfId="21848" xr:uid="{00000000-0005-0000-0000-000053370000}"/>
    <cellStyle name="40% - Accent2 8 2 5 3 2" xfId="45680" xr:uid="{5EB0D5C9-44A9-46C3-BD0C-20BDFD60A112}"/>
    <cellStyle name="40% - Accent2 8 2 5 4" xfId="29802" xr:uid="{0C7ADDFB-6C05-4BB1-BD09-2E78F4484E6C}"/>
    <cellStyle name="40% - Accent2 8 2 6" xfId="9469" xr:uid="{00000000-0005-0000-0000-000054370000}"/>
    <cellStyle name="40% - Accent2 8 2 6 2" xfId="17427" xr:uid="{00000000-0005-0000-0000-000055370000}"/>
    <cellStyle name="40% - Accent2 8 2 6 2 2" xfId="41267" xr:uid="{6FA64F2E-0346-4672-870A-864669802986}"/>
    <cellStyle name="40% - Accent2 8 2 6 3" xfId="25371" xr:uid="{00000000-0005-0000-0000-000056370000}"/>
    <cellStyle name="40% - Accent2 8 2 6 3 2" xfId="49203" xr:uid="{A2945D6C-EEB6-44E1-BEB0-927167C9FD31}"/>
    <cellStyle name="40% - Accent2 8 2 6 4" xfId="33326" xr:uid="{F1830CA1-B7DB-47AA-89D7-36D6442C7988}"/>
    <cellStyle name="40% - Accent2 8 2 7" xfId="10365" xr:uid="{00000000-0005-0000-0000-000057370000}"/>
    <cellStyle name="40% - Accent2 8 2 7 2" xfId="34214" xr:uid="{249D487A-1B63-4A1F-AFC7-2CCD413C8E7D}"/>
    <cellStyle name="40% - Accent2 8 2 8" xfId="18320" xr:uid="{00000000-0005-0000-0000-000058370000}"/>
    <cellStyle name="40% - Accent2 8 2 8 2" xfId="42152" xr:uid="{6475669A-4CB5-4A29-8DC2-D0BBA6CE6470}"/>
    <cellStyle name="40% - Accent2 8 2 9" xfId="26272" xr:uid="{1D447BDF-C705-461E-AA6D-2EA76E898E6E}"/>
    <cellStyle name="40% - Accent2 8 2_Exh G" xfId="2907" xr:uid="{00000000-0005-0000-0000-000059370000}"/>
    <cellStyle name="40% - Accent2 8 3" xfId="425" xr:uid="{00000000-0005-0000-0000-00005A370000}"/>
    <cellStyle name="40% - Accent2 8 3 2" xfId="1451" xr:uid="{00000000-0005-0000-0000-00005B370000}"/>
    <cellStyle name="40% - Accent2 8 3 2 2" xfId="4978" xr:uid="{00000000-0005-0000-0000-00005C370000}"/>
    <cellStyle name="40% - Accent2 8 3 2 2 2" xfId="8569" xr:uid="{00000000-0005-0000-0000-00005D370000}"/>
    <cellStyle name="40% - Accent2 8 3 2 2 2 2" xfId="16539" xr:uid="{00000000-0005-0000-0000-00005E370000}"/>
    <cellStyle name="40% - Accent2 8 3 2 2 2 2 2" xfId="40381" xr:uid="{937704CA-DC43-488A-AD75-DE598F2E2F12}"/>
    <cellStyle name="40% - Accent2 8 3 2 2 2 3" xfId="24485" xr:uid="{00000000-0005-0000-0000-00005F370000}"/>
    <cellStyle name="40% - Accent2 8 3 2 2 2 3 2" xfId="48317" xr:uid="{9FAE75CC-7DD1-4C40-BA08-D4236B93E946}"/>
    <cellStyle name="40% - Accent2 8 3 2 2 2 4" xfId="32440" xr:uid="{624CFEA7-8713-4DEB-8E1F-8C56E573CCFE}"/>
    <cellStyle name="40% - Accent2 8 3 2 2 3" xfId="13001" xr:uid="{00000000-0005-0000-0000-000060370000}"/>
    <cellStyle name="40% - Accent2 8 3 2 2 3 2" xfId="36850" xr:uid="{763DB6DF-54BD-473B-A20A-842A494A5C81}"/>
    <cellStyle name="40% - Accent2 8 3 2 2 4" xfId="20956" xr:uid="{00000000-0005-0000-0000-000061370000}"/>
    <cellStyle name="40% - Accent2 8 3 2 2 4 2" xfId="44788" xr:uid="{F2E49562-AF21-485A-B144-A9060B32D176}"/>
    <cellStyle name="40% - Accent2 8 3 2 2 5" xfId="28909" xr:uid="{378FFE98-1E4A-47AE-85DA-590F163EBA9B}"/>
    <cellStyle name="40% - Accent2 8 3 2 3" xfId="6810" xr:uid="{00000000-0005-0000-0000-000062370000}"/>
    <cellStyle name="40% - Accent2 8 3 2 3 2" xfId="14781" xr:uid="{00000000-0005-0000-0000-000063370000}"/>
    <cellStyle name="40% - Accent2 8 3 2 3 2 2" xfId="38623" xr:uid="{CF30239C-DFBD-402D-8C19-E1025FA93020}"/>
    <cellStyle name="40% - Accent2 8 3 2 3 3" xfId="22728" xr:uid="{00000000-0005-0000-0000-000064370000}"/>
    <cellStyle name="40% - Accent2 8 3 2 3 3 2" xfId="46560" xr:uid="{CB684409-D123-46A6-9A02-C8C6693B0260}"/>
    <cellStyle name="40% - Accent2 8 3 2 3 4" xfId="30682" xr:uid="{E947C11B-9989-4B98-BEFC-90B590B19E62}"/>
    <cellStyle name="40% - Accent2 8 3 2 4" xfId="11245" xr:uid="{00000000-0005-0000-0000-000065370000}"/>
    <cellStyle name="40% - Accent2 8 3 2 4 2" xfId="35094" xr:uid="{3568492B-9595-4614-BCB2-3BB54B987030}"/>
    <cellStyle name="40% - Accent2 8 3 2 5" xfId="19200" xr:uid="{00000000-0005-0000-0000-000066370000}"/>
    <cellStyle name="40% - Accent2 8 3 2 5 2" xfId="43032" xr:uid="{C737C923-F77D-45A8-94ED-8367F5F49281}"/>
    <cellStyle name="40% - Accent2 8 3 2 6" xfId="27152" xr:uid="{D106A3B9-821A-44B7-9293-C6DFD7C9BB62}"/>
    <cellStyle name="40% - Accent2 8 3 2_Exh G" xfId="2912" xr:uid="{00000000-0005-0000-0000-000067370000}"/>
    <cellStyle name="40% - Accent2 8 3 3" xfId="4099" xr:uid="{00000000-0005-0000-0000-000068370000}"/>
    <cellStyle name="40% - Accent2 8 3 3 2" xfId="7691" xr:uid="{00000000-0005-0000-0000-000069370000}"/>
    <cellStyle name="40% - Accent2 8 3 3 2 2" xfId="15661" xr:uid="{00000000-0005-0000-0000-00006A370000}"/>
    <cellStyle name="40% - Accent2 8 3 3 2 2 2" xfId="39503" xr:uid="{D68E4870-487F-4794-B352-C0AB8296C924}"/>
    <cellStyle name="40% - Accent2 8 3 3 2 3" xfId="23607" xr:uid="{00000000-0005-0000-0000-00006B370000}"/>
    <cellStyle name="40% - Accent2 8 3 3 2 3 2" xfId="47439" xr:uid="{B2DA4D1B-3CB1-4607-B399-EF71720CD6F6}"/>
    <cellStyle name="40% - Accent2 8 3 3 2 4" xfId="31562" xr:uid="{011F76AE-80E9-427B-90BE-3306BC63A4EA}"/>
    <cellStyle name="40% - Accent2 8 3 3 3" xfId="12123" xr:uid="{00000000-0005-0000-0000-00006C370000}"/>
    <cellStyle name="40% - Accent2 8 3 3 3 2" xfId="35972" xr:uid="{50027826-6B7D-45A1-A7B4-772A58BB38FB}"/>
    <cellStyle name="40% - Accent2 8 3 3 4" xfId="20078" xr:uid="{00000000-0005-0000-0000-00006D370000}"/>
    <cellStyle name="40% - Accent2 8 3 3 4 2" xfId="43910" xr:uid="{F0CEA638-F585-4BE3-A8CA-EA4F9CF54FC0}"/>
    <cellStyle name="40% - Accent2 8 3 3 5" xfId="28031" xr:uid="{A82A6DA4-DEC2-46AC-BCA4-8ABEC16C94AB}"/>
    <cellStyle name="40% - Accent2 8 3 4" xfId="5919" xr:uid="{00000000-0005-0000-0000-00006E370000}"/>
    <cellStyle name="40% - Accent2 8 3 4 2" xfId="13902" xr:uid="{00000000-0005-0000-0000-00006F370000}"/>
    <cellStyle name="40% - Accent2 8 3 4 2 2" xfId="37745" xr:uid="{8326DB53-1B2D-4E76-9DA1-8E2054755F9D}"/>
    <cellStyle name="40% - Accent2 8 3 4 3" xfId="21850" xr:uid="{00000000-0005-0000-0000-000070370000}"/>
    <cellStyle name="40% - Accent2 8 3 4 3 2" xfId="45682" xr:uid="{B13793AB-48B5-4003-83DE-385FA1CB2751}"/>
    <cellStyle name="40% - Accent2 8 3 4 4" xfId="29804" xr:uid="{1105941F-DD78-4E86-A0B5-29C81C615E6C}"/>
    <cellStyle name="40% - Accent2 8 3 5" xfId="9471" xr:uid="{00000000-0005-0000-0000-000071370000}"/>
    <cellStyle name="40% - Accent2 8 3 5 2" xfId="17429" xr:uid="{00000000-0005-0000-0000-000072370000}"/>
    <cellStyle name="40% - Accent2 8 3 5 2 2" xfId="41269" xr:uid="{441881B4-E07B-4B6B-9627-E57DB0EC8F8D}"/>
    <cellStyle name="40% - Accent2 8 3 5 3" xfId="25373" xr:uid="{00000000-0005-0000-0000-000073370000}"/>
    <cellStyle name="40% - Accent2 8 3 5 3 2" xfId="49205" xr:uid="{E6F59260-7A65-42EB-975B-EE3FD5C188CA}"/>
    <cellStyle name="40% - Accent2 8 3 5 4" xfId="33328" xr:uid="{300B4720-39F6-4D61-A593-59D35C107724}"/>
    <cellStyle name="40% - Accent2 8 3 6" xfId="10367" xr:uid="{00000000-0005-0000-0000-000074370000}"/>
    <cellStyle name="40% - Accent2 8 3 6 2" xfId="34216" xr:uid="{971D71F5-4616-4A82-B054-41678F2CF5AC}"/>
    <cellStyle name="40% - Accent2 8 3 7" xfId="18322" xr:uid="{00000000-0005-0000-0000-000075370000}"/>
    <cellStyle name="40% - Accent2 8 3 7 2" xfId="42154" xr:uid="{715D47BD-1D5C-4DB5-A6BA-E633ADECD555}"/>
    <cellStyle name="40% - Accent2 8 3 8" xfId="26274" xr:uid="{671717B4-DB0D-42EA-9287-C427A18470D9}"/>
    <cellStyle name="40% - Accent2 8 3_Exh G" xfId="2911" xr:uid="{00000000-0005-0000-0000-000076370000}"/>
    <cellStyle name="40% - Accent2 8 4" xfId="953" xr:uid="{00000000-0005-0000-0000-000077370000}"/>
    <cellStyle name="40% - Accent2 8 4 2" xfId="1870" xr:uid="{00000000-0005-0000-0000-000078370000}"/>
    <cellStyle name="40% - Accent2 8 4 2 2" xfId="5387" xr:uid="{00000000-0005-0000-0000-000079370000}"/>
    <cellStyle name="40% - Accent2 8 4 2 2 2" xfId="8978" xr:uid="{00000000-0005-0000-0000-00007A370000}"/>
    <cellStyle name="40% - Accent2 8 4 2 2 2 2" xfId="16948" xr:uid="{00000000-0005-0000-0000-00007B370000}"/>
    <cellStyle name="40% - Accent2 8 4 2 2 2 2 2" xfId="40790" xr:uid="{873FED0E-E410-46CF-BEC0-8D75DB6A2716}"/>
    <cellStyle name="40% - Accent2 8 4 2 2 2 3" xfId="24894" xr:uid="{00000000-0005-0000-0000-00007C370000}"/>
    <cellStyle name="40% - Accent2 8 4 2 2 2 3 2" xfId="48726" xr:uid="{DEE7E4DA-22E6-4B04-AEA3-DFB7758390C4}"/>
    <cellStyle name="40% - Accent2 8 4 2 2 2 4" xfId="32849" xr:uid="{11B9DC38-5E8F-448E-8ADF-40EAA46E3BFD}"/>
    <cellStyle name="40% - Accent2 8 4 2 2 3" xfId="13410" xr:uid="{00000000-0005-0000-0000-00007D370000}"/>
    <cellStyle name="40% - Accent2 8 4 2 2 3 2" xfId="37259" xr:uid="{3D34CAA8-9D76-4637-973F-834827894E8B}"/>
    <cellStyle name="40% - Accent2 8 4 2 2 4" xfId="21365" xr:uid="{00000000-0005-0000-0000-00007E370000}"/>
    <cellStyle name="40% - Accent2 8 4 2 2 4 2" xfId="45197" xr:uid="{E786612F-7406-4D9F-B541-E245EC8935A1}"/>
    <cellStyle name="40% - Accent2 8 4 2 2 5" xfId="29318" xr:uid="{A0193097-1013-4091-B3DF-16C23E018C8B}"/>
    <cellStyle name="40% - Accent2 8 4 2 3" xfId="7219" xr:uid="{00000000-0005-0000-0000-00007F370000}"/>
    <cellStyle name="40% - Accent2 8 4 2 3 2" xfId="15190" xr:uid="{00000000-0005-0000-0000-000080370000}"/>
    <cellStyle name="40% - Accent2 8 4 2 3 2 2" xfId="39032" xr:uid="{8C847272-957B-42AD-B126-AA7864737B79}"/>
    <cellStyle name="40% - Accent2 8 4 2 3 3" xfId="23137" xr:uid="{00000000-0005-0000-0000-000081370000}"/>
    <cellStyle name="40% - Accent2 8 4 2 3 3 2" xfId="46969" xr:uid="{BC47ED58-543E-4DD8-9225-2B84360EBD16}"/>
    <cellStyle name="40% - Accent2 8 4 2 3 4" xfId="31091" xr:uid="{9D95F692-1102-4825-8FB9-BBF165DD1E3F}"/>
    <cellStyle name="40% - Accent2 8 4 2 4" xfId="11654" xr:uid="{00000000-0005-0000-0000-000082370000}"/>
    <cellStyle name="40% - Accent2 8 4 2 4 2" xfId="35503" xr:uid="{B40B63B9-7744-4576-A9BC-317A5402B492}"/>
    <cellStyle name="40% - Accent2 8 4 2 5" xfId="19609" xr:uid="{00000000-0005-0000-0000-000083370000}"/>
    <cellStyle name="40% - Accent2 8 4 2 5 2" xfId="43441" xr:uid="{E92B2896-2476-4267-8820-582D35606A2A}"/>
    <cellStyle name="40% - Accent2 8 4 2 6" xfId="27561" xr:uid="{D723C96A-A680-4351-B643-1F9A16BA22EF}"/>
    <cellStyle name="40% - Accent2 8 4 2_Exh G" xfId="2914" xr:uid="{00000000-0005-0000-0000-000084370000}"/>
    <cellStyle name="40% - Accent2 8 4 3" xfId="4508" xr:uid="{00000000-0005-0000-0000-000085370000}"/>
    <cellStyle name="40% - Accent2 8 4 3 2" xfId="8100" xr:uid="{00000000-0005-0000-0000-000086370000}"/>
    <cellStyle name="40% - Accent2 8 4 3 2 2" xfId="16070" xr:uid="{00000000-0005-0000-0000-000087370000}"/>
    <cellStyle name="40% - Accent2 8 4 3 2 2 2" xfId="39912" xr:uid="{BC7A6E09-BF84-42BC-8036-8F67C08307A3}"/>
    <cellStyle name="40% - Accent2 8 4 3 2 3" xfId="24016" xr:uid="{00000000-0005-0000-0000-000088370000}"/>
    <cellStyle name="40% - Accent2 8 4 3 2 3 2" xfId="47848" xr:uid="{D5AE2412-9707-46FA-9E4D-17A651CD0CC3}"/>
    <cellStyle name="40% - Accent2 8 4 3 2 4" xfId="31971" xr:uid="{55DFA4F5-27AE-4D8C-A1C7-EEAF09D1B3D5}"/>
    <cellStyle name="40% - Accent2 8 4 3 3" xfId="12532" xr:uid="{00000000-0005-0000-0000-000089370000}"/>
    <cellStyle name="40% - Accent2 8 4 3 3 2" xfId="36381" xr:uid="{6618377E-56FE-4D77-9168-296DF091970F}"/>
    <cellStyle name="40% - Accent2 8 4 3 4" xfId="20487" xr:uid="{00000000-0005-0000-0000-00008A370000}"/>
    <cellStyle name="40% - Accent2 8 4 3 4 2" xfId="44319" xr:uid="{A75EF86C-2169-4C2A-9480-9A21F582C610}"/>
    <cellStyle name="40% - Accent2 8 4 3 5" xfId="28440" xr:uid="{E982B94F-593C-4E4F-87C0-B8DD22EF99EA}"/>
    <cellStyle name="40% - Accent2 8 4 4" xfId="6338" xr:uid="{00000000-0005-0000-0000-00008B370000}"/>
    <cellStyle name="40% - Accent2 8 4 4 2" xfId="14312" xr:uid="{00000000-0005-0000-0000-00008C370000}"/>
    <cellStyle name="40% - Accent2 8 4 4 2 2" xfId="38154" xr:uid="{23C4C772-4BE1-4B5E-841F-EDE5299540EB}"/>
    <cellStyle name="40% - Accent2 8 4 4 3" xfId="22259" xr:uid="{00000000-0005-0000-0000-00008D370000}"/>
    <cellStyle name="40% - Accent2 8 4 4 3 2" xfId="46091" xr:uid="{FB64CBE3-4D14-422C-AF10-D2A5F5D444F8}"/>
    <cellStyle name="40% - Accent2 8 4 4 4" xfId="30213" xr:uid="{8D6B4493-525C-4518-AB1F-A6908CB25CCA}"/>
    <cellStyle name="40% - Accent2 8 4 5" xfId="9880" xr:uid="{00000000-0005-0000-0000-00008E370000}"/>
    <cellStyle name="40% - Accent2 8 4 5 2" xfId="17838" xr:uid="{00000000-0005-0000-0000-00008F370000}"/>
    <cellStyle name="40% - Accent2 8 4 5 2 2" xfId="41678" xr:uid="{1A41FFB4-889D-41A8-99A1-3045A76DFA07}"/>
    <cellStyle name="40% - Accent2 8 4 5 3" xfId="25782" xr:uid="{00000000-0005-0000-0000-000090370000}"/>
    <cellStyle name="40% - Accent2 8 4 5 3 2" xfId="49614" xr:uid="{3AF30844-6C14-4A26-8CA8-47570F58EBD8}"/>
    <cellStyle name="40% - Accent2 8 4 5 4" xfId="33737" xr:uid="{A521ED10-1DB1-42B7-B652-5DBA9E2EACF7}"/>
    <cellStyle name="40% - Accent2 8 4 6" xfId="10776" xr:uid="{00000000-0005-0000-0000-000091370000}"/>
    <cellStyle name="40% - Accent2 8 4 6 2" xfId="34625" xr:uid="{5DFB1549-C53D-4EB6-9383-D12E5ACD7BD4}"/>
    <cellStyle name="40% - Accent2 8 4 7" xfId="18731" xr:uid="{00000000-0005-0000-0000-000092370000}"/>
    <cellStyle name="40% - Accent2 8 4 7 2" xfId="42563" xr:uid="{21D07A62-7793-4CDE-A0A4-15F37671CDD2}"/>
    <cellStyle name="40% - Accent2 8 4 8" xfId="26683" xr:uid="{B1BCB9A7-AB0D-4A01-977E-5C5F15B70EE0}"/>
    <cellStyle name="40% - Accent2 8 4_Exh G" xfId="2913" xr:uid="{00000000-0005-0000-0000-000093370000}"/>
    <cellStyle name="40% - Accent2 8 5" xfId="1448" xr:uid="{00000000-0005-0000-0000-000094370000}"/>
    <cellStyle name="40% - Accent2 8 5 2" xfId="4975" xr:uid="{00000000-0005-0000-0000-000095370000}"/>
    <cellStyle name="40% - Accent2 8 5 2 2" xfId="8566" xr:uid="{00000000-0005-0000-0000-000096370000}"/>
    <cellStyle name="40% - Accent2 8 5 2 2 2" xfId="16536" xr:uid="{00000000-0005-0000-0000-000097370000}"/>
    <cellStyle name="40% - Accent2 8 5 2 2 2 2" xfId="40378" xr:uid="{E313DED2-6271-4E88-AEFF-E95C74D6D158}"/>
    <cellStyle name="40% - Accent2 8 5 2 2 3" xfId="24482" xr:uid="{00000000-0005-0000-0000-000098370000}"/>
    <cellStyle name="40% - Accent2 8 5 2 2 3 2" xfId="48314" xr:uid="{BFB57539-416D-42AD-843A-F681CEA12F42}"/>
    <cellStyle name="40% - Accent2 8 5 2 2 4" xfId="32437" xr:uid="{17CBA1A4-553D-4C6D-A60F-9B48ABC640F8}"/>
    <cellStyle name="40% - Accent2 8 5 2 3" xfId="12998" xr:uid="{00000000-0005-0000-0000-000099370000}"/>
    <cellStyle name="40% - Accent2 8 5 2 3 2" xfId="36847" xr:uid="{C9BCEA1E-206E-409C-98D6-C8977F560B37}"/>
    <cellStyle name="40% - Accent2 8 5 2 4" xfId="20953" xr:uid="{00000000-0005-0000-0000-00009A370000}"/>
    <cellStyle name="40% - Accent2 8 5 2 4 2" xfId="44785" xr:uid="{17FB4A9E-D5BB-414A-A383-B340D131420D}"/>
    <cellStyle name="40% - Accent2 8 5 2 5" xfId="28906" xr:uid="{6FE6BBA4-DB50-4B09-AA79-AF5B9609E6F6}"/>
    <cellStyle name="40% - Accent2 8 5 3" xfId="6807" xr:uid="{00000000-0005-0000-0000-00009B370000}"/>
    <cellStyle name="40% - Accent2 8 5 3 2" xfId="14778" xr:uid="{00000000-0005-0000-0000-00009C370000}"/>
    <cellStyle name="40% - Accent2 8 5 3 2 2" xfId="38620" xr:uid="{F8784868-AFA1-4977-9133-53A99A7E8BDD}"/>
    <cellStyle name="40% - Accent2 8 5 3 3" xfId="22725" xr:uid="{00000000-0005-0000-0000-00009D370000}"/>
    <cellStyle name="40% - Accent2 8 5 3 3 2" xfId="46557" xr:uid="{BBB9F074-E783-4952-AEB1-FE463626447D}"/>
    <cellStyle name="40% - Accent2 8 5 3 4" xfId="30679" xr:uid="{4D6405A0-9620-4836-8C0F-C5628E75FC12}"/>
    <cellStyle name="40% - Accent2 8 5 4" xfId="11242" xr:uid="{00000000-0005-0000-0000-00009E370000}"/>
    <cellStyle name="40% - Accent2 8 5 4 2" xfId="35091" xr:uid="{56923332-C037-499B-BD93-F231514C241F}"/>
    <cellStyle name="40% - Accent2 8 5 5" xfId="19197" xr:uid="{00000000-0005-0000-0000-00009F370000}"/>
    <cellStyle name="40% - Accent2 8 5 5 2" xfId="43029" xr:uid="{2AC1C9A4-9261-441D-AB23-83C935D26DED}"/>
    <cellStyle name="40% - Accent2 8 5 6" xfId="27149" xr:uid="{A041A3CA-D97F-4D03-884B-6208AFB24A5B}"/>
    <cellStyle name="40% - Accent2 8 5_Exh G" xfId="2915" xr:uid="{00000000-0005-0000-0000-0000A0370000}"/>
    <cellStyle name="40% - Accent2 8 6" xfId="4096" xr:uid="{00000000-0005-0000-0000-0000A1370000}"/>
    <cellStyle name="40% - Accent2 8 6 2" xfId="7688" xr:uid="{00000000-0005-0000-0000-0000A2370000}"/>
    <cellStyle name="40% - Accent2 8 6 2 2" xfId="15658" xr:uid="{00000000-0005-0000-0000-0000A3370000}"/>
    <cellStyle name="40% - Accent2 8 6 2 2 2" xfId="39500" xr:uid="{ADAA81E3-1F7B-4671-B3DA-CCEDF1EC3049}"/>
    <cellStyle name="40% - Accent2 8 6 2 3" xfId="23604" xr:uid="{00000000-0005-0000-0000-0000A4370000}"/>
    <cellStyle name="40% - Accent2 8 6 2 3 2" xfId="47436" xr:uid="{6E791F29-1447-4278-B5AB-BEA85C7A4EF7}"/>
    <cellStyle name="40% - Accent2 8 6 2 4" xfId="31559" xr:uid="{E00E6DB1-7769-48A5-B0B7-F46065B5C7B9}"/>
    <cellStyle name="40% - Accent2 8 6 3" xfId="12120" xr:uid="{00000000-0005-0000-0000-0000A5370000}"/>
    <cellStyle name="40% - Accent2 8 6 3 2" xfId="35969" xr:uid="{FF80691D-FB54-4DAD-91DF-B0A7D68C7551}"/>
    <cellStyle name="40% - Accent2 8 6 4" xfId="20075" xr:uid="{00000000-0005-0000-0000-0000A6370000}"/>
    <cellStyle name="40% - Accent2 8 6 4 2" xfId="43907" xr:uid="{0FE68EFB-6375-45EC-BDD2-A06632531571}"/>
    <cellStyle name="40% - Accent2 8 6 5" xfId="28028" xr:uid="{2A0E37D0-26AD-4F61-8783-91E79883E83F}"/>
    <cellStyle name="40% - Accent2 8 7" xfId="5916" xr:uid="{00000000-0005-0000-0000-0000A7370000}"/>
    <cellStyle name="40% - Accent2 8 7 2" xfId="13899" xr:uid="{00000000-0005-0000-0000-0000A8370000}"/>
    <cellStyle name="40% - Accent2 8 7 2 2" xfId="37742" xr:uid="{A1A14F8A-4773-4A48-A928-FC1D007A3B21}"/>
    <cellStyle name="40% - Accent2 8 7 3" xfId="21847" xr:uid="{00000000-0005-0000-0000-0000A9370000}"/>
    <cellStyle name="40% - Accent2 8 7 3 2" xfId="45679" xr:uid="{2442D272-CF9E-4764-A0F5-C041C27B9590}"/>
    <cellStyle name="40% - Accent2 8 7 4" xfId="29801" xr:uid="{4B44C72D-DB80-452D-A052-EE90005014E9}"/>
    <cellStyle name="40% - Accent2 8 8" xfId="9468" xr:uid="{00000000-0005-0000-0000-0000AA370000}"/>
    <cellStyle name="40% - Accent2 8 8 2" xfId="17426" xr:uid="{00000000-0005-0000-0000-0000AB370000}"/>
    <cellStyle name="40% - Accent2 8 8 2 2" xfId="41266" xr:uid="{C21C516F-7B6A-427C-A0AF-0DDAAD49FCFA}"/>
    <cellStyle name="40% - Accent2 8 8 3" xfId="25370" xr:uid="{00000000-0005-0000-0000-0000AC370000}"/>
    <cellStyle name="40% - Accent2 8 8 3 2" xfId="49202" xr:uid="{DD26547A-3AE5-446A-941F-CA97C360B641}"/>
    <cellStyle name="40% - Accent2 8 8 4" xfId="33325" xr:uid="{A2AF59D1-06FC-4728-935B-A544B8AC9D0B}"/>
    <cellStyle name="40% - Accent2 8 9" xfId="10364" xr:uid="{00000000-0005-0000-0000-0000AD370000}"/>
    <cellStyle name="40% - Accent2 8 9 2" xfId="34213" xr:uid="{A331A7E6-3959-4BE5-B6AD-AE4A76AE8C39}"/>
    <cellStyle name="40% - Accent2 8_Exh G" xfId="2906" xr:uid="{00000000-0005-0000-0000-0000AE370000}"/>
    <cellStyle name="40% - Accent2 9" xfId="426" xr:uid="{00000000-0005-0000-0000-0000AF370000}"/>
    <cellStyle name="40% - Accent2 9 10" xfId="18323" xr:uid="{00000000-0005-0000-0000-0000B0370000}"/>
    <cellStyle name="40% - Accent2 9 10 2" xfId="42155" xr:uid="{9D91FDB2-C365-453E-8144-1F269643EA1E}"/>
    <cellStyle name="40% - Accent2 9 11" xfId="26275" xr:uid="{9B3071E1-9458-4F54-9A6F-7DB759DD7791}"/>
    <cellStyle name="40% - Accent2 9 2" xfId="427" xr:uid="{00000000-0005-0000-0000-0000B1370000}"/>
    <cellStyle name="40% - Accent2 9 2 2" xfId="428" xr:uid="{00000000-0005-0000-0000-0000B2370000}"/>
    <cellStyle name="40% - Accent2 9 2 2 2" xfId="1454" xr:uid="{00000000-0005-0000-0000-0000B3370000}"/>
    <cellStyle name="40% - Accent2 9 2 2 2 2" xfId="4981" xr:uid="{00000000-0005-0000-0000-0000B4370000}"/>
    <cellStyle name="40% - Accent2 9 2 2 2 2 2" xfId="8572" xr:uid="{00000000-0005-0000-0000-0000B5370000}"/>
    <cellStyle name="40% - Accent2 9 2 2 2 2 2 2" xfId="16542" xr:uid="{00000000-0005-0000-0000-0000B6370000}"/>
    <cellStyle name="40% - Accent2 9 2 2 2 2 2 2 2" xfId="40384" xr:uid="{1A818EA2-7691-4330-8554-576F7850859E}"/>
    <cellStyle name="40% - Accent2 9 2 2 2 2 2 3" xfId="24488" xr:uid="{00000000-0005-0000-0000-0000B7370000}"/>
    <cellStyle name="40% - Accent2 9 2 2 2 2 2 3 2" xfId="48320" xr:uid="{A5CD495C-85A5-4FE5-BA81-385108154547}"/>
    <cellStyle name="40% - Accent2 9 2 2 2 2 2 4" xfId="32443" xr:uid="{4F38F85C-B37C-489A-8FA7-9EA6F9789AEA}"/>
    <cellStyle name="40% - Accent2 9 2 2 2 2 3" xfId="13004" xr:uid="{00000000-0005-0000-0000-0000B8370000}"/>
    <cellStyle name="40% - Accent2 9 2 2 2 2 3 2" xfId="36853" xr:uid="{62C34F96-6E74-4C83-B4BA-1C6DB3605904}"/>
    <cellStyle name="40% - Accent2 9 2 2 2 2 4" xfId="20959" xr:uid="{00000000-0005-0000-0000-0000B9370000}"/>
    <cellStyle name="40% - Accent2 9 2 2 2 2 4 2" xfId="44791" xr:uid="{A9F41B72-D9F1-4892-8EB5-9BC63235CB19}"/>
    <cellStyle name="40% - Accent2 9 2 2 2 2 5" xfId="28912" xr:uid="{0733DC69-A294-45A5-A4EB-A56D0E9F15AF}"/>
    <cellStyle name="40% - Accent2 9 2 2 2 3" xfId="6813" xr:uid="{00000000-0005-0000-0000-0000BA370000}"/>
    <cellStyle name="40% - Accent2 9 2 2 2 3 2" xfId="14784" xr:uid="{00000000-0005-0000-0000-0000BB370000}"/>
    <cellStyle name="40% - Accent2 9 2 2 2 3 2 2" xfId="38626" xr:uid="{10A2A6C3-A5CA-4C2D-8804-155387022186}"/>
    <cellStyle name="40% - Accent2 9 2 2 2 3 3" xfId="22731" xr:uid="{00000000-0005-0000-0000-0000BC370000}"/>
    <cellStyle name="40% - Accent2 9 2 2 2 3 3 2" xfId="46563" xr:uid="{420194A5-76D1-42ED-91CA-67D0DC576AC4}"/>
    <cellStyle name="40% - Accent2 9 2 2 2 3 4" xfId="30685" xr:uid="{76DCCD73-6809-45BF-8B7B-3319141C8DE5}"/>
    <cellStyle name="40% - Accent2 9 2 2 2 4" xfId="11248" xr:uid="{00000000-0005-0000-0000-0000BD370000}"/>
    <cellStyle name="40% - Accent2 9 2 2 2 4 2" xfId="35097" xr:uid="{935FABA4-C928-436C-A0B0-F922FDADC186}"/>
    <cellStyle name="40% - Accent2 9 2 2 2 5" xfId="19203" xr:uid="{00000000-0005-0000-0000-0000BE370000}"/>
    <cellStyle name="40% - Accent2 9 2 2 2 5 2" xfId="43035" xr:uid="{38B163DF-5DCA-4268-9F5C-C7B05770CB9F}"/>
    <cellStyle name="40% - Accent2 9 2 2 2 6" xfId="27155" xr:uid="{739B09BB-1764-4BB2-AEF0-29280343C519}"/>
    <cellStyle name="40% - Accent2 9 2 2 2_Exh G" xfId="2919" xr:uid="{00000000-0005-0000-0000-0000BF370000}"/>
    <cellStyle name="40% - Accent2 9 2 2 3" xfId="4102" xr:uid="{00000000-0005-0000-0000-0000C0370000}"/>
    <cellStyle name="40% - Accent2 9 2 2 3 2" xfId="7694" xr:uid="{00000000-0005-0000-0000-0000C1370000}"/>
    <cellStyle name="40% - Accent2 9 2 2 3 2 2" xfId="15664" xr:uid="{00000000-0005-0000-0000-0000C2370000}"/>
    <cellStyle name="40% - Accent2 9 2 2 3 2 2 2" xfId="39506" xr:uid="{FA9D3525-5638-45BF-B2BF-591F2CA8F684}"/>
    <cellStyle name="40% - Accent2 9 2 2 3 2 3" xfId="23610" xr:uid="{00000000-0005-0000-0000-0000C3370000}"/>
    <cellStyle name="40% - Accent2 9 2 2 3 2 3 2" xfId="47442" xr:uid="{B774D899-44E0-41E2-9EE9-7A888C21B027}"/>
    <cellStyle name="40% - Accent2 9 2 2 3 2 4" xfId="31565" xr:uid="{AD255D7D-0B95-47CE-AAC5-5B9C727F3110}"/>
    <cellStyle name="40% - Accent2 9 2 2 3 3" xfId="12126" xr:uid="{00000000-0005-0000-0000-0000C4370000}"/>
    <cellStyle name="40% - Accent2 9 2 2 3 3 2" xfId="35975" xr:uid="{AC8EF79F-DB46-4FE8-B4B4-43902ED61CBA}"/>
    <cellStyle name="40% - Accent2 9 2 2 3 4" xfId="20081" xr:uid="{00000000-0005-0000-0000-0000C5370000}"/>
    <cellStyle name="40% - Accent2 9 2 2 3 4 2" xfId="43913" xr:uid="{C8F06135-2199-41AE-8921-E976EDA667F2}"/>
    <cellStyle name="40% - Accent2 9 2 2 3 5" xfId="28034" xr:uid="{1D86BF30-15EB-424B-84B7-8C8290F05E66}"/>
    <cellStyle name="40% - Accent2 9 2 2 4" xfId="5922" xr:uid="{00000000-0005-0000-0000-0000C6370000}"/>
    <cellStyle name="40% - Accent2 9 2 2 4 2" xfId="13905" xr:uid="{00000000-0005-0000-0000-0000C7370000}"/>
    <cellStyle name="40% - Accent2 9 2 2 4 2 2" xfId="37748" xr:uid="{739F20C5-B67D-442D-98F8-C076F416C404}"/>
    <cellStyle name="40% - Accent2 9 2 2 4 3" xfId="21853" xr:uid="{00000000-0005-0000-0000-0000C8370000}"/>
    <cellStyle name="40% - Accent2 9 2 2 4 3 2" xfId="45685" xr:uid="{55811174-9025-4278-A321-A25AAFFFEB4E}"/>
    <cellStyle name="40% - Accent2 9 2 2 4 4" xfId="29807" xr:uid="{51F1E1B5-EDE1-4FF4-B198-7FE6D9E7074B}"/>
    <cellStyle name="40% - Accent2 9 2 2 5" xfId="9474" xr:uid="{00000000-0005-0000-0000-0000C9370000}"/>
    <cellStyle name="40% - Accent2 9 2 2 5 2" xfId="17432" xr:uid="{00000000-0005-0000-0000-0000CA370000}"/>
    <cellStyle name="40% - Accent2 9 2 2 5 2 2" xfId="41272" xr:uid="{E5CAF9CD-FFF3-4C77-9F46-29542368B91E}"/>
    <cellStyle name="40% - Accent2 9 2 2 5 3" xfId="25376" xr:uid="{00000000-0005-0000-0000-0000CB370000}"/>
    <cellStyle name="40% - Accent2 9 2 2 5 3 2" xfId="49208" xr:uid="{CBDB4F8D-19E4-4404-97E0-CBE820B69B3D}"/>
    <cellStyle name="40% - Accent2 9 2 2 5 4" xfId="33331" xr:uid="{7217F120-38CB-4759-B2B5-42A27FFAC177}"/>
    <cellStyle name="40% - Accent2 9 2 2 6" xfId="10370" xr:uid="{00000000-0005-0000-0000-0000CC370000}"/>
    <cellStyle name="40% - Accent2 9 2 2 6 2" xfId="34219" xr:uid="{AD229586-A75A-4D63-9205-5AE526A2D5FC}"/>
    <cellStyle name="40% - Accent2 9 2 2 7" xfId="18325" xr:uid="{00000000-0005-0000-0000-0000CD370000}"/>
    <cellStyle name="40% - Accent2 9 2 2 7 2" xfId="42157" xr:uid="{23193DAD-342C-4584-8CD8-C0E7D034429E}"/>
    <cellStyle name="40% - Accent2 9 2 2 8" xfId="26277" xr:uid="{38EE6F9E-4A24-469F-A16E-0A340FF16C1D}"/>
    <cellStyle name="40% - Accent2 9 2 2_Exh G" xfId="2918" xr:uid="{00000000-0005-0000-0000-0000CE370000}"/>
    <cellStyle name="40% - Accent2 9 2 3" xfId="1453" xr:uid="{00000000-0005-0000-0000-0000CF370000}"/>
    <cellStyle name="40% - Accent2 9 2 3 2" xfId="4980" xr:uid="{00000000-0005-0000-0000-0000D0370000}"/>
    <cellStyle name="40% - Accent2 9 2 3 2 2" xfId="8571" xr:uid="{00000000-0005-0000-0000-0000D1370000}"/>
    <cellStyle name="40% - Accent2 9 2 3 2 2 2" xfId="16541" xr:uid="{00000000-0005-0000-0000-0000D2370000}"/>
    <cellStyle name="40% - Accent2 9 2 3 2 2 2 2" xfId="40383" xr:uid="{9DF12AF6-0C55-4F9E-B6F7-420525AF1D8A}"/>
    <cellStyle name="40% - Accent2 9 2 3 2 2 3" xfId="24487" xr:uid="{00000000-0005-0000-0000-0000D3370000}"/>
    <cellStyle name="40% - Accent2 9 2 3 2 2 3 2" xfId="48319" xr:uid="{0E56A1AE-BDA8-45DB-B33E-369C08A91B23}"/>
    <cellStyle name="40% - Accent2 9 2 3 2 2 4" xfId="32442" xr:uid="{3C25C93C-8648-4CA5-BC40-6D4237ADD252}"/>
    <cellStyle name="40% - Accent2 9 2 3 2 3" xfId="13003" xr:uid="{00000000-0005-0000-0000-0000D4370000}"/>
    <cellStyle name="40% - Accent2 9 2 3 2 3 2" xfId="36852" xr:uid="{0A43FE63-BEF9-4DB8-B964-2F2F7DEDBBDD}"/>
    <cellStyle name="40% - Accent2 9 2 3 2 4" xfId="20958" xr:uid="{00000000-0005-0000-0000-0000D5370000}"/>
    <cellStyle name="40% - Accent2 9 2 3 2 4 2" xfId="44790" xr:uid="{E37BF21A-4D06-4C98-B90F-D56E34E475A0}"/>
    <cellStyle name="40% - Accent2 9 2 3 2 5" xfId="28911" xr:uid="{024C505E-6FA0-40FC-A2AE-92995E20562E}"/>
    <cellStyle name="40% - Accent2 9 2 3 3" xfId="6812" xr:uid="{00000000-0005-0000-0000-0000D6370000}"/>
    <cellStyle name="40% - Accent2 9 2 3 3 2" xfId="14783" xr:uid="{00000000-0005-0000-0000-0000D7370000}"/>
    <cellStyle name="40% - Accent2 9 2 3 3 2 2" xfId="38625" xr:uid="{BEBF3962-A3CB-43B1-AD40-3918B3B7EFAF}"/>
    <cellStyle name="40% - Accent2 9 2 3 3 3" xfId="22730" xr:uid="{00000000-0005-0000-0000-0000D8370000}"/>
    <cellStyle name="40% - Accent2 9 2 3 3 3 2" xfId="46562" xr:uid="{7AD98134-79FE-4F52-86B5-35254B0D059A}"/>
    <cellStyle name="40% - Accent2 9 2 3 3 4" xfId="30684" xr:uid="{2BBF786B-DE70-4C8D-8474-8D8444EAB932}"/>
    <cellStyle name="40% - Accent2 9 2 3 4" xfId="11247" xr:uid="{00000000-0005-0000-0000-0000D9370000}"/>
    <cellStyle name="40% - Accent2 9 2 3 4 2" xfId="35096" xr:uid="{86C2B4FD-7D41-4138-A882-164E655F6C7F}"/>
    <cellStyle name="40% - Accent2 9 2 3 5" xfId="19202" xr:uid="{00000000-0005-0000-0000-0000DA370000}"/>
    <cellStyle name="40% - Accent2 9 2 3 5 2" xfId="43034" xr:uid="{ECDDEC4C-D31C-4524-891B-0D9CC8CFC646}"/>
    <cellStyle name="40% - Accent2 9 2 3 6" xfId="27154" xr:uid="{DFA5B8FD-DA1D-4D03-8D37-3F64CAE4E617}"/>
    <cellStyle name="40% - Accent2 9 2 3_Exh G" xfId="2920" xr:uid="{00000000-0005-0000-0000-0000DB370000}"/>
    <cellStyle name="40% - Accent2 9 2 4" xfId="4101" xr:uid="{00000000-0005-0000-0000-0000DC370000}"/>
    <cellStyle name="40% - Accent2 9 2 4 2" xfId="7693" xr:uid="{00000000-0005-0000-0000-0000DD370000}"/>
    <cellStyle name="40% - Accent2 9 2 4 2 2" xfId="15663" xr:uid="{00000000-0005-0000-0000-0000DE370000}"/>
    <cellStyle name="40% - Accent2 9 2 4 2 2 2" xfId="39505" xr:uid="{4F1B26FE-6F09-467F-9419-DED247948235}"/>
    <cellStyle name="40% - Accent2 9 2 4 2 3" xfId="23609" xr:uid="{00000000-0005-0000-0000-0000DF370000}"/>
    <cellStyle name="40% - Accent2 9 2 4 2 3 2" xfId="47441" xr:uid="{B55BDB90-638B-4A1C-AC5E-245FE7A06799}"/>
    <cellStyle name="40% - Accent2 9 2 4 2 4" xfId="31564" xr:uid="{BEB32DAF-CAE3-4E95-8030-A5545C205AC0}"/>
    <cellStyle name="40% - Accent2 9 2 4 3" xfId="12125" xr:uid="{00000000-0005-0000-0000-0000E0370000}"/>
    <cellStyle name="40% - Accent2 9 2 4 3 2" xfId="35974" xr:uid="{F5C6A411-21D8-4448-8E39-AFDD403887E2}"/>
    <cellStyle name="40% - Accent2 9 2 4 4" xfId="20080" xr:uid="{00000000-0005-0000-0000-0000E1370000}"/>
    <cellStyle name="40% - Accent2 9 2 4 4 2" xfId="43912" xr:uid="{EF5F5EA9-DE80-488B-B53C-CA081D2AE2FA}"/>
    <cellStyle name="40% - Accent2 9 2 4 5" xfId="28033" xr:uid="{A2516867-F9FE-4624-B365-B2C88DB17678}"/>
    <cellStyle name="40% - Accent2 9 2 5" xfId="5921" xr:uid="{00000000-0005-0000-0000-0000E2370000}"/>
    <cellStyle name="40% - Accent2 9 2 5 2" xfId="13904" xr:uid="{00000000-0005-0000-0000-0000E3370000}"/>
    <cellStyle name="40% - Accent2 9 2 5 2 2" xfId="37747" xr:uid="{56C92A42-B2DD-4836-AA70-EF9674018CB5}"/>
    <cellStyle name="40% - Accent2 9 2 5 3" xfId="21852" xr:uid="{00000000-0005-0000-0000-0000E4370000}"/>
    <cellStyle name="40% - Accent2 9 2 5 3 2" xfId="45684" xr:uid="{58CEA88D-C075-442B-9336-C9DDF3DDD660}"/>
    <cellStyle name="40% - Accent2 9 2 5 4" xfId="29806" xr:uid="{4C334CD2-E586-4F44-9B9C-818BB771E86C}"/>
    <cellStyle name="40% - Accent2 9 2 6" xfId="9473" xr:uid="{00000000-0005-0000-0000-0000E5370000}"/>
    <cellStyle name="40% - Accent2 9 2 6 2" xfId="17431" xr:uid="{00000000-0005-0000-0000-0000E6370000}"/>
    <cellStyle name="40% - Accent2 9 2 6 2 2" xfId="41271" xr:uid="{C25CB17D-35BE-45D8-9C61-5AD1970BE244}"/>
    <cellStyle name="40% - Accent2 9 2 6 3" xfId="25375" xr:uid="{00000000-0005-0000-0000-0000E7370000}"/>
    <cellStyle name="40% - Accent2 9 2 6 3 2" xfId="49207" xr:uid="{97CBC0E7-2491-4457-8B03-779050793471}"/>
    <cellStyle name="40% - Accent2 9 2 6 4" xfId="33330" xr:uid="{0C5C4C72-16BD-4907-93BD-68CA9E58B38D}"/>
    <cellStyle name="40% - Accent2 9 2 7" xfId="10369" xr:uid="{00000000-0005-0000-0000-0000E8370000}"/>
    <cellStyle name="40% - Accent2 9 2 7 2" xfId="34218" xr:uid="{77B53D50-72F6-40A3-8C4B-1014FDF2FEB9}"/>
    <cellStyle name="40% - Accent2 9 2 8" xfId="18324" xr:uid="{00000000-0005-0000-0000-0000E9370000}"/>
    <cellStyle name="40% - Accent2 9 2 8 2" xfId="42156" xr:uid="{CC2A0CDC-32AF-4A6D-A56D-F74B0593AC6E}"/>
    <cellStyle name="40% - Accent2 9 2 9" xfId="26276" xr:uid="{3FACE7AA-7F60-4ABC-BF64-6E4F4EE04223}"/>
    <cellStyle name="40% - Accent2 9 2_Exh G" xfId="2917" xr:uid="{00000000-0005-0000-0000-0000EA370000}"/>
    <cellStyle name="40% - Accent2 9 3" xfId="429" xr:uid="{00000000-0005-0000-0000-0000EB370000}"/>
    <cellStyle name="40% - Accent2 9 3 2" xfId="1455" xr:uid="{00000000-0005-0000-0000-0000EC370000}"/>
    <cellStyle name="40% - Accent2 9 3 2 2" xfId="4982" xr:uid="{00000000-0005-0000-0000-0000ED370000}"/>
    <cellStyle name="40% - Accent2 9 3 2 2 2" xfId="8573" xr:uid="{00000000-0005-0000-0000-0000EE370000}"/>
    <cellStyle name="40% - Accent2 9 3 2 2 2 2" xfId="16543" xr:uid="{00000000-0005-0000-0000-0000EF370000}"/>
    <cellStyle name="40% - Accent2 9 3 2 2 2 2 2" xfId="40385" xr:uid="{9306A775-9FDC-4F8F-82E8-C9CC5BBF55E4}"/>
    <cellStyle name="40% - Accent2 9 3 2 2 2 3" xfId="24489" xr:uid="{00000000-0005-0000-0000-0000F0370000}"/>
    <cellStyle name="40% - Accent2 9 3 2 2 2 3 2" xfId="48321" xr:uid="{0187C5FD-F4AE-4C26-B74F-BD3B6B25B2F1}"/>
    <cellStyle name="40% - Accent2 9 3 2 2 2 4" xfId="32444" xr:uid="{2CB3993B-E102-4D23-BA8C-4D1E85D44147}"/>
    <cellStyle name="40% - Accent2 9 3 2 2 3" xfId="13005" xr:uid="{00000000-0005-0000-0000-0000F1370000}"/>
    <cellStyle name="40% - Accent2 9 3 2 2 3 2" xfId="36854" xr:uid="{8913A634-014C-490D-A7A6-775191DD6514}"/>
    <cellStyle name="40% - Accent2 9 3 2 2 4" xfId="20960" xr:uid="{00000000-0005-0000-0000-0000F2370000}"/>
    <cellStyle name="40% - Accent2 9 3 2 2 4 2" xfId="44792" xr:uid="{C822EECF-A8CE-4DDD-8E83-EAACDA9ABAEB}"/>
    <cellStyle name="40% - Accent2 9 3 2 2 5" xfId="28913" xr:uid="{093434C1-93B2-455C-837A-4DF056AE6734}"/>
    <cellStyle name="40% - Accent2 9 3 2 3" xfId="6814" xr:uid="{00000000-0005-0000-0000-0000F3370000}"/>
    <cellStyle name="40% - Accent2 9 3 2 3 2" xfId="14785" xr:uid="{00000000-0005-0000-0000-0000F4370000}"/>
    <cellStyle name="40% - Accent2 9 3 2 3 2 2" xfId="38627" xr:uid="{86E944D1-F4D8-489B-87D6-D8673E37C7A6}"/>
    <cellStyle name="40% - Accent2 9 3 2 3 3" xfId="22732" xr:uid="{00000000-0005-0000-0000-0000F5370000}"/>
    <cellStyle name="40% - Accent2 9 3 2 3 3 2" xfId="46564" xr:uid="{64057FBE-10FF-474F-BB75-B0EE16BD9B85}"/>
    <cellStyle name="40% - Accent2 9 3 2 3 4" xfId="30686" xr:uid="{41B38F75-1AB0-4D89-925C-FED12BF7A74B}"/>
    <cellStyle name="40% - Accent2 9 3 2 4" xfId="11249" xr:uid="{00000000-0005-0000-0000-0000F6370000}"/>
    <cellStyle name="40% - Accent2 9 3 2 4 2" xfId="35098" xr:uid="{4BDF730A-6C7B-4F4C-8C5A-AE74DBBCAFC2}"/>
    <cellStyle name="40% - Accent2 9 3 2 5" xfId="19204" xr:uid="{00000000-0005-0000-0000-0000F7370000}"/>
    <cellStyle name="40% - Accent2 9 3 2 5 2" xfId="43036" xr:uid="{B5308980-702F-4C38-BB80-72451CB056E1}"/>
    <cellStyle name="40% - Accent2 9 3 2 6" xfId="27156" xr:uid="{4DA81E0F-B881-44A5-AC8E-A8BFBBCE34BC}"/>
    <cellStyle name="40% - Accent2 9 3 2_Exh G" xfId="2922" xr:uid="{00000000-0005-0000-0000-0000F8370000}"/>
    <cellStyle name="40% - Accent2 9 3 3" xfId="4103" xr:uid="{00000000-0005-0000-0000-0000F9370000}"/>
    <cellStyle name="40% - Accent2 9 3 3 2" xfId="7695" xr:uid="{00000000-0005-0000-0000-0000FA370000}"/>
    <cellStyle name="40% - Accent2 9 3 3 2 2" xfId="15665" xr:uid="{00000000-0005-0000-0000-0000FB370000}"/>
    <cellStyle name="40% - Accent2 9 3 3 2 2 2" xfId="39507" xr:uid="{6B11E242-8AD7-48E9-9AF6-28FE7A467315}"/>
    <cellStyle name="40% - Accent2 9 3 3 2 3" xfId="23611" xr:uid="{00000000-0005-0000-0000-0000FC370000}"/>
    <cellStyle name="40% - Accent2 9 3 3 2 3 2" xfId="47443" xr:uid="{0405BFD6-2C35-4DB9-8AD5-B92E4511581A}"/>
    <cellStyle name="40% - Accent2 9 3 3 2 4" xfId="31566" xr:uid="{A54B87EA-E5DA-4007-8074-FD74416D4E6D}"/>
    <cellStyle name="40% - Accent2 9 3 3 3" xfId="12127" xr:uid="{00000000-0005-0000-0000-0000FD370000}"/>
    <cellStyle name="40% - Accent2 9 3 3 3 2" xfId="35976" xr:uid="{02F08A68-B2BE-49D9-B697-6F4F06518E19}"/>
    <cellStyle name="40% - Accent2 9 3 3 4" xfId="20082" xr:uid="{00000000-0005-0000-0000-0000FE370000}"/>
    <cellStyle name="40% - Accent2 9 3 3 4 2" xfId="43914" xr:uid="{4DB60B6E-7628-4631-A76B-360273C3C945}"/>
    <cellStyle name="40% - Accent2 9 3 3 5" xfId="28035" xr:uid="{222BACE6-9123-4CF3-BB70-24960BAF1EA4}"/>
    <cellStyle name="40% - Accent2 9 3 4" xfId="5923" xr:uid="{00000000-0005-0000-0000-0000FF370000}"/>
    <cellStyle name="40% - Accent2 9 3 4 2" xfId="13906" xr:uid="{00000000-0005-0000-0000-000000380000}"/>
    <cellStyle name="40% - Accent2 9 3 4 2 2" xfId="37749" xr:uid="{578D6B04-978D-4D5A-B763-DC544BF320B5}"/>
    <cellStyle name="40% - Accent2 9 3 4 3" xfId="21854" xr:uid="{00000000-0005-0000-0000-000001380000}"/>
    <cellStyle name="40% - Accent2 9 3 4 3 2" xfId="45686" xr:uid="{30D3F7B4-EB3D-40EF-96C5-BE7D751315EB}"/>
    <cellStyle name="40% - Accent2 9 3 4 4" xfId="29808" xr:uid="{D7E1E6C8-DD5F-4515-B796-A51F451DCC5B}"/>
    <cellStyle name="40% - Accent2 9 3 5" xfId="9475" xr:uid="{00000000-0005-0000-0000-000002380000}"/>
    <cellStyle name="40% - Accent2 9 3 5 2" xfId="17433" xr:uid="{00000000-0005-0000-0000-000003380000}"/>
    <cellStyle name="40% - Accent2 9 3 5 2 2" xfId="41273" xr:uid="{68506962-92E0-4F84-820F-FDF7D0213437}"/>
    <cellStyle name="40% - Accent2 9 3 5 3" xfId="25377" xr:uid="{00000000-0005-0000-0000-000004380000}"/>
    <cellStyle name="40% - Accent2 9 3 5 3 2" xfId="49209" xr:uid="{92750618-9641-42BA-8DDF-02D30751E469}"/>
    <cellStyle name="40% - Accent2 9 3 5 4" xfId="33332" xr:uid="{0C849CF7-3A69-499E-A76B-CCA610845635}"/>
    <cellStyle name="40% - Accent2 9 3 6" xfId="10371" xr:uid="{00000000-0005-0000-0000-000005380000}"/>
    <cellStyle name="40% - Accent2 9 3 6 2" xfId="34220" xr:uid="{D3D4B0E4-39C6-4180-9B07-F412090606A2}"/>
    <cellStyle name="40% - Accent2 9 3 7" xfId="18326" xr:uid="{00000000-0005-0000-0000-000006380000}"/>
    <cellStyle name="40% - Accent2 9 3 7 2" xfId="42158" xr:uid="{170EAA3B-7D7F-4CC7-AC74-35FF8411F793}"/>
    <cellStyle name="40% - Accent2 9 3 8" xfId="26278" xr:uid="{1B4C55E8-A639-4DF7-B9D0-18B3BE2BE7AB}"/>
    <cellStyle name="40% - Accent2 9 3_Exh G" xfId="2921" xr:uid="{00000000-0005-0000-0000-000007380000}"/>
    <cellStyle name="40% - Accent2 9 4" xfId="954" xr:uid="{00000000-0005-0000-0000-000008380000}"/>
    <cellStyle name="40% - Accent2 9 4 2" xfId="1871" xr:uid="{00000000-0005-0000-0000-000009380000}"/>
    <cellStyle name="40% - Accent2 9 4 2 2" xfId="5388" xr:uid="{00000000-0005-0000-0000-00000A380000}"/>
    <cellStyle name="40% - Accent2 9 4 2 2 2" xfId="8979" xr:uid="{00000000-0005-0000-0000-00000B380000}"/>
    <cellStyle name="40% - Accent2 9 4 2 2 2 2" xfId="16949" xr:uid="{00000000-0005-0000-0000-00000C380000}"/>
    <cellStyle name="40% - Accent2 9 4 2 2 2 2 2" xfId="40791" xr:uid="{E0A122CE-FC9E-46E6-B656-3A956257736B}"/>
    <cellStyle name="40% - Accent2 9 4 2 2 2 3" xfId="24895" xr:uid="{00000000-0005-0000-0000-00000D380000}"/>
    <cellStyle name="40% - Accent2 9 4 2 2 2 3 2" xfId="48727" xr:uid="{97A90131-A3F0-4C23-9ED8-16F093D3E548}"/>
    <cellStyle name="40% - Accent2 9 4 2 2 2 4" xfId="32850" xr:uid="{2FDC8149-86A8-4961-9365-AC034DFDD490}"/>
    <cellStyle name="40% - Accent2 9 4 2 2 3" xfId="13411" xr:uid="{00000000-0005-0000-0000-00000E380000}"/>
    <cellStyle name="40% - Accent2 9 4 2 2 3 2" xfId="37260" xr:uid="{9886D8A9-947C-4E3B-BA61-87C055BE628C}"/>
    <cellStyle name="40% - Accent2 9 4 2 2 4" xfId="21366" xr:uid="{00000000-0005-0000-0000-00000F380000}"/>
    <cellStyle name="40% - Accent2 9 4 2 2 4 2" xfId="45198" xr:uid="{C636207B-95C7-4BE3-8629-1FE24291882E}"/>
    <cellStyle name="40% - Accent2 9 4 2 2 5" xfId="29319" xr:uid="{B0836826-6B98-45D2-8A1F-5EBF4D0638EE}"/>
    <cellStyle name="40% - Accent2 9 4 2 3" xfId="7220" xr:uid="{00000000-0005-0000-0000-000010380000}"/>
    <cellStyle name="40% - Accent2 9 4 2 3 2" xfId="15191" xr:uid="{00000000-0005-0000-0000-000011380000}"/>
    <cellStyle name="40% - Accent2 9 4 2 3 2 2" xfId="39033" xr:uid="{8CB4FD69-E3AA-4208-AAE4-CB81641F20AD}"/>
    <cellStyle name="40% - Accent2 9 4 2 3 3" xfId="23138" xr:uid="{00000000-0005-0000-0000-000012380000}"/>
    <cellStyle name="40% - Accent2 9 4 2 3 3 2" xfId="46970" xr:uid="{CB8B7546-9AFA-4556-BAB4-B0A4E718ABF6}"/>
    <cellStyle name="40% - Accent2 9 4 2 3 4" xfId="31092" xr:uid="{C78F0782-194A-47CF-8166-4B08920677AF}"/>
    <cellStyle name="40% - Accent2 9 4 2 4" xfId="11655" xr:uid="{00000000-0005-0000-0000-000013380000}"/>
    <cellStyle name="40% - Accent2 9 4 2 4 2" xfId="35504" xr:uid="{71501CCD-E144-44ED-8D21-44FC393552A7}"/>
    <cellStyle name="40% - Accent2 9 4 2 5" xfId="19610" xr:uid="{00000000-0005-0000-0000-000014380000}"/>
    <cellStyle name="40% - Accent2 9 4 2 5 2" xfId="43442" xr:uid="{2F2A41AC-71FC-45FB-8914-F6714453273C}"/>
    <cellStyle name="40% - Accent2 9 4 2 6" xfId="27562" xr:uid="{CBD7ECC6-695C-4C9D-88C0-A5B03EDC9A20}"/>
    <cellStyle name="40% - Accent2 9 4 2_Exh G" xfId="2924" xr:uid="{00000000-0005-0000-0000-000015380000}"/>
    <cellStyle name="40% - Accent2 9 4 3" xfId="4509" xr:uid="{00000000-0005-0000-0000-000016380000}"/>
    <cellStyle name="40% - Accent2 9 4 3 2" xfId="8101" xr:uid="{00000000-0005-0000-0000-000017380000}"/>
    <cellStyle name="40% - Accent2 9 4 3 2 2" xfId="16071" xr:uid="{00000000-0005-0000-0000-000018380000}"/>
    <cellStyle name="40% - Accent2 9 4 3 2 2 2" xfId="39913" xr:uid="{FBB72158-22C5-4F6A-9684-7C2345134078}"/>
    <cellStyle name="40% - Accent2 9 4 3 2 3" xfId="24017" xr:uid="{00000000-0005-0000-0000-000019380000}"/>
    <cellStyle name="40% - Accent2 9 4 3 2 3 2" xfId="47849" xr:uid="{C9D2ED9E-9BD3-4987-BF00-929D31D34C52}"/>
    <cellStyle name="40% - Accent2 9 4 3 2 4" xfId="31972" xr:uid="{549D9582-2044-4CE7-952A-49E218904A11}"/>
    <cellStyle name="40% - Accent2 9 4 3 3" xfId="12533" xr:uid="{00000000-0005-0000-0000-00001A380000}"/>
    <cellStyle name="40% - Accent2 9 4 3 3 2" xfId="36382" xr:uid="{713A8996-D1BA-44F7-9428-9B9ADCCE8662}"/>
    <cellStyle name="40% - Accent2 9 4 3 4" xfId="20488" xr:uid="{00000000-0005-0000-0000-00001B380000}"/>
    <cellStyle name="40% - Accent2 9 4 3 4 2" xfId="44320" xr:uid="{5073C482-9A95-45B5-8566-4F1813C905BE}"/>
    <cellStyle name="40% - Accent2 9 4 3 5" xfId="28441" xr:uid="{13A11FA9-127A-430E-BDF9-7D731714D3B2}"/>
    <cellStyle name="40% - Accent2 9 4 4" xfId="6339" xr:uid="{00000000-0005-0000-0000-00001C380000}"/>
    <cellStyle name="40% - Accent2 9 4 4 2" xfId="14313" xr:uid="{00000000-0005-0000-0000-00001D380000}"/>
    <cellStyle name="40% - Accent2 9 4 4 2 2" xfId="38155" xr:uid="{0B5E94B6-7358-457E-BFE4-8621CBF0CA0F}"/>
    <cellStyle name="40% - Accent2 9 4 4 3" xfId="22260" xr:uid="{00000000-0005-0000-0000-00001E380000}"/>
    <cellStyle name="40% - Accent2 9 4 4 3 2" xfId="46092" xr:uid="{A6E95926-D0E9-4B72-81DA-4993D26D964A}"/>
    <cellStyle name="40% - Accent2 9 4 4 4" xfId="30214" xr:uid="{08750E39-DFC9-4069-B973-A9A6E0AA9ED8}"/>
    <cellStyle name="40% - Accent2 9 4 5" xfId="9881" xr:uid="{00000000-0005-0000-0000-00001F380000}"/>
    <cellStyle name="40% - Accent2 9 4 5 2" xfId="17839" xr:uid="{00000000-0005-0000-0000-000020380000}"/>
    <cellStyle name="40% - Accent2 9 4 5 2 2" xfId="41679" xr:uid="{4A67C841-9A28-4224-9B65-597308EB24D1}"/>
    <cellStyle name="40% - Accent2 9 4 5 3" xfId="25783" xr:uid="{00000000-0005-0000-0000-000021380000}"/>
    <cellStyle name="40% - Accent2 9 4 5 3 2" xfId="49615" xr:uid="{637120D7-D8BF-4C0F-8BCC-D9CD74F913B7}"/>
    <cellStyle name="40% - Accent2 9 4 5 4" xfId="33738" xr:uid="{FFDC60B5-21E1-4FCA-B332-6633A363CA3C}"/>
    <cellStyle name="40% - Accent2 9 4 6" xfId="10777" xr:uid="{00000000-0005-0000-0000-000022380000}"/>
    <cellStyle name="40% - Accent2 9 4 6 2" xfId="34626" xr:uid="{9E28BF84-998F-49F4-A0D9-F285D50BB857}"/>
    <cellStyle name="40% - Accent2 9 4 7" xfId="18732" xr:uid="{00000000-0005-0000-0000-000023380000}"/>
    <cellStyle name="40% - Accent2 9 4 7 2" xfId="42564" xr:uid="{A24F91E9-4FF4-4624-8AB2-7695D2F9656F}"/>
    <cellStyle name="40% - Accent2 9 4 8" xfId="26684" xr:uid="{FE117CEB-FEE7-482E-BE80-B12375EBF09E}"/>
    <cellStyle name="40% - Accent2 9 4_Exh G" xfId="2923" xr:uid="{00000000-0005-0000-0000-000024380000}"/>
    <cellStyle name="40% - Accent2 9 5" xfId="1452" xr:uid="{00000000-0005-0000-0000-000025380000}"/>
    <cellStyle name="40% - Accent2 9 5 2" xfId="4979" xr:uid="{00000000-0005-0000-0000-000026380000}"/>
    <cellStyle name="40% - Accent2 9 5 2 2" xfId="8570" xr:uid="{00000000-0005-0000-0000-000027380000}"/>
    <cellStyle name="40% - Accent2 9 5 2 2 2" xfId="16540" xr:uid="{00000000-0005-0000-0000-000028380000}"/>
    <cellStyle name="40% - Accent2 9 5 2 2 2 2" xfId="40382" xr:uid="{97E0802C-2D32-4541-9BF4-D6370A5F97E1}"/>
    <cellStyle name="40% - Accent2 9 5 2 2 3" xfId="24486" xr:uid="{00000000-0005-0000-0000-000029380000}"/>
    <cellStyle name="40% - Accent2 9 5 2 2 3 2" xfId="48318" xr:uid="{D28ED6C3-9AD5-4392-BF5F-3B7FA1C39564}"/>
    <cellStyle name="40% - Accent2 9 5 2 2 4" xfId="32441" xr:uid="{15FD246A-3044-44DA-927A-CFD7D9643CB1}"/>
    <cellStyle name="40% - Accent2 9 5 2 3" xfId="13002" xr:uid="{00000000-0005-0000-0000-00002A380000}"/>
    <cellStyle name="40% - Accent2 9 5 2 3 2" xfId="36851" xr:uid="{811C7A58-82DE-4C38-8AC7-0658EDB5BA3F}"/>
    <cellStyle name="40% - Accent2 9 5 2 4" xfId="20957" xr:uid="{00000000-0005-0000-0000-00002B380000}"/>
    <cellStyle name="40% - Accent2 9 5 2 4 2" xfId="44789" xr:uid="{70CE2AEE-49E9-488A-9BA2-B47053553A7B}"/>
    <cellStyle name="40% - Accent2 9 5 2 5" xfId="28910" xr:uid="{01325990-1747-4DDC-9D20-1C2603CCE963}"/>
    <cellStyle name="40% - Accent2 9 5 3" xfId="6811" xr:uid="{00000000-0005-0000-0000-00002C380000}"/>
    <cellStyle name="40% - Accent2 9 5 3 2" xfId="14782" xr:uid="{00000000-0005-0000-0000-00002D380000}"/>
    <cellStyle name="40% - Accent2 9 5 3 2 2" xfId="38624" xr:uid="{483359A7-7839-46A8-959B-0DFE307724E6}"/>
    <cellStyle name="40% - Accent2 9 5 3 3" xfId="22729" xr:uid="{00000000-0005-0000-0000-00002E380000}"/>
    <cellStyle name="40% - Accent2 9 5 3 3 2" xfId="46561" xr:uid="{80659E03-F25C-4E60-9456-EB937C950C97}"/>
    <cellStyle name="40% - Accent2 9 5 3 4" xfId="30683" xr:uid="{5B943B17-053C-4D8E-B2EA-2E7FD40207A8}"/>
    <cellStyle name="40% - Accent2 9 5 4" xfId="11246" xr:uid="{00000000-0005-0000-0000-00002F380000}"/>
    <cellStyle name="40% - Accent2 9 5 4 2" xfId="35095" xr:uid="{4632288E-7FF8-48E2-BDDC-74800F93B36C}"/>
    <cellStyle name="40% - Accent2 9 5 5" xfId="19201" xr:uid="{00000000-0005-0000-0000-000030380000}"/>
    <cellStyle name="40% - Accent2 9 5 5 2" xfId="43033" xr:uid="{3B9DC9D8-366F-423C-B531-AF00C43CEFD6}"/>
    <cellStyle name="40% - Accent2 9 5 6" xfId="27153" xr:uid="{AEAF5638-78D7-43CF-8BFE-C98A13F1CF30}"/>
    <cellStyle name="40% - Accent2 9 5_Exh G" xfId="2925" xr:uid="{00000000-0005-0000-0000-000031380000}"/>
    <cellStyle name="40% - Accent2 9 6" xfId="4100" xr:uid="{00000000-0005-0000-0000-000032380000}"/>
    <cellStyle name="40% - Accent2 9 6 2" xfId="7692" xr:uid="{00000000-0005-0000-0000-000033380000}"/>
    <cellStyle name="40% - Accent2 9 6 2 2" xfId="15662" xr:uid="{00000000-0005-0000-0000-000034380000}"/>
    <cellStyle name="40% - Accent2 9 6 2 2 2" xfId="39504" xr:uid="{2D5B5EDA-F6E1-4B45-B707-19E2FE4A4BAD}"/>
    <cellStyle name="40% - Accent2 9 6 2 3" xfId="23608" xr:uid="{00000000-0005-0000-0000-000035380000}"/>
    <cellStyle name="40% - Accent2 9 6 2 3 2" xfId="47440" xr:uid="{E2461A19-0D85-49A1-BB6B-29CC4399E9F1}"/>
    <cellStyle name="40% - Accent2 9 6 2 4" xfId="31563" xr:uid="{B2179914-3F62-438E-AFE6-D202F966EFC1}"/>
    <cellStyle name="40% - Accent2 9 6 3" xfId="12124" xr:uid="{00000000-0005-0000-0000-000036380000}"/>
    <cellStyle name="40% - Accent2 9 6 3 2" xfId="35973" xr:uid="{2D723C34-25F6-478B-8364-D9224EBEBD0C}"/>
    <cellStyle name="40% - Accent2 9 6 4" xfId="20079" xr:uid="{00000000-0005-0000-0000-000037380000}"/>
    <cellStyle name="40% - Accent2 9 6 4 2" xfId="43911" xr:uid="{275AC6AE-9F15-4E0D-8403-7B62CB4A4916}"/>
    <cellStyle name="40% - Accent2 9 6 5" xfId="28032" xr:uid="{51E2E43E-F68C-43FA-A868-66F5DD671B44}"/>
    <cellStyle name="40% - Accent2 9 7" xfId="5920" xr:uid="{00000000-0005-0000-0000-000038380000}"/>
    <cellStyle name="40% - Accent2 9 7 2" xfId="13903" xr:uid="{00000000-0005-0000-0000-000039380000}"/>
    <cellStyle name="40% - Accent2 9 7 2 2" xfId="37746" xr:uid="{318007FF-F307-45B4-A394-F6D204A13515}"/>
    <cellStyle name="40% - Accent2 9 7 3" xfId="21851" xr:uid="{00000000-0005-0000-0000-00003A380000}"/>
    <cellStyle name="40% - Accent2 9 7 3 2" xfId="45683" xr:uid="{A339FC58-0829-423F-9EC2-03387681CC21}"/>
    <cellStyle name="40% - Accent2 9 7 4" xfId="29805" xr:uid="{9C2F696A-32E6-436E-8A7F-7DCE9F539027}"/>
    <cellStyle name="40% - Accent2 9 8" xfId="9472" xr:uid="{00000000-0005-0000-0000-00003B380000}"/>
    <cellStyle name="40% - Accent2 9 8 2" xfId="17430" xr:uid="{00000000-0005-0000-0000-00003C380000}"/>
    <cellStyle name="40% - Accent2 9 8 2 2" xfId="41270" xr:uid="{6F5455DB-E785-40C3-A635-EACF1363CC04}"/>
    <cellStyle name="40% - Accent2 9 8 3" xfId="25374" xr:uid="{00000000-0005-0000-0000-00003D380000}"/>
    <cellStyle name="40% - Accent2 9 8 3 2" xfId="49206" xr:uid="{6989F803-62AE-4CB6-8E37-EDDC92C1BAA0}"/>
    <cellStyle name="40% - Accent2 9 8 4" xfId="33329" xr:uid="{CC2C912B-8DCE-4837-8F58-E22635F91000}"/>
    <cellStyle name="40% - Accent2 9 9" xfId="10368" xr:uid="{00000000-0005-0000-0000-00003E380000}"/>
    <cellStyle name="40% - Accent2 9 9 2" xfId="34217" xr:uid="{7A798301-80B6-4F6C-B333-B1D8E60F054C}"/>
    <cellStyle name="40% - Accent2 9_Exh G" xfId="2916" xr:uid="{00000000-0005-0000-0000-00003F380000}"/>
    <cellStyle name="40% - Accent3" xfId="49690" builtinId="39" customBuiltin="1"/>
    <cellStyle name="40% - Accent3 10" xfId="430" xr:uid="{00000000-0005-0000-0000-000040380000}"/>
    <cellStyle name="40% - Accent3 10 10" xfId="18327" xr:uid="{00000000-0005-0000-0000-000041380000}"/>
    <cellStyle name="40% - Accent3 10 10 2" xfId="42159" xr:uid="{F831439E-9CE4-46F0-B1A3-85C89AFD2B20}"/>
    <cellStyle name="40% - Accent3 10 11" xfId="26279" xr:uid="{D810F4AB-48F8-4CAB-9BBF-71C12F070960}"/>
    <cellStyle name="40% - Accent3 10 2" xfId="431" xr:uid="{00000000-0005-0000-0000-000042380000}"/>
    <cellStyle name="40% - Accent3 10 2 2" xfId="432" xr:uid="{00000000-0005-0000-0000-000043380000}"/>
    <cellStyle name="40% - Accent3 10 2 2 2" xfId="1458" xr:uid="{00000000-0005-0000-0000-000044380000}"/>
    <cellStyle name="40% - Accent3 10 2 2 2 2" xfId="4985" xr:uid="{00000000-0005-0000-0000-000045380000}"/>
    <cellStyle name="40% - Accent3 10 2 2 2 2 2" xfId="8576" xr:uid="{00000000-0005-0000-0000-000046380000}"/>
    <cellStyle name="40% - Accent3 10 2 2 2 2 2 2" xfId="16546" xr:uid="{00000000-0005-0000-0000-000047380000}"/>
    <cellStyle name="40% - Accent3 10 2 2 2 2 2 2 2" xfId="40388" xr:uid="{4ADF53B9-1AFC-4A7C-BAB0-BD4F851947D6}"/>
    <cellStyle name="40% - Accent3 10 2 2 2 2 2 3" xfId="24492" xr:uid="{00000000-0005-0000-0000-000048380000}"/>
    <cellStyle name="40% - Accent3 10 2 2 2 2 2 3 2" xfId="48324" xr:uid="{0F1C19A8-C569-4BC3-BFE5-4C02C00D5279}"/>
    <cellStyle name="40% - Accent3 10 2 2 2 2 2 4" xfId="32447" xr:uid="{F61D1097-BD2B-48D4-91B4-63D5A76F6CA5}"/>
    <cellStyle name="40% - Accent3 10 2 2 2 2 3" xfId="13008" xr:uid="{00000000-0005-0000-0000-000049380000}"/>
    <cellStyle name="40% - Accent3 10 2 2 2 2 3 2" xfId="36857" xr:uid="{ED84CC49-7143-4F23-AA0B-B0F8F18E82C1}"/>
    <cellStyle name="40% - Accent3 10 2 2 2 2 4" xfId="20963" xr:uid="{00000000-0005-0000-0000-00004A380000}"/>
    <cellStyle name="40% - Accent3 10 2 2 2 2 4 2" xfId="44795" xr:uid="{CF32FC18-5D42-41CB-8614-7ABE8835AACC}"/>
    <cellStyle name="40% - Accent3 10 2 2 2 2 5" xfId="28916" xr:uid="{44E7EC81-EDB7-4049-9DB3-A6C143AE4270}"/>
    <cellStyle name="40% - Accent3 10 2 2 2 3" xfId="6817" xr:uid="{00000000-0005-0000-0000-00004B380000}"/>
    <cellStyle name="40% - Accent3 10 2 2 2 3 2" xfId="14788" xr:uid="{00000000-0005-0000-0000-00004C380000}"/>
    <cellStyle name="40% - Accent3 10 2 2 2 3 2 2" xfId="38630" xr:uid="{B78C71F7-BC37-4BC9-B565-E6763E13DC9B}"/>
    <cellStyle name="40% - Accent3 10 2 2 2 3 3" xfId="22735" xr:uid="{00000000-0005-0000-0000-00004D380000}"/>
    <cellStyle name="40% - Accent3 10 2 2 2 3 3 2" xfId="46567" xr:uid="{FA5AB461-E856-4EAB-B2B3-83C457EED532}"/>
    <cellStyle name="40% - Accent3 10 2 2 2 3 4" xfId="30689" xr:uid="{3E8C87B7-C977-4C61-A4D5-AA5597E419D0}"/>
    <cellStyle name="40% - Accent3 10 2 2 2 4" xfId="11252" xr:uid="{00000000-0005-0000-0000-00004E380000}"/>
    <cellStyle name="40% - Accent3 10 2 2 2 4 2" xfId="35101" xr:uid="{33583B8E-C932-4C73-8DB4-1F48098BA284}"/>
    <cellStyle name="40% - Accent3 10 2 2 2 5" xfId="19207" xr:uid="{00000000-0005-0000-0000-00004F380000}"/>
    <cellStyle name="40% - Accent3 10 2 2 2 5 2" xfId="43039" xr:uid="{6866EE04-3C06-41C6-BA2E-3C8A7EBB07EF}"/>
    <cellStyle name="40% - Accent3 10 2 2 2 6" xfId="27159" xr:uid="{E1E2D537-17AB-4481-ACCD-76829A80C41C}"/>
    <cellStyle name="40% - Accent3 10 2 2 2_Exh G" xfId="2929" xr:uid="{00000000-0005-0000-0000-000050380000}"/>
    <cellStyle name="40% - Accent3 10 2 2 3" xfId="4106" xr:uid="{00000000-0005-0000-0000-000051380000}"/>
    <cellStyle name="40% - Accent3 10 2 2 3 2" xfId="7698" xr:uid="{00000000-0005-0000-0000-000052380000}"/>
    <cellStyle name="40% - Accent3 10 2 2 3 2 2" xfId="15668" xr:uid="{00000000-0005-0000-0000-000053380000}"/>
    <cellStyle name="40% - Accent3 10 2 2 3 2 2 2" xfId="39510" xr:uid="{B387E84B-44A7-4107-BE5D-B86F94428621}"/>
    <cellStyle name="40% - Accent3 10 2 2 3 2 3" xfId="23614" xr:uid="{00000000-0005-0000-0000-000054380000}"/>
    <cellStyle name="40% - Accent3 10 2 2 3 2 3 2" xfId="47446" xr:uid="{CCD626C6-D190-4C24-A32F-7F3A1E39389A}"/>
    <cellStyle name="40% - Accent3 10 2 2 3 2 4" xfId="31569" xr:uid="{BF1606F1-6083-4208-8312-3AD92567EF84}"/>
    <cellStyle name="40% - Accent3 10 2 2 3 3" xfId="12130" xr:uid="{00000000-0005-0000-0000-000055380000}"/>
    <cellStyle name="40% - Accent3 10 2 2 3 3 2" xfId="35979" xr:uid="{7EE5735C-17AB-46E7-B095-EEE516917AA2}"/>
    <cellStyle name="40% - Accent3 10 2 2 3 4" xfId="20085" xr:uid="{00000000-0005-0000-0000-000056380000}"/>
    <cellStyle name="40% - Accent3 10 2 2 3 4 2" xfId="43917" xr:uid="{915469C6-78A1-43AD-BBEF-494B3885C7AA}"/>
    <cellStyle name="40% - Accent3 10 2 2 3 5" xfId="28038" xr:uid="{7BEA732F-0C8C-4A27-B277-CF09AB3C0723}"/>
    <cellStyle name="40% - Accent3 10 2 2 4" xfId="5926" xr:uid="{00000000-0005-0000-0000-000057380000}"/>
    <cellStyle name="40% - Accent3 10 2 2 4 2" xfId="13909" xr:uid="{00000000-0005-0000-0000-000058380000}"/>
    <cellStyle name="40% - Accent3 10 2 2 4 2 2" xfId="37752" xr:uid="{54E30A2B-ACDD-41BA-A3F6-00937812F181}"/>
    <cellStyle name="40% - Accent3 10 2 2 4 3" xfId="21857" xr:uid="{00000000-0005-0000-0000-000059380000}"/>
    <cellStyle name="40% - Accent3 10 2 2 4 3 2" xfId="45689" xr:uid="{AB9F3E5B-71BA-41A1-B885-0823C8966DCE}"/>
    <cellStyle name="40% - Accent3 10 2 2 4 4" xfId="29811" xr:uid="{F5D757E8-FA08-4132-AC59-747F5A0F27E7}"/>
    <cellStyle name="40% - Accent3 10 2 2 5" xfId="9478" xr:uid="{00000000-0005-0000-0000-00005A380000}"/>
    <cellStyle name="40% - Accent3 10 2 2 5 2" xfId="17436" xr:uid="{00000000-0005-0000-0000-00005B380000}"/>
    <cellStyle name="40% - Accent3 10 2 2 5 2 2" xfId="41276" xr:uid="{E625AFE7-6541-49DC-A2A4-87A265EA5968}"/>
    <cellStyle name="40% - Accent3 10 2 2 5 3" xfId="25380" xr:uid="{00000000-0005-0000-0000-00005C380000}"/>
    <cellStyle name="40% - Accent3 10 2 2 5 3 2" xfId="49212" xr:uid="{A03713F1-BB47-486D-806E-614395F32A19}"/>
    <cellStyle name="40% - Accent3 10 2 2 5 4" xfId="33335" xr:uid="{2EAC7D85-FDBD-47AF-B863-5E660D1C7FE1}"/>
    <cellStyle name="40% - Accent3 10 2 2 6" xfId="10374" xr:uid="{00000000-0005-0000-0000-00005D380000}"/>
    <cellStyle name="40% - Accent3 10 2 2 6 2" xfId="34223" xr:uid="{F6EB6D4C-E59B-46AE-B6AD-9713CCE94657}"/>
    <cellStyle name="40% - Accent3 10 2 2 7" xfId="18329" xr:uid="{00000000-0005-0000-0000-00005E380000}"/>
    <cellStyle name="40% - Accent3 10 2 2 7 2" xfId="42161" xr:uid="{76265628-1937-472D-9AA6-1851D1453CFA}"/>
    <cellStyle name="40% - Accent3 10 2 2 8" xfId="26281" xr:uid="{B5DA5BB1-2E8D-4A6E-AB0F-00D204B7B6AC}"/>
    <cellStyle name="40% - Accent3 10 2 2_Exh G" xfId="2928" xr:uid="{00000000-0005-0000-0000-00005F380000}"/>
    <cellStyle name="40% - Accent3 10 2 3" xfId="1457" xr:uid="{00000000-0005-0000-0000-000060380000}"/>
    <cellStyle name="40% - Accent3 10 2 3 2" xfId="4984" xr:uid="{00000000-0005-0000-0000-000061380000}"/>
    <cellStyle name="40% - Accent3 10 2 3 2 2" xfId="8575" xr:uid="{00000000-0005-0000-0000-000062380000}"/>
    <cellStyle name="40% - Accent3 10 2 3 2 2 2" xfId="16545" xr:uid="{00000000-0005-0000-0000-000063380000}"/>
    <cellStyle name="40% - Accent3 10 2 3 2 2 2 2" xfId="40387" xr:uid="{67C75F41-CF5D-4D5F-BC34-D13541E55A25}"/>
    <cellStyle name="40% - Accent3 10 2 3 2 2 3" xfId="24491" xr:uid="{00000000-0005-0000-0000-000064380000}"/>
    <cellStyle name="40% - Accent3 10 2 3 2 2 3 2" xfId="48323" xr:uid="{84EF1E45-C767-46C3-A850-FBD293714D47}"/>
    <cellStyle name="40% - Accent3 10 2 3 2 2 4" xfId="32446" xr:uid="{6B15F6C4-5E22-49D7-BB56-C3F3A63C144B}"/>
    <cellStyle name="40% - Accent3 10 2 3 2 3" xfId="13007" xr:uid="{00000000-0005-0000-0000-000065380000}"/>
    <cellStyle name="40% - Accent3 10 2 3 2 3 2" xfId="36856" xr:uid="{25F4567A-9DD1-429F-85D2-B1D4FC2F2CF5}"/>
    <cellStyle name="40% - Accent3 10 2 3 2 4" xfId="20962" xr:uid="{00000000-0005-0000-0000-000066380000}"/>
    <cellStyle name="40% - Accent3 10 2 3 2 4 2" xfId="44794" xr:uid="{B5C60053-7BA6-4B9A-B269-9ECE30D8AF52}"/>
    <cellStyle name="40% - Accent3 10 2 3 2 5" xfId="28915" xr:uid="{922D32B1-8C59-40EA-A2AA-005E9C9AA880}"/>
    <cellStyle name="40% - Accent3 10 2 3 3" xfId="6816" xr:uid="{00000000-0005-0000-0000-000067380000}"/>
    <cellStyle name="40% - Accent3 10 2 3 3 2" xfId="14787" xr:uid="{00000000-0005-0000-0000-000068380000}"/>
    <cellStyle name="40% - Accent3 10 2 3 3 2 2" xfId="38629" xr:uid="{9FD37FA0-46F7-4DB3-B3A0-A597DA15394B}"/>
    <cellStyle name="40% - Accent3 10 2 3 3 3" xfId="22734" xr:uid="{00000000-0005-0000-0000-000069380000}"/>
    <cellStyle name="40% - Accent3 10 2 3 3 3 2" xfId="46566" xr:uid="{0688A684-3870-46F9-A19C-82673019AF8B}"/>
    <cellStyle name="40% - Accent3 10 2 3 3 4" xfId="30688" xr:uid="{EE9A72E7-B372-45A0-B74A-A24C68E203F7}"/>
    <cellStyle name="40% - Accent3 10 2 3 4" xfId="11251" xr:uid="{00000000-0005-0000-0000-00006A380000}"/>
    <cellStyle name="40% - Accent3 10 2 3 4 2" xfId="35100" xr:uid="{84DE924A-F527-4637-A4B1-248E5FF10910}"/>
    <cellStyle name="40% - Accent3 10 2 3 5" xfId="19206" xr:uid="{00000000-0005-0000-0000-00006B380000}"/>
    <cellStyle name="40% - Accent3 10 2 3 5 2" xfId="43038" xr:uid="{58351DA0-0A4B-4E28-B477-2732B64F0128}"/>
    <cellStyle name="40% - Accent3 10 2 3 6" xfId="27158" xr:uid="{8276EF07-84B3-41FB-A8BD-698A876DA13D}"/>
    <cellStyle name="40% - Accent3 10 2 3_Exh G" xfId="2930" xr:uid="{00000000-0005-0000-0000-00006C380000}"/>
    <cellStyle name="40% - Accent3 10 2 4" xfId="4105" xr:uid="{00000000-0005-0000-0000-00006D380000}"/>
    <cellStyle name="40% - Accent3 10 2 4 2" xfId="7697" xr:uid="{00000000-0005-0000-0000-00006E380000}"/>
    <cellStyle name="40% - Accent3 10 2 4 2 2" xfId="15667" xr:uid="{00000000-0005-0000-0000-00006F380000}"/>
    <cellStyle name="40% - Accent3 10 2 4 2 2 2" xfId="39509" xr:uid="{66A61A3D-52A2-4ED1-A648-3D6303B16986}"/>
    <cellStyle name="40% - Accent3 10 2 4 2 3" xfId="23613" xr:uid="{00000000-0005-0000-0000-000070380000}"/>
    <cellStyle name="40% - Accent3 10 2 4 2 3 2" xfId="47445" xr:uid="{16D638F0-C546-41A3-996E-784E69425CBA}"/>
    <cellStyle name="40% - Accent3 10 2 4 2 4" xfId="31568" xr:uid="{3DB5626B-CD0E-45AD-849B-522CCE9DECB7}"/>
    <cellStyle name="40% - Accent3 10 2 4 3" xfId="12129" xr:uid="{00000000-0005-0000-0000-000071380000}"/>
    <cellStyle name="40% - Accent3 10 2 4 3 2" xfId="35978" xr:uid="{4F2FD807-A3CE-4500-8C80-2DC9E87C5BA5}"/>
    <cellStyle name="40% - Accent3 10 2 4 4" xfId="20084" xr:uid="{00000000-0005-0000-0000-000072380000}"/>
    <cellStyle name="40% - Accent3 10 2 4 4 2" xfId="43916" xr:uid="{B48392DA-3F3D-4681-9129-2D90A2D76A0C}"/>
    <cellStyle name="40% - Accent3 10 2 4 5" xfId="28037" xr:uid="{1A23CCF9-6515-4498-B676-9713CB7BAB64}"/>
    <cellStyle name="40% - Accent3 10 2 5" xfId="5925" xr:uid="{00000000-0005-0000-0000-000073380000}"/>
    <cellStyle name="40% - Accent3 10 2 5 2" xfId="13908" xr:uid="{00000000-0005-0000-0000-000074380000}"/>
    <cellStyle name="40% - Accent3 10 2 5 2 2" xfId="37751" xr:uid="{7985F66D-DCBC-45E8-8309-56FE0827E004}"/>
    <cellStyle name="40% - Accent3 10 2 5 3" xfId="21856" xr:uid="{00000000-0005-0000-0000-000075380000}"/>
    <cellStyle name="40% - Accent3 10 2 5 3 2" xfId="45688" xr:uid="{A32A415E-03CC-4EEA-8738-D701E5BBCBBF}"/>
    <cellStyle name="40% - Accent3 10 2 5 4" xfId="29810" xr:uid="{804503F3-5B5E-485C-97D5-6647BAB9959E}"/>
    <cellStyle name="40% - Accent3 10 2 6" xfId="9477" xr:uid="{00000000-0005-0000-0000-000076380000}"/>
    <cellStyle name="40% - Accent3 10 2 6 2" xfId="17435" xr:uid="{00000000-0005-0000-0000-000077380000}"/>
    <cellStyle name="40% - Accent3 10 2 6 2 2" xfId="41275" xr:uid="{FD228C64-EDF0-466E-938E-A34068666FDD}"/>
    <cellStyle name="40% - Accent3 10 2 6 3" xfId="25379" xr:uid="{00000000-0005-0000-0000-000078380000}"/>
    <cellStyle name="40% - Accent3 10 2 6 3 2" xfId="49211" xr:uid="{088BD30A-F8FD-4C06-93DD-1E639BB198A6}"/>
    <cellStyle name="40% - Accent3 10 2 6 4" xfId="33334" xr:uid="{73A9AF9E-7292-45FE-BAF9-91CAF8AFA342}"/>
    <cellStyle name="40% - Accent3 10 2 7" xfId="10373" xr:uid="{00000000-0005-0000-0000-000079380000}"/>
    <cellStyle name="40% - Accent3 10 2 7 2" xfId="34222" xr:uid="{AF50873E-6695-41F1-A900-FE7BA96E521D}"/>
    <cellStyle name="40% - Accent3 10 2 8" xfId="18328" xr:uid="{00000000-0005-0000-0000-00007A380000}"/>
    <cellStyle name="40% - Accent3 10 2 8 2" xfId="42160" xr:uid="{347D3231-3DD6-4ECA-BEE6-ACB2AB618C2D}"/>
    <cellStyle name="40% - Accent3 10 2 9" xfId="26280" xr:uid="{F65C36E8-EF32-4683-B2F2-5C0C10BF1857}"/>
    <cellStyle name="40% - Accent3 10 2_Exh G" xfId="2927" xr:uid="{00000000-0005-0000-0000-00007B380000}"/>
    <cellStyle name="40% - Accent3 10 3" xfId="433" xr:uid="{00000000-0005-0000-0000-00007C380000}"/>
    <cellStyle name="40% - Accent3 10 3 2" xfId="1459" xr:uid="{00000000-0005-0000-0000-00007D380000}"/>
    <cellStyle name="40% - Accent3 10 3 2 2" xfId="4986" xr:uid="{00000000-0005-0000-0000-00007E380000}"/>
    <cellStyle name="40% - Accent3 10 3 2 2 2" xfId="8577" xr:uid="{00000000-0005-0000-0000-00007F380000}"/>
    <cellStyle name="40% - Accent3 10 3 2 2 2 2" xfId="16547" xr:uid="{00000000-0005-0000-0000-000080380000}"/>
    <cellStyle name="40% - Accent3 10 3 2 2 2 2 2" xfId="40389" xr:uid="{7CBF3352-1812-4B51-A510-FAA3FFF999DC}"/>
    <cellStyle name="40% - Accent3 10 3 2 2 2 3" xfId="24493" xr:uid="{00000000-0005-0000-0000-000081380000}"/>
    <cellStyle name="40% - Accent3 10 3 2 2 2 3 2" xfId="48325" xr:uid="{F6E650E8-2C45-4B05-9A54-8C3C198E1640}"/>
    <cellStyle name="40% - Accent3 10 3 2 2 2 4" xfId="32448" xr:uid="{3E03B960-75D8-4E33-8F4F-9CB8B1B70ADF}"/>
    <cellStyle name="40% - Accent3 10 3 2 2 3" xfId="13009" xr:uid="{00000000-0005-0000-0000-000082380000}"/>
    <cellStyle name="40% - Accent3 10 3 2 2 3 2" xfId="36858" xr:uid="{60125317-CE1A-468C-999D-091E358F65BF}"/>
    <cellStyle name="40% - Accent3 10 3 2 2 4" xfId="20964" xr:uid="{00000000-0005-0000-0000-000083380000}"/>
    <cellStyle name="40% - Accent3 10 3 2 2 4 2" xfId="44796" xr:uid="{D94F06A1-0FDF-4265-9A41-81F1A5437831}"/>
    <cellStyle name="40% - Accent3 10 3 2 2 5" xfId="28917" xr:uid="{E40BB5FB-A31B-4026-A3C4-2C33AEF72108}"/>
    <cellStyle name="40% - Accent3 10 3 2 3" xfId="6818" xr:uid="{00000000-0005-0000-0000-000084380000}"/>
    <cellStyle name="40% - Accent3 10 3 2 3 2" xfId="14789" xr:uid="{00000000-0005-0000-0000-000085380000}"/>
    <cellStyle name="40% - Accent3 10 3 2 3 2 2" xfId="38631" xr:uid="{B284695C-B384-48E0-BB99-3D5F38CFDD17}"/>
    <cellStyle name="40% - Accent3 10 3 2 3 3" xfId="22736" xr:uid="{00000000-0005-0000-0000-000086380000}"/>
    <cellStyle name="40% - Accent3 10 3 2 3 3 2" xfId="46568" xr:uid="{5CB2E02D-276C-4742-8003-0B9C8D80642B}"/>
    <cellStyle name="40% - Accent3 10 3 2 3 4" xfId="30690" xr:uid="{86DC389C-951B-4144-BBB7-A794CDCAC4AA}"/>
    <cellStyle name="40% - Accent3 10 3 2 4" xfId="11253" xr:uid="{00000000-0005-0000-0000-000087380000}"/>
    <cellStyle name="40% - Accent3 10 3 2 4 2" xfId="35102" xr:uid="{A8622CA6-6607-4B34-8C4B-B4BF71CFAA23}"/>
    <cellStyle name="40% - Accent3 10 3 2 5" xfId="19208" xr:uid="{00000000-0005-0000-0000-000088380000}"/>
    <cellStyle name="40% - Accent3 10 3 2 5 2" xfId="43040" xr:uid="{6C846587-00D9-430A-AFE1-9EF6FCA473C9}"/>
    <cellStyle name="40% - Accent3 10 3 2 6" xfId="27160" xr:uid="{62342D30-BA6E-40DB-975E-094393D498A2}"/>
    <cellStyle name="40% - Accent3 10 3 2_Exh G" xfId="2932" xr:uid="{00000000-0005-0000-0000-000089380000}"/>
    <cellStyle name="40% - Accent3 10 3 3" xfId="4107" xr:uid="{00000000-0005-0000-0000-00008A380000}"/>
    <cellStyle name="40% - Accent3 10 3 3 2" xfId="7699" xr:uid="{00000000-0005-0000-0000-00008B380000}"/>
    <cellStyle name="40% - Accent3 10 3 3 2 2" xfId="15669" xr:uid="{00000000-0005-0000-0000-00008C380000}"/>
    <cellStyle name="40% - Accent3 10 3 3 2 2 2" xfId="39511" xr:uid="{E594CA9E-19D5-438A-8972-DCE25D9C7F98}"/>
    <cellStyle name="40% - Accent3 10 3 3 2 3" xfId="23615" xr:uid="{00000000-0005-0000-0000-00008D380000}"/>
    <cellStyle name="40% - Accent3 10 3 3 2 3 2" xfId="47447" xr:uid="{337E24D0-3B15-4474-AEB0-6B14F8F7BD9D}"/>
    <cellStyle name="40% - Accent3 10 3 3 2 4" xfId="31570" xr:uid="{4D372761-8712-46CC-9618-72B043B06DE6}"/>
    <cellStyle name="40% - Accent3 10 3 3 3" xfId="12131" xr:uid="{00000000-0005-0000-0000-00008E380000}"/>
    <cellStyle name="40% - Accent3 10 3 3 3 2" xfId="35980" xr:uid="{248422C4-BB54-48B3-A5AC-F30C1180A30F}"/>
    <cellStyle name="40% - Accent3 10 3 3 4" xfId="20086" xr:uid="{00000000-0005-0000-0000-00008F380000}"/>
    <cellStyle name="40% - Accent3 10 3 3 4 2" xfId="43918" xr:uid="{6DE92F73-860C-473B-8931-3FD98D93FA01}"/>
    <cellStyle name="40% - Accent3 10 3 3 5" xfId="28039" xr:uid="{FA297A70-201F-4760-9CD6-A9E7654F2340}"/>
    <cellStyle name="40% - Accent3 10 3 4" xfId="5927" xr:uid="{00000000-0005-0000-0000-000090380000}"/>
    <cellStyle name="40% - Accent3 10 3 4 2" xfId="13910" xr:uid="{00000000-0005-0000-0000-000091380000}"/>
    <cellStyle name="40% - Accent3 10 3 4 2 2" xfId="37753" xr:uid="{D0E667E1-ECB1-4C7C-93B1-778108907DE0}"/>
    <cellStyle name="40% - Accent3 10 3 4 3" xfId="21858" xr:uid="{00000000-0005-0000-0000-000092380000}"/>
    <cellStyle name="40% - Accent3 10 3 4 3 2" xfId="45690" xr:uid="{029BEFBE-0D43-47C6-84D9-FE1680F1D3A7}"/>
    <cellStyle name="40% - Accent3 10 3 4 4" xfId="29812" xr:uid="{572A82EB-A3E6-4444-8DD9-7D79F2AC5999}"/>
    <cellStyle name="40% - Accent3 10 3 5" xfId="9479" xr:uid="{00000000-0005-0000-0000-000093380000}"/>
    <cellStyle name="40% - Accent3 10 3 5 2" xfId="17437" xr:uid="{00000000-0005-0000-0000-000094380000}"/>
    <cellStyle name="40% - Accent3 10 3 5 2 2" xfId="41277" xr:uid="{003E2AD7-DCC0-411A-B14D-B3E15AF51825}"/>
    <cellStyle name="40% - Accent3 10 3 5 3" xfId="25381" xr:uid="{00000000-0005-0000-0000-000095380000}"/>
    <cellStyle name="40% - Accent3 10 3 5 3 2" xfId="49213" xr:uid="{478A9ABB-4F1C-4400-9478-A25C4A0B5C56}"/>
    <cellStyle name="40% - Accent3 10 3 5 4" xfId="33336" xr:uid="{679CA8AD-433D-4A67-A1DD-B0021967EE4B}"/>
    <cellStyle name="40% - Accent3 10 3 6" xfId="10375" xr:uid="{00000000-0005-0000-0000-000096380000}"/>
    <cellStyle name="40% - Accent3 10 3 6 2" xfId="34224" xr:uid="{2EB6B681-B278-4328-86C3-EF9028C1547D}"/>
    <cellStyle name="40% - Accent3 10 3 7" xfId="18330" xr:uid="{00000000-0005-0000-0000-000097380000}"/>
    <cellStyle name="40% - Accent3 10 3 7 2" xfId="42162" xr:uid="{492307DA-A0E6-4B2C-9B66-006D977B5C46}"/>
    <cellStyle name="40% - Accent3 10 3 8" xfId="26282" xr:uid="{5D556E8E-8959-413F-A7AF-CC47994571CB}"/>
    <cellStyle name="40% - Accent3 10 3_Exh G" xfId="2931" xr:uid="{00000000-0005-0000-0000-000098380000}"/>
    <cellStyle name="40% - Accent3 10 4" xfId="955" xr:uid="{00000000-0005-0000-0000-000099380000}"/>
    <cellStyle name="40% - Accent3 10 5" xfId="1456" xr:uid="{00000000-0005-0000-0000-00009A380000}"/>
    <cellStyle name="40% - Accent3 10 5 2" xfId="4983" xr:uid="{00000000-0005-0000-0000-00009B380000}"/>
    <cellStyle name="40% - Accent3 10 5 2 2" xfId="8574" xr:uid="{00000000-0005-0000-0000-00009C380000}"/>
    <cellStyle name="40% - Accent3 10 5 2 2 2" xfId="16544" xr:uid="{00000000-0005-0000-0000-00009D380000}"/>
    <cellStyle name="40% - Accent3 10 5 2 2 2 2" xfId="40386" xr:uid="{57CF7236-C52C-4116-AD2B-A740996AC313}"/>
    <cellStyle name="40% - Accent3 10 5 2 2 3" xfId="24490" xr:uid="{00000000-0005-0000-0000-00009E380000}"/>
    <cellStyle name="40% - Accent3 10 5 2 2 3 2" xfId="48322" xr:uid="{710CA8F1-2F65-456F-8861-7F56EE9223A2}"/>
    <cellStyle name="40% - Accent3 10 5 2 2 4" xfId="32445" xr:uid="{92ECF40B-78C8-472C-A463-256868206ABD}"/>
    <cellStyle name="40% - Accent3 10 5 2 3" xfId="13006" xr:uid="{00000000-0005-0000-0000-00009F380000}"/>
    <cellStyle name="40% - Accent3 10 5 2 3 2" xfId="36855" xr:uid="{FAA50A9D-5DB3-4618-91DD-9116B5886629}"/>
    <cellStyle name="40% - Accent3 10 5 2 4" xfId="20961" xr:uid="{00000000-0005-0000-0000-0000A0380000}"/>
    <cellStyle name="40% - Accent3 10 5 2 4 2" xfId="44793" xr:uid="{0CA7B6D4-DB24-41D8-8C41-75B77392DC87}"/>
    <cellStyle name="40% - Accent3 10 5 2 5" xfId="28914" xr:uid="{3CE86311-98C7-4F85-9D64-236EECF6340B}"/>
    <cellStyle name="40% - Accent3 10 5 3" xfId="6815" xr:uid="{00000000-0005-0000-0000-0000A1380000}"/>
    <cellStyle name="40% - Accent3 10 5 3 2" xfId="14786" xr:uid="{00000000-0005-0000-0000-0000A2380000}"/>
    <cellStyle name="40% - Accent3 10 5 3 2 2" xfId="38628" xr:uid="{E34BC18E-6798-42B8-A29F-264CCB86014D}"/>
    <cellStyle name="40% - Accent3 10 5 3 3" xfId="22733" xr:uid="{00000000-0005-0000-0000-0000A3380000}"/>
    <cellStyle name="40% - Accent3 10 5 3 3 2" xfId="46565" xr:uid="{7B2D2981-2526-4157-AFF3-52D33A681628}"/>
    <cellStyle name="40% - Accent3 10 5 3 4" xfId="30687" xr:uid="{EEB5EC87-28E5-4133-8509-7936AC7D95C9}"/>
    <cellStyle name="40% - Accent3 10 5 4" xfId="11250" xr:uid="{00000000-0005-0000-0000-0000A4380000}"/>
    <cellStyle name="40% - Accent3 10 5 4 2" xfId="35099" xr:uid="{CD0DB8F3-7BAA-4EEB-A112-7402E4F91F11}"/>
    <cellStyle name="40% - Accent3 10 5 5" xfId="19205" xr:uid="{00000000-0005-0000-0000-0000A5380000}"/>
    <cellStyle name="40% - Accent3 10 5 5 2" xfId="43037" xr:uid="{9413FE93-0D7C-4DD2-B1F5-9D8DFAB0EADF}"/>
    <cellStyle name="40% - Accent3 10 5 6" xfId="27157" xr:uid="{A8A508A4-FA45-4C0B-83A0-F37A985B15E1}"/>
    <cellStyle name="40% - Accent3 10 5_Exh G" xfId="2933" xr:uid="{00000000-0005-0000-0000-0000A6380000}"/>
    <cellStyle name="40% - Accent3 10 6" xfId="4104" xr:uid="{00000000-0005-0000-0000-0000A7380000}"/>
    <cellStyle name="40% - Accent3 10 6 2" xfId="7696" xr:uid="{00000000-0005-0000-0000-0000A8380000}"/>
    <cellStyle name="40% - Accent3 10 6 2 2" xfId="15666" xr:uid="{00000000-0005-0000-0000-0000A9380000}"/>
    <cellStyle name="40% - Accent3 10 6 2 2 2" xfId="39508" xr:uid="{22EDDD45-9990-4602-99E3-58175A1AACDD}"/>
    <cellStyle name="40% - Accent3 10 6 2 3" xfId="23612" xr:uid="{00000000-0005-0000-0000-0000AA380000}"/>
    <cellStyle name="40% - Accent3 10 6 2 3 2" xfId="47444" xr:uid="{627A2A13-FF4C-44C0-9818-7BF63B452079}"/>
    <cellStyle name="40% - Accent3 10 6 2 4" xfId="31567" xr:uid="{EC7EF4B0-6F00-4B32-BF3F-862CAEB5BE21}"/>
    <cellStyle name="40% - Accent3 10 6 3" xfId="12128" xr:uid="{00000000-0005-0000-0000-0000AB380000}"/>
    <cellStyle name="40% - Accent3 10 6 3 2" xfId="35977" xr:uid="{F7D1DEDF-ECA7-4C68-8675-4970AF887DB2}"/>
    <cellStyle name="40% - Accent3 10 6 4" xfId="20083" xr:uid="{00000000-0005-0000-0000-0000AC380000}"/>
    <cellStyle name="40% - Accent3 10 6 4 2" xfId="43915" xr:uid="{0CA7035D-C1C3-4B39-8E5A-DF3A6A00ADEC}"/>
    <cellStyle name="40% - Accent3 10 6 5" xfId="28036" xr:uid="{6B743942-CF46-4A19-AABA-68D1AB26F2D0}"/>
    <cellStyle name="40% - Accent3 10 7" xfId="5924" xr:uid="{00000000-0005-0000-0000-0000AD380000}"/>
    <cellStyle name="40% - Accent3 10 7 2" xfId="13907" xr:uid="{00000000-0005-0000-0000-0000AE380000}"/>
    <cellStyle name="40% - Accent3 10 7 2 2" xfId="37750" xr:uid="{9DE25303-D850-4FFC-AEE5-9E1A7767DCFA}"/>
    <cellStyle name="40% - Accent3 10 7 3" xfId="21855" xr:uid="{00000000-0005-0000-0000-0000AF380000}"/>
    <cellStyle name="40% - Accent3 10 7 3 2" xfId="45687" xr:uid="{4E993591-69AD-46A3-A8CF-7282729E5591}"/>
    <cellStyle name="40% - Accent3 10 7 4" xfId="29809" xr:uid="{57811158-C316-40B4-83CB-3D3E2D990143}"/>
    <cellStyle name="40% - Accent3 10 8" xfId="9476" xr:uid="{00000000-0005-0000-0000-0000B0380000}"/>
    <cellStyle name="40% - Accent3 10 8 2" xfId="17434" xr:uid="{00000000-0005-0000-0000-0000B1380000}"/>
    <cellStyle name="40% - Accent3 10 8 2 2" xfId="41274" xr:uid="{6BBAA99D-C26A-4994-A7C7-17D70B1BAEC6}"/>
    <cellStyle name="40% - Accent3 10 8 3" xfId="25378" xr:uid="{00000000-0005-0000-0000-0000B2380000}"/>
    <cellStyle name="40% - Accent3 10 8 3 2" xfId="49210" xr:uid="{7BAA4C92-A62C-40E5-96C1-932654397E29}"/>
    <cellStyle name="40% - Accent3 10 8 4" xfId="33333" xr:uid="{942B01AD-C54D-4410-AD40-9B788B8083C2}"/>
    <cellStyle name="40% - Accent3 10 9" xfId="10372" xr:uid="{00000000-0005-0000-0000-0000B3380000}"/>
    <cellStyle name="40% - Accent3 10 9 2" xfId="34221" xr:uid="{F4FB3A4B-5865-4361-B659-7E66520C4CA1}"/>
    <cellStyle name="40% - Accent3 10_Exh G" xfId="2926" xr:uid="{00000000-0005-0000-0000-0000B4380000}"/>
    <cellStyle name="40% - Accent3 11" xfId="434" xr:uid="{00000000-0005-0000-0000-0000B5380000}"/>
    <cellStyle name="40% - Accent3 11 10" xfId="26283" xr:uid="{8F5055ED-DD13-4687-A390-BC148DC9BBBF}"/>
    <cellStyle name="40% - Accent3 11 2" xfId="435" xr:uid="{00000000-0005-0000-0000-0000B6380000}"/>
    <cellStyle name="40% - Accent3 11 2 2" xfId="436" xr:uid="{00000000-0005-0000-0000-0000B7380000}"/>
    <cellStyle name="40% - Accent3 11 2 2 2" xfId="1462" xr:uid="{00000000-0005-0000-0000-0000B8380000}"/>
    <cellStyle name="40% - Accent3 11 2 2 2 2" xfId="4989" xr:uid="{00000000-0005-0000-0000-0000B9380000}"/>
    <cellStyle name="40% - Accent3 11 2 2 2 2 2" xfId="8580" xr:uid="{00000000-0005-0000-0000-0000BA380000}"/>
    <cellStyle name="40% - Accent3 11 2 2 2 2 2 2" xfId="16550" xr:uid="{00000000-0005-0000-0000-0000BB380000}"/>
    <cellStyle name="40% - Accent3 11 2 2 2 2 2 2 2" xfId="40392" xr:uid="{40763EC8-81EC-4482-A071-81A1D83D1F59}"/>
    <cellStyle name="40% - Accent3 11 2 2 2 2 2 3" xfId="24496" xr:uid="{00000000-0005-0000-0000-0000BC380000}"/>
    <cellStyle name="40% - Accent3 11 2 2 2 2 2 3 2" xfId="48328" xr:uid="{8DD30D96-002A-49D5-9CD9-9592164E91D8}"/>
    <cellStyle name="40% - Accent3 11 2 2 2 2 2 4" xfId="32451" xr:uid="{2384EE59-06FA-41C2-BBD5-9D5F35DFFBA6}"/>
    <cellStyle name="40% - Accent3 11 2 2 2 2 3" xfId="13012" xr:uid="{00000000-0005-0000-0000-0000BD380000}"/>
    <cellStyle name="40% - Accent3 11 2 2 2 2 3 2" xfId="36861" xr:uid="{F5FD0C82-FB74-4517-9EE1-481219644F67}"/>
    <cellStyle name="40% - Accent3 11 2 2 2 2 4" xfId="20967" xr:uid="{00000000-0005-0000-0000-0000BE380000}"/>
    <cellStyle name="40% - Accent3 11 2 2 2 2 4 2" xfId="44799" xr:uid="{A48C8847-82FC-4728-AE89-9447F4EAF998}"/>
    <cellStyle name="40% - Accent3 11 2 2 2 2 5" xfId="28920" xr:uid="{25BF4C8B-5B70-4B91-BF3D-1E66ABB24A1A}"/>
    <cellStyle name="40% - Accent3 11 2 2 2 3" xfId="6821" xr:uid="{00000000-0005-0000-0000-0000BF380000}"/>
    <cellStyle name="40% - Accent3 11 2 2 2 3 2" xfId="14792" xr:uid="{00000000-0005-0000-0000-0000C0380000}"/>
    <cellStyle name="40% - Accent3 11 2 2 2 3 2 2" xfId="38634" xr:uid="{A09EE429-8FA6-43E5-BE42-742DCD344DDD}"/>
    <cellStyle name="40% - Accent3 11 2 2 2 3 3" xfId="22739" xr:uid="{00000000-0005-0000-0000-0000C1380000}"/>
    <cellStyle name="40% - Accent3 11 2 2 2 3 3 2" xfId="46571" xr:uid="{7ADCF931-99A0-45D4-974C-E7437BC91225}"/>
    <cellStyle name="40% - Accent3 11 2 2 2 3 4" xfId="30693" xr:uid="{302AC81F-A427-466B-B6DF-08DBAAF0CF56}"/>
    <cellStyle name="40% - Accent3 11 2 2 2 4" xfId="11256" xr:uid="{00000000-0005-0000-0000-0000C2380000}"/>
    <cellStyle name="40% - Accent3 11 2 2 2 4 2" xfId="35105" xr:uid="{1CB6CBA2-B1F5-4F31-BD7D-683680834177}"/>
    <cellStyle name="40% - Accent3 11 2 2 2 5" xfId="19211" xr:uid="{00000000-0005-0000-0000-0000C3380000}"/>
    <cellStyle name="40% - Accent3 11 2 2 2 5 2" xfId="43043" xr:uid="{3803AAE6-DD49-44ED-A590-DDCB3C334563}"/>
    <cellStyle name="40% - Accent3 11 2 2 2 6" xfId="27163" xr:uid="{D63D38DA-38E9-48AC-A191-E89B4785EB75}"/>
    <cellStyle name="40% - Accent3 11 2 2 2_Exh G" xfId="2937" xr:uid="{00000000-0005-0000-0000-0000C4380000}"/>
    <cellStyle name="40% - Accent3 11 2 2 3" xfId="4110" xr:uid="{00000000-0005-0000-0000-0000C5380000}"/>
    <cellStyle name="40% - Accent3 11 2 2 3 2" xfId="7702" xr:uid="{00000000-0005-0000-0000-0000C6380000}"/>
    <cellStyle name="40% - Accent3 11 2 2 3 2 2" xfId="15672" xr:uid="{00000000-0005-0000-0000-0000C7380000}"/>
    <cellStyle name="40% - Accent3 11 2 2 3 2 2 2" xfId="39514" xr:uid="{E7C4C7EE-BC8B-49D8-BAAD-540353C9A63D}"/>
    <cellStyle name="40% - Accent3 11 2 2 3 2 3" xfId="23618" xr:uid="{00000000-0005-0000-0000-0000C8380000}"/>
    <cellStyle name="40% - Accent3 11 2 2 3 2 3 2" xfId="47450" xr:uid="{D814541F-D38B-440A-894E-A4EDCCD048CA}"/>
    <cellStyle name="40% - Accent3 11 2 2 3 2 4" xfId="31573" xr:uid="{25332F0F-D894-4F6C-88D4-AA5984DBCA69}"/>
    <cellStyle name="40% - Accent3 11 2 2 3 3" xfId="12134" xr:uid="{00000000-0005-0000-0000-0000C9380000}"/>
    <cellStyle name="40% - Accent3 11 2 2 3 3 2" xfId="35983" xr:uid="{2CB9E787-0B73-4F52-931D-74402B3F7BFB}"/>
    <cellStyle name="40% - Accent3 11 2 2 3 4" xfId="20089" xr:uid="{00000000-0005-0000-0000-0000CA380000}"/>
    <cellStyle name="40% - Accent3 11 2 2 3 4 2" xfId="43921" xr:uid="{3DFBFCF9-0A6A-4B26-95CA-6284029300D9}"/>
    <cellStyle name="40% - Accent3 11 2 2 3 5" xfId="28042" xr:uid="{29B73428-76E3-4598-8AEF-C41E85A93CE9}"/>
    <cellStyle name="40% - Accent3 11 2 2 4" xfId="5930" xr:uid="{00000000-0005-0000-0000-0000CB380000}"/>
    <cellStyle name="40% - Accent3 11 2 2 4 2" xfId="13913" xr:uid="{00000000-0005-0000-0000-0000CC380000}"/>
    <cellStyle name="40% - Accent3 11 2 2 4 2 2" xfId="37756" xr:uid="{7B4A6E72-355B-413E-BD4E-381F371F9C6D}"/>
    <cellStyle name="40% - Accent3 11 2 2 4 3" xfId="21861" xr:uid="{00000000-0005-0000-0000-0000CD380000}"/>
    <cellStyle name="40% - Accent3 11 2 2 4 3 2" xfId="45693" xr:uid="{A34D1EF0-3DB1-41D1-ABD6-B3FCC14281B7}"/>
    <cellStyle name="40% - Accent3 11 2 2 4 4" xfId="29815" xr:uid="{5A64A901-0F26-4B40-A945-1D8C96BF6EF0}"/>
    <cellStyle name="40% - Accent3 11 2 2 5" xfId="9482" xr:uid="{00000000-0005-0000-0000-0000CE380000}"/>
    <cellStyle name="40% - Accent3 11 2 2 5 2" xfId="17440" xr:uid="{00000000-0005-0000-0000-0000CF380000}"/>
    <cellStyle name="40% - Accent3 11 2 2 5 2 2" xfId="41280" xr:uid="{350A71AD-E72E-408F-9CD2-8A459D143D72}"/>
    <cellStyle name="40% - Accent3 11 2 2 5 3" xfId="25384" xr:uid="{00000000-0005-0000-0000-0000D0380000}"/>
    <cellStyle name="40% - Accent3 11 2 2 5 3 2" xfId="49216" xr:uid="{37C370B5-6B71-4328-8FB1-45059FD08D81}"/>
    <cellStyle name="40% - Accent3 11 2 2 5 4" xfId="33339" xr:uid="{772216DB-2AB2-42D3-B1A1-91C47EB0CEC5}"/>
    <cellStyle name="40% - Accent3 11 2 2 6" xfId="10378" xr:uid="{00000000-0005-0000-0000-0000D1380000}"/>
    <cellStyle name="40% - Accent3 11 2 2 6 2" xfId="34227" xr:uid="{AF2B092E-7EF2-4DA7-B7A1-5E816514F928}"/>
    <cellStyle name="40% - Accent3 11 2 2 7" xfId="18333" xr:uid="{00000000-0005-0000-0000-0000D2380000}"/>
    <cellStyle name="40% - Accent3 11 2 2 7 2" xfId="42165" xr:uid="{09759246-EAA5-4E14-B925-0D1DBFD90654}"/>
    <cellStyle name="40% - Accent3 11 2 2 8" xfId="26285" xr:uid="{13C75EB2-F282-4401-9339-984B7DFC822C}"/>
    <cellStyle name="40% - Accent3 11 2 2_Exh G" xfId="2936" xr:uid="{00000000-0005-0000-0000-0000D3380000}"/>
    <cellStyle name="40% - Accent3 11 2 3" xfId="1461" xr:uid="{00000000-0005-0000-0000-0000D4380000}"/>
    <cellStyle name="40% - Accent3 11 2 3 2" xfId="4988" xr:uid="{00000000-0005-0000-0000-0000D5380000}"/>
    <cellStyle name="40% - Accent3 11 2 3 2 2" xfId="8579" xr:uid="{00000000-0005-0000-0000-0000D6380000}"/>
    <cellStyle name="40% - Accent3 11 2 3 2 2 2" xfId="16549" xr:uid="{00000000-0005-0000-0000-0000D7380000}"/>
    <cellStyle name="40% - Accent3 11 2 3 2 2 2 2" xfId="40391" xr:uid="{6752436D-C1A1-47A3-8604-41A3322EAAAF}"/>
    <cellStyle name="40% - Accent3 11 2 3 2 2 3" xfId="24495" xr:uid="{00000000-0005-0000-0000-0000D8380000}"/>
    <cellStyle name="40% - Accent3 11 2 3 2 2 3 2" xfId="48327" xr:uid="{C711F6FD-661D-4406-A818-79D48C62ADA3}"/>
    <cellStyle name="40% - Accent3 11 2 3 2 2 4" xfId="32450" xr:uid="{E648DF9B-F0F4-407A-9AC5-A56BA159523A}"/>
    <cellStyle name="40% - Accent3 11 2 3 2 3" xfId="13011" xr:uid="{00000000-0005-0000-0000-0000D9380000}"/>
    <cellStyle name="40% - Accent3 11 2 3 2 3 2" xfId="36860" xr:uid="{3E6F95E6-EEB3-4347-883E-64BB8F1B0617}"/>
    <cellStyle name="40% - Accent3 11 2 3 2 4" xfId="20966" xr:uid="{00000000-0005-0000-0000-0000DA380000}"/>
    <cellStyle name="40% - Accent3 11 2 3 2 4 2" xfId="44798" xr:uid="{9A507236-BCF2-4416-8735-E1BC70616B54}"/>
    <cellStyle name="40% - Accent3 11 2 3 2 5" xfId="28919" xr:uid="{2F6044A9-6550-4C0D-89C6-278AF9FE7688}"/>
    <cellStyle name="40% - Accent3 11 2 3 3" xfId="6820" xr:uid="{00000000-0005-0000-0000-0000DB380000}"/>
    <cellStyle name="40% - Accent3 11 2 3 3 2" xfId="14791" xr:uid="{00000000-0005-0000-0000-0000DC380000}"/>
    <cellStyle name="40% - Accent3 11 2 3 3 2 2" xfId="38633" xr:uid="{536B4A12-CF59-4E9D-A898-F494C987BEEE}"/>
    <cellStyle name="40% - Accent3 11 2 3 3 3" xfId="22738" xr:uid="{00000000-0005-0000-0000-0000DD380000}"/>
    <cellStyle name="40% - Accent3 11 2 3 3 3 2" xfId="46570" xr:uid="{0EA0C4AD-C023-40E4-B8EC-A9E1524BC493}"/>
    <cellStyle name="40% - Accent3 11 2 3 3 4" xfId="30692" xr:uid="{94B5F2A5-614F-48BF-9905-0DC4B1A47786}"/>
    <cellStyle name="40% - Accent3 11 2 3 4" xfId="11255" xr:uid="{00000000-0005-0000-0000-0000DE380000}"/>
    <cellStyle name="40% - Accent3 11 2 3 4 2" xfId="35104" xr:uid="{750F56FC-08F8-47F6-A971-AC8BCA034096}"/>
    <cellStyle name="40% - Accent3 11 2 3 5" xfId="19210" xr:uid="{00000000-0005-0000-0000-0000DF380000}"/>
    <cellStyle name="40% - Accent3 11 2 3 5 2" xfId="43042" xr:uid="{321A63C9-414E-4605-ADBB-EC91054DECB8}"/>
    <cellStyle name="40% - Accent3 11 2 3 6" xfId="27162" xr:uid="{4AA82CF9-D8C8-46D4-BC2C-D0ABD27DF618}"/>
    <cellStyle name="40% - Accent3 11 2 3_Exh G" xfId="2938" xr:uid="{00000000-0005-0000-0000-0000E0380000}"/>
    <cellStyle name="40% - Accent3 11 2 4" xfId="4109" xr:uid="{00000000-0005-0000-0000-0000E1380000}"/>
    <cellStyle name="40% - Accent3 11 2 4 2" xfId="7701" xr:uid="{00000000-0005-0000-0000-0000E2380000}"/>
    <cellStyle name="40% - Accent3 11 2 4 2 2" xfId="15671" xr:uid="{00000000-0005-0000-0000-0000E3380000}"/>
    <cellStyle name="40% - Accent3 11 2 4 2 2 2" xfId="39513" xr:uid="{2005AB95-4A3D-44C5-A537-499F584E98A7}"/>
    <cellStyle name="40% - Accent3 11 2 4 2 3" xfId="23617" xr:uid="{00000000-0005-0000-0000-0000E4380000}"/>
    <cellStyle name="40% - Accent3 11 2 4 2 3 2" xfId="47449" xr:uid="{88C18D3A-097A-488A-BCB4-F54A61F2B8D0}"/>
    <cellStyle name="40% - Accent3 11 2 4 2 4" xfId="31572" xr:uid="{7D4E0D5B-5F90-4A1D-95A0-2A1E3AB37243}"/>
    <cellStyle name="40% - Accent3 11 2 4 3" xfId="12133" xr:uid="{00000000-0005-0000-0000-0000E5380000}"/>
    <cellStyle name="40% - Accent3 11 2 4 3 2" xfId="35982" xr:uid="{14178B1D-F80D-4579-988C-8AC72E54BCF1}"/>
    <cellStyle name="40% - Accent3 11 2 4 4" xfId="20088" xr:uid="{00000000-0005-0000-0000-0000E6380000}"/>
    <cellStyle name="40% - Accent3 11 2 4 4 2" xfId="43920" xr:uid="{BE3C46B3-5E4E-4102-ADCB-B4326559894A}"/>
    <cellStyle name="40% - Accent3 11 2 4 5" xfId="28041" xr:uid="{8F4B148B-F681-4FA4-86F4-416BB5558CE8}"/>
    <cellStyle name="40% - Accent3 11 2 5" xfId="5929" xr:uid="{00000000-0005-0000-0000-0000E7380000}"/>
    <cellStyle name="40% - Accent3 11 2 5 2" xfId="13912" xr:uid="{00000000-0005-0000-0000-0000E8380000}"/>
    <cellStyle name="40% - Accent3 11 2 5 2 2" xfId="37755" xr:uid="{1C4372FD-8C11-4458-ADF3-4CFAF68BB87B}"/>
    <cellStyle name="40% - Accent3 11 2 5 3" xfId="21860" xr:uid="{00000000-0005-0000-0000-0000E9380000}"/>
    <cellStyle name="40% - Accent3 11 2 5 3 2" xfId="45692" xr:uid="{F79211D0-55E6-49DF-A612-398B413DE6E7}"/>
    <cellStyle name="40% - Accent3 11 2 5 4" xfId="29814" xr:uid="{5A6860B3-75EB-4CE0-8822-58F8D5AD79A7}"/>
    <cellStyle name="40% - Accent3 11 2 6" xfId="9481" xr:uid="{00000000-0005-0000-0000-0000EA380000}"/>
    <cellStyle name="40% - Accent3 11 2 6 2" xfId="17439" xr:uid="{00000000-0005-0000-0000-0000EB380000}"/>
    <cellStyle name="40% - Accent3 11 2 6 2 2" xfId="41279" xr:uid="{8FF46466-E96F-4ABD-83C5-86ACF79ADBCB}"/>
    <cellStyle name="40% - Accent3 11 2 6 3" xfId="25383" xr:uid="{00000000-0005-0000-0000-0000EC380000}"/>
    <cellStyle name="40% - Accent3 11 2 6 3 2" xfId="49215" xr:uid="{24FC201F-C163-4556-9E0C-D0ABEAC2695B}"/>
    <cellStyle name="40% - Accent3 11 2 6 4" xfId="33338" xr:uid="{4BC5800E-219B-4C31-8CF2-1F85987B7C83}"/>
    <cellStyle name="40% - Accent3 11 2 7" xfId="10377" xr:uid="{00000000-0005-0000-0000-0000ED380000}"/>
    <cellStyle name="40% - Accent3 11 2 7 2" xfId="34226" xr:uid="{82EEA6BB-344F-4F8B-8DD7-6818AEFE357B}"/>
    <cellStyle name="40% - Accent3 11 2 8" xfId="18332" xr:uid="{00000000-0005-0000-0000-0000EE380000}"/>
    <cellStyle name="40% - Accent3 11 2 8 2" xfId="42164" xr:uid="{A18AD9A0-0D02-4B0F-8C70-39EFDAD768C8}"/>
    <cellStyle name="40% - Accent3 11 2 9" xfId="26284" xr:uid="{7A6A4971-7B57-4DC7-BD62-900658D9F806}"/>
    <cellStyle name="40% - Accent3 11 2_Exh G" xfId="2935" xr:uid="{00000000-0005-0000-0000-0000EF380000}"/>
    <cellStyle name="40% - Accent3 11 3" xfId="437" xr:uid="{00000000-0005-0000-0000-0000F0380000}"/>
    <cellStyle name="40% - Accent3 11 3 2" xfId="1463" xr:uid="{00000000-0005-0000-0000-0000F1380000}"/>
    <cellStyle name="40% - Accent3 11 3 2 2" xfId="4990" xr:uid="{00000000-0005-0000-0000-0000F2380000}"/>
    <cellStyle name="40% - Accent3 11 3 2 2 2" xfId="8581" xr:uid="{00000000-0005-0000-0000-0000F3380000}"/>
    <cellStyle name="40% - Accent3 11 3 2 2 2 2" xfId="16551" xr:uid="{00000000-0005-0000-0000-0000F4380000}"/>
    <cellStyle name="40% - Accent3 11 3 2 2 2 2 2" xfId="40393" xr:uid="{BE05F68D-FA96-477D-BE49-6C619173E8F9}"/>
    <cellStyle name="40% - Accent3 11 3 2 2 2 3" xfId="24497" xr:uid="{00000000-0005-0000-0000-0000F5380000}"/>
    <cellStyle name="40% - Accent3 11 3 2 2 2 3 2" xfId="48329" xr:uid="{E8152564-311A-4C63-AB70-8669AE4EB4C4}"/>
    <cellStyle name="40% - Accent3 11 3 2 2 2 4" xfId="32452" xr:uid="{7F266F41-EC47-424E-9D91-70C9723687AB}"/>
    <cellStyle name="40% - Accent3 11 3 2 2 3" xfId="13013" xr:uid="{00000000-0005-0000-0000-0000F6380000}"/>
    <cellStyle name="40% - Accent3 11 3 2 2 3 2" xfId="36862" xr:uid="{68BA6606-8298-43B6-8081-BF93AB2DA7B4}"/>
    <cellStyle name="40% - Accent3 11 3 2 2 4" xfId="20968" xr:uid="{00000000-0005-0000-0000-0000F7380000}"/>
    <cellStyle name="40% - Accent3 11 3 2 2 4 2" xfId="44800" xr:uid="{CC1169C7-4CC0-4EDB-A8EF-337A19561243}"/>
    <cellStyle name="40% - Accent3 11 3 2 2 5" xfId="28921" xr:uid="{9248ED0F-DCB0-4048-BC6E-2A9F90616DF1}"/>
    <cellStyle name="40% - Accent3 11 3 2 3" xfId="6822" xr:uid="{00000000-0005-0000-0000-0000F8380000}"/>
    <cellStyle name="40% - Accent3 11 3 2 3 2" xfId="14793" xr:uid="{00000000-0005-0000-0000-0000F9380000}"/>
    <cellStyle name="40% - Accent3 11 3 2 3 2 2" xfId="38635" xr:uid="{8EB315DB-3E8E-48B4-930D-553F9C1C1895}"/>
    <cellStyle name="40% - Accent3 11 3 2 3 3" xfId="22740" xr:uid="{00000000-0005-0000-0000-0000FA380000}"/>
    <cellStyle name="40% - Accent3 11 3 2 3 3 2" xfId="46572" xr:uid="{BE9F07CA-81DB-4349-A79F-BD19A266DED8}"/>
    <cellStyle name="40% - Accent3 11 3 2 3 4" xfId="30694" xr:uid="{1BEE36D1-0AAC-4451-8C14-5E3A01F1AAAD}"/>
    <cellStyle name="40% - Accent3 11 3 2 4" xfId="11257" xr:uid="{00000000-0005-0000-0000-0000FB380000}"/>
    <cellStyle name="40% - Accent3 11 3 2 4 2" xfId="35106" xr:uid="{82E891E5-5E60-4920-89C0-060B1A8CD6EB}"/>
    <cellStyle name="40% - Accent3 11 3 2 5" xfId="19212" xr:uid="{00000000-0005-0000-0000-0000FC380000}"/>
    <cellStyle name="40% - Accent3 11 3 2 5 2" xfId="43044" xr:uid="{D01B0282-CB8F-431C-AC3F-B13CAB30EA69}"/>
    <cellStyle name="40% - Accent3 11 3 2 6" xfId="27164" xr:uid="{6965F987-6A4D-441D-BF9E-773CFFB2C506}"/>
    <cellStyle name="40% - Accent3 11 3 2_Exh G" xfId="2940" xr:uid="{00000000-0005-0000-0000-0000FD380000}"/>
    <cellStyle name="40% - Accent3 11 3 3" xfId="4111" xr:uid="{00000000-0005-0000-0000-0000FE380000}"/>
    <cellStyle name="40% - Accent3 11 3 3 2" xfId="7703" xr:uid="{00000000-0005-0000-0000-0000FF380000}"/>
    <cellStyle name="40% - Accent3 11 3 3 2 2" xfId="15673" xr:uid="{00000000-0005-0000-0000-000000390000}"/>
    <cellStyle name="40% - Accent3 11 3 3 2 2 2" xfId="39515" xr:uid="{61B36BA2-834D-4B7B-AF8C-B9D7539CB6B7}"/>
    <cellStyle name="40% - Accent3 11 3 3 2 3" xfId="23619" xr:uid="{00000000-0005-0000-0000-000001390000}"/>
    <cellStyle name="40% - Accent3 11 3 3 2 3 2" xfId="47451" xr:uid="{7582120C-97E8-4534-A3EC-9348D1E7B090}"/>
    <cellStyle name="40% - Accent3 11 3 3 2 4" xfId="31574" xr:uid="{41CE5280-2E3D-4E54-BD00-A101F079624D}"/>
    <cellStyle name="40% - Accent3 11 3 3 3" xfId="12135" xr:uid="{00000000-0005-0000-0000-000002390000}"/>
    <cellStyle name="40% - Accent3 11 3 3 3 2" xfId="35984" xr:uid="{704D2823-7778-460F-83FA-F4BA2D4AE157}"/>
    <cellStyle name="40% - Accent3 11 3 3 4" xfId="20090" xr:uid="{00000000-0005-0000-0000-000003390000}"/>
    <cellStyle name="40% - Accent3 11 3 3 4 2" xfId="43922" xr:uid="{59465280-A2E6-42AC-A1F8-D8BB685C87CD}"/>
    <cellStyle name="40% - Accent3 11 3 3 5" xfId="28043" xr:uid="{B2F10BE6-D94C-41D4-AD1E-B0A5BD9E9507}"/>
    <cellStyle name="40% - Accent3 11 3 4" xfId="5931" xr:uid="{00000000-0005-0000-0000-000004390000}"/>
    <cellStyle name="40% - Accent3 11 3 4 2" xfId="13914" xr:uid="{00000000-0005-0000-0000-000005390000}"/>
    <cellStyle name="40% - Accent3 11 3 4 2 2" xfId="37757" xr:uid="{312CB3EA-84E5-4616-93D0-2E4F2903D8B3}"/>
    <cellStyle name="40% - Accent3 11 3 4 3" xfId="21862" xr:uid="{00000000-0005-0000-0000-000006390000}"/>
    <cellStyle name="40% - Accent3 11 3 4 3 2" xfId="45694" xr:uid="{39DD4414-2ADF-4186-A978-5B238ECA292B}"/>
    <cellStyle name="40% - Accent3 11 3 4 4" xfId="29816" xr:uid="{01A0B7CB-E5C8-437F-8C4F-47AE3C5550D1}"/>
    <cellStyle name="40% - Accent3 11 3 5" xfId="9483" xr:uid="{00000000-0005-0000-0000-000007390000}"/>
    <cellStyle name="40% - Accent3 11 3 5 2" xfId="17441" xr:uid="{00000000-0005-0000-0000-000008390000}"/>
    <cellStyle name="40% - Accent3 11 3 5 2 2" xfId="41281" xr:uid="{879F2AE0-4B0C-45F9-B3CE-F39BA81EDCA3}"/>
    <cellStyle name="40% - Accent3 11 3 5 3" xfId="25385" xr:uid="{00000000-0005-0000-0000-000009390000}"/>
    <cellStyle name="40% - Accent3 11 3 5 3 2" xfId="49217" xr:uid="{BED1F27F-3EE0-43D0-AC03-0F9A0C3FF7AB}"/>
    <cellStyle name="40% - Accent3 11 3 5 4" xfId="33340" xr:uid="{A1D03E28-86A3-4845-89A7-16FDBDC9820A}"/>
    <cellStyle name="40% - Accent3 11 3 6" xfId="10379" xr:uid="{00000000-0005-0000-0000-00000A390000}"/>
    <cellStyle name="40% - Accent3 11 3 6 2" xfId="34228" xr:uid="{AD292949-BEA0-4D43-AECC-E69E422100E6}"/>
    <cellStyle name="40% - Accent3 11 3 7" xfId="18334" xr:uid="{00000000-0005-0000-0000-00000B390000}"/>
    <cellStyle name="40% - Accent3 11 3 7 2" xfId="42166" xr:uid="{662658F5-0C42-4C32-A03F-DF0710BE4A85}"/>
    <cellStyle name="40% - Accent3 11 3 8" xfId="26286" xr:uid="{DEFE11F3-9078-4B9D-8734-8DD5F6BC9E22}"/>
    <cellStyle name="40% - Accent3 11 3_Exh G" xfId="2939" xr:uid="{00000000-0005-0000-0000-00000C390000}"/>
    <cellStyle name="40% - Accent3 11 4" xfId="1460" xr:uid="{00000000-0005-0000-0000-00000D390000}"/>
    <cellStyle name="40% - Accent3 11 4 2" xfId="4987" xr:uid="{00000000-0005-0000-0000-00000E390000}"/>
    <cellStyle name="40% - Accent3 11 4 2 2" xfId="8578" xr:uid="{00000000-0005-0000-0000-00000F390000}"/>
    <cellStyle name="40% - Accent3 11 4 2 2 2" xfId="16548" xr:uid="{00000000-0005-0000-0000-000010390000}"/>
    <cellStyle name="40% - Accent3 11 4 2 2 2 2" xfId="40390" xr:uid="{7020D6BF-BDF0-4F92-B0DC-3B743A5454DD}"/>
    <cellStyle name="40% - Accent3 11 4 2 2 3" xfId="24494" xr:uid="{00000000-0005-0000-0000-000011390000}"/>
    <cellStyle name="40% - Accent3 11 4 2 2 3 2" xfId="48326" xr:uid="{6BEE27FE-E814-4AFB-92DA-1D7F403B6196}"/>
    <cellStyle name="40% - Accent3 11 4 2 2 4" xfId="32449" xr:uid="{5E952A09-7548-4E32-BD2E-2648C4A2660C}"/>
    <cellStyle name="40% - Accent3 11 4 2 3" xfId="13010" xr:uid="{00000000-0005-0000-0000-000012390000}"/>
    <cellStyle name="40% - Accent3 11 4 2 3 2" xfId="36859" xr:uid="{52E0DE41-90C9-4AF2-B1F3-37C1AEA787F2}"/>
    <cellStyle name="40% - Accent3 11 4 2 4" xfId="20965" xr:uid="{00000000-0005-0000-0000-000013390000}"/>
    <cellStyle name="40% - Accent3 11 4 2 4 2" xfId="44797" xr:uid="{3E75B81B-5987-4B52-8213-E37DAD0B10A7}"/>
    <cellStyle name="40% - Accent3 11 4 2 5" xfId="28918" xr:uid="{09FC0DEF-D2AB-4BB3-8F5D-9C8CCB4AB696}"/>
    <cellStyle name="40% - Accent3 11 4 3" xfId="6819" xr:uid="{00000000-0005-0000-0000-000014390000}"/>
    <cellStyle name="40% - Accent3 11 4 3 2" xfId="14790" xr:uid="{00000000-0005-0000-0000-000015390000}"/>
    <cellStyle name="40% - Accent3 11 4 3 2 2" xfId="38632" xr:uid="{442B0495-BFB3-441A-BE67-7876860685AE}"/>
    <cellStyle name="40% - Accent3 11 4 3 3" xfId="22737" xr:uid="{00000000-0005-0000-0000-000016390000}"/>
    <cellStyle name="40% - Accent3 11 4 3 3 2" xfId="46569" xr:uid="{FBE9C73A-8AC9-45ED-94E3-D58D167BEB0C}"/>
    <cellStyle name="40% - Accent3 11 4 3 4" xfId="30691" xr:uid="{C3ED9023-FE0E-4C8E-A551-51E17A83D975}"/>
    <cellStyle name="40% - Accent3 11 4 4" xfId="11254" xr:uid="{00000000-0005-0000-0000-000017390000}"/>
    <cellStyle name="40% - Accent3 11 4 4 2" xfId="35103" xr:uid="{76DD4F48-2506-4D05-B55E-F2717C7F8700}"/>
    <cellStyle name="40% - Accent3 11 4 5" xfId="19209" xr:uid="{00000000-0005-0000-0000-000018390000}"/>
    <cellStyle name="40% - Accent3 11 4 5 2" xfId="43041" xr:uid="{455C5A0D-B57A-4861-8F50-FE43C5DF68FC}"/>
    <cellStyle name="40% - Accent3 11 4 6" xfId="27161" xr:uid="{FDF3405E-35AF-4D74-BA5C-7F2FD6B3132C}"/>
    <cellStyle name="40% - Accent3 11 4_Exh G" xfId="2941" xr:uid="{00000000-0005-0000-0000-000019390000}"/>
    <cellStyle name="40% - Accent3 11 5" xfId="4108" xr:uid="{00000000-0005-0000-0000-00001A390000}"/>
    <cellStyle name="40% - Accent3 11 5 2" xfId="7700" xr:uid="{00000000-0005-0000-0000-00001B390000}"/>
    <cellStyle name="40% - Accent3 11 5 2 2" xfId="15670" xr:uid="{00000000-0005-0000-0000-00001C390000}"/>
    <cellStyle name="40% - Accent3 11 5 2 2 2" xfId="39512" xr:uid="{405322EF-B947-4654-BAD5-1BE979060CBF}"/>
    <cellStyle name="40% - Accent3 11 5 2 3" xfId="23616" xr:uid="{00000000-0005-0000-0000-00001D390000}"/>
    <cellStyle name="40% - Accent3 11 5 2 3 2" xfId="47448" xr:uid="{7DA761A5-6F12-4F9B-923C-A9F3771C7E1C}"/>
    <cellStyle name="40% - Accent3 11 5 2 4" xfId="31571" xr:uid="{3C56DDB6-415E-4F86-BD9F-E9494A401534}"/>
    <cellStyle name="40% - Accent3 11 5 3" xfId="12132" xr:uid="{00000000-0005-0000-0000-00001E390000}"/>
    <cellStyle name="40% - Accent3 11 5 3 2" xfId="35981" xr:uid="{F3A363EA-8818-4340-88B4-FF80CE831EBB}"/>
    <cellStyle name="40% - Accent3 11 5 4" xfId="20087" xr:uid="{00000000-0005-0000-0000-00001F390000}"/>
    <cellStyle name="40% - Accent3 11 5 4 2" xfId="43919" xr:uid="{CDC4BB20-1F24-4086-B535-A9170C9D9CF2}"/>
    <cellStyle name="40% - Accent3 11 5 5" xfId="28040" xr:uid="{66BF3940-5B8A-49CC-B575-1F41470EF590}"/>
    <cellStyle name="40% - Accent3 11 6" xfId="5928" xr:uid="{00000000-0005-0000-0000-000020390000}"/>
    <cellStyle name="40% - Accent3 11 6 2" xfId="13911" xr:uid="{00000000-0005-0000-0000-000021390000}"/>
    <cellStyle name="40% - Accent3 11 6 2 2" xfId="37754" xr:uid="{BE003510-9B29-4120-A042-A7F0293D2F83}"/>
    <cellStyle name="40% - Accent3 11 6 3" xfId="21859" xr:uid="{00000000-0005-0000-0000-000022390000}"/>
    <cellStyle name="40% - Accent3 11 6 3 2" xfId="45691" xr:uid="{B8B20C70-9A7A-4656-BD5F-6D73CAA5611D}"/>
    <cellStyle name="40% - Accent3 11 6 4" xfId="29813" xr:uid="{2CF0CBD9-01A6-418A-8718-81CDA7DDCD5C}"/>
    <cellStyle name="40% - Accent3 11 7" xfId="9480" xr:uid="{00000000-0005-0000-0000-000023390000}"/>
    <cellStyle name="40% - Accent3 11 7 2" xfId="17438" xr:uid="{00000000-0005-0000-0000-000024390000}"/>
    <cellStyle name="40% - Accent3 11 7 2 2" xfId="41278" xr:uid="{9FBE0641-1697-45EC-B214-9C6CE5CA1E1E}"/>
    <cellStyle name="40% - Accent3 11 7 3" xfId="25382" xr:uid="{00000000-0005-0000-0000-000025390000}"/>
    <cellStyle name="40% - Accent3 11 7 3 2" xfId="49214" xr:uid="{31BB3123-251B-4CFC-9CCA-AF791198B233}"/>
    <cellStyle name="40% - Accent3 11 7 4" xfId="33337" xr:uid="{92FB7D10-5D44-475E-88F8-F4E7B7D90E8D}"/>
    <cellStyle name="40% - Accent3 11 8" xfId="10376" xr:uid="{00000000-0005-0000-0000-000026390000}"/>
    <cellStyle name="40% - Accent3 11 8 2" xfId="34225" xr:uid="{3E8BE526-9602-4A2E-91EE-7B405E51F524}"/>
    <cellStyle name="40% - Accent3 11 9" xfId="18331" xr:uid="{00000000-0005-0000-0000-000027390000}"/>
    <cellStyle name="40% - Accent3 11 9 2" xfId="42163" xr:uid="{A9D09D68-AA8F-4574-A3BA-3BCC6D391B80}"/>
    <cellStyle name="40% - Accent3 11_Exh G" xfId="2934" xr:uid="{00000000-0005-0000-0000-000028390000}"/>
    <cellStyle name="40% - Accent3 12" xfId="438" xr:uid="{00000000-0005-0000-0000-000029390000}"/>
    <cellStyle name="40% - Accent3 12 10" xfId="26287" xr:uid="{50B186F4-BE75-4323-B915-2830404B5BFB}"/>
    <cellStyle name="40% - Accent3 12 2" xfId="439" xr:uid="{00000000-0005-0000-0000-00002A390000}"/>
    <cellStyle name="40% - Accent3 12 2 2" xfId="440" xr:uid="{00000000-0005-0000-0000-00002B390000}"/>
    <cellStyle name="40% - Accent3 12 2 2 2" xfId="1466" xr:uid="{00000000-0005-0000-0000-00002C390000}"/>
    <cellStyle name="40% - Accent3 12 2 2 2 2" xfId="4993" xr:uid="{00000000-0005-0000-0000-00002D390000}"/>
    <cellStyle name="40% - Accent3 12 2 2 2 2 2" xfId="8584" xr:uid="{00000000-0005-0000-0000-00002E390000}"/>
    <cellStyle name="40% - Accent3 12 2 2 2 2 2 2" xfId="16554" xr:uid="{00000000-0005-0000-0000-00002F390000}"/>
    <cellStyle name="40% - Accent3 12 2 2 2 2 2 2 2" xfId="40396" xr:uid="{7988C3AF-B379-4A46-9BD9-5C7A576F58E3}"/>
    <cellStyle name="40% - Accent3 12 2 2 2 2 2 3" xfId="24500" xr:uid="{00000000-0005-0000-0000-000030390000}"/>
    <cellStyle name="40% - Accent3 12 2 2 2 2 2 3 2" xfId="48332" xr:uid="{205E6C44-0175-4927-B8E8-B27765C5F738}"/>
    <cellStyle name="40% - Accent3 12 2 2 2 2 2 4" xfId="32455" xr:uid="{17A8B17F-B5EF-4787-91A3-5F18AF2C59FF}"/>
    <cellStyle name="40% - Accent3 12 2 2 2 2 3" xfId="13016" xr:uid="{00000000-0005-0000-0000-000031390000}"/>
    <cellStyle name="40% - Accent3 12 2 2 2 2 3 2" xfId="36865" xr:uid="{86E47A43-1BDF-41AF-9143-FE0E81A2A3DF}"/>
    <cellStyle name="40% - Accent3 12 2 2 2 2 4" xfId="20971" xr:uid="{00000000-0005-0000-0000-000032390000}"/>
    <cellStyle name="40% - Accent3 12 2 2 2 2 4 2" xfId="44803" xr:uid="{609A2972-33C7-4B1F-A11F-B046C83FB3E4}"/>
    <cellStyle name="40% - Accent3 12 2 2 2 2 5" xfId="28924" xr:uid="{50E90ABA-0FA0-4118-B243-D904C49B2E2C}"/>
    <cellStyle name="40% - Accent3 12 2 2 2 3" xfId="6825" xr:uid="{00000000-0005-0000-0000-000033390000}"/>
    <cellStyle name="40% - Accent3 12 2 2 2 3 2" xfId="14796" xr:uid="{00000000-0005-0000-0000-000034390000}"/>
    <cellStyle name="40% - Accent3 12 2 2 2 3 2 2" xfId="38638" xr:uid="{87A979DD-E811-435D-987E-AA8DADDFD688}"/>
    <cellStyle name="40% - Accent3 12 2 2 2 3 3" xfId="22743" xr:uid="{00000000-0005-0000-0000-000035390000}"/>
    <cellStyle name="40% - Accent3 12 2 2 2 3 3 2" xfId="46575" xr:uid="{5464DD08-18D5-421E-9828-062B5CF1D7C3}"/>
    <cellStyle name="40% - Accent3 12 2 2 2 3 4" xfId="30697" xr:uid="{32D9DA5C-F987-4F39-94C3-BBF4FFE80DDD}"/>
    <cellStyle name="40% - Accent3 12 2 2 2 4" xfId="11260" xr:uid="{00000000-0005-0000-0000-000036390000}"/>
    <cellStyle name="40% - Accent3 12 2 2 2 4 2" xfId="35109" xr:uid="{79D8D395-7A45-480D-9DC2-EEAC402A71E5}"/>
    <cellStyle name="40% - Accent3 12 2 2 2 5" xfId="19215" xr:uid="{00000000-0005-0000-0000-000037390000}"/>
    <cellStyle name="40% - Accent3 12 2 2 2 5 2" xfId="43047" xr:uid="{CAC01408-6B3E-485E-971B-95F0F9DC2662}"/>
    <cellStyle name="40% - Accent3 12 2 2 2 6" xfId="27167" xr:uid="{B29BD3DC-0E6D-44C5-95CA-B2E45A62B582}"/>
    <cellStyle name="40% - Accent3 12 2 2 2_Exh G" xfId="2945" xr:uid="{00000000-0005-0000-0000-000038390000}"/>
    <cellStyle name="40% - Accent3 12 2 2 3" xfId="4114" xr:uid="{00000000-0005-0000-0000-000039390000}"/>
    <cellStyle name="40% - Accent3 12 2 2 3 2" xfId="7706" xr:uid="{00000000-0005-0000-0000-00003A390000}"/>
    <cellStyle name="40% - Accent3 12 2 2 3 2 2" xfId="15676" xr:uid="{00000000-0005-0000-0000-00003B390000}"/>
    <cellStyle name="40% - Accent3 12 2 2 3 2 2 2" xfId="39518" xr:uid="{B4243537-B338-46F8-BFC8-5A0739C974EE}"/>
    <cellStyle name="40% - Accent3 12 2 2 3 2 3" xfId="23622" xr:uid="{00000000-0005-0000-0000-00003C390000}"/>
    <cellStyle name="40% - Accent3 12 2 2 3 2 3 2" xfId="47454" xr:uid="{D5E10D40-CB94-4053-AD0D-793CE5AC302E}"/>
    <cellStyle name="40% - Accent3 12 2 2 3 2 4" xfId="31577" xr:uid="{93D7DC1D-7DF9-48CE-B638-A5C3D6EFE876}"/>
    <cellStyle name="40% - Accent3 12 2 2 3 3" xfId="12138" xr:uid="{00000000-0005-0000-0000-00003D390000}"/>
    <cellStyle name="40% - Accent3 12 2 2 3 3 2" xfId="35987" xr:uid="{C715E25E-892A-4EF3-BBFC-8742BDB68C80}"/>
    <cellStyle name="40% - Accent3 12 2 2 3 4" xfId="20093" xr:uid="{00000000-0005-0000-0000-00003E390000}"/>
    <cellStyle name="40% - Accent3 12 2 2 3 4 2" xfId="43925" xr:uid="{6BC43147-A819-4555-81D5-166F6A6483BF}"/>
    <cellStyle name="40% - Accent3 12 2 2 3 5" xfId="28046" xr:uid="{31CE2B8A-73A7-4F15-81C5-DFEBC38EDD7C}"/>
    <cellStyle name="40% - Accent3 12 2 2 4" xfId="5934" xr:uid="{00000000-0005-0000-0000-00003F390000}"/>
    <cellStyle name="40% - Accent3 12 2 2 4 2" xfId="13917" xr:uid="{00000000-0005-0000-0000-000040390000}"/>
    <cellStyle name="40% - Accent3 12 2 2 4 2 2" xfId="37760" xr:uid="{E0E329F9-DE25-4804-AA78-7D6EE64476B3}"/>
    <cellStyle name="40% - Accent3 12 2 2 4 3" xfId="21865" xr:uid="{00000000-0005-0000-0000-000041390000}"/>
    <cellStyle name="40% - Accent3 12 2 2 4 3 2" xfId="45697" xr:uid="{D1729AC8-68E6-469B-9264-688495BA4E2E}"/>
    <cellStyle name="40% - Accent3 12 2 2 4 4" xfId="29819" xr:uid="{3B1CD2E5-C7EA-470A-8A04-204A9078CE53}"/>
    <cellStyle name="40% - Accent3 12 2 2 5" xfId="9486" xr:uid="{00000000-0005-0000-0000-000042390000}"/>
    <cellStyle name="40% - Accent3 12 2 2 5 2" xfId="17444" xr:uid="{00000000-0005-0000-0000-000043390000}"/>
    <cellStyle name="40% - Accent3 12 2 2 5 2 2" xfId="41284" xr:uid="{08E61AA6-D227-4F60-8784-D0AF8117889E}"/>
    <cellStyle name="40% - Accent3 12 2 2 5 3" xfId="25388" xr:uid="{00000000-0005-0000-0000-000044390000}"/>
    <cellStyle name="40% - Accent3 12 2 2 5 3 2" xfId="49220" xr:uid="{82B6F76B-46CE-42F3-B3E9-65F375629FE2}"/>
    <cellStyle name="40% - Accent3 12 2 2 5 4" xfId="33343" xr:uid="{CF13B194-5C21-4630-BBEE-B9322B9135FD}"/>
    <cellStyle name="40% - Accent3 12 2 2 6" xfId="10382" xr:uid="{00000000-0005-0000-0000-000045390000}"/>
    <cellStyle name="40% - Accent3 12 2 2 6 2" xfId="34231" xr:uid="{29321987-3C10-4BA5-B604-6602F7F67447}"/>
    <cellStyle name="40% - Accent3 12 2 2 7" xfId="18337" xr:uid="{00000000-0005-0000-0000-000046390000}"/>
    <cellStyle name="40% - Accent3 12 2 2 7 2" xfId="42169" xr:uid="{1FECD364-E191-465C-ADFD-DAFA9A8183D6}"/>
    <cellStyle name="40% - Accent3 12 2 2 8" xfId="26289" xr:uid="{4F6DC7E0-4732-48AA-9C29-43D916E9B383}"/>
    <cellStyle name="40% - Accent3 12 2 2_Exh G" xfId="2944" xr:uid="{00000000-0005-0000-0000-000047390000}"/>
    <cellStyle name="40% - Accent3 12 2 3" xfId="1465" xr:uid="{00000000-0005-0000-0000-000048390000}"/>
    <cellStyle name="40% - Accent3 12 2 3 2" xfId="4992" xr:uid="{00000000-0005-0000-0000-000049390000}"/>
    <cellStyle name="40% - Accent3 12 2 3 2 2" xfId="8583" xr:uid="{00000000-0005-0000-0000-00004A390000}"/>
    <cellStyle name="40% - Accent3 12 2 3 2 2 2" xfId="16553" xr:uid="{00000000-0005-0000-0000-00004B390000}"/>
    <cellStyle name="40% - Accent3 12 2 3 2 2 2 2" xfId="40395" xr:uid="{4B5216E2-E9D3-4799-AAD6-801E1864D253}"/>
    <cellStyle name="40% - Accent3 12 2 3 2 2 3" xfId="24499" xr:uid="{00000000-0005-0000-0000-00004C390000}"/>
    <cellStyle name="40% - Accent3 12 2 3 2 2 3 2" xfId="48331" xr:uid="{EBC0A154-9F9B-48D6-805E-A94439427F4E}"/>
    <cellStyle name="40% - Accent3 12 2 3 2 2 4" xfId="32454" xr:uid="{D201A6FB-EDD1-4C55-B80E-86B3EECCF19A}"/>
    <cellStyle name="40% - Accent3 12 2 3 2 3" xfId="13015" xr:uid="{00000000-0005-0000-0000-00004D390000}"/>
    <cellStyle name="40% - Accent3 12 2 3 2 3 2" xfId="36864" xr:uid="{8C3C42BB-C68A-4899-961D-93B132BEFDAD}"/>
    <cellStyle name="40% - Accent3 12 2 3 2 4" xfId="20970" xr:uid="{00000000-0005-0000-0000-00004E390000}"/>
    <cellStyle name="40% - Accent3 12 2 3 2 4 2" xfId="44802" xr:uid="{0506F050-F712-4B7D-97FA-7AF0A8ABCC04}"/>
    <cellStyle name="40% - Accent3 12 2 3 2 5" xfId="28923" xr:uid="{A9FF8579-0413-4A58-A489-5068E4F3C351}"/>
    <cellStyle name="40% - Accent3 12 2 3 3" xfId="6824" xr:uid="{00000000-0005-0000-0000-00004F390000}"/>
    <cellStyle name="40% - Accent3 12 2 3 3 2" xfId="14795" xr:uid="{00000000-0005-0000-0000-000050390000}"/>
    <cellStyle name="40% - Accent3 12 2 3 3 2 2" xfId="38637" xr:uid="{792F113B-880C-45FB-AFB2-8F8F42D71713}"/>
    <cellStyle name="40% - Accent3 12 2 3 3 3" xfId="22742" xr:uid="{00000000-0005-0000-0000-000051390000}"/>
    <cellStyle name="40% - Accent3 12 2 3 3 3 2" xfId="46574" xr:uid="{2CCE9B6D-A835-4990-9869-2236D92DC173}"/>
    <cellStyle name="40% - Accent3 12 2 3 3 4" xfId="30696" xr:uid="{226F4F81-DC77-45C9-AFF3-6EEBF0D2C5E3}"/>
    <cellStyle name="40% - Accent3 12 2 3 4" xfId="11259" xr:uid="{00000000-0005-0000-0000-000052390000}"/>
    <cellStyle name="40% - Accent3 12 2 3 4 2" xfId="35108" xr:uid="{05F1B0E2-86A2-40AC-8B6F-6AD1D808C827}"/>
    <cellStyle name="40% - Accent3 12 2 3 5" xfId="19214" xr:uid="{00000000-0005-0000-0000-000053390000}"/>
    <cellStyle name="40% - Accent3 12 2 3 5 2" xfId="43046" xr:uid="{FCD480A1-A667-466C-A64E-D31920E4038F}"/>
    <cellStyle name="40% - Accent3 12 2 3 6" xfId="27166" xr:uid="{7FC0AA22-CECC-486C-820F-D9DC2931A087}"/>
    <cellStyle name="40% - Accent3 12 2 3_Exh G" xfId="2946" xr:uid="{00000000-0005-0000-0000-000054390000}"/>
    <cellStyle name="40% - Accent3 12 2 4" xfId="4113" xr:uid="{00000000-0005-0000-0000-000055390000}"/>
    <cellStyle name="40% - Accent3 12 2 4 2" xfId="7705" xr:uid="{00000000-0005-0000-0000-000056390000}"/>
    <cellStyle name="40% - Accent3 12 2 4 2 2" xfId="15675" xr:uid="{00000000-0005-0000-0000-000057390000}"/>
    <cellStyle name="40% - Accent3 12 2 4 2 2 2" xfId="39517" xr:uid="{71EA8572-EB79-4711-95F4-079789EFB982}"/>
    <cellStyle name="40% - Accent3 12 2 4 2 3" xfId="23621" xr:uid="{00000000-0005-0000-0000-000058390000}"/>
    <cellStyle name="40% - Accent3 12 2 4 2 3 2" xfId="47453" xr:uid="{35220E10-A6E9-4395-8A52-2806656C5B45}"/>
    <cellStyle name="40% - Accent3 12 2 4 2 4" xfId="31576" xr:uid="{DE2F3C5B-7AC0-47AC-B7BE-BB30CF68AD8C}"/>
    <cellStyle name="40% - Accent3 12 2 4 3" xfId="12137" xr:uid="{00000000-0005-0000-0000-000059390000}"/>
    <cellStyle name="40% - Accent3 12 2 4 3 2" xfId="35986" xr:uid="{7FE52DB4-25AA-4F4D-9324-648717165EF3}"/>
    <cellStyle name="40% - Accent3 12 2 4 4" xfId="20092" xr:uid="{00000000-0005-0000-0000-00005A390000}"/>
    <cellStyle name="40% - Accent3 12 2 4 4 2" xfId="43924" xr:uid="{9B2DC97B-56B0-4438-BF4A-18638C6FC841}"/>
    <cellStyle name="40% - Accent3 12 2 4 5" xfId="28045" xr:uid="{9E1A6068-80EF-481F-A6C7-12301424A7FC}"/>
    <cellStyle name="40% - Accent3 12 2 5" xfId="5933" xr:uid="{00000000-0005-0000-0000-00005B390000}"/>
    <cellStyle name="40% - Accent3 12 2 5 2" xfId="13916" xr:uid="{00000000-0005-0000-0000-00005C390000}"/>
    <cellStyle name="40% - Accent3 12 2 5 2 2" xfId="37759" xr:uid="{BF9FA8F7-36D8-49E1-8C23-C973F8BB5300}"/>
    <cellStyle name="40% - Accent3 12 2 5 3" xfId="21864" xr:uid="{00000000-0005-0000-0000-00005D390000}"/>
    <cellStyle name="40% - Accent3 12 2 5 3 2" xfId="45696" xr:uid="{AC8E5D6F-AD05-4941-A6CD-F4408AD67CE6}"/>
    <cellStyle name="40% - Accent3 12 2 5 4" xfId="29818" xr:uid="{AB2C0784-303A-4188-B6C9-2BACE265E918}"/>
    <cellStyle name="40% - Accent3 12 2 6" xfId="9485" xr:uid="{00000000-0005-0000-0000-00005E390000}"/>
    <cellStyle name="40% - Accent3 12 2 6 2" xfId="17443" xr:uid="{00000000-0005-0000-0000-00005F390000}"/>
    <cellStyle name="40% - Accent3 12 2 6 2 2" xfId="41283" xr:uid="{8697538C-A0A3-4A69-9287-D24DBEAAB65F}"/>
    <cellStyle name="40% - Accent3 12 2 6 3" xfId="25387" xr:uid="{00000000-0005-0000-0000-000060390000}"/>
    <cellStyle name="40% - Accent3 12 2 6 3 2" xfId="49219" xr:uid="{0BF601B8-4FC8-466C-A4FA-4A9D99C1B946}"/>
    <cellStyle name="40% - Accent3 12 2 6 4" xfId="33342" xr:uid="{6497C456-0A91-44A0-9562-B0CC2D83BA71}"/>
    <cellStyle name="40% - Accent3 12 2 7" xfId="10381" xr:uid="{00000000-0005-0000-0000-000061390000}"/>
    <cellStyle name="40% - Accent3 12 2 7 2" xfId="34230" xr:uid="{5D27C993-36F1-4B4C-A2FB-10A7173918FE}"/>
    <cellStyle name="40% - Accent3 12 2 8" xfId="18336" xr:uid="{00000000-0005-0000-0000-000062390000}"/>
    <cellStyle name="40% - Accent3 12 2 8 2" xfId="42168" xr:uid="{88453CA9-18D8-4AF3-96A8-2E17115A01CA}"/>
    <cellStyle name="40% - Accent3 12 2 9" xfId="26288" xr:uid="{D96F55E0-9E26-41F7-85B7-AB70B0AA4225}"/>
    <cellStyle name="40% - Accent3 12 2_Exh G" xfId="2943" xr:uid="{00000000-0005-0000-0000-000063390000}"/>
    <cellStyle name="40% - Accent3 12 3" xfId="441" xr:uid="{00000000-0005-0000-0000-000064390000}"/>
    <cellStyle name="40% - Accent3 12 3 2" xfId="1467" xr:uid="{00000000-0005-0000-0000-000065390000}"/>
    <cellStyle name="40% - Accent3 12 3 2 2" xfId="4994" xr:uid="{00000000-0005-0000-0000-000066390000}"/>
    <cellStyle name="40% - Accent3 12 3 2 2 2" xfId="8585" xr:uid="{00000000-0005-0000-0000-000067390000}"/>
    <cellStyle name="40% - Accent3 12 3 2 2 2 2" xfId="16555" xr:uid="{00000000-0005-0000-0000-000068390000}"/>
    <cellStyle name="40% - Accent3 12 3 2 2 2 2 2" xfId="40397" xr:uid="{D6AE9146-F760-406B-A690-C79B69145070}"/>
    <cellStyle name="40% - Accent3 12 3 2 2 2 3" xfId="24501" xr:uid="{00000000-0005-0000-0000-000069390000}"/>
    <cellStyle name="40% - Accent3 12 3 2 2 2 3 2" xfId="48333" xr:uid="{C36EBAAC-7703-4C84-97F5-A838526C9008}"/>
    <cellStyle name="40% - Accent3 12 3 2 2 2 4" xfId="32456" xr:uid="{B78D403A-FDF0-45DD-A2CC-E07435D902AC}"/>
    <cellStyle name="40% - Accent3 12 3 2 2 3" xfId="13017" xr:uid="{00000000-0005-0000-0000-00006A390000}"/>
    <cellStyle name="40% - Accent3 12 3 2 2 3 2" xfId="36866" xr:uid="{476340BA-9DEB-4B2E-BB14-BEFE8303DF0B}"/>
    <cellStyle name="40% - Accent3 12 3 2 2 4" xfId="20972" xr:uid="{00000000-0005-0000-0000-00006B390000}"/>
    <cellStyle name="40% - Accent3 12 3 2 2 4 2" xfId="44804" xr:uid="{8516379E-F56F-4815-AB18-CED6200C76AC}"/>
    <cellStyle name="40% - Accent3 12 3 2 2 5" xfId="28925" xr:uid="{49AD85C0-B852-4450-B848-FF8683903DAA}"/>
    <cellStyle name="40% - Accent3 12 3 2 3" xfId="6826" xr:uid="{00000000-0005-0000-0000-00006C390000}"/>
    <cellStyle name="40% - Accent3 12 3 2 3 2" xfId="14797" xr:uid="{00000000-0005-0000-0000-00006D390000}"/>
    <cellStyle name="40% - Accent3 12 3 2 3 2 2" xfId="38639" xr:uid="{2D54C9F8-A9E6-4F5D-BAEE-409DABF48F4B}"/>
    <cellStyle name="40% - Accent3 12 3 2 3 3" xfId="22744" xr:uid="{00000000-0005-0000-0000-00006E390000}"/>
    <cellStyle name="40% - Accent3 12 3 2 3 3 2" xfId="46576" xr:uid="{17B91554-099C-41CA-9B50-79663DDB0537}"/>
    <cellStyle name="40% - Accent3 12 3 2 3 4" xfId="30698" xr:uid="{AD2A565C-EFCA-430F-8D5A-57A6A69720AF}"/>
    <cellStyle name="40% - Accent3 12 3 2 4" xfId="11261" xr:uid="{00000000-0005-0000-0000-00006F390000}"/>
    <cellStyle name="40% - Accent3 12 3 2 4 2" xfId="35110" xr:uid="{2D23CE79-0A5F-44E9-B8E8-50583ACAB488}"/>
    <cellStyle name="40% - Accent3 12 3 2 5" xfId="19216" xr:uid="{00000000-0005-0000-0000-000070390000}"/>
    <cellStyle name="40% - Accent3 12 3 2 5 2" xfId="43048" xr:uid="{6216D79A-33F0-44D0-9BFB-71E356B51E91}"/>
    <cellStyle name="40% - Accent3 12 3 2 6" xfId="27168" xr:uid="{D6F267CC-DAFE-4DBD-AA93-CE82E0479EE5}"/>
    <cellStyle name="40% - Accent3 12 3 2_Exh G" xfId="2948" xr:uid="{00000000-0005-0000-0000-000071390000}"/>
    <cellStyle name="40% - Accent3 12 3 3" xfId="4115" xr:uid="{00000000-0005-0000-0000-000072390000}"/>
    <cellStyle name="40% - Accent3 12 3 3 2" xfId="7707" xr:uid="{00000000-0005-0000-0000-000073390000}"/>
    <cellStyle name="40% - Accent3 12 3 3 2 2" xfId="15677" xr:uid="{00000000-0005-0000-0000-000074390000}"/>
    <cellStyle name="40% - Accent3 12 3 3 2 2 2" xfId="39519" xr:uid="{CE876B4A-5E22-4A57-A6A3-C0FFE9D126F0}"/>
    <cellStyle name="40% - Accent3 12 3 3 2 3" xfId="23623" xr:uid="{00000000-0005-0000-0000-000075390000}"/>
    <cellStyle name="40% - Accent3 12 3 3 2 3 2" xfId="47455" xr:uid="{E7284B5E-4320-46E7-8824-2CC060C4157F}"/>
    <cellStyle name="40% - Accent3 12 3 3 2 4" xfId="31578" xr:uid="{96E8D99F-4F52-4532-B24E-3E28CC5F4C65}"/>
    <cellStyle name="40% - Accent3 12 3 3 3" xfId="12139" xr:uid="{00000000-0005-0000-0000-000076390000}"/>
    <cellStyle name="40% - Accent3 12 3 3 3 2" xfId="35988" xr:uid="{756EA774-118F-4E62-80D9-6075ACF60D17}"/>
    <cellStyle name="40% - Accent3 12 3 3 4" xfId="20094" xr:uid="{00000000-0005-0000-0000-000077390000}"/>
    <cellStyle name="40% - Accent3 12 3 3 4 2" xfId="43926" xr:uid="{AEB77B8E-2F4F-49BD-8C9A-396F25A68900}"/>
    <cellStyle name="40% - Accent3 12 3 3 5" xfId="28047" xr:uid="{5046BE75-D0B2-4DC7-BF73-7791AA1C644C}"/>
    <cellStyle name="40% - Accent3 12 3 4" xfId="5935" xr:uid="{00000000-0005-0000-0000-000078390000}"/>
    <cellStyle name="40% - Accent3 12 3 4 2" xfId="13918" xr:uid="{00000000-0005-0000-0000-000079390000}"/>
    <cellStyle name="40% - Accent3 12 3 4 2 2" xfId="37761" xr:uid="{7224D535-DEEB-4457-A373-4164D02F53BB}"/>
    <cellStyle name="40% - Accent3 12 3 4 3" xfId="21866" xr:uid="{00000000-0005-0000-0000-00007A390000}"/>
    <cellStyle name="40% - Accent3 12 3 4 3 2" xfId="45698" xr:uid="{327DA871-78F5-4E34-B3E2-4E99141A4FFB}"/>
    <cellStyle name="40% - Accent3 12 3 4 4" xfId="29820" xr:uid="{FD2BF93A-4BAE-4432-B054-02F6ACC78DA7}"/>
    <cellStyle name="40% - Accent3 12 3 5" xfId="9487" xr:uid="{00000000-0005-0000-0000-00007B390000}"/>
    <cellStyle name="40% - Accent3 12 3 5 2" xfId="17445" xr:uid="{00000000-0005-0000-0000-00007C390000}"/>
    <cellStyle name="40% - Accent3 12 3 5 2 2" xfId="41285" xr:uid="{590827D8-B4D0-48A1-83F2-184AD14A1F09}"/>
    <cellStyle name="40% - Accent3 12 3 5 3" xfId="25389" xr:uid="{00000000-0005-0000-0000-00007D390000}"/>
    <cellStyle name="40% - Accent3 12 3 5 3 2" xfId="49221" xr:uid="{BC0A6678-8C36-4E04-AF80-07644C358952}"/>
    <cellStyle name="40% - Accent3 12 3 5 4" xfId="33344" xr:uid="{F5DC7111-F962-4C75-B761-BFC0E198ACDA}"/>
    <cellStyle name="40% - Accent3 12 3 6" xfId="10383" xr:uid="{00000000-0005-0000-0000-00007E390000}"/>
    <cellStyle name="40% - Accent3 12 3 6 2" xfId="34232" xr:uid="{481CC3B3-AB38-46E1-975E-7D7BA15C957A}"/>
    <cellStyle name="40% - Accent3 12 3 7" xfId="18338" xr:uid="{00000000-0005-0000-0000-00007F390000}"/>
    <cellStyle name="40% - Accent3 12 3 7 2" xfId="42170" xr:uid="{C45E880E-1BEA-4D4E-80C2-CB9BB3E582F8}"/>
    <cellStyle name="40% - Accent3 12 3 8" xfId="26290" xr:uid="{220DCA65-4909-4E73-A23F-AC325021E8FB}"/>
    <cellStyle name="40% - Accent3 12 3_Exh G" xfId="2947" xr:uid="{00000000-0005-0000-0000-000080390000}"/>
    <cellStyle name="40% - Accent3 12 4" xfId="1464" xr:uid="{00000000-0005-0000-0000-000081390000}"/>
    <cellStyle name="40% - Accent3 12 4 2" xfId="4991" xr:uid="{00000000-0005-0000-0000-000082390000}"/>
    <cellStyle name="40% - Accent3 12 4 2 2" xfId="8582" xr:uid="{00000000-0005-0000-0000-000083390000}"/>
    <cellStyle name="40% - Accent3 12 4 2 2 2" xfId="16552" xr:uid="{00000000-0005-0000-0000-000084390000}"/>
    <cellStyle name="40% - Accent3 12 4 2 2 2 2" xfId="40394" xr:uid="{410CB908-2538-42EB-9C49-2818464BEC30}"/>
    <cellStyle name="40% - Accent3 12 4 2 2 3" xfId="24498" xr:uid="{00000000-0005-0000-0000-000085390000}"/>
    <cellStyle name="40% - Accent3 12 4 2 2 3 2" xfId="48330" xr:uid="{448F98A2-DC71-4D90-AFE0-7E2D6187BB0B}"/>
    <cellStyle name="40% - Accent3 12 4 2 2 4" xfId="32453" xr:uid="{08406362-11F9-4C7C-80DC-93285FE0E848}"/>
    <cellStyle name="40% - Accent3 12 4 2 3" xfId="13014" xr:uid="{00000000-0005-0000-0000-000086390000}"/>
    <cellStyle name="40% - Accent3 12 4 2 3 2" xfId="36863" xr:uid="{7ECA8A21-022A-4067-B22A-125FF28A30A5}"/>
    <cellStyle name="40% - Accent3 12 4 2 4" xfId="20969" xr:uid="{00000000-0005-0000-0000-000087390000}"/>
    <cellStyle name="40% - Accent3 12 4 2 4 2" xfId="44801" xr:uid="{4D81998C-C1F4-4D56-9CD7-CB8B9887E7F7}"/>
    <cellStyle name="40% - Accent3 12 4 2 5" xfId="28922" xr:uid="{85AF902D-0194-42FC-BD89-DFD14C400217}"/>
    <cellStyle name="40% - Accent3 12 4 3" xfId="6823" xr:uid="{00000000-0005-0000-0000-000088390000}"/>
    <cellStyle name="40% - Accent3 12 4 3 2" xfId="14794" xr:uid="{00000000-0005-0000-0000-000089390000}"/>
    <cellStyle name="40% - Accent3 12 4 3 2 2" xfId="38636" xr:uid="{8F36CAC2-7C2B-40C0-BEFE-8CD1E9C8CA24}"/>
    <cellStyle name="40% - Accent3 12 4 3 3" xfId="22741" xr:uid="{00000000-0005-0000-0000-00008A390000}"/>
    <cellStyle name="40% - Accent3 12 4 3 3 2" xfId="46573" xr:uid="{04A3F83D-0EE0-4F9F-BCC7-2941A5CBCCE9}"/>
    <cellStyle name="40% - Accent3 12 4 3 4" xfId="30695" xr:uid="{95F424DB-33BC-43F2-871A-23EEE963DE06}"/>
    <cellStyle name="40% - Accent3 12 4 4" xfId="11258" xr:uid="{00000000-0005-0000-0000-00008B390000}"/>
    <cellStyle name="40% - Accent3 12 4 4 2" xfId="35107" xr:uid="{2BD9F799-14F1-4EA2-A97F-578266B08C49}"/>
    <cellStyle name="40% - Accent3 12 4 5" xfId="19213" xr:uid="{00000000-0005-0000-0000-00008C390000}"/>
    <cellStyle name="40% - Accent3 12 4 5 2" xfId="43045" xr:uid="{3BAB6FFA-8C3E-4C86-8424-F720290376EC}"/>
    <cellStyle name="40% - Accent3 12 4 6" xfId="27165" xr:uid="{BE21B014-1878-403E-A2CD-AA589CE5ECFA}"/>
    <cellStyle name="40% - Accent3 12 4_Exh G" xfId="2949" xr:uid="{00000000-0005-0000-0000-00008D390000}"/>
    <cellStyle name="40% - Accent3 12 5" xfId="4112" xr:uid="{00000000-0005-0000-0000-00008E390000}"/>
    <cellStyle name="40% - Accent3 12 5 2" xfId="7704" xr:uid="{00000000-0005-0000-0000-00008F390000}"/>
    <cellStyle name="40% - Accent3 12 5 2 2" xfId="15674" xr:uid="{00000000-0005-0000-0000-000090390000}"/>
    <cellStyle name="40% - Accent3 12 5 2 2 2" xfId="39516" xr:uid="{D432A8A4-EE95-48A7-B507-6178153DA09B}"/>
    <cellStyle name="40% - Accent3 12 5 2 3" xfId="23620" xr:uid="{00000000-0005-0000-0000-000091390000}"/>
    <cellStyle name="40% - Accent3 12 5 2 3 2" xfId="47452" xr:uid="{92B19D84-7C4D-4368-BE46-F8A3F738F79B}"/>
    <cellStyle name="40% - Accent3 12 5 2 4" xfId="31575" xr:uid="{27CA6606-503A-434C-91A2-713A980800AB}"/>
    <cellStyle name="40% - Accent3 12 5 3" xfId="12136" xr:uid="{00000000-0005-0000-0000-000092390000}"/>
    <cellStyle name="40% - Accent3 12 5 3 2" xfId="35985" xr:uid="{692D875C-8E20-4878-9029-ADC9E2E1274A}"/>
    <cellStyle name="40% - Accent3 12 5 4" xfId="20091" xr:uid="{00000000-0005-0000-0000-000093390000}"/>
    <cellStyle name="40% - Accent3 12 5 4 2" xfId="43923" xr:uid="{1F35F925-DCCD-4BCB-B798-5F9025A02204}"/>
    <cellStyle name="40% - Accent3 12 5 5" xfId="28044" xr:uid="{C1E5CEC0-253D-4B3D-82BF-217BFD88F8A1}"/>
    <cellStyle name="40% - Accent3 12 6" xfId="5932" xr:uid="{00000000-0005-0000-0000-000094390000}"/>
    <cellStyle name="40% - Accent3 12 6 2" xfId="13915" xr:uid="{00000000-0005-0000-0000-000095390000}"/>
    <cellStyle name="40% - Accent3 12 6 2 2" xfId="37758" xr:uid="{C2294583-BDC9-4DF5-AFA3-7193351689DA}"/>
    <cellStyle name="40% - Accent3 12 6 3" xfId="21863" xr:uid="{00000000-0005-0000-0000-000096390000}"/>
    <cellStyle name="40% - Accent3 12 6 3 2" xfId="45695" xr:uid="{E129C3E6-8EDA-453E-9562-3293EA3ED901}"/>
    <cellStyle name="40% - Accent3 12 6 4" xfId="29817" xr:uid="{D86A4760-DCCF-4E17-8995-01CA903B7B5A}"/>
    <cellStyle name="40% - Accent3 12 7" xfId="9484" xr:uid="{00000000-0005-0000-0000-000097390000}"/>
    <cellStyle name="40% - Accent3 12 7 2" xfId="17442" xr:uid="{00000000-0005-0000-0000-000098390000}"/>
    <cellStyle name="40% - Accent3 12 7 2 2" xfId="41282" xr:uid="{BC9D215B-46D6-4A55-B7D7-79CE569E7E93}"/>
    <cellStyle name="40% - Accent3 12 7 3" xfId="25386" xr:uid="{00000000-0005-0000-0000-000099390000}"/>
    <cellStyle name="40% - Accent3 12 7 3 2" xfId="49218" xr:uid="{A141F370-971F-42D1-962B-2B3FC359CE59}"/>
    <cellStyle name="40% - Accent3 12 7 4" xfId="33341" xr:uid="{5B752A54-FB93-4779-B138-F9519C8353AA}"/>
    <cellStyle name="40% - Accent3 12 8" xfId="10380" xr:uid="{00000000-0005-0000-0000-00009A390000}"/>
    <cellStyle name="40% - Accent3 12 8 2" xfId="34229" xr:uid="{559F1E7B-3A78-47C7-A97A-BFCC13497E15}"/>
    <cellStyle name="40% - Accent3 12 9" xfId="18335" xr:uid="{00000000-0005-0000-0000-00009B390000}"/>
    <cellStyle name="40% - Accent3 12 9 2" xfId="42167" xr:uid="{17632AB3-8AD7-440E-8D1C-C6A4DE32DB58}"/>
    <cellStyle name="40% - Accent3 12_Exh G" xfId="2942" xr:uid="{00000000-0005-0000-0000-00009C390000}"/>
    <cellStyle name="40% - Accent3 13" xfId="442" xr:uid="{00000000-0005-0000-0000-00009D390000}"/>
    <cellStyle name="40% - Accent3 13 10" xfId="26291" xr:uid="{A6B4D995-40AC-4BDA-8E85-11967BD18740}"/>
    <cellStyle name="40% - Accent3 13 2" xfId="443" xr:uid="{00000000-0005-0000-0000-00009E390000}"/>
    <cellStyle name="40% - Accent3 13 2 2" xfId="444" xr:uid="{00000000-0005-0000-0000-00009F390000}"/>
    <cellStyle name="40% - Accent3 13 2 2 2" xfId="1470" xr:uid="{00000000-0005-0000-0000-0000A0390000}"/>
    <cellStyle name="40% - Accent3 13 2 2 2 2" xfId="4997" xr:uid="{00000000-0005-0000-0000-0000A1390000}"/>
    <cellStyle name="40% - Accent3 13 2 2 2 2 2" xfId="8588" xr:uid="{00000000-0005-0000-0000-0000A2390000}"/>
    <cellStyle name="40% - Accent3 13 2 2 2 2 2 2" xfId="16558" xr:uid="{00000000-0005-0000-0000-0000A3390000}"/>
    <cellStyle name="40% - Accent3 13 2 2 2 2 2 2 2" xfId="40400" xr:uid="{CD11F873-70C1-4B2F-9C5C-34CC9C3F0CEC}"/>
    <cellStyle name="40% - Accent3 13 2 2 2 2 2 3" xfId="24504" xr:uid="{00000000-0005-0000-0000-0000A4390000}"/>
    <cellStyle name="40% - Accent3 13 2 2 2 2 2 3 2" xfId="48336" xr:uid="{2043A819-FBFA-4D4F-8332-1A4AF652D94D}"/>
    <cellStyle name="40% - Accent3 13 2 2 2 2 2 4" xfId="32459" xr:uid="{10FA5580-26EE-4386-B726-E80DFAE7C2C5}"/>
    <cellStyle name="40% - Accent3 13 2 2 2 2 3" xfId="13020" xr:uid="{00000000-0005-0000-0000-0000A5390000}"/>
    <cellStyle name="40% - Accent3 13 2 2 2 2 3 2" xfId="36869" xr:uid="{DC18C896-EBCD-4D84-AB00-579357532564}"/>
    <cellStyle name="40% - Accent3 13 2 2 2 2 4" xfId="20975" xr:uid="{00000000-0005-0000-0000-0000A6390000}"/>
    <cellStyle name="40% - Accent3 13 2 2 2 2 4 2" xfId="44807" xr:uid="{F3312416-2791-406A-AAD1-41677AF1F1D3}"/>
    <cellStyle name="40% - Accent3 13 2 2 2 2 5" xfId="28928" xr:uid="{62D7F712-C27B-411A-B2E7-EA4405E58C1D}"/>
    <cellStyle name="40% - Accent3 13 2 2 2 3" xfId="6829" xr:uid="{00000000-0005-0000-0000-0000A7390000}"/>
    <cellStyle name="40% - Accent3 13 2 2 2 3 2" xfId="14800" xr:uid="{00000000-0005-0000-0000-0000A8390000}"/>
    <cellStyle name="40% - Accent3 13 2 2 2 3 2 2" xfId="38642" xr:uid="{451D3F83-D2A5-4E1C-93ED-D5BF065B860C}"/>
    <cellStyle name="40% - Accent3 13 2 2 2 3 3" xfId="22747" xr:uid="{00000000-0005-0000-0000-0000A9390000}"/>
    <cellStyle name="40% - Accent3 13 2 2 2 3 3 2" xfId="46579" xr:uid="{646E9C59-923C-4B24-8670-8D8E38C96F0A}"/>
    <cellStyle name="40% - Accent3 13 2 2 2 3 4" xfId="30701" xr:uid="{15966F91-2377-4939-9BC6-B6962E14C227}"/>
    <cellStyle name="40% - Accent3 13 2 2 2 4" xfId="11264" xr:uid="{00000000-0005-0000-0000-0000AA390000}"/>
    <cellStyle name="40% - Accent3 13 2 2 2 4 2" xfId="35113" xr:uid="{85B97C23-DAD8-4A6A-A4A3-DAF947940DBD}"/>
    <cellStyle name="40% - Accent3 13 2 2 2 5" xfId="19219" xr:uid="{00000000-0005-0000-0000-0000AB390000}"/>
    <cellStyle name="40% - Accent3 13 2 2 2 5 2" xfId="43051" xr:uid="{10A9D414-4E93-414C-9A53-2AC7A5F59F99}"/>
    <cellStyle name="40% - Accent3 13 2 2 2 6" xfId="27171" xr:uid="{4ECE735D-8204-4E08-95E2-E089209EFED9}"/>
    <cellStyle name="40% - Accent3 13 2 2 2_Exh G" xfId="2953" xr:uid="{00000000-0005-0000-0000-0000AC390000}"/>
    <cellStyle name="40% - Accent3 13 2 2 3" xfId="4118" xr:uid="{00000000-0005-0000-0000-0000AD390000}"/>
    <cellStyle name="40% - Accent3 13 2 2 3 2" xfId="7710" xr:uid="{00000000-0005-0000-0000-0000AE390000}"/>
    <cellStyle name="40% - Accent3 13 2 2 3 2 2" xfId="15680" xr:uid="{00000000-0005-0000-0000-0000AF390000}"/>
    <cellStyle name="40% - Accent3 13 2 2 3 2 2 2" xfId="39522" xr:uid="{FD55D23B-6226-4ACF-ABED-733E3FCD5A3B}"/>
    <cellStyle name="40% - Accent3 13 2 2 3 2 3" xfId="23626" xr:uid="{00000000-0005-0000-0000-0000B0390000}"/>
    <cellStyle name="40% - Accent3 13 2 2 3 2 3 2" xfId="47458" xr:uid="{81839022-D968-4DDA-B2A3-7ACD2F8E2444}"/>
    <cellStyle name="40% - Accent3 13 2 2 3 2 4" xfId="31581" xr:uid="{C58B0839-1534-4A1A-B77C-E02168EFC624}"/>
    <cellStyle name="40% - Accent3 13 2 2 3 3" xfId="12142" xr:uid="{00000000-0005-0000-0000-0000B1390000}"/>
    <cellStyle name="40% - Accent3 13 2 2 3 3 2" xfId="35991" xr:uid="{62DCD7CA-467F-4429-99F9-6ECEB9F31D81}"/>
    <cellStyle name="40% - Accent3 13 2 2 3 4" xfId="20097" xr:uid="{00000000-0005-0000-0000-0000B2390000}"/>
    <cellStyle name="40% - Accent3 13 2 2 3 4 2" xfId="43929" xr:uid="{CA18A6F7-0318-43C1-BE26-E60ECE5ABC7F}"/>
    <cellStyle name="40% - Accent3 13 2 2 3 5" xfId="28050" xr:uid="{72D01BD1-B121-4DD5-8483-DA146120D2D0}"/>
    <cellStyle name="40% - Accent3 13 2 2 4" xfId="5938" xr:uid="{00000000-0005-0000-0000-0000B3390000}"/>
    <cellStyle name="40% - Accent3 13 2 2 4 2" xfId="13921" xr:uid="{00000000-0005-0000-0000-0000B4390000}"/>
    <cellStyle name="40% - Accent3 13 2 2 4 2 2" xfId="37764" xr:uid="{B56F07F5-F9F8-48E5-9A26-E425BE6443E3}"/>
    <cellStyle name="40% - Accent3 13 2 2 4 3" xfId="21869" xr:uid="{00000000-0005-0000-0000-0000B5390000}"/>
    <cellStyle name="40% - Accent3 13 2 2 4 3 2" xfId="45701" xr:uid="{0960330C-CE38-4423-8797-258AE8D087DC}"/>
    <cellStyle name="40% - Accent3 13 2 2 4 4" xfId="29823" xr:uid="{39B0C29D-CBF4-45FE-87D4-90417DDE7FC0}"/>
    <cellStyle name="40% - Accent3 13 2 2 5" xfId="9490" xr:uid="{00000000-0005-0000-0000-0000B6390000}"/>
    <cellStyle name="40% - Accent3 13 2 2 5 2" xfId="17448" xr:uid="{00000000-0005-0000-0000-0000B7390000}"/>
    <cellStyle name="40% - Accent3 13 2 2 5 2 2" xfId="41288" xr:uid="{0AEF84EC-E5E2-4E87-9D95-0A7175861B75}"/>
    <cellStyle name="40% - Accent3 13 2 2 5 3" xfId="25392" xr:uid="{00000000-0005-0000-0000-0000B8390000}"/>
    <cellStyle name="40% - Accent3 13 2 2 5 3 2" xfId="49224" xr:uid="{EEDA3109-8DC0-4001-9252-AC8B75F07010}"/>
    <cellStyle name="40% - Accent3 13 2 2 5 4" xfId="33347" xr:uid="{BD9959F4-154C-4F37-87BC-0970EA9851D5}"/>
    <cellStyle name="40% - Accent3 13 2 2 6" xfId="10386" xr:uid="{00000000-0005-0000-0000-0000B9390000}"/>
    <cellStyle name="40% - Accent3 13 2 2 6 2" xfId="34235" xr:uid="{BDDFD51A-A62E-4619-99D9-D6B31BB5EF14}"/>
    <cellStyle name="40% - Accent3 13 2 2 7" xfId="18341" xr:uid="{00000000-0005-0000-0000-0000BA390000}"/>
    <cellStyle name="40% - Accent3 13 2 2 7 2" xfId="42173" xr:uid="{6263E635-B7D5-4215-BB47-D86CF0D10D22}"/>
    <cellStyle name="40% - Accent3 13 2 2 8" xfId="26293" xr:uid="{A733CE9D-5A08-434E-940F-66DB66AC02D7}"/>
    <cellStyle name="40% - Accent3 13 2 2_Exh G" xfId="2952" xr:uid="{00000000-0005-0000-0000-0000BB390000}"/>
    <cellStyle name="40% - Accent3 13 2 3" xfId="1469" xr:uid="{00000000-0005-0000-0000-0000BC390000}"/>
    <cellStyle name="40% - Accent3 13 2 3 2" xfId="4996" xr:uid="{00000000-0005-0000-0000-0000BD390000}"/>
    <cellStyle name="40% - Accent3 13 2 3 2 2" xfId="8587" xr:uid="{00000000-0005-0000-0000-0000BE390000}"/>
    <cellStyle name="40% - Accent3 13 2 3 2 2 2" xfId="16557" xr:uid="{00000000-0005-0000-0000-0000BF390000}"/>
    <cellStyle name="40% - Accent3 13 2 3 2 2 2 2" xfId="40399" xr:uid="{68E905F7-0270-49CF-AFDA-C628FCDA4806}"/>
    <cellStyle name="40% - Accent3 13 2 3 2 2 3" xfId="24503" xr:uid="{00000000-0005-0000-0000-0000C0390000}"/>
    <cellStyle name="40% - Accent3 13 2 3 2 2 3 2" xfId="48335" xr:uid="{32C466D3-4E43-4606-8FB1-D6BEF7E08EB6}"/>
    <cellStyle name="40% - Accent3 13 2 3 2 2 4" xfId="32458" xr:uid="{9A67C178-E161-4DFF-BB2B-368E87F88544}"/>
    <cellStyle name="40% - Accent3 13 2 3 2 3" xfId="13019" xr:uid="{00000000-0005-0000-0000-0000C1390000}"/>
    <cellStyle name="40% - Accent3 13 2 3 2 3 2" xfId="36868" xr:uid="{BD259F23-98C9-483E-BFE3-6988A1A8E645}"/>
    <cellStyle name="40% - Accent3 13 2 3 2 4" xfId="20974" xr:uid="{00000000-0005-0000-0000-0000C2390000}"/>
    <cellStyle name="40% - Accent3 13 2 3 2 4 2" xfId="44806" xr:uid="{0D89719E-95B1-4AD7-B271-8D319A04396C}"/>
    <cellStyle name="40% - Accent3 13 2 3 2 5" xfId="28927" xr:uid="{D75ADBFD-4B23-4D76-936D-A1D814CE1D64}"/>
    <cellStyle name="40% - Accent3 13 2 3 3" xfId="6828" xr:uid="{00000000-0005-0000-0000-0000C3390000}"/>
    <cellStyle name="40% - Accent3 13 2 3 3 2" xfId="14799" xr:uid="{00000000-0005-0000-0000-0000C4390000}"/>
    <cellStyle name="40% - Accent3 13 2 3 3 2 2" xfId="38641" xr:uid="{91F7CD96-F461-474C-86DE-E706AB391610}"/>
    <cellStyle name="40% - Accent3 13 2 3 3 3" xfId="22746" xr:uid="{00000000-0005-0000-0000-0000C5390000}"/>
    <cellStyle name="40% - Accent3 13 2 3 3 3 2" xfId="46578" xr:uid="{F7ED104B-0D3E-4CEA-B246-8F4F736AAECF}"/>
    <cellStyle name="40% - Accent3 13 2 3 3 4" xfId="30700" xr:uid="{50885B64-6D0D-4DC9-847C-C65AC862815E}"/>
    <cellStyle name="40% - Accent3 13 2 3 4" xfId="11263" xr:uid="{00000000-0005-0000-0000-0000C6390000}"/>
    <cellStyle name="40% - Accent3 13 2 3 4 2" xfId="35112" xr:uid="{36A24932-8FDB-47C2-BDF7-15E0437D5FE3}"/>
    <cellStyle name="40% - Accent3 13 2 3 5" xfId="19218" xr:uid="{00000000-0005-0000-0000-0000C7390000}"/>
    <cellStyle name="40% - Accent3 13 2 3 5 2" xfId="43050" xr:uid="{F07E5A24-74F0-405E-AA2D-0F9BF92B8C78}"/>
    <cellStyle name="40% - Accent3 13 2 3 6" xfId="27170" xr:uid="{7C2D23A3-2F0A-487A-9023-44D6319E30E8}"/>
    <cellStyle name="40% - Accent3 13 2 3_Exh G" xfId="2954" xr:uid="{00000000-0005-0000-0000-0000C8390000}"/>
    <cellStyle name="40% - Accent3 13 2 4" xfId="4117" xr:uid="{00000000-0005-0000-0000-0000C9390000}"/>
    <cellStyle name="40% - Accent3 13 2 4 2" xfId="7709" xr:uid="{00000000-0005-0000-0000-0000CA390000}"/>
    <cellStyle name="40% - Accent3 13 2 4 2 2" xfId="15679" xr:uid="{00000000-0005-0000-0000-0000CB390000}"/>
    <cellStyle name="40% - Accent3 13 2 4 2 2 2" xfId="39521" xr:uid="{8C2D98DC-F5DC-4A3D-8D26-4F26BD7EBBB4}"/>
    <cellStyle name="40% - Accent3 13 2 4 2 3" xfId="23625" xr:uid="{00000000-0005-0000-0000-0000CC390000}"/>
    <cellStyle name="40% - Accent3 13 2 4 2 3 2" xfId="47457" xr:uid="{DCAB4954-DEA7-4FB9-A7F8-D8DF4DAAA26F}"/>
    <cellStyle name="40% - Accent3 13 2 4 2 4" xfId="31580" xr:uid="{9FDA7654-43EB-4E59-934B-5DB7DC3B9E32}"/>
    <cellStyle name="40% - Accent3 13 2 4 3" xfId="12141" xr:uid="{00000000-0005-0000-0000-0000CD390000}"/>
    <cellStyle name="40% - Accent3 13 2 4 3 2" xfId="35990" xr:uid="{7E7DD5A7-ECBD-4879-AABE-5511CEB22295}"/>
    <cellStyle name="40% - Accent3 13 2 4 4" xfId="20096" xr:uid="{00000000-0005-0000-0000-0000CE390000}"/>
    <cellStyle name="40% - Accent3 13 2 4 4 2" xfId="43928" xr:uid="{B53EB556-A98D-48CB-A7CF-331E62E3DB90}"/>
    <cellStyle name="40% - Accent3 13 2 4 5" xfId="28049" xr:uid="{E5EF464A-D3BB-40E0-A716-0D527B4FA662}"/>
    <cellStyle name="40% - Accent3 13 2 5" xfId="5937" xr:uid="{00000000-0005-0000-0000-0000CF390000}"/>
    <cellStyle name="40% - Accent3 13 2 5 2" xfId="13920" xr:uid="{00000000-0005-0000-0000-0000D0390000}"/>
    <cellStyle name="40% - Accent3 13 2 5 2 2" xfId="37763" xr:uid="{3D32EE5C-6D9A-4D07-B894-F8DCE74A2813}"/>
    <cellStyle name="40% - Accent3 13 2 5 3" xfId="21868" xr:uid="{00000000-0005-0000-0000-0000D1390000}"/>
    <cellStyle name="40% - Accent3 13 2 5 3 2" xfId="45700" xr:uid="{10C50A3D-618E-4896-B06F-68BDE2447BBF}"/>
    <cellStyle name="40% - Accent3 13 2 5 4" xfId="29822" xr:uid="{F5FF86D4-81B5-4509-907D-AD970833B49C}"/>
    <cellStyle name="40% - Accent3 13 2 6" xfId="9489" xr:uid="{00000000-0005-0000-0000-0000D2390000}"/>
    <cellStyle name="40% - Accent3 13 2 6 2" xfId="17447" xr:uid="{00000000-0005-0000-0000-0000D3390000}"/>
    <cellStyle name="40% - Accent3 13 2 6 2 2" xfId="41287" xr:uid="{5294745F-EFA3-4966-BE86-3CFAEF4B0E8A}"/>
    <cellStyle name="40% - Accent3 13 2 6 3" xfId="25391" xr:uid="{00000000-0005-0000-0000-0000D4390000}"/>
    <cellStyle name="40% - Accent3 13 2 6 3 2" xfId="49223" xr:uid="{D084D615-3A2E-46F8-9403-D425EED2E3BD}"/>
    <cellStyle name="40% - Accent3 13 2 6 4" xfId="33346" xr:uid="{D689EDB2-DA10-447B-BD70-8BF00B34A30E}"/>
    <cellStyle name="40% - Accent3 13 2 7" xfId="10385" xr:uid="{00000000-0005-0000-0000-0000D5390000}"/>
    <cellStyle name="40% - Accent3 13 2 7 2" xfId="34234" xr:uid="{19BEA041-8CF5-4034-AD2C-15059855A29D}"/>
    <cellStyle name="40% - Accent3 13 2 8" xfId="18340" xr:uid="{00000000-0005-0000-0000-0000D6390000}"/>
    <cellStyle name="40% - Accent3 13 2 8 2" xfId="42172" xr:uid="{A1A01E94-A931-476F-9AA1-200C247609DC}"/>
    <cellStyle name="40% - Accent3 13 2 9" xfId="26292" xr:uid="{5848D651-68F3-4BF1-87CE-9DCFCA1BA442}"/>
    <cellStyle name="40% - Accent3 13 2_Exh G" xfId="2951" xr:uid="{00000000-0005-0000-0000-0000D7390000}"/>
    <cellStyle name="40% - Accent3 13 3" xfId="445" xr:uid="{00000000-0005-0000-0000-0000D8390000}"/>
    <cellStyle name="40% - Accent3 13 3 2" xfId="1471" xr:uid="{00000000-0005-0000-0000-0000D9390000}"/>
    <cellStyle name="40% - Accent3 13 3 2 2" xfId="4998" xr:uid="{00000000-0005-0000-0000-0000DA390000}"/>
    <cellStyle name="40% - Accent3 13 3 2 2 2" xfId="8589" xr:uid="{00000000-0005-0000-0000-0000DB390000}"/>
    <cellStyle name="40% - Accent3 13 3 2 2 2 2" xfId="16559" xr:uid="{00000000-0005-0000-0000-0000DC390000}"/>
    <cellStyle name="40% - Accent3 13 3 2 2 2 2 2" xfId="40401" xr:uid="{62354B5D-CCDE-40E7-B9B9-B7CB739BE6F8}"/>
    <cellStyle name="40% - Accent3 13 3 2 2 2 3" xfId="24505" xr:uid="{00000000-0005-0000-0000-0000DD390000}"/>
    <cellStyle name="40% - Accent3 13 3 2 2 2 3 2" xfId="48337" xr:uid="{D739A099-CD00-41C0-8C82-5F7123577100}"/>
    <cellStyle name="40% - Accent3 13 3 2 2 2 4" xfId="32460" xr:uid="{B016E22B-DF2B-4C59-8064-94BA7DB5205A}"/>
    <cellStyle name="40% - Accent3 13 3 2 2 3" xfId="13021" xr:uid="{00000000-0005-0000-0000-0000DE390000}"/>
    <cellStyle name="40% - Accent3 13 3 2 2 3 2" xfId="36870" xr:uid="{F04DB6E1-1BAC-45FC-A4E7-219200A23E73}"/>
    <cellStyle name="40% - Accent3 13 3 2 2 4" xfId="20976" xr:uid="{00000000-0005-0000-0000-0000DF390000}"/>
    <cellStyle name="40% - Accent3 13 3 2 2 4 2" xfId="44808" xr:uid="{ADC09437-7B6B-43FF-BA83-237ADAFA9C8E}"/>
    <cellStyle name="40% - Accent3 13 3 2 2 5" xfId="28929" xr:uid="{7D87D8D1-1858-4404-BFC4-EF9CD889DF7C}"/>
    <cellStyle name="40% - Accent3 13 3 2 3" xfId="6830" xr:uid="{00000000-0005-0000-0000-0000E0390000}"/>
    <cellStyle name="40% - Accent3 13 3 2 3 2" xfId="14801" xr:uid="{00000000-0005-0000-0000-0000E1390000}"/>
    <cellStyle name="40% - Accent3 13 3 2 3 2 2" xfId="38643" xr:uid="{B7CFF18F-812E-4F8A-8B9B-2271E8EDDADB}"/>
    <cellStyle name="40% - Accent3 13 3 2 3 3" xfId="22748" xr:uid="{00000000-0005-0000-0000-0000E2390000}"/>
    <cellStyle name="40% - Accent3 13 3 2 3 3 2" xfId="46580" xr:uid="{40006922-D74F-42AC-8996-8E8660F969C6}"/>
    <cellStyle name="40% - Accent3 13 3 2 3 4" xfId="30702" xr:uid="{D223818E-8709-4F54-8A8F-9BA84CEF0B0D}"/>
    <cellStyle name="40% - Accent3 13 3 2 4" xfId="11265" xr:uid="{00000000-0005-0000-0000-0000E3390000}"/>
    <cellStyle name="40% - Accent3 13 3 2 4 2" xfId="35114" xr:uid="{E17D8EAD-0705-4719-8AED-88B27F426F3B}"/>
    <cellStyle name="40% - Accent3 13 3 2 5" xfId="19220" xr:uid="{00000000-0005-0000-0000-0000E4390000}"/>
    <cellStyle name="40% - Accent3 13 3 2 5 2" xfId="43052" xr:uid="{B3CED1C2-5B6C-4332-AFE2-E70EB56E4E85}"/>
    <cellStyle name="40% - Accent3 13 3 2 6" xfId="27172" xr:uid="{C04FAEEF-8C73-4009-9033-CBD159D22E75}"/>
    <cellStyle name="40% - Accent3 13 3 2_Exh G" xfId="2956" xr:uid="{00000000-0005-0000-0000-0000E5390000}"/>
    <cellStyle name="40% - Accent3 13 3 3" xfId="4119" xr:uid="{00000000-0005-0000-0000-0000E6390000}"/>
    <cellStyle name="40% - Accent3 13 3 3 2" xfId="7711" xr:uid="{00000000-0005-0000-0000-0000E7390000}"/>
    <cellStyle name="40% - Accent3 13 3 3 2 2" xfId="15681" xr:uid="{00000000-0005-0000-0000-0000E8390000}"/>
    <cellStyle name="40% - Accent3 13 3 3 2 2 2" xfId="39523" xr:uid="{79DB8F3E-E5A9-4B69-93E2-FAC63B993CB4}"/>
    <cellStyle name="40% - Accent3 13 3 3 2 3" xfId="23627" xr:uid="{00000000-0005-0000-0000-0000E9390000}"/>
    <cellStyle name="40% - Accent3 13 3 3 2 3 2" xfId="47459" xr:uid="{586C955A-10D4-42D5-BD7C-2407286AC35A}"/>
    <cellStyle name="40% - Accent3 13 3 3 2 4" xfId="31582" xr:uid="{ECC06B10-11A6-4435-97E9-0FBEAFE1C82B}"/>
    <cellStyle name="40% - Accent3 13 3 3 3" xfId="12143" xr:uid="{00000000-0005-0000-0000-0000EA390000}"/>
    <cellStyle name="40% - Accent3 13 3 3 3 2" xfId="35992" xr:uid="{23C68C35-7FF1-422A-9B36-47E29D6D6135}"/>
    <cellStyle name="40% - Accent3 13 3 3 4" xfId="20098" xr:uid="{00000000-0005-0000-0000-0000EB390000}"/>
    <cellStyle name="40% - Accent3 13 3 3 4 2" xfId="43930" xr:uid="{0934E5E7-44B6-4EAE-8E67-18674D3ED2A0}"/>
    <cellStyle name="40% - Accent3 13 3 3 5" xfId="28051" xr:uid="{429EB644-17B9-4E3F-BADC-00BEEAB10629}"/>
    <cellStyle name="40% - Accent3 13 3 4" xfId="5939" xr:uid="{00000000-0005-0000-0000-0000EC390000}"/>
    <cellStyle name="40% - Accent3 13 3 4 2" xfId="13922" xr:uid="{00000000-0005-0000-0000-0000ED390000}"/>
    <cellStyle name="40% - Accent3 13 3 4 2 2" xfId="37765" xr:uid="{41693659-54F9-47C0-BBF2-84BE60C9B0DB}"/>
    <cellStyle name="40% - Accent3 13 3 4 3" xfId="21870" xr:uid="{00000000-0005-0000-0000-0000EE390000}"/>
    <cellStyle name="40% - Accent3 13 3 4 3 2" xfId="45702" xr:uid="{9DE9B664-5408-44D9-926A-E6F999F0A1EC}"/>
    <cellStyle name="40% - Accent3 13 3 4 4" xfId="29824" xr:uid="{6C941219-3EA9-4136-A22E-0FF62DBB56B5}"/>
    <cellStyle name="40% - Accent3 13 3 5" xfId="9491" xr:uid="{00000000-0005-0000-0000-0000EF390000}"/>
    <cellStyle name="40% - Accent3 13 3 5 2" xfId="17449" xr:uid="{00000000-0005-0000-0000-0000F0390000}"/>
    <cellStyle name="40% - Accent3 13 3 5 2 2" xfId="41289" xr:uid="{A88133B5-4789-4C2B-A71D-987BBAE0C06D}"/>
    <cellStyle name="40% - Accent3 13 3 5 3" xfId="25393" xr:uid="{00000000-0005-0000-0000-0000F1390000}"/>
    <cellStyle name="40% - Accent3 13 3 5 3 2" xfId="49225" xr:uid="{C25D845A-A8EF-49CE-BF89-8548FFB388A2}"/>
    <cellStyle name="40% - Accent3 13 3 5 4" xfId="33348" xr:uid="{6B56F987-7726-4282-8974-985D998A4B78}"/>
    <cellStyle name="40% - Accent3 13 3 6" xfId="10387" xr:uid="{00000000-0005-0000-0000-0000F2390000}"/>
    <cellStyle name="40% - Accent3 13 3 6 2" xfId="34236" xr:uid="{03427FCF-8E57-4793-9DEB-0BF58062B2DF}"/>
    <cellStyle name="40% - Accent3 13 3 7" xfId="18342" xr:uid="{00000000-0005-0000-0000-0000F3390000}"/>
    <cellStyle name="40% - Accent3 13 3 7 2" xfId="42174" xr:uid="{22C7A55D-C986-4846-BB86-A57AD06979C0}"/>
    <cellStyle name="40% - Accent3 13 3 8" xfId="26294" xr:uid="{72B9E3F4-F9BD-4AB5-9366-62926B972A9E}"/>
    <cellStyle name="40% - Accent3 13 3_Exh G" xfId="2955" xr:uid="{00000000-0005-0000-0000-0000F4390000}"/>
    <cellStyle name="40% - Accent3 13 4" xfId="1468" xr:uid="{00000000-0005-0000-0000-0000F5390000}"/>
    <cellStyle name="40% - Accent3 13 4 2" xfId="4995" xr:uid="{00000000-0005-0000-0000-0000F6390000}"/>
    <cellStyle name="40% - Accent3 13 4 2 2" xfId="8586" xr:uid="{00000000-0005-0000-0000-0000F7390000}"/>
    <cellStyle name="40% - Accent3 13 4 2 2 2" xfId="16556" xr:uid="{00000000-0005-0000-0000-0000F8390000}"/>
    <cellStyle name="40% - Accent3 13 4 2 2 2 2" xfId="40398" xr:uid="{35EE409E-C5C7-4FEE-9CE4-1A078213EF26}"/>
    <cellStyle name="40% - Accent3 13 4 2 2 3" xfId="24502" xr:uid="{00000000-0005-0000-0000-0000F9390000}"/>
    <cellStyle name="40% - Accent3 13 4 2 2 3 2" xfId="48334" xr:uid="{B5CC02B1-AA53-4EC2-B511-1B81424C2601}"/>
    <cellStyle name="40% - Accent3 13 4 2 2 4" xfId="32457" xr:uid="{92CFF5E3-A8B4-4248-B6B0-B0864F69657C}"/>
    <cellStyle name="40% - Accent3 13 4 2 3" xfId="13018" xr:uid="{00000000-0005-0000-0000-0000FA390000}"/>
    <cellStyle name="40% - Accent3 13 4 2 3 2" xfId="36867" xr:uid="{C38B6737-041D-44C7-9658-8FA5B8963179}"/>
    <cellStyle name="40% - Accent3 13 4 2 4" xfId="20973" xr:uid="{00000000-0005-0000-0000-0000FB390000}"/>
    <cellStyle name="40% - Accent3 13 4 2 4 2" xfId="44805" xr:uid="{516389AB-AC12-4010-A8E2-46CED23D284F}"/>
    <cellStyle name="40% - Accent3 13 4 2 5" xfId="28926" xr:uid="{D49181B4-8CDA-40DC-A83D-FB867839133A}"/>
    <cellStyle name="40% - Accent3 13 4 3" xfId="6827" xr:uid="{00000000-0005-0000-0000-0000FC390000}"/>
    <cellStyle name="40% - Accent3 13 4 3 2" xfId="14798" xr:uid="{00000000-0005-0000-0000-0000FD390000}"/>
    <cellStyle name="40% - Accent3 13 4 3 2 2" xfId="38640" xr:uid="{69415B6B-2E89-42E1-BE2A-79EE5A721892}"/>
    <cellStyle name="40% - Accent3 13 4 3 3" xfId="22745" xr:uid="{00000000-0005-0000-0000-0000FE390000}"/>
    <cellStyle name="40% - Accent3 13 4 3 3 2" xfId="46577" xr:uid="{8BB64479-FEED-49DB-BD07-3C63955BCEA3}"/>
    <cellStyle name="40% - Accent3 13 4 3 4" xfId="30699" xr:uid="{F866B10B-1994-4149-AF92-9A46F40D57E1}"/>
    <cellStyle name="40% - Accent3 13 4 4" xfId="11262" xr:uid="{00000000-0005-0000-0000-0000FF390000}"/>
    <cellStyle name="40% - Accent3 13 4 4 2" xfId="35111" xr:uid="{91267AAF-5CE9-4A32-B7DE-05B737EE0A27}"/>
    <cellStyle name="40% - Accent3 13 4 5" xfId="19217" xr:uid="{00000000-0005-0000-0000-0000003A0000}"/>
    <cellStyle name="40% - Accent3 13 4 5 2" xfId="43049" xr:uid="{58C3064E-4570-460E-BD9A-EA6A71C259B9}"/>
    <cellStyle name="40% - Accent3 13 4 6" xfId="27169" xr:uid="{BC5EBF7A-08B7-4803-808F-B19799FE6328}"/>
    <cellStyle name="40% - Accent3 13 4_Exh G" xfId="2957" xr:uid="{00000000-0005-0000-0000-0000013A0000}"/>
    <cellStyle name="40% - Accent3 13 5" xfId="4116" xr:uid="{00000000-0005-0000-0000-0000023A0000}"/>
    <cellStyle name="40% - Accent3 13 5 2" xfId="7708" xr:uid="{00000000-0005-0000-0000-0000033A0000}"/>
    <cellStyle name="40% - Accent3 13 5 2 2" xfId="15678" xr:uid="{00000000-0005-0000-0000-0000043A0000}"/>
    <cellStyle name="40% - Accent3 13 5 2 2 2" xfId="39520" xr:uid="{FB8E4AD8-EC04-436E-832F-2E091FC6E626}"/>
    <cellStyle name="40% - Accent3 13 5 2 3" xfId="23624" xr:uid="{00000000-0005-0000-0000-0000053A0000}"/>
    <cellStyle name="40% - Accent3 13 5 2 3 2" xfId="47456" xr:uid="{993BB98F-D660-4A8F-B325-DF43D87F15D4}"/>
    <cellStyle name="40% - Accent3 13 5 2 4" xfId="31579" xr:uid="{3FA39635-EC52-422F-839F-4CD26660AEDD}"/>
    <cellStyle name="40% - Accent3 13 5 3" xfId="12140" xr:uid="{00000000-0005-0000-0000-0000063A0000}"/>
    <cellStyle name="40% - Accent3 13 5 3 2" xfId="35989" xr:uid="{C8A3FFED-02F5-417D-AFB1-B084F568047D}"/>
    <cellStyle name="40% - Accent3 13 5 4" xfId="20095" xr:uid="{00000000-0005-0000-0000-0000073A0000}"/>
    <cellStyle name="40% - Accent3 13 5 4 2" xfId="43927" xr:uid="{E136148B-18A7-4C71-B6A4-ADBF3AFC4AB6}"/>
    <cellStyle name="40% - Accent3 13 5 5" xfId="28048" xr:uid="{8E4BB517-17C1-4C7D-98C2-BE8B49A4DD57}"/>
    <cellStyle name="40% - Accent3 13 6" xfId="5936" xr:uid="{00000000-0005-0000-0000-0000083A0000}"/>
    <cellStyle name="40% - Accent3 13 6 2" xfId="13919" xr:uid="{00000000-0005-0000-0000-0000093A0000}"/>
    <cellStyle name="40% - Accent3 13 6 2 2" xfId="37762" xr:uid="{8444A1B9-07D2-40A9-80E9-6229B3071D67}"/>
    <cellStyle name="40% - Accent3 13 6 3" xfId="21867" xr:uid="{00000000-0005-0000-0000-00000A3A0000}"/>
    <cellStyle name="40% - Accent3 13 6 3 2" xfId="45699" xr:uid="{9ACB47D0-FB66-47D1-B9B3-15F762DAD765}"/>
    <cellStyle name="40% - Accent3 13 6 4" xfId="29821" xr:uid="{22767A29-401A-4319-9F96-8D60BF2B9A5A}"/>
    <cellStyle name="40% - Accent3 13 7" xfId="9488" xr:uid="{00000000-0005-0000-0000-00000B3A0000}"/>
    <cellStyle name="40% - Accent3 13 7 2" xfId="17446" xr:uid="{00000000-0005-0000-0000-00000C3A0000}"/>
    <cellStyle name="40% - Accent3 13 7 2 2" xfId="41286" xr:uid="{BE9CE187-8131-41D1-89A8-6BF785ED95C1}"/>
    <cellStyle name="40% - Accent3 13 7 3" xfId="25390" xr:uid="{00000000-0005-0000-0000-00000D3A0000}"/>
    <cellStyle name="40% - Accent3 13 7 3 2" xfId="49222" xr:uid="{DC3FC18A-91A4-4B52-B3CF-8DAD272ADC80}"/>
    <cellStyle name="40% - Accent3 13 7 4" xfId="33345" xr:uid="{C0920F0A-0976-4F53-970C-DD1E0912E052}"/>
    <cellStyle name="40% - Accent3 13 8" xfId="10384" xr:uid="{00000000-0005-0000-0000-00000E3A0000}"/>
    <cellStyle name="40% - Accent3 13 8 2" xfId="34233" xr:uid="{F928DB4B-6181-4E2B-B5F5-48E36AD3EA90}"/>
    <cellStyle name="40% - Accent3 13 9" xfId="18339" xr:uid="{00000000-0005-0000-0000-00000F3A0000}"/>
    <cellStyle name="40% - Accent3 13 9 2" xfId="42171" xr:uid="{DB69F4A0-CA54-4C96-ACC5-CFC5EB839BBE}"/>
    <cellStyle name="40% - Accent3 13_Exh G" xfId="2950" xr:uid="{00000000-0005-0000-0000-0000103A0000}"/>
    <cellStyle name="40% - Accent3 14" xfId="446" xr:uid="{00000000-0005-0000-0000-0000113A0000}"/>
    <cellStyle name="40% - Accent3 14 2" xfId="447" xr:uid="{00000000-0005-0000-0000-0000123A0000}"/>
    <cellStyle name="40% - Accent3 14 2 2" xfId="1473" xr:uid="{00000000-0005-0000-0000-0000133A0000}"/>
    <cellStyle name="40% - Accent3 14 2 2 2" xfId="5000" xr:uid="{00000000-0005-0000-0000-0000143A0000}"/>
    <cellStyle name="40% - Accent3 14 2 2 2 2" xfId="8591" xr:uid="{00000000-0005-0000-0000-0000153A0000}"/>
    <cellStyle name="40% - Accent3 14 2 2 2 2 2" xfId="16561" xr:uid="{00000000-0005-0000-0000-0000163A0000}"/>
    <cellStyle name="40% - Accent3 14 2 2 2 2 2 2" xfId="40403" xr:uid="{21EF5200-9080-4EE6-9D97-E15DCA6E809B}"/>
    <cellStyle name="40% - Accent3 14 2 2 2 2 3" xfId="24507" xr:uid="{00000000-0005-0000-0000-0000173A0000}"/>
    <cellStyle name="40% - Accent3 14 2 2 2 2 3 2" xfId="48339" xr:uid="{A689177E-BA92-4CB5-8917-F4E92066C5B2}"/>
    <cellStyle name="40% - Accent3 14 2 2 2 2 4" xfId="32462" xr:uid="{E5EB68AF-2B13-4F9A-B6B2-4534559A585B}"/>
    <cellStyle name="40% - Accent3 14 2 2 2 3" xfId="13023" xr:uid="{00000000-0005-0000-0000-0000183A0000}"/>
    <cellStyle name="40% - Accent3 14 2 2 2 3 2" xfId="36872" xr:uid="{15DEC2A2-4CAE-4843-90F2-D79CDA84CDAF}"/>
    <cellStyle name="40% - Accent3 14 2 2 2 4" xfId="20978" xr:uid="{00000000-0005-0000-0000-0000193A0000}"/>
    <cellStyle name="40% - Accent3 14 2 2 2 4 2" xfId="44810" xr:uid="{675B44B3-A1E9-4B62-91A8-73E2733F4F1D}"/>
    <cellStyle name="40% - Accent3 14 2 2 2 5" xfId="28931" xr:uid="{BA645A7D-27A4-445C-B7E6-36B040128D2B}"/>
    <cellStyle name="40% - Accent3 14 2 2 3" xfId="6832" xr:uid="{00000000-0005-0000-0000-00001A3A0000}"/>
    <cellStyle name="40% - Accent3 14 2 2 3 2" xfId="14803" xr:uid="{00000000-0005-0000-0000-00001B3A0000}"/>
    <cellStyle name="40% - Accent3 14 2 2 3 2 2" xfId="38645" xr:uid="{1F1B55A7-6CBF-4080-991C-5708D853361D}"/>
    <cellStyle name="40% - Accent3 14 2 2 3 3" xfId="22750" xr:uid="{00000000-0005-0000-0000-00001C3A0000}"/>
    <cellStyle name="40% - Accent3 14 2 2 3 3 2" xfId="46582" xr:uid="{2FF48617-F8E0-49F1-B12E-7A9DE5ABFDAF}"/>
    <cellStyle name="40% - Accent3 14 2 2 3 4" xfId="30704" xr:uid="{822CDEC6-0793-4B25-9B29-3C49F8EFC09A}"/>
    <cellStyle name="40% - Accent3 14 2 2 4" xfId="11267" xr:uid="{00000000-0005-0000-0000-00001D3A0000}"/>
    <cellStyle name="40% - Accent3 14 2 2 4 2" xfId="35116" xr:uid="{A7F2F857-3C08-4B02-8F24-6F29AE69256A}"/>
    <cellStyle name="40% - Accent3 14 2 2 5" xfId="19222" xr:uid="{00000000-0005-0000-0000-00001E3A0000}"/>
    <cellStyle name="40% - Accent3 14 2 2 5 2" xfId="43054" xr:uid="{00444751-394F-478E-ADB9-0AFB98A300F7}"/>
    <cellStyle name="40% - Accent3 14 2 2 6" xfId="27174" xr:uid="{172C901E-9543-4207-9E27-F3BACACCA96C}"/>
    <cellStyle name="40% - Accent3 14 2 2_Exh G" xfId="2960" xr:uid="{00000000-0005-0000-0000-00001F3A0000}"/>
    <cellStyle name="40% - Accent3 14 2 3" xfId="4121" xr:uid="{00000000-0005-0000-0000-0000203A0000}"/>
    <cellStyle name="40% - Accent3 14 2 3 2" xfId="7713" xr:uid="{00000000-0005-0000-0000-0000213A0000}"/>
    <cellStyle name="40% - Accent3 14 2 3 2 2" xfId="15683" xr:uid="{00000000-0005-0000-0000-0000223A0000}"/>
    <cellStyle name="40% - Accent3 14 2 3 2 2 2" xfId="39525" xr:uid="{B6A0E23C-A935-4695-9D2F-FC5C75AFD790}"/>
    <cellStyle name="40% - Accent3 14 2 3 2 3" xfId="23629" xr:uid="{00000000-0005-0000-0000-0000233A0000}"/>
    <cellStyle name="40% - Accent3 14 2 3 2 3 2" xfId="47461" xr:uid="{16A889FF-70C1-4B3C-951F-2B3BE3B35202}"/>
    <cellStyle name="40% - Accent3 14 2 3 2 4" xfId="31584" xr:uid="{3CA7F7B8-FC80-41C7-80E8-2E7F286B1C0C}"/>
    <cellStyle name="40% - Accent3 14 2 3 3" xfId="12145" xr:uid="{00000000-0005-0000-0000-0000243A0000}"/>
    <cellStyle name="40% - Accent3 14 2 3 3 2" xfId="35994" xr:uid="{D0A9B773-8226-4563-852B-81287FE81522}"/>
    <cellStyle name="40% - Accent3 14 2 3 4" xfId="20100" xr:uid="{00000000-0005-0000-0000-0000253A0000}"/>
    <cellStyle name="40% - Accent3 14 2 3 4 2" xfId="43932" xr:uid="{071894DB-26B4-4952-8A5C-F319E898F554}"/>
    <cellStyle name="40% - Accent3 14 2 3 5" xfId="28053" xr:uid="{EB9675C2-B9BE-4EDB-A687-7EB3F3D37F24}"/>
    <cellStyle name="40% - Accent3 14 2 4" xfId="5941" xr:uid="{00000000-0005-0000-0000-0000263A0000}"/>
    <cellStyle name="40% - Accent3 14 2 4 2" xfId="13924" xr:uid="{00000000-0005-0000-0000-0000273A0000}"/>
    <cellStyle name="40% - Accent3 14 2 4 2 2" xfId="37767" xr:uid="{78CE96DE-E3BB-4DB9-AEEF-12B045B6947D}"/>
    <cellStyle name="40% - Accent3 14 2 4 3" xfId="21872" xr:uid="{00000000-0005-0000-0000-0000283A0000}"/>
    <cellStyle name="40% - Accent3 14 2 4 3 2" xfId="45704" xr:uid="{0608D19E-2CE2-427B-AAE9-A1FC6408BD62}"/>
    <cellStyle name="40% - Accent3 14 2 4 4" xfId="29826" xr:uid="{FA69A4A5-4136-43DB-9EAE-F158936931BD}"/>
    <cellStyle name="40% - Accent3 14 2 5" xfId="9493" xr:uid="{00000000-0005-0000-0000-0000293A0000}"/>
    <cellStyle name="40% - Accent3 14 2 5 2" xfId="17451" xr:uid="{00000000-0005-0000-0000-00002A3A0000}"/>
    <cellStyle name="40% - Accent3 14 2 5 2 2" xfId="41291" xr:uid="{C190524B-F9BF-48A2-8C3B-D4B07EF682EF}"/>
    <cellStyle name="40% - Accent3 14 2 5 3" xfId="25395" xr:uid="{00000000-0005-0000-0000-00002B3A0000}"/>
    <cellStyle name="40% - Accent3 14 2 5 3 2" xfId="49227" xr:uid="{37C21661-1EE5-4CC3-B2CA-08977F1EECBE}"/>
    <cellStyle name="40% - Accent3 14 2 5 4" xfId="33350" xr:uid="{0D4B9B0A-F1D2-4224-9E32-FC12BD8E275F}"/>
    <cellStyle name="40% - Accent3 14 2 6" xfId="10389" xr:uid="{00000000-0005-0000-0000-00002C3A0000}"/>
    <cellStyle name="40% - Accent3 14 2 6 2" xfId="34238" xr:uid="{AAC915C6-DAC5-44F8-8FC5-2602C249FE7D}"/>
    <cellStyle name="40% - Accent3 14 2 7" xfId="18344" xr:uid="{00000000-0005-0000-0000-00002D3A0000}"/>
    <cellStyle name="40% - Accent3 14 2 7 2" xfId="42176" xr:uid="{28CB3C27-75FC-43EF-9600-5FDF4FFA0DFC}"/>
    <cellStyle name="40% - Accent3 14 2 8" xfId="26296" xr:uid="{28D63E3F-9003-42C0-8161-0DC3763C36D1}"/>
    <cellStyle name="40% - Accent3 14 2_Exh G" xfId="2959" xr:uid="{00000000-0005-0000-0000-00002E3A0000}"/>
    <cellStyle name="40% - Accent3 14 3" xfId="1472" xr:uid="{00000000-0005-0000-0000-00002F3A0000}"/>
    <cellStyle name="40% - Accent3 14 3 2" xfId="4999" xr:uid="{00000000-0005-0000-0000-0000303A0000}"/>
    <cellStyle name="40% - Accent3 14 3 2 2" xfId="8590" xr:uid="{00000000-0005-0000-0000-0000313A0000}"/>
    <cellStyle name="40% - Accent3 14 3 2 2 2" xfId="16560" xr:uid="{00000000-0005-0000-0000-0000323A0000}"/>
    <cellStyle name="40% - Accent3 14 3 2 2 2 2" xfId="40402" xr:uid="{5F2AA02B-CC26-4890-A5D6-09B276433BEE}"/>
    <cellStyle name="40% - Accent3 14 3 2 2 3" xfId="24506" xr:uid="{00000000-0005-0000-0000-0000333A0000}"/>
    <cellStyle name="40% - Accent3 14 3 2 2 3 2" xfId="48338" xr:uid="{7FA589DA-796C-4799-B807-BE3406C2A7AB}"/>
    <cellStyle name="40% - Accent3 14 3 2 2 4" xfId="32461" xr:uid="{8957CA48-5826-4DBA-934E-05E7EE1869B2}"/>
    <cellStyle name="40% - Accent3 14 3 2 3" xfId="13022" xr:uid="{00000000-0005-0000-0000-0000343A0000}"/>
    <cellStyle name="40% - Accent3 14 3 2 3 2" xfId="36871" xr:uid="{B7725456-64DD-4F9F-8D53-F0278DE089C2}"/>
    <cellStyle name="40% - Accent3 14 3 2 4" xfId="20977" xr:uid="{00000000-0005-0000-0000-0000353A0000}"/>
    <cellStyle name="40% - Accent3 14 3 2 4 2" xfId="44809" xr:uid="{8CCCC2C5-018F-499E-AC27-ACA3D94DB6EE}"/>
    <cellStyle name="40% - Accent3 14 3 2 5" xfId="28930" xr:uid="{3EE9CFD2-39B0-46F4-B642-0F39C534A890}"/>
    <cellStyle name="40% - Accent3 14 3 3" xfId="6831" xr:uid="{00000000-0005-0000-0000-0000363A0000}"/>
    <cellStyle name="40% - Accent3 14 3 3 2" xfId="14802" xr:uid="{00000000-0005-0000-0000-0000373A0000}"/>
    <cellStyle name="40% - Accent3 14 3 3 2 2" xfId="38644" xr:uid="{0CF72982-F1E4-44EF-BD98-47081902237C}"/>
    <cellStyle name="40% - Accent3 14 3 3 3" xfId="22749" xr:uid="{00000000-0005-0000-0000-0000383A0000}"/>
    <cellStyle name="40% - Accent3 14 3 3 3 2" xfId="46581" xr:uid="{90D05A74-4586-4B34-85D4-7345DDC09542}"/>
    <cellStyle name="40% - Accent3 14 3 3 4" xfId="30703" xr:uid="{17F64991-BF6F-4162-8566-D2315FAD1A52}"/>
    <cellStyle name="40% - Accent3 14 3 4" xfId="11266" xr:uid="{00000000-0005-0000-0000-0000393A0000}"/>
    <cellStyle name="40% - Accent3 14 3 4 2" xfId="35115" xr:uid="{7558A0CE-9881-44E4-801E-B31B0C868789}"/>
    <cellStyle name="40% - Accent3 14 3 5" xfId="19221" xr:uid="{00000000-0005-0000-0000-00003A3A0000}"/>
    <cellStyle name="40% - Accent3 14 3 5 2" xfId="43053" xr:uid="{03F0C95B-6F81-493E-8981-D79B75BAE43A}"/>
    <cellStyle name="40% - Accent3 14 3 6" xfId="27173" xr:uid="{66DF7E40-1EB5-4837-AACC-D3920A120865}"/>
    <cellStyle name="40% - Accent3 14 3_Exh G" xfId="2961" xr:uid="{00000000-0005-0000-0000-00003B3A0000}"/>
    <cellStyle name="40% - Accent3 14 4" xfId="4120" xr:uid="{00000000-0005-0000-0000-00003C3A0000}"/>
    <cellStyle name="40% - Accent3 14 4 2" xfId="7712" xr:uid="{00000000-0005-0000-0000-00003D3A0000}"/>
    <cellStyle name="40% - Accent3 14 4 2 2" xfId="15682" xr:uid="{00000000-0005-0000-0000-00003E3A0000}"/>
    <cellStyle name="40% - Accent3 14 4 2 2 2" xfId="39524" xr:uid="{82A34EAB-6CC6-46CD-9406-801D0487EA34}"/>
    <cellStyle name="40% - Accent3 14 4 2 3" xfId="23628" xr:uid="{00000000-0005-0000-0000-00003F3A0000}"/>
    <cellStyle name="40% - Accent3 14 4 2 3 2" xfId="47460" xr:uid="{668413C1-23A5-459B-B524-4CCE8DF814AC}"/>
    <cellStyle name="40% - Accent3 14 4 2 4" xfId="31583" xr:uid="{B8998B08-94F2-4E34-A522-A54510D2111D}"/>
    <cellStyle name="40% - Accent3 14 4 3" xfId="12144" xr:uid="{00000000-0005-0000-0000-0000403A0000}"/>
    <cellStyle name="40% - Accent3 14 4 3 2" xfId="35993" xr:uid="{2E1551DA-97D4-4017-AB7A-76411D12B415}"/>
    <cellStyle name="40% - Accent3 14 4 4" xfId="20099" xr:uid="{00000000-0005-0000-0000-0000413A0000}"/>
    <cellStyle name="40% - Accent3 14 4 4 2" xfId="43931" xr:uid="{37CD7FFA-D06E-4700-A09F-563D2D441153}"/>
    <cellStyle name="40% - Accent3 14 4 5" xfId="28052" xr:uid="{10673A11-8415-4ABC-BABF-86434214C925}"/>
    <cellStyle name="40% - Accent3 14 5" xfId="5940" xr:uid="{00000000-0005-0000-0000-0000423A0000}"/>
    <cellStyle name="40% - Accent3 14 5 2" xfId="13923" xr:uid="{00000000-0005-0000-0000-0000433A0000}"/>
    <cellStyle name="40% - Accent3 14 5 2 2" xfId="37766" xr:uid="{1AE2E17C-6AB5-4607-9758-2BACBC4F2084}"/>
    <cellStyle name="40% - Accent3 14 5 3" xfId="21871" xr:uid="{00000000-0005-0000-0000-0000443A0000}"/>
    <cellStyle name="40% - Accent3 14 5 3 2" xfId="45703" xr:uid="{BEE57E93-1459-4BE1-8116-762D81693D26}"/>
    <cellStyle name="40% - Accent3 14 5 4" xfId="29825" xr:uid="{80899754-4F0E-4872-BD3F-19618D04DBB7}"/>
    <cellStyle name="40% - Accent3 14 6" xfId="9492" xr:uid="{00000000-0005-0000-0000-0000453A0000}"/>
    <cellStyle name="40% - Accent3 14 6 2" xfId="17450" xr:uid="{00000000-0005-0000-0000-0000463A0000}"/>
    <cellStyle name="40% - Accent3 14 6 2 2" xfId="41290" xr:uid="{F4C33A78-F2A2-4A77-9A81-384148D399BE}"/>
    <cellStyle name="40% - Accent3 14 6 3" xfId="25394" xr:uid="{00000000-0005-0000-0000-0000473A0000}"/>
    <cellStyle name="40% - Accent3 14 6 3 2" xfId="49226" xr:uid="{403188BF-B2F9-483B-9A08-9A9A943B2A04}"/>
    <cellStyle name="40% - Accent3 14 6 4" xfId="33349" xr:uid="{7A17EB1B-6395-4634-A828-1F7C9525027F}"/>
    <cellStyle name="40% - Accent3 14 7" xfId="10388" xr:uid="{00000000-0005-0000-0000-0000483A0000}"/>
    <cellStyle name="40% - Accent3 14 7 2" xfId="34237" xr:uid="{0D65C353-42D5-4E5E-9473-75298B8BB129}"/>
    <cellStyle name="40% - Accent3 14 8" xfId="18343" xr:uid="{00000000-0005-0000-0000-0000493A0000}"/>
    <cellStyle name="40% - Accent3 14 8 2" xfId="42175" xr:uid="{8526F4BB-9806-4844-90F7-0CE1CA3DAFCE}"/>
    <cellStyle name="40% - Accent3 14 9" xfId="26295" xr:uid="{CEBEF26D-23C3-4E51-8877-23C9596A6718}"/>
    <cellStyle name="40% - Accent3 14_Exh G" xfId="2958" xr:uid="{00000000-0005-0000-0000-00004A3A0000}"/>
    <cellStyle name="40% - Accent3 15" xfId="448" xr:uid="{00000000-0005-0000-0000-00004B3A0000}"/>
    <cellStyle name="40% - Accent3 15 2" xfId="1474" xr:uid="{00000000-0005-0000-0000-00004C3A0000}"/>
    <cellStyle name="40% - Accent3 15 2 2" xfId="5001" xr:uid="{00000000-0005-0000-0000-00004D3A0000}"/>
    <cellStyle name="40% - Accent3 15 2 2 2" xfId="8592" xr:uid="{00000000-0005-0000-0000-00004E3A0000}"/>
    <cellStyle name="40% - Accent3 15 2 2 2 2" xfId="16562" xr:uid="{00000000-0005-0000-0000-00004F3A0000}"/>
    <cellStyle name="40% - Accent3 15 2 2 2 2 2" xfId="40404" xr:uid="{4A379F22-C969-485A-94DC-ECC91F9FFB95}"/>
    <cellStyle name="40% - Accent3 15 2 2 2 3" xfId="24508" xr:uid="{00000000-0005-0000-0000-0000503A0000}"/>
    <cellStyle name="40% - Accent3 15 2 2 2 3 2" xfId="48340" xr:uid="{FE79684E-2CE5-43B5-902B-FFD810990671}"/>
    <cellStyle name="40% - Accent3 15 2 2 2 4" xfId="32463" xr:uid="{AEB45EC4-D087-476B-92CF-1DAFDDCCC73C}"/>
    <cellStyle name="40% - Accent3 15 2 2 3" xfId="13024" xr:uid="{00000000-0005-0000-0000-0000513A0000}"/>
    <cellStyle name="40% - Accent3 15 2 2 3 2" xfId="36873" xr:uid="{33916CFC-9BF7-46D9-A646-7FF344A14CCC}"/>
    <cellStyle name="40% - Accent3 15 2 2 4" xfId="20979" xr:uid="{00000000-0005-0000-0000-0000523A0000}"/>
    <cellStyle name="40% - Accent3 15 2 2 4 2" xfId="44811" xr:uid="{65A777F0-8799-4994-93F6-E20D6D682738}"/>
    <cellStyle name="40% - Accent3 15 2 2 5" xfId="28932" xr:uid="{7E300B5B-9123-4B4B-BD42-86D80536454C}"/>
    <cellStyle name="40% - Accent3 15 2 3" xfId="6833" xr:uid="{00000000-0005-0000-0000-0000533A0000}"/>
    <cellStyle name="40% - Accent3 15 2 3 2" xfId="14804" xr:uid="{00000000-0005-0000-0000-0000543A0000}"/>
    <cellStyle name="40% - Accent3 15 2 3 2 2" xfId="38646" xr:uid="{1051C95B-DC07-4E2C-974D-3F9DE32F0B96}"/>
    <cellStyle name="40% - Accent3 15 2 3 3" xfId="22751" xr:uid="{00000000-0005-0000-0000-0000553A0000}"/>
    <cellStyle name="40% - Accent3 15 2 3 3 2" xfId="46583" xr:uid="{EEDB673B-FBCC-45F8-BBDB-5DCA988676B3}"/>
    <cellStyle name="40% - Accent3 15 2 3 4" xfId="30705" xr:uid="{C351BF88-8427-450E-A851-540070D96C57}"/>
    <cellStyle name="40% - Accent3 15 2 4" xfId="11268" xr:uid="{00000000-0005-0000-0000-0000563A0000}"/>
    <cellStyle name="40% - Accent3 15 2 4 2" xfId="35117" xr:uid="{2E1F7FB1-E2FA-497B-B1BF-D392F055FE30}"/>
    <cellStyle name="40% - Accent3 15 2 5" xfId="19223" xr:uid="{00000000-0005-0000-0000-0000573A0000}"/>
    <cellStyle name="40% - Accent3 15 2 5 2" xfId="43055" xr:uid="{7A911C76-DBA6-420E-8DCE-05394107EC83}"/>
    <cellStyle name="40% - Accent3 15 2 6" xfId="27175" xr:uid="{D1D4B29E-A001-4638-AE7D-FCA513E4CC6F}"/>
    <cellStyle name="40% - Accent3 15 2_Exh G" xfId="2963" xr:uid="{00000000-0005-0000-0000-0000583A0000}"/>
    <cellStyle name="40% - Accent3 15 3" xfId="4122" xr:uid="{00000000-0005-0000-0000-0000593A0000}"/>
    <cellStyle name="40% - Accent3 15 3 2" xfId="7714" xr:uid="{00000000-0005-0000-0000-00005A3A0000}"/>
    <cellStyle name="40% - Accent3 15 3 2 2" xfId="15684" xr:uid="{00000000-0005-0000-0000-00005B3A0000}"/>
    <cellStyle name="40% - Accent3 15 3 2 2 2" xfId="39526" xr:uid="{A4D1C3B7-0231-49A7-959F-68999D959F51}"/>
    <cellStyle name="40% - Accent3 15 3 2 3" xfId="23630" xr:uid="{00000000-0005-0000-0000-00005C3A0000}"/>
    <cellStyle name="40% - Accent3 15 3 2 3 2" xfId="47462" xr:uid="{D14CB2B5-4A0B-459A-8E52-D95BD591539E}"/>
    <cellStyle name="40% - Accent3 15 3 2 4" xfId="31585" xr:uid="{3A899E47-32C7-458F-B0CE-CDC7455EEF0B}"/>
    <cellStyle name="40% - Accent3 15 3 3" xfId="12146" xr:uid="{00000000-0005-0000-0000-00005D3A0000}"/>
    <cellStyle name="40% - Accent3 15 3 3 2" xfId="35995" xr:uid="{0A0B8FA5-7940-494D-9FD6-13B6AA097E83}"/>
    <cellStyle name="40% - Accent3 15 3 4" xfId="20101" xr:uid="{00000000-0005-0000-0000-00005E3A0000}"/>
    <cellStyle name="40% - Accent3 15 3 4 2" xfId="43933" xr:uid="{255752D0-6B0D-4EBC-B1EA-266492368E32}"/>
    <cellStyle name="40% - Accent3 15 3 5" xfId="28054" xr:uid="{F75186E6-0675-4706-8AC8-B32E7EB6FD54}"/>
    <cellStyle name="40% - Accent3 15 4" xfId="5942" xr:uid="{00000000-0005-0000-0000-00005F3A0000}"/>
    <cellStyle name="40% - Accent3 15 4 2" xfId="13925" xr:uid="{00000000-0005-0000-0000-0000603A0000}"/>
    <cellStyle name="40% - Accent3 15 4 2 2" xfId="37768" xr:uid="{2B9E15FA-AB63-4303-82E5-CB0EBA97F95B}"/>
    <cellStyle name="40% - Accent3 15 4 3" xfId="21873" xr:uid="{00000000-0005-0000-0000-0000613A0000}"/>
    <cellStyle name="40% - Accent3 15 4 3 2" xfId="45705" xr:uid="{80C59D2D-4073-41CC-B10C-C17D99157B05}"/>
    <cellStyle name="40% - Accent3 15 4 4" xfId="29827" xr:uid="{4260F208-B198-4ED7-B12E-281EBB1742BC}"/>
    <cellStyle name="40% - Accent3 15 5" xfId="9494" xr:uid="{00000000-0005-0000-0000-0000623A0000}"/>
    <cellStyle name="40% - Accent3 15 5 2" xfId="17452" xr:uid="{00000000-0005-0000-0000-0000633A0000}"/>
    <cellStyle name="40% - Accent3 15 5 2 2" xfId="41292" xr:uid="{19FEA6D8-8456-49D3-A869-4DE2C6BE5810}"/>
    <cellStyle name="40% - Accent3 15 5 3" xfId="25396" xr:uid="{00000000-0005-0000-0000-0000643A0000}"/>
    <cellStyle name="40% - Accent3 15 5 3 2" xfId="49228" xr:uid="{5E59979B-5978-494A-8D7E-24228FCE4BC0}"/>
    <cellStyle name="40% - Accent3 15 5 4" xfId="33351" xr:uid="{BA4FB271-FE89-4996-8290-C42C77614978}"/>
    <cellStyle name="40% - Accent3 15 6" xfId="10390" xr:uid="{00000000-0005-0000-0000-0000653A0000}"/>
    <cellStyle name="40% - Accent3 15 6 2" xfId="34239" xr:uid="{6414D527-02AE-46B7-BC65-BC8493D8838D}"/>
    <cellStyle name="40% - Accent3 15 7" xfId="18345" xr:uid="{00000000-0005-0000-0000-0000663A0000}"/>
    <cellStyle name="40% - Accent3 15 7 2" xfId="42177" xr:uid="{C58DF456-73C7-4A58-BB5E-0D3480E80FC8}"/>
    <cellStyle name="40% - Accent3 15 8" xfId="26297" xr:uid="{6A522C98-A31D-4FFD-8923-E45B7734DE20}"/>
    <cellStyle name="40% - Accent3 15_Exh G" xfId="2962" xr:uid="{00000000-0005-0000-0000-0000673A0000}"/>
    <cellStyle name="40% - Accent3 16" xfId="848" xr:uid="{00000000-0005-0000-0000-0000683A0000}"/>
    <cellStyle name="40% - Accent3 16 2" xfId="1783" xr:uid="{00000000-0005-0000-0000-0000693A0000}"/>
    <cellStyle name="40% - Accent3 16 2 2" xfId="5303" xr:uid="{00000000-0005-0000-0000-00006A3A0000}"/>
    <cellStyle name="40% - Accent3 16 2 2 2" xfId="8894" xr:uid="{00000000-0005-0000-0000-00006B3A0000}"/>
    <cellStyle name="40% - Accent3 16 2 2 2 2" xfId="16864" xr:uid="{00000000-0005-0000-0000-00006C3A0000}"/>
    <cellStyle name="40% - Accent3 16 2 2 2 2 2" xfId="40706" xr:uid="{C00246A6-7E8E-4667-B4AF-7BA41B586E7E}"/>
    <cellStyle name="40% - Accent3 16 2 2 2 3" xfId="24810" xr:uid="{00000000-0005-0000-0000-00006D3A0000}"/>
    <cellStyle name="40% - Accent3 16 2 2 2 3 2" xfId="48642" xr:uid="{F6FD2929-E683-401D-87C5-274DD0670086}"/>
    <cellStyle name="40% - Accent3 16 2 2 2 4" xfId="32765" xr:uid="{9A158853-A394-4850-A2F0-251A6D2A32FA}"/>
    <cellStyle name="40% - Accent3 16 2 2 3" xfId="13326" xr:uid="{00000000-0005-0000-0000-00006E3A0000}"/>
    <cellStyle name="40% - Accent3 16 2 2 3 2" xfId="37175" xr:uid="{9BC83367-BC56-4514-BC54-EB3FB15265E5}"/>
    <cellStyle name="40% - Accent3 16 2 2 4" xfId="21281" xr:uid="{00000000-0005-0000-0000-00006F3A0000}"/>
    <cellStyle name="40% - Accent3 16 2 2 4 2" xfId="45113" xr:uid="{A8B68BC7-CE3C-4E69-ADB8-E3ADA3684124}"/>
    <cellStyle name="40% - Accent3 16 2 2 5" xfId="29234" xr:uid="{04D7B683-83D1-424E-8D4B-CCB52FDA61C9}"/>
    <cellStyle name="40% - Accent3 16 2 3" xfId="7135" xr:uid="{00000000-0005-0000-0000-0000703A0000}"/>
    <cellStyle name="40% - Accent3 16 2 3 2" xfId="15106" xr:uid="{00000000-0005-0000-0000-0000713A0000}"/>
    <cellStyle name="40% - Accent3 16 2 3 2 2" xfId="38948" xr:uid="{847680C3-31A1-4D4F-9B1F-FB592CF49D77}"/>
    <cellStyle name="40% - Accent3 16 2 3 3" xfId="23053" xr:uid="{00000000-0005-0000-0000-0000723A0000}"/>
    <cellStyle name="40% - Accent3 16 2 3 3 2" xfId="46885" xr:uid="{A0B5083E-BB28-4D34-BBE1-38FA8E9BF984}"/>
    <cellStyle name="40% - Accent3 16 2 3 4" xfId="31007" xr:uid="{49F85900-9B4E-4DAD-9B70-872E7BCB1456}"/>
    <cellStyle name="40% - Accent3 16 2 4" xfId="11570" xr:uid="{00000000-0005-0000-0000-0000733A0000}"/>
    <cellStyle name="40% - Accent3 16 2 4 2" xfId="35419" xr:uid="{826E88CF-E929-4B78-9ADA-E7B773FFFF99}"/>
    <cellStyle name="40% - Accent3 16 2 5" xfId="19525" xr:uid="{00000000-0005-0000-0000-0000743A0000}"/>
    <cellStyle name="40% - Accent3 16 2 5 2" xfId="43357" xr:uid="{A6F0EB9D-5C11-44CF-AEC4-692DDB7DE294}"/>
    <cellStyle name="40% - Accent3 16 2 6" xfId="27477" xr:uid="{7251BE49-863C-470D-BF9F-86F422A67108}"/>
    <cellStyle name="40% - Accent3 16 2_Exh G" xfId="2965" xr:uid="{00000000-0005-0000-0000-0000753A0000}"/>
    <cellStyle name="40% - Accent3 16 3" xfId="4424" xr:uid="{00000000-0005-0000-0000-0000763A0000}"/>
    <cellStyle name="40% - Accent3 16 3 2" xfId="8016" xr:uid="{00000000-0005-0000-0000-0000773A0000}"/>
    <cellStyle name="40% - Accent3 16 3 2 2" xfId="15986" xr:uid="{00000000-0005-0000-0000-0000783A0000}"/>
    <cellStyle name="40% - Accent3 16 3 2 2 2" xfId="39828" xr:uid="{C46C76FA-653A-41B3-AF33-5025A8EC4985}"/>
    <cellStyle name="40% - Accent3 16 3 2 3" xfId="23932" xr:uid="{00000000-0005-0000-0000-0000793A0000}"/>
    <cellStyle name="40% - Accent3 16 3 2 3 2" xfId="47764" xr:uid="{F2AF127B-CBAE-4960-B70E-BD9193CA6DC2}"/>
    <cellStyle name="40% - Accent3 16 3 2 4" xfId="31887" xr:uid="{82B8B9F9-0A7D-49A7-8D8F-91168BF1AFDC}"/>
    <cellStyle name="40% - Accent3 16 3 3" xfId="12448" xr:uid="{00000000-0005-0000-0000-00007A3A0000}"/>
    <cellStyle name="40% - Accent3 16 3 3 2" xfId="36297" xr:uid="{488FBD45-AB32-4587-884D-7A6D275ABCC4}"/>
    <cellStyle name="40% - Accent3 16 3 4" xfId="20403" xr:uid="{00000000-0005-0000-0000-00007B3A0000}"/>
    <cellStyle name="40% - Accent3 16 3 4 2" xfId="44235" xr:uid="{DCDB982A-F2DB-4657-816B-4922A4E3D031}"/>
    <cellStyle name="40% - Accent3 16 3 5" xfId="28356" xr:uid="{B035E3F1-B1A6-4ABA-891B-4D293A732C68}"/>
    <cellStyle name="40% - Accent3 16 4" xfId="6254" xr:uid="{00000000-0005-0000-0000-00007C3A0000}"/>
    <cellStyle name="40% - Accent3 16 4 2" xfId="14228" xr:uid="{00000000-0005-0000-0000-00007D3A0000}"/>
    <cellStyle name="40% - Accent3 16 4 2 2" xfId="38070" xr:uid="{402802C7-D1D0-442A-9CDC-05D1936008D3}"/>
    <cellStyle name="40% - Accent3 16 4 3" xfId="22175" xr:uid="{00000000-0005-0000-0000-00007E3A0000}"/>
    <cellStyle name="40% - Accent3 16 4 3 2" xfId="46007" xr:uid="{1970E9D0-902C-4BDB-A54F-7B0FD4E4E42F}"/>
    <cellStyle name="40% - Accent3 16 4 4" xfId="30129" xr:uid="{D813B370-7E2B-4F7F-944F-369648BDB02A}"/>
    <cellStyle name="40% - Accent3 16 5" xfId="9796" xr:uid="{00000000-0005-0000-0000-00007F3A0000}"/>
    <cellStyle name="40% - Accent3 16 5 2" xfId="17754" xr:uid="{00000000-0005-0000-0000-0000803A0000}"/>
    <cellStyle name="40% - Accent3 16 5 2 2" xfId="41594" xr:uid="{B7490AAF-851C-4196-9E41-C6082AFAFA27}"/>
    <cellStyle name="40% - Accent3 16 5 3" xfId="25698" xr:uid="{00000000-0005-0000-0000-0000813A0000}"/>
    <cellStyle name="40% - Accent3 16 5 3 2" xfId="49530" xr:uid="{52D35C39-FB9A-4058-AB53-B547A3173399}"/>
    <cellStyle name="40% - Accent3 16 5 4" xfId="33653" xr:uid="{4F385817-30EA-4764-81B1-05965244F0AD}"/>
    <cellStyle name="40% - Accent3 16 6" xfId="10692" xr:uid="{00000000-0005-0000-0000-0000823A0000}"/>
    <cellStyle name="40% - Accent3 16 6 2" xfId="34541" xr:uid="{CBADDE26-0D7F-43FD-B5DF-712CC0E17895}"/>
    <cellStyle name="40% - Accent3 16 7" xfId="18647" xr:uid="{00000000-0005-0000-0000-0000833A0000}"/>
    <cellStyle name="40% - Accent3 16 7 2" xfId="42479" xr:uid="{46193FFC-290F-4849-9341-C07AD8236B91}"/>
    <cellStyle name="40% - Accent3 16 8" xfId="26599" xr:uid="{260C1336-D9C4-4DC7-BF8E-884CA3689D4A}"/>
    <cellStyle name="40% - Accent3 16_Exh G" xfId="2964" xr:uid="{00000000-0005-0000-0000-0000843A0000}"/>
    <cellStyle name="40% - Accent3 17" xfId="49788" xr:uid="{B5A0FDEE-3C92-4941-950E-9F4541255B67}"/>
    <cellStyle name="40% - Accent3 18" xfId="49828" xr:uid="{4BF84331-B3E6-48AD-9E6C-B74C0D149D2E}"/>
    <cellStyle name="40% - Accent3 2" xfId="449" xr:uid="{00000000-0005-0000-0000-0000853A0000}"/>
    <cellStyle name="40% - Accent3 2 10" xfId="18346" xr:uid="{00000000-0005-0000-0000-0000863A0000}"/>
    <cellStyle name="40% - Accent3 2 10 2" xfId="42178" xr:uid="{7A2B3FE4-B290-4600-B073-C503C513786D}"/>
    <cellStyle name="40% - Accent3 2 11" xfId="26298" xr:uid="{A7E8C0D5-F0C0-42AF-8378-4D421BAED0FB}"/>
    <cellStyle name="40% - Accent3 2 12" xfId="49773" xr:uid="{4085C49D-FE00-49C5-8B1B-9EE9C3396E0A}"/>
    <cellStyle name="40% - Accent3 2 13" xfId="49801" xr:uid="{7C300A7D-4D9D-4390-B3D5-8A3F5265E0B3}"/>
    <cellStyle name="40% - Accent3 2 14" xfId="49842" xr:uid="{7D0DF1D4-680D-4752-9644-44106F53D062}"/>
    <cellStyle name="40% - Accent3 2 2" xfId="450" xr:uid="{00000000-0005-0000-0000-0000873A0000}"/>
    <cellStyle name="40% - Accent3 2 2 10" xfId="26299" xr:uid="{7D48DA43-DD1C-4FC8-A570-9BA14E71EF48}"/>
    <cellStyle name="40% - Accent3 2 2 2" xfId="451" xr:uid="{00000000-0005-0000-0000-0000883A0000}"/>
    <cellStyle name="40% - Accent3 2 2 2 2" xfId="1477" xr:uid="{00000000-0005-0000-0000-0000893A0000}"/>
    <cellStyle name="40% - Accent3 2 2 2 2 2" xfId="5004" xr:uid="{00000000-0005-0000-0000-00008A3A0000}"/>
    <cellStyle name="40% - Accent3 2 2 2 2 2 2" xfId="8595" xr:uid="{00000000-0005-0000-0000-00008B3A0000}"/>
    <cellStyle name="40% - Accent3 2 2 2 2 2 2 2" xfId="16565" xr:uid="{00000000-0005-0000-0000-00008C3A0000}"/>
    <cellStyle name="40% - Accent3 2 2 2 2 2 2 2 2" xfId="40407" xr:uid="{ADCE7281-6F28-46E3-8152-27AB6C0C7409}"/>
    <cellStyle name="40% - Accent3 2 2 2 2 2 2 3" xfId="24511" xr:uid="{00000000-0005-0000-0000-00008D3A0000}"/>
    <cellStyle name="40% - Accent3 2 2 2 2 2 2 3 2" xfId="48343" xr:uid="{859B4CA4-5C8F-4FF6-AB23-7B6C8CA8DBCE}"/>
    <cellStyle name="40% - Accent3 2 2 2 2 2 2 4" xfId="32466" xr:uid="{B71BE78A-787D-4CD5-928C-688974FD787F}"/>
    <cellStyle name="40% - Accent3 2 2 2 2 2 3" xfId="13027" xr:uid="{00000000-0005-0000-0000-00008E3A0000}"/>
    <cellStyle name="40% - Accent3 2 2 2 2 2 3 2" xfId="36876" xr:uid="{AACD2DBF-BC87-4111-96EE-2A1759297FF3}"/>
    <cellStyle name="40% - Accent3 2 2 2 2 2 4" xfId="20982" xr:uid="{00000000-0005-0000-0000-00008F3A0000}"/>
    <cellStyle name="40% - Accent3 2 2 2 2 2 4 2" xfId="44814" xr:uid="{67335228-AF7F-416F-A8CD-1B1C8984E046}"/>
    <cellStyle name="40% - Accent3 2 2 2 2 2 5" xfId="28935" xr:uid="{5552ED23-20BA-4255-8CA8-FE9796663671}"/>
    <cellStyle name="40% - Accent3 2 2 2 2 3" xfId="6836" xr:uid="{00000000-0005-0000-0000-0000903A0000}"/>
    <cellStyle name="40% - Accent3 2 2 2 2 3 2" xfId="14807" xr:uid="{00000000-0005-0000-0000-0000913A0000}"/>
    <cellStyle name="40% - Accent3 2 2 2 2 3 2 2" xfId="38649" xr:uid="{6CC10204-B634-4AFB-8F00-A4B1132BAA93}"/>
    <cellStyle name="40% - Accent3 2 2 2 2 3 3" xfId="22754" xr:uid="{00000000-0005-0000-0000-0000923A0000}"/>
    <cellStyle name="40% - Accent3 2 2 2 2 3 3 2" xfId="46586" xr:uid="{466C78E7-8669-40FE-B533-555250AF4848}"/>
    <cellStyle name="40% - Accent3 2 2 2 2 3 4" xfId="30708" xr:uid="{D0C000A1-1E0F-4A74-921E-F7C8E9CF5E29}"/>
    <cellStyle name="40% - Accent3 2 2 2 2 4" xfId="11271" xr:uid="{00000000-0005-0000-0000-0000933A0000}"/>
    <cellStyle name="40% - Accent3 2 2 2 2 4 2" xfId="35120" xr:uid="{4B1024AC-8AC6-4E94-A5D8-36EDC57A2958}"/>
    <cellStyle name="40% - Accent3 2 2 2 2 5" xfId="19226" xr:uid="{00000000-0005-0000-0000-0000943A0000}"/>
    <cellStyle name="40% - Accent3 2 2 2 2 5 2" xfId="43058" xr:uid="{649AB02B-F385-441C-81C2-27190274CAC3}"/>
    <cellStyle name="40% - Accent3 2 2 2 2 6" xfId="27178" xr:uid="{F3C6840D-4281-4870-BEF5-D4AF9D815C21}"/>
    <cellStyle name="40% - Accent3 2 2 2 2_Exh G" xfId="2969" xr:uid="{00000000-0005-0000-0000-0000953A0000}"/>
    <cellStyle name="40% - Accent3 2 2 2 3" xfId="4125" xr:uid="{00000000-0005-0000-0000-0000963A0000}"/>
    <cellStyle name="40% - Accent3 2 2 2 3 2" xfId="7717" xr:uid="{00000000-0005-0000-0000-0000973A0000}"/>
    <cellStyle name="40% - Accent3 2 2 2 3 2 2" xfId="15687" xr:uid="{00000000-0005-0000-0000-0000983A0000}"/>
    <cellStyle name="40% - Accent3 2 2 2 3 2 2 2" xfId="39529" xr:uid="{C263BD32-78A6-4F1F-9DDC-90847D8F54C6}"/>
    <cellStyle name="40% - Accent3 2 2 2 3 2 3" xfId="23633" xr:uid="{00000000-0005-0000-0000-0000993A0000}"/>
    <cellStyle name="40% - Accent3 2 2 2 3 2 3 2" xfId="47465" xr:uid="{CB5294B1-D976-4726-9AA2-8BCCE5F4DD93}"/>
    <cellStyle name="40% - Accent3 2 2 2 3 2 4" xfId="31588" xr:uid="{3FDFD176-D9E2-4392-9C20-D89BE6FB9381}"/>
    <cellStyle name="40% - Accent3 2 2 2 3 3" xfId="12149" xr:uid="{00000000-0005-0000-0000-00009A3A0000}"/>
    <cellStyle name="40% - Accent3 2 2 2 3 3 2" xfId="35998" xr:uid="{C0B14F54-4382-4F7F-9122-ADBAEB481CFB}"/>
    <cellStyle name="40% - Accent3 2 2 2 3 4" xfId="20104" xr:uid="{00000000-0005-0000-0000-00009B3A0000}"/>
    <cellStyle name="40% - Accent3 2 2 2 3 4 2" xfId="43936" xr:uid="{6C45C45B-3850-4BE3-B49B-28CFD6CB860D}"/>
    <cellStyle name="40% - Accent3 2 2 2 3 5" xfId="28057" xr:uid="{6E1AD0D5-15D5-43BE-A25F-89BAA6669C10}"/>
    <cellStyle name="40% - Accent3 2 2 2 4" xfId="5945" xr:uid="{00000000-0005-0000-0000-00009C3A0000}"/>
    <cellStyle name="40% - Accent3 2 2 2 4 2" xfId="13928" xr:uid="{00000000-0005-0000-0000-00009D3A0000}"/>
    <cellStyle name="40% - Accent3 2 2 2 4 2 2" xfId="37771" xr:uid="{8D73D9B6-EE58-499D-8FC6-6BA6A971F1F2}"/>
    <cellStyle name="40% - Accent3 2 2 2 4 3" xfId="21876" xr:uid="{00000000-0005-0000-0000-00009E3A0000}"/>
    <cellStyle name="40% - Accent3 2 2 2 4 3 2" xfId="45708" xr:uid="{B5F4DE68-21AB-47EC-A5B1-84844899A91B}"/>
    <cellStyle name="40% - Accent3 2 2 2 4 4" xfId="29830" xr:uid="{BEDE1A66-5FFB-43EA-A0D8-1D135CAA0242}"/>
    <cellStyle name="40% - Accent3 2 2 2 5" xfId="9497" xr:uid="{00000000-0005-0000-0000-00009F3A0000}"/>
    <cellStyle name="40% - Accent3 2 2 2 5 2" xfId="17455" xr:uid="{00000000-0005-0000-0000-0000A03A0000}"/>
    <cellStyle name="40% - Accent3 2 2 2 5 2 2" xfId="41295" xr:uid="{816C1C03-B1C8-4248-B416-A563AE37FCCB}"/>
    <cellStyle name="40% - Accent3 2 2 2 5 3" xfId="25399" xr:uid="{00000000-0005-0000-0000-0000A13A0000}"/>
    <cellStyle name="40% - Accent3 2 2 2 5 3 2" xfId="49231" xr:uid="{61B429D2-3A8F-4723-8B0C-1F642B97567A}"/>
    <cellStyle name="40% - Accent3 2 2 2 5 4" xfId="33354" xr:uid="{A149798B-A0C7-4FE3-BD19-888F0F304E92}"/>
    <cellStyle name="40% - Accent3 2 2 2 6" xfId="10393" xr:uid="{00000000-0005-0000-0000-0000A23A0000}"/>
    <cellStyle name="40% - Accent3 2 2 2 6 2" xfId="34242" xr:uid="{5A067A69-98AC-4FEF-9315-6188375B3A9C}"/>
    <cellStyle name="40% - Accent3 2 2 2 7" xfId="18348" xr:uid="{00000000-0005-0000-0000-0000A33A0000}"/>
    <cellStyle name="40% - Accent3 2 2 2 7 2" xfId="42180" xr:uid="{ABBA2932-FF6C-4655-BC77-C3CD5968EB2F}"/>
    <cellStyle name="40% - Accent3 2 2 2 8" xfId="26300" xr:uid="{B779F9D0-A486-45D9-9071-AD33937BA10F}"/>
    <cellStyle name="40% - Accent3 2 2 2_Exh G" xfId="2968" xr:uid="{00000000-0005-0000-0000-0000A43A0000}"/>
    <cellStyle name="40% - Accent3 2 2 3" xfId="957" xr:uid="{00000000-0005-0000-0000-0000A53A0000}"/>
    <cellStyle name="40% - Accent3 2 2 3 2" xfId="1873" xr:uid="{00000000-0005-0000-0000-0000A63A0000}"/>
    <cellStyle name="40% - Accent3 2 2 3 2 2" xfId="5390" xr:uid="{00000000-0005-0000-0000-0000A73A0000}"/>
    <cellStyle name="40% - Accent3 2 2 3 2 2 2" xfId="8981" xr:uid="{00000000-0005-0000-0000-0000A83A0000}"/>
    <cellStyle name="40% - Accent3 2 2 3 2 2 2 2" xfId="16951" xr:uid="{00000000-0005-0000-0000-0000A93A0000}"/>
    <cellStyle name="40% - Accent3 2 2 3 2 2 2 2 2" xfId="40793" xr:uid="{C33510FC-5D48-4FD7-93FE-AD2AA36B697D}"/>
    <cellStyle name="40% - Accent3 2 2 3 2 2 2 3" xfId="24897" xr:uid="{00000000-0005-0000-0000-0000AA3A0000}"/>
    <cellStyle name="40% - Accent3 2 2 3 2 2 2 3 2" xfId="48729" xr:uid="{9AC6BBC4-044E-448C-9B5B-0CCDD2E716D5}"/>
    <cellStyle name="40% - Accent3 2 2 3 2 2 2 4" xfId="32852" xr:uid="{17A2C1BD-A671-437E-9386-2EDA86085986}"/>
    <cellStyle name="40% - Accent3 2 2 3 2 2 3" xfId="13413" xr:uid="{00000000-0005-0000-0000-0000AB3A0000}"/>
    <cellStyle name="40% - Accent3 2 2 3 2 2 3 2" xfId="37262" xr:uid="{3645D12E-561E-4816-B50A-E83B85DAC5F2}"/>
    <cellStyle name="40% - Accent3 2 2 3 2 2 4" xfId="21368" xr:uid="{00000000-0005-0000-0000-0000AC3A0000}"/>
    <cellStyle name="40% - Accent3 2 2 3 2 2 4 2" xfId="45200" xr:uid="{392E8F05-52D8-4ECB-81FE-E0DC2957F684}"/>
    <cellStyle name="40% - Accent3 2 2 3 2 2 5" xfId="29321" xr:uid="{AF2EEAC0-9B35-4F4B-8A9B-58258EEE2F85}"/>
    <cellStyle name="40% - Accent3 2 2 3 2 3" xfId="7222" xr:uid="{00000000-0005-0000-0000-0000AD3A0000}"/>
    <cellStyle name="40% - Accent3 2 2 3 2 3 2" xfId="15193" xr:uid="{00000000-0005-0000-0000-0000AE3A0000}"/>
    <cellStyle name="40% - Accent3 2 2 3 2 3 2 2" xfId="39035" xr:uid="{AB3070BA-7EA1-4D9A-85B8-48FC172B14CD}"/>
    <cellStyle name="40% - Accent3 2 2 3 2 3 3" xfId="23140" xr:uid="{00000000-0005-0000-0000-0000AF3A0000}"/>
    <cellStyle name="40% - Accent3 2 2 3 2 3 3 2" xfId="46972" xr:uid="{BAE6A505-B8DB-4CA8-8CEB-C495C677E298}"/>
    <cellStyle name="40% - Accent3 2 2 3 2 3 4" xfId="31094" xr:uid="{D8DF29FF-BE79-4656-8160-7D8DA79FC4E9}"/>
    <cellStyle name="40% - Accent3 2 2 3 2 4" xfId="11657" xr:uid="{00000000-0005-0000-0000-0000B03A0000}"/>
    <cellStyle name="40% - Accent3 2 2 3 2 4 2" xfId="35506" xr:uid="{22373061-D192-416F-846D-37C4AF9F2337}"/>
    <cellStyle name="40% - Accent3 2 2 3 2 5" xfId="19612" xr:uid="{00000000-0005-0000-0000-0000B13A0000}"/>
    <cellStyle name="40% - Accent3 2 2 3 2 5 2" xfId="43444" xr:uid="{CAA2DEBD-ED19-4D4E-8C40-E4CC65932EB1}"/>
    <cellStyle name="40% - Accent3 2 2 3 2 6" xfId="27564" xr:uid="{FCE4F190-391A-432F-BD72-3D15D92A0375}"/>
    <cellStyle name="40% - Accent3 2 2 3 2_Exh G" xfId="2971" xr:uid="{00000000-0005-0000-0000-0000B23A0000}"/>
    <cellStyle name="40% - Accent3 2 2 3 3" xfId="4511" xr:uid="{00000000-0005-0000-0000-0000B33A0000}"/>
    <cellStyle name="40% - Accent3 2 2 3 3 2" xfId="8103" xr:uid="{00000000-0005-0000-0000-0000B43A0000}"/>
    <cellStyle name="40% - Accent3 2 2 3 3 2 2" xfId="16073" xr:uid="{00000000-0005-0000-0000-0000B53A0000}"/>
    <cellStyle name="40% - Accent3 2 2 3 3 2 2 2" xfId="39915" xr:uid="{C7CFF903-1CE9-4C8C-B757-4D6CF715D5C8}"/>
    <cellStyle name="40% - Accent3 2 2 3 3 2 3" xfId="24019" xr:uid="{00000000-0005-0000-0000-0000B63A0000}"/>
    <cellStyle name="40% - Accent3 2 2 3 3 2 3 2" xfId="47851" xr:uid="{A2220823-7BB6-495A-8277-1A7296654717}"/>
    <cellStyle name="40% - Accent3 2 2 3 3 2 4" xfId="31974" xr:uid="{8EE633D3-C334-457E-AB52-B92C6A94EE61}"/>
    <cellStyle name="40% - Accent3 2 2 3 3 3" xfId="12535" xr:uid="{00000000-0005-0000-0000-0000B73A0000}"/>
    <cellStyle name="40% - Accent3 2 2 3 3 3 2" xfId="36384" xr:uid="{ED5C498B-2466-4B22-AEF1-0EE592328615}"/>
    <cellStyle name="40% - Accent3 2 2 3 3 4" xfId="20490" xr:uid="{00000000-0005-0000-0000-0000B83A0000}"/>
    <cellStyle name="40% - Accent3 2 2 3 3 4 2" xfId="44322" xr:uid="{EB7ABD14-1A09-40B4-8198-0B25949576C6}"/>
    <cellStyle name="40% - Accent3 2 2 3 3 5" xfId="28443" xr:uid="{E3ECE1E7-09F4-498A-873D-1626841BD0C7}"/>
    <cellStyle name="40% - Accent3 2 2 3 4" xfId="6341" xr:uid="{00000000-0005-0000-0000-0000B93A0000}"/>
    <cellStyle name="40% - Accent3 2 2 3 4 2" xfId="14315" xr:uid="{00000000-0005-0000-0000-0000BA3A0000}"/>
    <cellStyle name="40% - Accent3 2 2 3 4 2 2" xfId="38157" xr:uid="{70C5B956-9521-4C9F-9118-ECEAA7BD6755}"/>
    <cellStyle name="40% - Accent3 2 2 3 4 3" xfId="22262" xr:uid="{00000000-0005-0000-0000-0000BB3A0000}"/>
    <cellStyle name="40% - Accent3 2 2 3 4 3 2" xfId="46094" xr:uid="{EAB37710-F226-4626-B820-4A7C18148683}"/>
    <cellStyle name="40% - Accent3 2 2 3 4 4" xfId="30216" xr:uid="{0882152C-E34B-40EC-B252-A6D7D3A2DB87}"/>
    <cellStyle name="40% - Accent3 2 2 3 5" xfId="9883" xr:uid="{00000000-0005-0000-0000-0000BC3A0000}"/>
    <cellStyle name="40% - Accent3 2 2 3 5 2" xfId="17841" xr:uid="{00000000-0005-0000-0000-0000BD3A0000}"/>
    <cellStyle name="40% - Accent3 2 2 3 5 2 2" xfId="41681" xr:uid="{D5F720F7-ED6B-4C91-B4ED-CBFC32B53D90}"/>
    <cellStyle name="40% - Accent3 2 2 3 5 3" xfId="25785" xr:uid="{00000000-0005-0000-0000-0000BE3A0000}"/>
    <cellStyle name="40% - Accent3 2 2 3 5 3 2" xfId="49617" xr:uid="{D261D20F-78B8-4978-950E-67564B837379}"/>
    <cellStyle name="40% - Accent3 2 2 3 5 4" xfId="33740" xr:uid="{8885A18C-2353-4D2D-AB67-01E3EE2D18AB}"/>
    <cellStyle name="40% - Accent3 2 2 3 6" xfId="10779" xr:uid="{00000000-0005-0000-0000-0000BF3A0000}"/>
    <cellStyle name="40% - Accent3 2 2 3 6 2" xfId="34628" xr:uid="{5DDBB17F-B1D6-4124-B6BB-C4C83F4C9E59}"/>
    <cellStyle name="40% - Accent3 2 2 3 7" xfId="18734" xr:uid="{00000000-0005-0000-0000-0000C03A0000}"/>
    <cellStyle name="40% - Accent3 2 2 3 7 2" xfId="42566" xr:uid="{142466A8-B9F5-4948-AB86-149C0513CE8F}"/>
    <cellStyle name="40% - Accent3 2 2 3 8" xfId="26686" xr:uid="{206602D6-6E46-4659-AF2A-777B36E1EE6C}"/>
    <cellStyle name="40% - Accent3 2 2 3_Exh G" xfId="2970" xr:uid="{00000000-0005-0000-0000-0000C13A0000}"/>
    <cellStyle name="40% - Accent3 2 2 4" xfId="1476" xr:uid="{00000000-0005-0000-0000-0000C23A0000}"/>
    <cellStyle name="40% - Accent3 2 2 4 2" xfId="5003" xr:uid="{00000000-0005-0000-0000-0000C33A0000}"/>
    <cellStyle name="40% - Accent3 2 2 4 2 2" xfId="8594" xr:uid="{00000000-0005-0000-0000-0000C43A0000}"/>
    <cellStyle name="40% - Accent3 2 2 4 2 2 2" xfId="16564" xr:uid="{00000000-0005-0000-0000-0000C53A0000}"/>
    <cellStyle name="40% - Accent3 2 2 4 2 2 2 2" xfId="40406" xr:uid="{6BEABD72-4234-4120-A3AD-EFFE10CCF6D8}"/>
    <cellStyle name="40% - Accent3 2 2 4 2 2 3" xfId="24510" xr:uid="{00000000-0005-0000-0000-0000C63A0000}"/>
    <cellStyle name="40% - Accent3 2 2 4 2 2 3 2" xfId="48342" xr:uid="{2B57C6A1-D164-4BA5-9634-7C3DCE075B91}"/>
    <cellStyle name="40% - Accent3 2 2 4 2 2 4" xfId="32465" xr:uid="{A7BBACC3-D0C5-47F6-8143-C4EEC25FBAD8}"/>
    <cellStyle name="40% - Accent3 2 2 4 2 3" xfId="13026" xr:uid="{00000000-0005-0000-0000-0000C73A0000}"/>
    <cellStyle name="40% - Accent3 2 2 4 2 3 2" xfId="36875" xr:uid="{66ADBAD3-4587-44E7-9590-85D0746C37FD}"/>
    <cellStyle name="40% - Accent3 2 2 4 2 4" xfId="20981" xr:uid="{00000000-0005-0000-0000-0000C83A0000}"/>
    <cellStyle name="40% - Accent3 2 2 4 2 4 2" xfId="44813" xr:uid="{EEDEA5CA-5886-400D-BCB3-4857517C83AE}"/>
    <cellStyle name="40% - Accent3 2 2 4 2 5" xfId="28934" xr:uid="{72A4D209-B309-4E01-B74D-8A7978A3F8E5}"/>
    <cellStyle name="40% - Accent3 2 2 4 3" xfId="6835" xr:uid="{00000000-0005-0000-0000-0000C93A0000}"/>
    <cellStyle name="40% - Accent3 2 2 4 3 2" xfId="14806" xr:uid="{00000000-0005-0000-0000-0000CA3A0000}"/>
    <cellStyle name="40% - Accent3 2 2 4 3 2 2" xfId="38648" xr:uid="{858A59F3-500C-4FE6-A0A9-CD16202AF61C}"/>
    <cellStyle name="40% - Accent3 2 2 4 3 3" xfId="22753" xr:uid="{00000000-0005-0000-0000-0000CB3A0000}"/>
    <cellStyle name="40% - Accent3 2 2 4 3 3 2" xfId="46585" xr:uid="{1DB4BD3F-A63D-42DB-8A07-FF1284AF4235}"/>
    <cellStyle name="40% - Accent3 2 2 4 3 4" xfId="30707" xr:uid="{C32CEFC2-DEB1-4611-B722-9C5136FE2052}"/>
    <cellStyle name="40% - Accent3 2 2 4 4" xfId="11270" xr:uid="{00000000-0005-0000-0000-0000CC3A0000}"/>
    <cellStyle name="40% - Accent3 2 2 4 4 2" xfId="35119" xr:uid="{079AE1AC-6991-47AD-9B5C-86698C2BF61A}"/>
    <cellStyle name="40% - Accent3 2 2 4 5" xfId="19225" xr:uid="{00000000-0005-0000-0000-0000CD3A0000}"/>
    <cellStyle name="40% - Accent3 2 2 4 5 2" xfId="43057" xr:uid="{34A286D4-E313-4592-A162-307204CF739D}"/>
    <cellStyle name="40% - Accent3 2 2 4 6" xfId="27177" xr:uid="{08057D1B-E4A7-4E96-A8C1-43D3943D58A5}"/>
    <cellStyle name="40% - Accent3 2 2 4_Exh G" xfId="2972" xr:uid="{00000000-0005-0000-0000-0000CE3A0000}"/>
    <cellStyle name="40% - Accent3 2 2 5" xfId="4124" xr:uid="{00000000-0005-0000-0000-0000CF3A0000}"/>
    <cellStyle name="40% - Accent3 2 2 5 2" xfId="7716" xr:uid="{00000000-0005-0000-0000-0000D03A0000}"/>
    <cellStyle name="40% - Accent3 2 2 5 2 2" xfId="15686" xr:uid="{00000000-0005-0000-0000-0000D13A0000}"/>
    <cellStyle name="40% - Accent3 2 2 5 2 2 2" xfId="39528" xr:uid="{38D54554-84A9-43CE-9EDC-F142F2B9FEF1}"/>
    <cellStyle name="40% - Accent3 2 2 5 2 3" xfId="23632" xr:uid="{00000000-0005-0000-0000-0000D23A0000}"/>
    <cellStyle name="40% - Accent3 2 2 5 2 3 2" xfId="47464" xr:uid="{3B27707F-5478-4F09-9F52-7D556DC312F6}"/>
    <cellStyle name="40% - Accent3 2 2 5 2 4" xfId="31587" xr:uid="{74A376AF-5B03-47DB-8901-08B73FCB6BAC}"/>
    <cellStyle name="40% - Accent3 2 2 5 3" xfId="12148" xr:uid="{00000000-0005-0000-0000-0000D33A0000}"/>
    <cellStyle name="40% - Accent3 2 2 5 3 2" xfId="35997" xr:uid="{6A16E0AF-7D2B-4414-BCE0-F494699305EC}"/>
    <cellStyle name="40% - Accent3 2 2 5 4" xfId="20103" xr:uid="{00000000-0005-0000-0000-0000D43A0000}"/>
    <cellStyle name="40% - Accent3 2 2 5 4 2" xfId="43935" xr:uid="{E3AEB532-A264-4ABA-B55C-1452DC8882CC}"/>
    <cellStyle name="40% - Accent3 2 2 5 5" xfId="28056" xr:uid="{5AECE65E-F272-4CA6-B05A-C8A850D67388}"/>
    <cellStyle name="40% - Accent3 2 2 6" xfId="5944" xr:uid="{00000000-0005-0000-0000-0000D53A0000}"/>
    <cellStyle name="40% - Accent3 2 2 6 2" xfId="13927" xr:uid="{00000000-0005-0000-0000-0000D63A0000}"/>
    <cellStyle name="40% - Accent3 2 2 6 2 2" xfId="37770" xr:uid="{D06C02E9-D11C-4C2B-A0F0-3C9F11C8E9FB}"/>
    <cellStyle name="40% - Accent3 2 2 6 3" xfId="21875" xr:uid="{00000000-0005-0000-0000-0000D73A0000}"/>
    <cellStyle name="40% - Accent3 2 2 6 3 2" xfId="45707" xr:uid="{3049EC53-994A-4EAC-A0CE-AB520FBC36B7}"/>
    <cellStyle name="40% - Accent3 2 2 6 4" xfId="29829" xr:uid="{301BA5BE-CA8B-4922-AFFD-B80F0398A8FD}"/>
    <cellStyle name="40% - Accent3 2 2 7" xfId="9496" xr:uid="{00000000-0005-0000-0000-0000D83A0000}"/>
    <cellStyle name="40% - Accent3 2 2 7 2" xfId="17454" xr:uid="{00000000-0005-0000-0000-0000D93A0000}"/>
    <cellStyle name="40% - Accent3 2 2 7 2 2" xfId="41294" xr:uid="{9BFD0686-B206-4204-B95F-B58DFE2285C6}"/>
    <cellStyle name="40% - Accent3 2 2 7 3" xfId="25398" xr:uid="{00000000-0005-0000-0000-0000DA3A0000}"/>
    <cellStyle name="40% - Accent3 2 2 7 3 2" xfId="49230" xr:uid="{4FC7DAA1-9BE9-469D-9345-D9AF6D3C5B8B}"/>
    <cellStyle name="40% - Accent3 2 2 7 4" xfId="33353" xr:uid="{173BFA41-8510-406B-93C7-50F688BC698A}"/>
    <cellStyle name="40% - Accent3 2 2 8" xfId="10392" xr:uid="{00000000-0005-0000-0000-0000DB3A0000}"/>
    <cellStyle name="40% - Accent3 2 2 8 2" xfId="34241" xr:uid="{5EE09E95-8013-4508-AC58-DA8A380F54BB}"/>
    <cellStyle name="40% - Accent3 2 2 9" xfId="18347" xr:uid="{00000000-0005-0000-0000-0000DC3A0000}"/>
    <cellStyle name="40% - Accent3 2 2 9 2" xfId="42179" xr:uid="{D9E93EEC-9050-4A3E-A7F7-B02CE7E3D0C3}"/>
    <cellStyle name="40% - Accent3 2 2_Exh G" xfId="2967" xr:uid="{00000000-0005-0000-0000-0000DD3A0000}"/>
    <cellStyle name="40% - Accent3 2 3" xfId="452" xr:uid="{00000000-0005-0000-0000-0000DE3A0000}"/>
    <cellStyle name="40% - Accent3 2 3 2" xfId="1478" xr:uid="{00000000-0005-0000-0000-0000DF3A0000}"/>
    <cellStyle name="40% - Accent3 2 3 2 2" xfId="5005" xr:uid="{00000000-0005-0000-0000-0000E03A0000}"/>
    <cellStyle name="40% - Accent3 2 3 2 2 2" xfId="8596" xr:uid="{00000000-0005-0000-0000-0000E13A0000}"/>
    <cellStyle name="40% - Accent3 2 3 2 2 2 2" xfId="16566" xr:uid="{00000000-0005-0000-0000-0000E23A0000}"/>
    <cellStyle name="40% - Accent3 2 3 2 2 2 2 2" xfId="40408" xr:uid="{0294EA6B-31E3-450A-8A4E-B249E986AC3B}"/>
    <cellStyle name="40% - Accent3 2 3 2 2 2 3" xfId="24512" xr:uid="{00000000-0005-0000-0000-0000E33A0000}"/>
    <cellStyle name="40% - Accent3 2 3 2 2 2 3 2" xfId="48344" xr:uid="{BFD53A17-C5F4-426D-8572-BEC81430F098}"/>
    <cellStyle name="40% - Accent3 2 3 2 2 2 4" xfId="32467" xr:uid="{F3B168F8-1023-43F3-BE82-D9388502BED6}"/>
    <cellStyle name="40% - Accent3 2 3 2 2 3" xfId="13028" xr:uid="{00000000-0005-0000-0000-0000E43A0000}"/>
    <cellStyle name="40% - Accent3 2 3 2 2 3 2" xfId="36877" xr:uid="{721FB7C1-12C6-40E8-A7BD-4D4437265747}"/>
    <cellStyle name="40% - Accent3 2 3 2 2 4" xfId="20983" xr:uid="{00000000-0005-0000-0000-0000E53A0000}"/>
    <cellStyle name="40% - Accent3 2 3 2 2 4 2" xfId="44815" xr:uid="{B7DFD727-49CE-462B-AC36-E2799E44FAB6}"/>
    <cellStyle name="40% - Accent3 2 3 2 2 5" xfId="28936" xr:uid="{9D12B387-5FF1-4923-A365-032CFBA4DF4A}"/>
    <cellStyle name="40% - Accent3 2 3 2 3" xfId="6837" xr:uid="{00000000-0005-0000-0000-0000E63A0000}"/>
    <cellStyle name="40% - Accent3 2 3 2 3 2" xfId="14808" xr:uid="{00000000-0005-0000-0000-0000E73A0000}"/>
    <cellStyle name="40% - Accent3 2 3 2 3 2 2" xfId="38650" xr:uid="{3A1F212D-BAC7-4902-AF50-40547F588CD1}"/>
    <cellStyle name="40% - Accent3 2 3 2 3 3" xfId="22755" xr:uid="{00000000-0005-0000-0000-0000E83A0000}"/>
    <cellStyle name="40% - Accent3 2 3 2 3 3 2" xfId="46587" xr:uid="{B4CCFD1C-C33B-4104-9198-1527CDF47F9B}"/>
    <cellStyle name="40% - Accent3 2 3 2 3 4" xfId="30709" xr:uid="{36AB1F0A-9C84-41C8-9B5B-ECEA51FC917A}"/>
    <cellStyle name="40% - Accent3 2 3 2 4" xfId="11272" xr:uid="{00000000-0005-0000-0000-0000E93A0000}"/>
    <cellStyle name="40% - Accent3 2 3 2 4 2" xfId="35121" xr:uid="{8AFA6D9B-371A-41D8-A9F2-34555B3D5D17}"/>
    <cellStyle name="40% - Accent3 2 3 2 5" xfId="19227" xr:uid="{00000000-0005-0000-0000-0000EA3A0000}"/>
    <cellStyle name="40% - Accent3 2 3 2 5 2" xfId="43059" xr:uid="{5A69EDB6-6DCE-4C85-A86D-3F67F254C390}"/>
    <cellStyle name="40% - Accent3 2 3 2 6" xfId="27179" xr:uid="{AFFCBD1A-D52C-458C-ABFE-834AE1756B17}"/>
    <cellStyle name="40% - Accent3 2 3 2_Exh G" xfId="2974" xr:uid="{00000000-0005-0000-0000-0000EB3A0000}"/>
    <cellStyle name="40% - Accent3 2 3 3" xfId="4126" xr:uid="{00000000-0005-0000-0000-0000EC3A0000}"/>
    <cellStyle name="40% - Accent3 2 3 3 2" xfId="7718" xr:uid="{00000000-0005-0000-0000-0000ED3A0000}"/>
    <cellStyle name="40% - Accent3 2 3 3 2 2" xfId="15688" xr:uid="{00000000-0005-0000-0000-0000EE3A0000}"/>
    <cellStyle name="40% - Accent3 2 3 3 2 2 2" xfId="39530" xr:uid="{E4F646F9-D6D0-430D-B471-A8E8C7FF2372}"/>
    <cellStyle name="40% - Accent3 2 3 3 2 3" xfId="23634" xr:uid="{00000000-0005-0000-0000-0000EF3A0000}"/>
    <cellStyle name="40% - Accent3 2 3 3 2 3 2" xfId="47466" xr:uid="{18322633-D754-492E-B125-5C84598D496E}"/>
    <cellStyle name="40% - Accent3 2 3 3 2 4" xfId="31589" xr:uid="{49D14A43-65BC-4411-91B6-4C1B65724134}"/>
    <cellStyle name="40% - Accent3 2 3 3 3" xfId="12150" xr:uid="{00000000-0005-0000-0000-0000F03A0000}"/>
    <cellStyle name="40% - Accent3 2 3 3 3 2" xfId="35999" xr:uid="{A3C217A5-B534-4159-9A6C-6B4D003C4213}"/>
    <cellStyle name="40% - Accent3 2 3 3 4" xfId="20105" xr:uid="{00000000-0005-0000-0000-0000F13A0000}"/>
    <cellStyle name="40% - Accent3 2 3 3 4 2" xfId="43937" xr:uid="{945E9BE4-369B-4B9B-B9E6-0ECE4F482C00}"/>
    <cellStyle name="40% - Accent3 2 3 3 5" xfId="28058" xr:uid="{D2CC25F3-753F-423F-9BF2-3A7C1DF58652}"/>
    <cellStyle name="40% - Accent3 2 3 4" xfId="5946" xr:uid="{00000000-0005-0000-0000-0000F23A0000}"/>
    <cellStyle name="40% - Accent3 2 3 4 2" xfId="13929" xr:uid="{00000000-0005-0000-0000-0000F33A0000}"/>
    <cellStyle name="40% - Accent3 2 3 4 2 2" xfId="37772" xr:uid="{0B6A40C8-2D56-4AF8-B12B-078271406EE2}"/>
    <cellStyle name="40% - Accent3 2 3 4 3" xfId="21877" xr:uid="{00000000-0005-0000-0000-0000F43A0000}"/>
    <cellStyle name="40% - Accent3 2 3 4 3 2" xfId="45709" xr:uid="{08C112D0-0D37-4F94-9D5F-D417DDCB5D75}"/>
    <cellStyle name="40% - Accent3 2 3 4 4" xfId="29831" xr:uid="{53E7F7FF-E53A-4B6C-BCD7-50DEDBF1733B}"/>
    <cellStyle name="40% - Accent3 2 3 5" xfId="9498" xr:uid="{00000000-0005-0000-0000-0000F53A0000}"/>
    <cellStyle name="40% - Accent3 2 3 5 2" xfId="17456" xr:uid="{00000000-0005-0000-0000-0000F63A0000}"/>
    <cellStyle name="40% - Accent3 2 3 5 2 2" xfId="41296" xr:uid="{5CA29F0C-4904-4D1B-8A81-18CDD92FBFF7}"/>
    <cellStyle name="40% - Accent3 2 3 5 3" xfId="25400" xr:uid="{00000000-0005-0000-0000-0000F73A0000}"/>
    <cellStyle name="40% - Accent3 2 3 5 3 2" xfId="49232" xr:uid="{C7F902B5-9795-4900-9FE2-49C917C1798C}"/>
    <cellStyle name="40% - Accent3 2 3 5 4" xfId="33355" xr:uid="{BE193C23-5853-4E05-8712-D407B15DDF00}"/>
    <cellStyle name="40% - Accent3 2 3 6" xfId="10394" xr:uid="{00000000-0005-0000-0000-0000F83A0000}"/>
    <cellStyle name="40% - Accent3 2 3 6 2" xfId="34243" xr:uid="{17B2FB13-96E4-4403-B1A3-C1F05F84B156}"/>
    <cellStyle name="40% - Accent3 2 3 7" xfId="18349" xr:uid="{00000000-0005-0000-0000-0000F93A0000}"/>
    <cellStyle name="40% - Accent3 2 3 7 2" xfId="42181" xr:uid="{9D020610-8E1D-4B8F-A350-73B10A33BF6C}"/>
    <cellStyle name="40% - Accent3 2 3 8" xfId="26301" xr:uid="{8E51D905-D830-4AF0-A09A-B33AE5740BDD}"/>
    <cellStyle name="40% - Accent3 2 3_Exh G" xfId="2973" xr:uid="{00000000-0005-0000-0000-0000FA3A0000}"/>
    <cellStyle name="40% - Accent3 2 4" xfId="956" xr:uid="{00000000-0005-0000-0000-0000FB3A0000}"/>
    <cellStyle name="40% - Accent3 2 4 2" xfId="1872" xr:uid="{00000000-0005-0000-0000-0000FC3A0000}"/>
    <cellStyle name="40% - Accent3 2 4 2 2" xfId="5389" xr:uid="{00000000-0005-0000-0000-0000FD3A0000}"/>
    <cellStyle name="40% - Accent3 2 4 2 2 2" xfId="8980" xr:uid="{00000000-0005-0000-0000-0000FE3A0000}"/>
    <cellStyle name="40% - Accent3 2 4 2 2 2 2" xfId="16950" xr:uid="{00000000-0005-0000-0000-0000FF3A0000}"/>
    <cellStyle name="40% - Accent3 2 4 2 2 2 2 2" xfId="40792" xr:uid="{3F596DF9-9117-484E-991D-CD4A7573423C}"/>
    <cellStyle name="40% - Accent3 2 4 2 2 2 3" xfId="24896" xr:uid="{00000000-0005-0000-0000-0000003B0000}"/>
    <cellStyle name="40% - Accent3 2 4 2 2 2 3 2" xfId="48728" xr:uid="{C8F833CE-3CA8-4509-BD87-7E235147B72F}"/>
    <cellStyle name="40% - Accent3 2 4 2 2 2 4" xfId="32851" xr:uid="{6BAC8680-054C-45B8-941C-F2E8085A6978}"/>
    <cellStyle name="40% - Accent3 2 4 2 2 3" xfId="13412" xr:uid="{00000000-0005-0000-0000-0000013B0000}"/>
    <cellStyle name="40% - Accent3 2 4 2 2 3 2" xfId="37261" xr:uid="{450DDEDA-9AA3-47BB-9650-AC31DEBF5BAE}"/>
    <cellStyle name="40% - Accent3 2 4 2 2 4" xfId="21367" xr:uid="{00000000-0005-0000-0000-0000023B0000}"/>
    <cellStyle name="40% - Accent3 2 4 2 2 4 2" xfId="45199" xr:uid="{A03D2543-B4E3-429A-B50C-B8987B079FA3}"/>
    <cellStyle name="40% - Accent3 2 4 2 2 5" xfId="29320" xr:uid="{E5438105-E04C-4837-B8A3-CA6125FE749A}"/>
    <cellStyle name="40% - Accent3 2 4 2 3" xfId="7221" xr:uid="{00000000-0005-0000-0000-0000033B0000}"/>
    <cellStyle name="40% - Accent3 2 4 2 3 2" xfId="15192" xr:uid="{00000000-0005-0000-0000-0000043B0000}"/>
    <cellStyle name="40% - Accent3 2 4 2 3 2 2" xfId="39034" xr:uid="{BCA5E0B8-2706-41B4-8846-8569F111BDC5}"/>
    <cellStyle name="40% - Accent3 2 4 2 3 3" xfId="23139" xr:uid="{00000000-0005-0000-0000-0000053B0000}"/>
    <cellStyle name="40% - Accent3 2 4 2 3 3 2" xfId="46971" xr:uid="{5B03E917-E20A-46CF-A767-AF34355A2400}"/>
    <cellStyle name="40% - Accent3 2 4 2 3 4" xfId="31093" xr:uid="{B84155AA-A230-45F5-B289-A00D28D82DE5}"/>
    <cellStyle name="40% - Accent3 2 4 2 4" xfId="11656" xr:uid="{00000000-0005-0000-0000-0000063B0000}"/>
    <cellStyle name="40% - Accent3 2 4 2 4 2" xfId="35505" xr:uid="{392C26FF-8008-4B06-B6CC-03F53248AF8B}"/>
    <cellStyle name="40% - Accent3 2 4 2 5" xfId="19611" xr:uid="{00000000-0005-0000-0000-0000073B0000}"/>
    <cellStyle name="40% - Accent3 2 4 2 5 2" xfId="43443" xr:uid="{B4C3FCE1-23E2-4F59-B34A-27FCA4E477A8}"/>
    <cellStyle name="40% - Accent3 2 4 2 6" xfId="27563" xr:uid="{448076D5-964A-4AB6-A56C-29CD880E4B43}"/>
    <cellStyle name="40% - Accent3 2 4 2_Exh G" xfId="2976" xr:uid="{00000000-0005-0000-0000-0000083B0000}"/>
    <cellStyle name="40% - Accent3 2 4 3" xfId="4510" xr:uid="{00000000-0005-0000-0000-0000093B0000}"/>
    <cellStyle name="40% - Accent3 2 4 3 2" xfId="8102" xr:uid="{00000000-0005-0000-0000-00000A3B0000}"/>
    <cellStyle name="40% - Accent3 2 4 3 2 2" xfId="16072" xr:uid="{00000000-0005-0000-0000-00000B3B0000}"/>
    <cellStyle name="40% - Accent3 2 4 3 2 2 2" xfId="39914" xr:uid="{7970BCF9-B73E-46BC-A797-8344FF390488}"/>
    <cellStyle name="40% - Accent3 2 4 3 2 3" xfId="24018" xr:uid="{00000000-0005-0000-0000-00000C3B0000}"/>
    <cellStyle name="40% - Accent3 2 4 3 2 3 2" xfId="47850" xr:uid="{3A06B993-FCC2-433B-892A-08B1DBFFDCF4}"/>
    <cellStyle name="40% - Accent3 2 4 3 2 4" xfId="31973" xr:uid="{71EF2147-B969-48AE-8D9E-296B300121FB}"/>
    <cellStyle name="40% - Accent3 2 4 3 3" xfId="12534" xr:uid="{00000000-0005-0000-0000-00000D3B0000}"/>
    <cellStyle name="40% - Accent3 2 4 3 3 2" xfId="36383" xr:uid="{A8AF6CEC-9CF4-4CE7-9DAF-79E82B1CEE6C}"/>
    <cellStyle name="40% - Accent3 2 4 3 4" xfId="20489" xr:uid="{00000000-0005-0000-0000-00000E3B0000}"/>
    <cellStyle name="40% - Accent3 2 4 3 4 2" xfId="44321" xr:uid="{24504149-B0B6-442A-8633-2C59964BDC47}"/>
    <cellStyle name="40% - Accent3 2 4 3 5" xfId="28442" xr:uid="{9A81BBA9-BC1A-4511-A5CC-CB37DA269750}"/>
    <cellStyle name="40% - Accent3 2 4 4" xfId="6340" xr:uid="{00000000-0005-0000-0000-00000F3B0000}"/>
    <cellStyle name="40% - Accent3 2 4 4 2" xfId="14314" xr:uid="{00000000-0005-0000-0000-0000103B0000}"/>
    <cellStyle name="40% - Accent3 2 4 4 2 2" xfId="38156" xr:uid="{AB636680-BBE1-4A01-B4C3-5D6B0600C7B7}"/>
    <cellStyle name="40% - Accent3 2 4 4 3" xfId="22261" xr:uid="{00000000-0005-0000-0000-0000113B0000}"/>
    <cellStyle name="40% - Accent3 2 4 4 3 2" xfId="46093" xr:uid="{8C4BDD92-7652-4F4B-8BFF-7221BF5B2B77}"/>
    <cellStyle name="40% - Accent3 2 4 4 4" xfId="30215" xr:uid="{CFB1D4CB-741D-4E0F-A144-CC12DE386340}"/>
    <cellStyle name="40% - Accent3 2 4 5" xfId="9882" xr:uid="{00000000-0005-0000-0000-0000123B0000}"/>
    <cellStyle name="40% - Accent3 2 4 5 2" xfId="17840" xr:uid="{00000000-0005-0000-0000-0000133B0000}"/>
    <cellStyle name="40% - Accent3 2 4 5 2 2" xfId="41680" xr:uid="{A51BBF09-92BD-4C6F-9295-101A735F810D}"/>
    <cellStyle name="40% - Accent3 2 4 5 3" xfId="25784" xr:uid="{00000000-0005-0000-0000-0000143B0000}"/>
    <cellStyle name="40% - Accent3 2 4 5 3 2" xfId="49616" xr:uid="{D8A8035C-553B-49EE-99C0-DB2697EFD200}"/>
    <cellStyle name="40% - Accent3 2 4 5 4" xfId="33739" xr:uid="{3C646A9E-FAB2-4AE8-9E7B-14F538B016A8}"/>
    <cellStyle name="40% - Accent3 2 4 6" xfId="10778" xr:uid="{00000000-0005-0000-0000-0000153B0000}"/>
    <cellStyle name="40% - Accent3 2 4 6 2" xfId="34627" xr:uid="{1A6A08F0-D8C7-4980-B663-D1E5DCFB83C6}"/>
    <cellStyle name="40% - Accent3 2 4 7" xfId="18733" xr:uid="{00000000-0005-0000-0000-0000163B0000}"/>
    <cellStyle name="40% - Accent3 2 4 7 2" xfId="42565" xr:uid="{88471D29-611D-419D-9833-1E4515CB78A6}"/>
    <cellStyle name="40% - Accent3 2 4 8" xfId="26685" xr:uid="{36F87092-FBAC-4B45-A510-903CC9B0511D}"/>
    <cellStyle name="40% - Accent3 2 4_Exh G" xfId="2975" xr:uid="{00000000-0005-0000-0000-0000173B0000}"/>
    <cellStyle name="40% - Accent3 2 5" xfId="1475" xr:uid="{00000000-0005-0000-0000-0000183B0000}"/>
    <cellStyle name="40% - Accent3 2 5 2" xfId="5002" xr:uid="{00000000-0005-0000-0000-0000193B0000}"/>
    <cellStyle name="40% - Accent3 2 5 2 2" xfId="8593" xr:uid="{00000000-0005-0000-0000-00001A3B0000}"/>
    <cellStyle name="40% - Accent3 2 5 2 2 2" xfId="16563" xr:uid="{00000000-0005-0000-0000-00001B3B0000}"/>
    <cellStyle name="40% - Accent3 2 5 2 2 2 2" xfId="40405" xr:uid="{CE362DA3-D81F-4194-9624-3089B6E44F16}"/>
    <cellStyle name="40% - Accent3 2 5 2 2 3" xfId="24509" xr:uid="{00000000-0005-0000-0000-00001C3B0000}"/>
    <cellStyle name="40% - Accent3 2 5 2 2 3 2" xfId="48341" xr:uid="{111DC688-0536-4591-A396-08655B873BF5}"/>
    <cellStyle name="40% - Accent3 2 5 2 2 4" xfId="32464" xr:uid="{E6B9578F-911B-431D-BB00-FE426770F777}"/>
    <cellStyle name="40% - Accent3 2 5 2 3" xfId="13025" xr:uid="{00000000-0005-0000-0000-00001D3B0000}"/>
    <cellStyle name="40% - Accent3 2 5 2 3 2" xfId="36874" xr:uid="{A8A70E1D-CF29-4C4B-B9A4-2A0D474828B5}"/>
    <cellStyle name="40% - Accent3 2 5 2 4" xfId="20980" xr:uid="{00000000-0005-0000-0000-00001E3B0000}"/>
    <cellStyle name="40% - Accent3 2 5 2 4 2" xfId="44812" xr:uid="{08040266-AEFD-4A08-90C4-E9EA0A39464A}"/>
    <cellStyle name="40% - Accent3 2 5 2 5" xfId="28933" xr:uid="{F67DE4CE-4D13-4500-8592-9E026FC6EDB2}"/>
    <cellStyle name="40% - Accent3 2 5 3" xfId="6834" xr:uid="{00000000-0005-0000-0000-00001F3B0000}"/>
    <cellStyle name="40% - Accent3 2 5 3 2" xfId="14805" xr:uid="{00000000-0005-0000-0000-0000203B0000}"/>
    <cellStyle name="40% - Accent3 2 5 3 2 2" xfId="38647" xr:uid="{571F654E-E890-459D-B6DC-34C2FBCEB3D0}"/>
    <cellStyle name="40% - Accent3 2 5 3 3" xfId="22752" xr:uid="{00000000-0005-0000-0000-0000213B0000}"/>
    <cellStyle name="40% - Accent3 2 5 3 3 2" xfId="46584" xr:uid="{2FDE20DE-6301-443C-8D54-C13B7C4BD618}"/>
    <cellStyle name="40% - Accent3 2 5 3 4" xfId="30706" xr:uid="{F42DA1AF-2E05-4B06-95A5-84FF7D8B9016}"/>
    <cellStyle name="40% - Accent3 2 5 4" xfId="11269" xr:uid="{00000000-0005-0000-0000-0000223B0000}"/>
    <cellStyle name="40% - Accent3 2 5 4 2" xfId="35118" xr:uid="{548B657B-01D8-4508-9607-27E7C30EECCF}"/>
    <cellStyle name="40% - Accent3 2 5 5" xfId="19224" xr:uid="{00000000-0005-0000-0000-0000233B0000}"/>
    <cellStyle name="40% - Accent3 2 5 5 2" xfId="43056" xr:uid="{191DE97C-60CD-4C3B-A4AF-1F627BEB1E8E}"/>
    <cellStyle name="40% - Accent3 2 5 6" xfId="27176" xr:uid="{F0D550D7-123D-4DC1-8B4E-E09155983FB5}"/>
    <cellStyle name="40% - Accent3 2 5_Exh G" xfId="2977" xr:uid="{00000000-0005-0000-0000-0000243B0000}"/>
    <cellStyle name="40% - Accent3 2 6" xfId="4123" xr:uid="{00000000-0005-0000-0000-0000253B0000}"/>
    <cellStyle name="40% - Accent3 2 6 2" xfId="7715" xr:uid="{00000000-0005-0000-0000-0000263B0000}"/>
    <cellStyle name="40% - Accent3 2 6 2 2" xfId="15685" xr:uid="{00000000-0005-0000-0000-0000273B0000}"/>
    <cellStyle name="40% - Accent3 2 6 2 2 2" xfId="39527" xr:uid="{FB7D4E27-99B4-4496-AA74-065D79996944}"/>
    <cellStyle name="40% - Accent3 2 6 2 3" xfId="23631" xr:uid="{00000000-0005-0000-0000-0000283B0000}"/>
    <cellStyle name="40% - Accent3 2 6 2 3 2" xfId="47463" xr:uid="{8FFA6930-35F8-4EFC-8B40-856A61C4AD52}"/>
    <cellStyle name="40% - Accent3 2 6 2 4" xfId="31586" xr:uid="{2BE48BBD-2E4C-4797-B404-867A841244A0}"/>
    <cellStyle name="40% - Accent3 2 6 3" xfId="12147" xr:uid="{00000000-0005-0000-0000-0000293B0000}"/>
    <cellStyle name="40% - Accent3 2 6 3 2" xfId="35996" xr:uid="{193B230F-9289-41CF-B170-81F872AB74F6}"/>
    <cellStyle name="40% - Accent3 2 6 4" xfId="20102" xr:uid="{00000000-0005-0000-0000-00002A3B0000}"/>
    <cellStyle name="40% - Accent3 2 6 4 2" xfId="43934" xr:uid="{CE74F4B7-BC40-441C-BE79-9015F619E072}"/>
    <cellStyle name="40% - Accent3 2 6 5" xfId="28055" xr:uid="{76DC5860-3E97-44D3-BD40-FF4CFAD8FE09}"/>
    <cellStyle name="40% - Accent3 2 7" xfId="5943" xr:uid="{00000000-0005-0000-0000-00002B3B0000}"/>
    <cellStyle name="40% - Accent3 2 7 2" xfId="13926" xr:uid="{00000000-0005-0000-0000-00002C3B0000}"/>
    <cellStyle name="40% - Accent3 2 7 2 2" xfId="37769" xr:uid="{C6B22499-2982-4124-9912-518D83CF0751}"/>
    <cellStyle name="40% - Accent3 2 7 3" xfId="21874" xr:uid="{00000000-0005-0000-0000-00002D3B0000}"/>
    <cellStyle name="40% - Accent3 2 7 3 2" xfId="45706" xr:uid="{8AB73E0B-81DF-4A5E-9FFB-844E87D697AB}"/>
    <cellStyle name="40% - Accent3 2 7 4" xfId="29828" xr:uid="{018A2D26-A64E-4C75-9232-D14066022254}"/>
    <cellStyle name="40% - Accent3 2 8" xfId="9495" xr:uid="{00000000-0005-0000-0000-00002E3B0000}"/>
    <cellStyle name="40% - Accent3 2 8 2" xfId="17453" xr:uid="{00000000-0005-0000-0000-00002F3B0000}"/>
    <cellStyle name="40% - Accent3 2 8 2 2" xfId="41293" xr:uid="{8FFF155C-0DA3-4EB7-90CD-EE157A95907C}"/>
    <cellStyle name="40% - Accent3 2 8 3" xfId="25397" xr:uid="{00000000-0005-0000-0000-0000303B0000}"/>
    <cellStyle name="40% - Accent3 2 8 3 2" xfId="49229" xr:uid="{01AC0852-4F72-4A1A-93DF-21A2BCC9B57E}"/>
    <cellStyle name="40% - Accent3 2 8 4" xfId="33352" xr:uid="{ADB43071-9C41-44C9-ACF2-4BD8F6500B8E}"/>
    <cellStyle name="40% - Accent3 2 9" xfId="10391" xr:uid="{00000000-0005-0000-0000-0000313B0000}"/>
    <cellStyle name="40% - Accent3 2 9 2" xfId="34240" xr:uid="{B4ECEE46-6D4F-4D1E-9A3A-199C697FF548}"/>
    <cellStyle name="40% - Accent3 2_Exh G" xfId="2966" xr:uid="{00000000-0005-0000-0000-0000323B0000}"/>
    <cellStyle name="40% - Accent3 3" xfId="453" xr:uid="{00000000-0005-0000-0000-0000333B0000}"/>
    <cellStyle name="40% - Accent3 3 10" xfId="18350" xr:uid="{00000000-0005-0000-0000-0000343B0000}"/>
    <cellStyle name="40% - Accent3 3 10 2" xfId="42182" xr:uid="{76782FC0-6D58-400C-A461-77C7EC129723}"/>
    <cellStyle name="40% - Accent3 3 11" xfId="26302" xr:uid="{EB9C26F5-AB3D-48F1-A549-28260D74122A}"/>
    <cellStyle name="40% - Accent3 3 12" xfId="49759" xr:uid="{7446BB79-9E0C-4567-BAFA-59C504C43327}"/>
    <cellStyle name="40% - Accent3 3 13" xfId="49813" xr:uid="{191CA0B3-1FFC-48F8-AFE1-7779E4E20301}"/>
    <cellStyle name="40% - Accent3 3 2" xfId="454" xr:uid="{00000000-0005-0000-0000-0000353B0000}"/>
    <cellStyle name="40% - Accent3 3 2 10" xfId="26303" xr:uid="{06F7914C-B3E8-4A93-A1AB-866D146EA7FD}"/>
    <cellStyle name="40% - Accent3 3 2 2" xfId="455" xr:uid="{00000000-0005-0000-0000-0000363B0000}"/>
    <cellStyle name="40% - Accent3 3 2 2 2" xfId="1481" xr:uid="{00000000-0005-0000-0000-0000373B0000}"/>
    <cellStyle name="40% - Accent3 3 2 2 2 2" xfId="5008" xr:uid="{00000000-0005-0000-0000-0000383B0000}"/>
    <cellStyle name="40% - Accent3 3 2 2 2 2 2" xfId="8599" xr:uid="{00000000-0005-0000-0000-0000393B0000}"/>
    <cellStyle name="40% - Accent3 3 2 2 2 2 2 2" xfId="16569" xr:uid="{00000000-0005-0000-0000-00003A3B0000}"/>
    <cellStyle name="40% - Accent3 3 2 2 2 2 2 2 2" xfId="40411" xr:uid="{D9E7A983-BD3C-4FA1-8B48-5E15B26BC213}"/>
    <cellStyle name="40% - Accent3 3 2 2 2 2 2 3" xfId="24515" xr:uid="{00000000-0005-0000-0000-00003B3B0000}"/>
    <cellStyle name="40% - Accent3 3 2 2 2 2 2 3 2" xfId="48347" xr:uid="{839C345C-0750-4A79-B39F-F7B1C3F11EF5}"/>
    <cellStyle name="40% - Accent3 3 2 2 2 2 2 4" xfId="32470" xr:uid="{073D5A66-EEDF-49F1-9F39-BB355A0B76C1}"/>
    <cellStyle name="40% - Accent3 3 2 2 2 2 3" xfId="13031" xr:uid="{00000000-0005-0000-0000-00003C3B0000}"/>
    <cellStyle name="40% - Accent3 3 2 2 2 2 3 2" xfId="36880" xr:uid="{487C2EF1-172D-4138-8E11-00C612DBE957}"/>
    <cellStyle name="40% - Accent3 3 2 2 2 2 4" xfId="20986" xr:uid="{00000000-0005-0000-0000-00003D3B0000}"/>
    <cellStyle name="40% - Accent3 3 2 2 2 2 4 2" xfId="44818" xr:uid="{1DA06137-6C21-41DB-AF47-3074F6F3AC64}"/>
    <cellStyle name="40% - Accent3 3 2 2 2 2 5" xfId="28939" xr:uid="{004A9B8E-36D2-4993-B8C6-68F2598B73BF}"/>
    <cellStyle name="40% - Accent3 3 2 2 2 3" xfId="6840" xr:uid="{00000000-0005-0000-0000-00003E3B0000}"/>
    <cellStyle name="40% - Accent3 3 2 2 2 3 2" xfId="14811" xr:uid="{00000000-0005-0000-0000-00003F3B0000}"/>
    <cellStyle name="40% - Accent3 3 2 2 2 3 2 2" xfId="38653" xr:uid="{3E978F25-E615-44FF-90C7-06626E55219A}"/>
    <cellStyle name="40% - Accent3 3 2 2 2 3 3" xfId="22758" xr:uid="{00000000-0005-0000-0000-0000403B0000}"/>
    <cellStyle name="40% - Accent3 3 2 2 2 3 3 2" xfId="46590" xr:uid="{7F382D89-21FD-4DA3-83B6-F42A62669F48}"/>
    <cellStyle name="40% - Accent3 3 2 2 2 3 4" xfId="30712" xr:uid="{D631E6D0-33D9-460F-93D3-075CB0E428BA}"/>
    <cellStyle name="40% - Accent3 3 2 2 2 4" xfId="11275" xr:uid="{00000000-0005-0000-0000-0000413B0000}"/>
    <cellStyle name="40% - Accent3 3 2 2 2 4 2" xfId="35124" xr:uid="{AE514DF9-C1D0-44E7-A42D-36D4084793FC}"/>
    <cellStyle name="40% - Accent3 3 2 2 2 5" xfId="19230" xr:uid="{00000000-0005-0000-0000-0000423B0000}"/>
    <cellStyle name="40% - Accent3 3 2 2 2 5 2" xfId="43062" xr:uid="{7C952DF1-2536-479C-9A8A-3DFA15F204ED}"/>
    <cellStyle name="40% - Accent3 3 2 2 2 6" xfId="27182" xr:uid="{626101AF-59D6-42DF-834C-2650427DBE92}"/>
    <cellStyle name="40% - Accent3 3 2 2 2_Exh G" xfId="2981" xr:uid="{00000000-0005-0000-0000-0000433B0000}"/>
    <cellStyle name="40% - Accent3 3 2 2 3" xfId="4129" xr:uid="{00000000-0005-0000-0000-0000443B0000}"/>
    <cellStyle name="40% - Accent3 3 2 2 3 2" xfId="7721" xr:uid="{00000000-0005-0000-0000-0000453B0000}"/>
    <cellStyle name="40% - Accent3 3 2 2 3 2 2" xfId="15691" xr:uid="{00000000-0005-0000-0000-0000463B0000}"/>
    <cellStyle name="40% - Accent3 3 2 2 3 2 2 2" xfId="39533" xr:uid="{84A0D468-160F-4E05-936D-CE551F893D34}"/>
    <cellStyle name="40% - Accent3 3 2 2 3 2 3" xfId="23637" xr:uid="{00000000-0005-0000-0000-0000473B0000}"/>
    <cellStyle name="40% - Accent3 3 2 2 3 2 3 2" xfId="47469" xr:uid="{86ADDA67-CCCD-40AA-B5B8-555C3CFCAB26}"/>
    <cellStyle name="40% - Accent3 3 2 2 3 2 4" xfId="31592" xr:uid="{0C84D277-8FA7-4E16-9FEB-C3F15CC99024}"/>
    <cellStyle name="40% - Accent3 3 2 2 3 3" xfId="12153" xr:uid="{00000000-0005-0000-0000-0000483B0000}"/>
    <cellStyle name="40% - Accent3 3 2 2 3 3 2" xfId="36002" xr:uid="{7628E47E-F40D-457C-9A3A-9124A256EACF}"/>
    <cellStyle name="40% - Accent3 3 2 2 3 4" xfId="20108" xr:uid="{00000000-0005-0000-0000-0000493B0000}"/>
    <cellStyle name="40% - Accent3 3 2 2 3 4 2" xfId="43940" xr:uid="{B4839902-F491-44F2-856E-638DE74EBFB2}"/>
    <cellStyle name="40% - Accent3 3 2 2 3 5" xfId="28061" xr:uid="{B2E8A612-BE09-4090-BC19-5F46DACE5053}"/>
    <cellStyle name="40% - Accent3 3 2 2 4" xfId="5949" xr:uid="{00000000-0005-0000-0000-00004A3B0000}"/>
    <cellStyle name="40% - Accent3 3 2 2 4 2" xfId="13932" xr:uid="{00000000-0005-0000-0000-00004B3B0000}"/>
    <cellStyle name="40% - Accent3 3 2 2 4 2 2" xfId="37775" xr:uid="{6B7E1266-3A75-4916-B130-AEFCCA3882C7}"/>
    <cellStyle name="40% - Accent3 3 2 2 4 3" xfId="21880" xr:uid="{00000000-0005-0000-0000-00004C3B0000}"/>
    <cellStyle name="40% - Accent3 3 2 2 4 3 2" xfId="45712" xr:uid="{5011BA67-89FF-49F0-A3F8-931DC17A7894}"/>
    <cellStyle name="40% - Accent3 3 2 2 4 4" xfId="29834" xr:uid="{B59A09F8-3D27-4064-A6EF-88E25C0103FE}"/>
    <cellStyle name="40% - Accent3 3 2 2 5" xfId="9501" xr:uid="{00000000-0005-0000-0000-00004D3B0000}"/>
    <cellStyle name="40% - Accent3 3 2 2 5 2" xfId="17459" xr:uid="{00000000-0005-0000-0000-00004E3B0000}"/>
    <cellStyle name="40% - Accent3 3 2 2 5 2 2" xfId="41299" xr:uid="{2EAF76A6-46EB-47EF-9DEA-6B68928386F5}"/>
    <cellStyle name="40% - Accent3 3 2 2 5 3" xfId="25403" xr:uid="{00000000-0005-0000-0000-00004F3B0000}"/>
    <cellStyle name="40% - Accent3 3 2 2 5 3 2" xfId="49235" xr:uid="{F487FAE6-1774-4C64-B00D-60A1201FA1C6}"/>
    <cellStyle name="40% - Accent3 3 2 2 5 4" xfId="33358" xr:uid="{839B9AFB-C342-4689-AC96-3DD3187929E7}"/>
    <cellStyle name="40% - Accent3 3 2 2 6" xfId="10397" xr:uid="{00000000-0005-0000-0000-0000503B0000}"/>
    <cellStyle name="40% - Accent3 3 2 2 6 2" xfId="34246" xr:uid="{22F027A1-4A90-488B-8B21-25AD5ABFD1AE}"/>
    <cellStyle name="40% - Accent3 3 2 2 7" xfId="18352" xr:uid="{00000000-0005-0000-0000-0000513B0000}"/>
    <cellStyle name="40% - Accent3 3 2 2 7 2" xfId="42184" xr:uid="{63C9A03B-18A5-4C8B-B0AC-B03A44881A02}"/>
    <cellStyle name="40% - Accent3 3 2 2 8" xfId="26304" xr:uid="{CD41015F-5951-4A35-8B0C-96030AE89261}"/>
    <cellStyle name="40% - Accent3 3 2 2_Exh G" xfId="2980" xr:uid="{00000000-0005-0000-0000-0000523B0000}"/>
    <cellStyle name="40% - Accent3 3 2 3" xfId="959" xr:uid="{00000000-0005-0000-0000-0000533B0000}"/>
    <cellStyle name="40% - Accent3 3 2 3 2" xfId="1875" xr:uid="{00000000-0005-0000-0000-0000543B0000}"/>
    <cellStyle name="40% - Accent3 3 2 3 2 2" xfId="5392" xr:uid="{00000000-0005-0000-0000-0000553B0000}"/>
    <cellStyle name="40% - Accent3 3 2 3 2 2 2" xfId="8983" xr:uid="{00000000-0005-0000-0000-0000563B0000}"/>
    <cellStyle name="40% - Accent3 3 2 3 2 2 2 2" xfId="16953" xr:uid="{00000000-0005-0000-0000-0000573B0000}"/>
    <cellStyle name="40% - Accent3 3 2 3 2 2 2 2 2" xfId="40795" xr:uid="{6F380E3F-E6D8-4284-9611-E3D8FA791256}"/>
    <cellStyle name="40% - Accent3 3 2 3 2 2 2 3" xfId="24899" xr:uid="{00000000-0005-0000-0000-0000583B0000}"/>
    <cellStyle name="40% - Accent3 3 2 3 2 2 2 3 2" xfId="48731" xr:uid="{6B67801E-7D49-426B-B3D2-B854F63BFACB}"/>
    <cellStyle name="40% - Accent3 3 2 3 2 2 2 4" xfId="32854" xr:uid="{F5E4BF59-CD68-4EAA-84CC-1266690DC811}"/>
    <cellStyle name="40% - Accent3 3 2 3 2 2 3" xfId="13415" xr:uid="{00000000-0005-0000-0000-0000593B0000}"/>
    <cellStyle name="40% - Accent3 3 2 3 2 2 3 2" xfId="37264" xr:uid="{63537172-7B3B-419E-B9DD-DFBB5DBFE290}"/>
    <cellStyle name="40% - Accent3 3 2 3 2 2 4" xfId="21370" xr:uid="{00000000-0005-0000-0000-00005A3B0000}"/>
    <cellStyle name="40% - Accent3 3 2 3 2 2 4 2" xfId="45202" xr:uid="{F3A27F72-8B0A-4B96-A44B-9512AA05893A}"/>
    <cellStyle name="40% - Accent3 3 2 3 2 2 5" xfId="29323" xr:uid="{E91D1BB2-9DA8-4101-A361-9EE1B480028B}"/>
    <cellStyle name="40% - Accent3 3 2 3 2 3" xfId="7224" xr:uid="{00000000-0005-0000-0000-00005B3B0000}"/>
    <cellStyle name="40% - Accent3 3 2 3 2 3 2" xfId="15195" xr:uid="{00000000-0005-0000-0000-00005C3B0000}"/>
    <cellStyle name="40% - Accent3 3 2 3 2 3 2 2" xfId="39037" xr:uid="{B31E3339-C23F-4CC7-B26B-2FD18CDE2DD5}"/>
    <cellStyle name="40% - Accent3 3 2 3 2 3 3" xfId="23142" xr:uid="{00000000-0005-0000-0000-00005D3B0000}"/>
    <cellStyle name="40% - Accent3 3 2 3 2 3 3 2" xfId="46974" xr:uid="{6F6E08AF-B743-4655-9DE0-76AE54FB9857}"/>
    <cellStyle name="40% - Accent3 3 2 3 2 3 4" xfId="31096" xr:uid="{DE764B47-A2C7-4863-9547-2B47B6C3A2F3}"/>
    <cellStyle name="40% - Accent3 3 2 3 2 4" xfId="11659" xr:uid="{00000000-0005-0000-0000-00005E3B0000}"/>
    <cellStyle name="40% - Accent3 3 2 3 2 4 2" xfId="35508" xr:uid="{78E539A7-A5BF-4336-A8FA-DEA12BBCBA88}"/>
    <cellStyle name="40% - Accent3 3 2 3 2 5" xfId="19614" xr:uid="{00000000-0005-0000-0000-00005F3B0000}"/>
    <cellStyle name="40% - Accent3 3 2 3 2 5 2" xfId="43446" xr:uid="{F2B62EB8-6CA8-4CB6-B94D-F468505F9659}"/>
    <cellStyle name="40% - Accent3 3 2 3 2 6" xfId="27566" xr:uid="{F320FC5E-D558-40CD-85E2-A45F8517C28D}"/>
    <cellStyle name="40% - Accent3 3 2 3 2_Exh G" xfId="2983" xr:uid="{00000000-0005-0000-0000-0000603B0000}"/>
    <cellStyle name="40% - Accent3 3 2 3 3" xfId="4513" xr:uid="{00000000-0005-0000-0000-0000613B0000}"/>
    <cellStyle name="40% - Accent3 3 2 3 3 2" xfId="8105" xr:uid="{00000000-0005-0000-0000-0000623B0000}"/>
    <cellStyle name="40% - Accent3 3 2 3 3 2 2" xfId="16075" xr:uid="{00000000-0005-0000-0000-0000633B0000}"/>
    <cellStyle name="40% - Accent3 3 2 3 3 2 2 2" xfId="39917" xr:uid="{A0F97006-295B-497B-BEE6-6FCF1AA097CD}"/>
    <cellStyle name="40% - Accent3 3 2 3 3 2 3" xfId="24021" xr:uid="{00000000-0005-0000-0000-0000643B0000}"/>
    <cellStyle name="40% - Accent3 3 2 3 3 2 3 2" xfId="47853" xr:uid="{71F2C21E-209D-458E-9C5A-C9E30AE6384A}"/>
    <cellStyle name="40% - Accent3 3 2 3 3 2 4" xfId="31976" xr:uid="{C62B9EFB-A129-4E42-8642-3D752258CE1A}"/>
    <cellStyle name="40% - Accent3 3 2 3 3 3" xfId="12537" xr:uid="{00000000-0005-0000-0000-0000653B0000}"/>
    <cellStyle name="40% - Accent3 3 2 3 3 3 2" xfId="36386" xr:uid="{5BBD6C02-0A91-4ACA-A428-D09D142082C3}"/>
    <cellStyle name="40% - Accent3 3 2 3 3 4" xfId="20492" xr:uid="{00000000-0005-0000-0000-0000663B0000}"/>
    <cellStyle name="40% - Accent3 3 2 3 3 4 2" xfId="44324" xr:uid="{A4FB1464-46DA-4F10-BB66-C14A7F3B9B46}"/>
    <cellStyle name="40% - Accent3 3 2 3 3 5" xfId="28445" xr:uid="{95BBA315-6EE2-448D-8886-AEE82D05C998}"/>
    <cellStyle name="40% - Accent3 3 2 3 4" xfId="6343" xr:uid="{00000000-0005-0000-0000-0000673B0000}"/>
    <cellStyle name="40% - Accent3 3 2 3 4 2" xfId="14317" xr:uid="{00000000-0005-0000-0000-0000683B0000}"/>
    <cellStyle name="40% - Accent3 3 2 3 4 2 2" xfId="38159" xr:uid="{6AD8B34B-FEBC-47EE-8C09-DA1A34876EE7}"/>
    <cellStyle name="40% - Accent3 3 2 3 4 3" xfId="22264" xr:uid="{00000000-0005-0000-0000-0000693B0000}"/>
    <cellStyle name="40% - Accent3 3 2 3 4 3 2" xfId="46096" xr:uid="{D518E899-EFBC-412A-B3A2-FD32A7374E03}"/>
    <cellStyle name="40% - Accent3 3 2 3 4 4" xfId="30218" xr:uid="{2AB41DE4-06CF-4F35-BA08-B98D46D136E9}"/>
    <cellStyle name="40% - Accent3 3 2 3 5" xfId="9885" xr:uid="{00000000-0005-0000-0000-00006A3B0000}"/>
    <cellStyle name="40% - Accent3 3 2 3 5 2" xfId="17843" xr:uid="{00000000-0005-0000-0000-00006B3B0000}"/>
    <cellStyle name="40% - Accent3 3 2 3 5 2 2" xfId="41683" xr:uid="{CDCAF48D-8961-4FA4-A794-FB52833FB6AA}"/>
    <cellStyle name="40% - Accent3 3 2 3 5 3" xfId="25787" xr:uid="{00000000-0005-0000-0000-00006C3B0000}"/>
    <cellStyle name="40% - Accent3 3 2 3 5 3 2" xfId="49619" xr:uid="{FC8AE2FB-33AB-4B64-A003-5CB230C93D12}"/>
    <cellStyle name="40% - Accent3 3 2 3 5 4" xfId="33742" xr:uid="{76640F3E-DB53-4D01-8071-C9E76D759574}"/>
    <cellStyle name="40% - Accent3 3 2 3 6" xfId="10781" xr:uid="{00000000-0005-0000-0000-00006D3B0000}"/>
    <cellStyle name="40% - Accent3 3 2 3 6 2" xfId="34630" xr:uid="{DF36EB2F-C3E5-4E0C-B264-DDE5120536D2}"/>
    <cellStyle name="40% - Accent3 3 2 3 7" xfId="18736" xr:uid="{00000000-0005-0000-0000-00006E3B0000}"/>
    <cellStyle name="40% - Accent3 3 2 3 7 2" xfId="42568" xr:uid="{F279F749-654C-4431-B07B-CA5A5ACD81EB}"/>
    <cellStyle name="40% - Accent3 3 2 3 8" xfId="26688" xr:uid="{BCB746EB-42B3-4743-9335-F675DFE4727A}"/>
    <cellStyle name="40% - Accent3 3 2 3_Exh G" xfId="2982" xr:uid="{00000000-0005-0000-0000-00006F3B0000}"/>
    <cellStyle name="40% - Accent3 3 2 4" xfId="1480" xr:uid="{00000000-0005-0000-0000-0000703B0000}"/>
    <cellStyle name="40% - Accent3 3 2 4 2" xfId="5007" xr:uid="{00000000-0005-0000-0000-0000713B0000}"/>
    <cellStyle name="40% - Accent3 3 2 4 2 2" xfId="8598" xr:uid="{00000000-0005-0000-0000-0000723B0000}"/>
    <cellStyle name="40% - Accent3 3 2 4 2 2 2" xfId="16568" xr:uid="{00000000-0005-0000-0000-0000733B0000}"/>
    <cellStyle name="40% - Accent3 3 2 4 2 2 2 2" xfId="40410" xr:uid="{0DDE16E6-3346-457E-9B51-8415F50CEA31}"/>
    <cellStyle name="40% - Accent3 3 2 4 2 2 3" xfId="24514" xr:uid="{00000000-0005-0000-0000-0000743B0000}"/>
    <cellStyle name="40% - Accent3 3 2 4 2 2 3 2" xfId="48346" xr:uid="{27055CCD-5787-4F55-885F-39F94AB5F851}"/>
    <cellStyle name="40% - Accent3 3 2 4 2 2 4" xfId="32469" xr:uid="{29D29361-02FA-4ABC-88ED-D00736CE9662}"/>
    <cellStyle name="40% - Accent3 3 2 4 2 3" xfId="13030" xr:uid="{00000000-0005-0000-0000-0000753B0000}"/>
    <cellStyle name="40% - Accent3 3 2 4 2 3 2" xfId="36879" xr:uid="{B86E2F83-DAB0-49C8-805C-2BB112EFE145}"/>
    <cellStyle name="40% - Accent3 3 2 4 2 4" xfId="20985" xr:uid="{00000000-0005-0000-0000-0000763B0000}"/>
    <cellStyle name="40% - Accent3 3 2 4 2 4 2" xfId="44817" xr:uid="{10AB7ED2-046F-4342-BC7B-3A739918AD97}"/>
    <cellStyle name="40% - Accent3 3 2 4 2 5" xfId="28938" xr:uid="{CBF1B3EC-ADA1-4668-A9EF-77282709565B}"/>
    <cellStyle name="40% - Accent3 3 2 4 3" xfId="6839" xr:uid="{00000000-0005-0000-0000-0000773B0000}"/>
    <cellStyle name="40% - Accent3 3 2 4 3 2" xfId="14810" xr:uid="{00000000-0005-0000-0000-0000783B0000}"/>
    <cellStyle name="40% - Accent3 3 2 4 3 2 2" xfId="38652" xr:uid="{A002337F-754F-464C-926A-C3AE494996BB}"/>
    <cellStyle name="40% - Accent3 3 2 4 3 3" xfId="22757" xr:uid="{00000000-0005-0000-0000-0000793B0000}"/>
    <cellStyle name="40% - Accent3 3 2 4 3 3 2" xfId="46589" xr:uid="{6253F0E3-790D-42E4-904D-B091E37674B2}"/>
    <cellStyle name="40% - Accent3 3 2 4 3 4" xfId="30711" xr:uid="{5BFCA7C3-44B1-4DFB-B0F3-0630B8897970}"/>
    <cellStyle name="40% - Accent3 3 2 4 4" xfId="11274" xr:uid="{00000000-0005-0000-0000-00007A3B0000}"/>
    <cellStyle name="40% - Accent3 3 2 4 4 2" xfId="35123" xr:uid="{3B91EBB8-D635-417E-9833-7B7D61D54B7A}"/>
    <cellStyle name="40% - Accent3 3 2 4 5" xfId="19229" xr:uid="{00000000-0005-0000-0000-00007B3B0000}"/>
    <cellStyle name="40% - Accent3 3 2 4 5 2" xfId="43061" xr:uid="{08BD0968-8DD9-4B10-9445-8DC309242A85}"/>
    <cellStyle name="40% - Accent3 3 2 4 6" xfId="27181" xr:uid="{826B32C5-163E-4E4F-BAFD-59C139F0CF73}"/>
    <cellStyle name="40% - Accent3 3 2 4_Exh G" xfId="2984" xr:uid="{00000000-0005-0000-0000-00007C3B0000}"/>
    <cellStyle name="40% - Accent3 3 2 5" xfId="4128" xr:uid="{00000000-0005-0000-0000-00007D3B0000}"/>
    <cellStyle name="40% - Accent3 3 2 5 2" xfId="7720" xr:uid="{00000000-0005-0000-0000-00007E3B0000}"/>
    <cellStyle name="40% - Accent3 3 2 5 2 2" xfId="15690" xr:uid="{00000000-0005-0000-0000-00007F3B0000}"/>
    <cellStyle name="40% - Accent3 3 2 5 2 2 2" xfId="39532" xr:uid="{C6711E10-B90C-4CDC-8E85-8740C6665A74}"/>
    <cellStyle name="40% - Accent3 3 2 5 2 3" xfId="23636" xr:uid="{00000000-0005-0000-0000-0000803B0000}"/>
    <cellStyle name="40% - Accent3 3 2 5 2 3 2" xfId="47468" xr:uid="{A798EFFE-B870-42FC-8AA0-3FB708D35CFA}"/>
    <cellStyle name="40% - Accent3 3 2 5 2 4" xfId="31591" xr:uid="{F3741833-1E1F-4BC5-84C9-0D1224A9590F}"/>
    <cellStyle name="40% - Accent3 3 2 5 3" xfId="12152" xr:uid="{00000000-0005-0000-0000-0000813B0000}"/>
    <cellStyle name="40% - Accent3 3 2 5 3 2" xfId="36001" xr:uid="{A4DA86A3-0616-41D7-B6DC-031AF5CACFEF}"/>
    <cellStyle name="40% - Accent3 3 2 5 4" xfId="20107" xr:uid="{00000000-0005-0000-0000-0000823B0000}"/>
    <cellStyle name="40% - Accent3 3 2 5 4 2" xfId="43939" xr:uid="{068A72F3-F304-45DD-B3DE-D3DDC7EE0198}"/>
    <cellStyle name="40% - Accent3 3 2 5 5" xfId="28060" xr:uid="{88524D3B-5D01-4253-ADC0-111FEE2F89AD}"/>
    <cellStyle name="40% - Accent3 3 2 6" xfId="5948" xr:uid="{00000000-0005-0000-0000-0000833B0000}"/>
    <cellStyle name="40% - Accent3 3 2 6 2" xfId="13931" xr:uid="{00000000-0005-0000-0000-0000843B0000}"/>
    <cellStyle name="40% - Accent3 3 2 6 2 2" xfId="37774" xr:uid="{59D705BF-1E67-4C49-AB27-2A2A215787A0}"/>
    <cellStyle name="40% - Accent3 3 2 6 3" xfId="21879" xr:uid="{00000000-0005-0000-0000-0000853B0000}"/>
    <cellStyle name="40% - Accent3 3 2 6 3 2" xfId="45711" xr:uid="{EADAE8E8-CD8F-4B71-A192-5E71F2CE0458}"/>
    <cellStyle name="40% - Accent3 3 2 6 4" xfId="29833" xr:uid="{68128860-175F-4095-B097-6BBAA7EFCDEE}"/>
    <cellStyle name="40% - Accent3 3 2 7" xfId="9500" xr:uid="{00000000-0005-0000-0000-0000863B0000}"/>
    <cellStyle name="40% - Accent3 3 2 7 2" xfId="17458" xr:uid="{00000000-0005-0000-0000-0000873B0000}"/>
    <cellStyle name="40% - Accent3 3 2 7 2 2" xfId="41298" xr:uid="{BBDAB23D-DF40-4F58-8811-7F471AFABE1A}"/>
    <cellStyle name="40% - Accent3 3 2 7 3" xfId="25402" xr:uid="{00000000-0005-0000-0000-0000883B0000}"/>
    <cellStyle name="40% - Accent3 3 2 7 3 2" xfId="49234" xr:uid="{C2D95293-7060-46A1-9583-CA481986BA04}"/>
    <cellStyle name="40% - Accent3 3 2 7 4" xfId="33357" xr:uid="{7B123CDB-FA9B-4447-94C4-105C939423A6}"/>
    <cellStyle name="40% - Accent3 3 2 8" xfId="10396" xr:uid="{00000000-0005-0000-0000-0000893B0000}"/>
    <cellStyle name="40% - Accent3 3 2 8 2" xfId="34245" xr:uid="{BB6BEF35-ABDE-432B-B294-62B4107EFC97}"/>
    <cellStyle name="40% - Accent3 3 2 9" xfId="18351" xr:uid="{00000000-0005-0000-0000-00008A3B0000}"/>
    <cellStyle name="40% - Accent3 3 2 9 2" xfId="42183" xr:uid="{AE3E50D4-2DE8-4304-AB59-01076EB2C4CF}"/>
    <cellStyle name="40% - Accent3 3 2_Exh G" xfId="2979" xr:uid="{00000000-0005-0000-0000-00008B3B0000}"/>
    <cellStyle name="40% - Accent3 3 3" xfId="456" xr:uid="{00000000-0005-0000-0000-00008C3B0000}"/>
    <cellStyle name="40% - Accent3 3 3 2" xfId="1482" xr:uid="{00000000-0005-0000-0000-00008D3B0000}"/>
    <cellStyle name="40% - Accent3 3 3 2 2" xfId="5009" xr:uid="{00000000-0005-0000-0000-00008E3B0000}"/>
    <cellStyle name="40% - Accent3 3 3 2 2 2" xfId="8600" xr:uid="{00000000-0005-0000-0000-00008F3B0000}"/>
    <cellStyle name="40% - Accent3 3 3 2 2 2 2" xfId="16570" xr:uid="{00000000-0005-0000-0000-0000903B0000}"/>
    <cellStyle name="40% - Accent3 3 3 2 2 2 2 2" xfId="40412" xr:uid="{AA88391D-D730-4242-AAE0-405EE0046EA4}"/>
    <cellStyle name="40% - Accent3 3 3 2 2 2 3" xfId="24516" xr:uid="{00000000-0005-0000-0000-0000913B0000}"/>
    <cellStyle name="40% - Accent3 3 3 2 2 2 3 2" xfId="48348" xr:uid="{FE2D7D60-7F51-4A13-8778-00B979703303}"/>
    <cellStyle name="40% - Accent3 3 3 2 2 2 4" xfId="32471" xr:uid="{0701189F-9DE7-4D2A-B33C-276BF0701466}"/>
    <cellStyle name="40% - Accent3 3 3 2 2 3" xfId="13032" xr:uid="{00000000-0005-0000-0000-0000923B0000}"/>
    <cellStyle name="40% - Accent3 3 3 2 2 3 2" xfId="36881" xr:uid="{D1ABF8BF-4A15-4683-AF92-8B9AB082B25D}"/>
    <cellStyle name="40% - Accent3 3 3 2 2 4" xfId="20987" xr:uid="{00000000-0005-0000-0000-0000933B0000}"/>
    <cellStyle name="40% - Accent3 3 3 2 2 4 2" xfId="44819" xr:uid="{334B0BDA-1722-4831-8912-985B39E63F7F}"/>
    <cellStyle name="40% - Accent3 3 3 2 2 5" xfId="28940" xr:uid="{CABB2B7F-F4A8-46EF-B010-8EF0E2E5F78B}"/>
    <cellStyle name="40% - Accent3 3 3 2 3" xfId="6841" xr:uid="{00000000-0005-0000-0000-0000943B0000}"/>
    <cellStyle name="40% - Accent3 3 3 2 3 2" xfId="14812" xr:uid="{00000000-0005-0000-0000-0000953B0000}"/>
    <cellStyle name="40% - Accent3 3 3 2 3 2 2" xfId="38654" xr:uid="{8F816D79-85AC-4148-B333-4E977D821B89}"/>
    <cellStyle name="40% - Accent3 3 3 2 3 3" xfId="22759" xr:uid="{00000000-0005-0000-0000-0000963B0000}"/>
    <cellStyle name="40% - Accent3 3 3 2 3 3 2" xfId="46591" xr:uid="{74EA3B2F-3160-40D2-A413-A768F85D475E}"/>
    <cellStyle name="40% - Accent3 3 3 2 3 4" xfId="30713" xr:uid="{5E5AF0C4-0406-4D94-9AEF-2B50825F0319}"/>
    <cellStyle name="40% - Accent3 3 3 2 4" xfId="11276" xr:uid="{00000000-0005-0000-0000-0000973B0000}"/>
    <cellStyle name="40% - Accent3 3 3 2 4 2" xfId="35125" xr:uid="{48473CF1-40AE-4EF3-8AA3-8B4D8D2616F2}"/>
    <cellStyle name="40% - Accent3 3 3 2 5" xfId="19231" xr:uid="{00000000-0005-0000-0000-0000983B0000}"/>
    <cellStyle name="40% - Accent3 3 3 2 5 2" xfId="43063" xr:uid="{0F61A014-978E-4447-9707-9F1CA329A420}"/>
    <cellStyle name="40% - Accent3 3 3 2 6" xfId="27183" xr:uid="{FD98292C-1EB6-4C5C-BACD-26D16A3C14FB}"/>
    <cellStyle name="40% - Accent3 3 3 2_Exh G" xfId="2986" xr:uid="{00000000-0005-0000-0000-0000993B0000}"/>
    <cellStyle name="40% - Accent3 3 3 3" xfId="4130" xr:uid="{00000000-0005-0000-0000-00009A3B0000}"/>
    <cellStyle name="40% - Accent3 3 3 3 2" xfId="7722" xr:uid="{00000000-0005-0000-0000-00009B3B0000}"/>
    <cellStyle name="40% - Accent3 3 3 3 2 2" xfId="15692" xr:uid="{00000000-0005-0000-0000-00009C3B0000}"/>
    <cellStyle name="40% - Accent3 3 3 3 2 2 2" xfId="39534" xr:uid="{3BEE2ED9-B625-4302-8BF1-4BC757468619}"/>
    <cellStyle name="40% - Accent3 3 3 3 2 3" xfId="23638" xr:uid="{00000000-0005-0000-0000-00009D3B0000}"/>
    <cellStyle name="40% - Accent3 3 3 3 2 3 2" xfId="47470" xr:uid="{5569FDEB-B5E5-415C-B49E-EDB84DAFD4F6}"/>
    <cellStyle name="40% - Accent3 3 3 3 2 4" xfId="31593" xr:uid="{E8314001-5398-4D05-AC0F-4A243D0BDAD2}"/>
    <cellStyle name="40% - Accent3 3 3 3 3" xfId="12154" xr:uid="{00000000-0005-0000-0000-00009E3B0000}"/>
    <cellStyle name="40% - Accent3 3 3 3 3 2" xfId="36003" xr:uid="{5A40E2A5-E7A4-4BD3-A58D-E14A8DFEF970}"/>
    <cellStyle name="40% - Accent3 3 3 3 4" xfId="20109" xr:uid="{00000000-0005-0000-0000-00009F3B0000}"/>
    <cellStyle name="40% - Accent3 3 3 3 4 2" xfId="43941" xr:uid="{F5589523-F8E2-4482-93D5-1C04B1C4679B}"/>
    <cellStyle name="40% - Accent3 3 3 3 5" xfId="28062" xr:uid="{DEA20FD8-9A1B-4A4E-A9C6-6B9CFAE70F8F}"/>
    <cellStyle name="40% - Accent3 3 3 4" xfId="5950" xr:uid="{00000000-0005-0000-0000-0000A03B0000}"/>
    <cellStyle name="40% - Accent3 3 3 4 2" xfId="13933" xr:uid="{00000000-0005-0000-0000-0000A13B0000}"/>
    <cellStyle name="40% - Accent3 3 3 4 2 2" xfId="37776" xr:uid="{4F0959FD-79EF-40EF-B854-F5B144F38F1D}"/>
    <cellStyle name="40% - Accent3 3 3 4 3" xfId="21881" xr:uid="{00000000-0005-0000-0000-0000A23B0000}"/>
    <cellStyle name="40% - Accent3 3 3 4 3 2" xfId="45713" xr:uid="{21F72C77-3167-4ABE-BB44-C810331A2D5A}"/>
    <cellStyle name="40% - Accent3 3 3 4 4" xfId="29835" xr:uid="{B4A30005-149F-481F-9C4E-CB4E84BFFE66}"/>
    <cellStyle name="40% - Accent3 3 3 5" xfId="9502" xr:uid="{00000000-0005-0000-0000-0000A33B0000}"/>
    <cellStyle name="40% - Accent3 3 3 5 2" xfId="17460" xr:uid="{00000000-0005-0000-0000-0000A43B0000}"/>
    <cellStyle name="40% - Accent3 3 3 5 2 2" xfId="41300" xr:uid="{A4357520-532E-4A41-9287-9D96E39D509C}"/>
    <cellStyle name="40% - Accent3 3 3 5 3" xfId="25404" xr:uid="{00000000-0005-0000-0000-0000A53B0000}"/>
    <cellStyle name="40% - Accent3 3 3 5 3 2" xfId="49236" xr:uid="{D556F0DD-8BE2-4A3C-805B-7D93F73AF0CC}"/>
    <cellStyle name="40% - Accent3 3 3 5 4" xfId="33359" xr:uid="{D238AC66-8903-48F0-9C5B-F890564CFD99}"/>
    <cellStyle name="40% - Accent3 3 3 6" xfId="10398" xr:uid="{00000000-0005-0000-0000-0000A63B0000}"/>
    <cellStyle name="40% - Accent3 3 3 6 2" xfId="34247" xr:uid="{3CCF2A73-F634-460B-9808-688A5F92611D}"/>
    <cellStyle name="40% - Accent3 3 3 7" xfId="18353" xr:uid="{00000000-0005-0000-0000-0000A73B0000}"/>
    <cellStyle name="40% - Accent3 3 3 7 2" xfId="42185" xr:uid="{B11B5BF5-DC36-437A-8866-1DD9786D1C73}"/>
    <cellStyle name="40% - Accent3 3 3 8" xfId="26305" xr:uid="{8F416CBB-4695-4393-B288-9F0F48E6F295}"/>
    <cellStyle name="40% - Accent3 3 3_Exh G" xfId="2985" xr:uid="{00000000-0005-0000-0000-0000A83B0000}"/>
    <cellStyle name="40% - Accent3 3 4" xfId="958" xr:uid="{00000000-0005-0000-0000-0000A93B0000}"/>
    <cellStyle name="40% - Accent3 3 4 2" xfId="1874" xr:uid="{00000000-0005-0000-0000-0000AA3B0000}"/>
    <cellStyle name="40% - Accent3 3 4 2 2" xfId="5391" xr:uid="{00000000-0005-0000-0000-0000AB3B0000}"/>
    <cellStyle name="40% - Accent3 3 4 2 2 2" xfId="8982" xr:uid="{00000000-0005-0000-0000-0000AC3B0000}"/>
    <cellStyle name="40% - Accent3 3 4 2 2 2 2" xfId="16952" xr:uid="{00000000-0005-0000-0000-0000AD3B0000}"/>
    <cellStyle name="40% - Accent3 3 4 2 2 2 2 2" xfId="40794" xr:uid="{C97B1BC9-7C4F-45BA-BD85-C78646AF7E1F}"/>
    <cellStyle name="40% - Accent3 3 4 2 2 2 3" xfId="24898" xr:uid="{00000000-0005-0000-0000-0000AE3B0000}"/>
    <cellStyle name="40% - Accent3 3 4 2 2 2 3 2" xfId="48730" xr:uid="{37183126-DEC1-4905-BD38-B08BA76F5EA9}"/>
    <cellStyle name="40% - Accent3 3 4 2 2 2 4" xfId="32853" xr:uid="{0DA5E6FF-40E2-4048-A602-386E4F91C3C7}"/>
    <cellStyle name="40% - Accent3 3 4 2 2 3" xfId="13414" xr:uid="{00000000-0005-0000-0000-0000AF3B0000}"/>
    <cellStyle name="40% - Accent3 3 4 2 2 3 2" xfId="37263" xr:uid="{320DF4A5-D4A5-48C8-84BA-D630A822A3BF}"/>
    <cellStyle name="40% - Accent3 3 4 2 2 4" xfId="21369" xr:uid="{00000000-0005-0000-0000-0000B03B0000}"/>
    <cellStyle name="40% - Accent3 3 4 2 2 4 2" xfId="45201" xr:uid="{936ABBF7-AAE7-44DC-AAC0-304DB7567AE4}"/>
    <cellStyle name="40% - Accent3 3 4 2 2 5" xfId="29322" xr:uid="{8E1A5E96-FE5C-4416-93CB-0D22BB2FAC81}"/>
    <cellStyle name="40% - Accent3 3 4 2 3" xfId="7223" xr:uid="{00000000-0005-0000-0000-0000B13B0000}"/>
    <cellStyle name="40% - Accent3 3 4 2 3 2" xfId="15194" xr:uid="{00000000-0005-0000-0000-0000B23B0000}"/>
    <cellStyle name="40% - Accent3 3 4 2 3 2 2" xfId="39036" xr:uid="{E9C9CAC5-5787-4C29-B896-F2C0579D147B}"/>
    <cellStyle name="40% - Accent3 3 4 2 3 3" xfId="23141" xr:uid="{00000000-0005-0000-0000-0000B33B0000}"/>
    <cellStyle name="40% - Accent3 3 4 2 3 3 2" xfId="46973" xr:uid="{364A0C4F-EC8F-4AB8-88B9-81E39F73F625}"/>
    <cellStyle name="40% - Accent3 3 4 2 3 4" xfId="31095" xr:uid="{1A270F91-8883-44BB-B015-E69A7282B89B}"/>
    <cellStyle name="40% - Accent3 3 4 2 4" xfId="11658" xr:uid="{00000000-0005-0000-0000-0000B43B0000}"/>
    <cellStyle name="40% - Accent3 3 4 2 4 2" xfId="35507" xr:uid="{BA83CB53-1224-4B65-9624-7253660989C4}"/>
    <cellStyle name="40% - Accent3 3 4 2 5" xfId="19613" xr:uid="{00000000-0005-0000-0000-0000B53B0000}"/>
    <cellStyle name="40% - Accent3 3 4 2 5 2" xfId="43445" xr:uid="{3B10C36B-E8D2-424E-B9D7-A48ECEFA2669}"/>
    <cellStyle name="40% - Accent3 3 4 2 6" xfId="27565" xr:uid="{5729DCFD-8202-40EC-BC60-935AFD76D9CC}"/>
    <cellStyle name="40% - Accent3 3 4 2_Exh G" xfId="2988" xr:uid="{00000000-0005-0000-0000-0000B63B0000}"/>
    <cellStyle name="40% - Accent3 3 4 3" xfId="4512" xr:uid="{00000000-0005-0000-0000-0000B73B0000}"/>
    <cellStyle name="40% - Accent3 3 4 3 2" xfId="8104" xr:uid="{00000000-0005-0000-0000-0000B83B0000}"/>
    <cellStyle name="40% - Accent3 3 4 3 2 2" xfId="16074" xr:uid="{00000000-0005-0000-0000-0000B93B0000}"/>
    <cellStyle name="40% - Accent3 3 4 3 2 2 2" xfId="39916" xr:uid="{5CA0A541-E01C-4A3D-9D0C-439764F75BFF}"/>
    <cellStyle name="40% - Accent3 3 4 3 2 3" xfId="24020" xr:uid="{00000000-0005-0000-0000-0000BA3B0000}"/>
    <cellStyle name="40% - Accent3 3 4 3 2 3 2" xfId="47852" xr:uid="{383143BD-3229-43A8-9B48-C1C3BE57B246}"/>
    <cellStyle name="40% - Accent3 3 4 3 2 4" xfId="31975" xr:uid="{FBBFB8E9-E015-4887-9D70-A2D9FB20FBE3}"/>
    <cellStyle name="40% - Accent3 3 4 3 3" xfId="12536" xr:uid="{00000000-0005-0000-0000-0000BB3B0000}"/>
    <cellStyle name="40% - Accent3 3 4 3 3 2" xfId="36385" xr:uid="{ECDEA087-F81E-4558-B904-AD67936BBD33}"/>
    <cellStyle name="40% - Accent3 3 4 3 4" xfId="20491" xr:uid="{00000000-0005-0000-0000-0000BC3B0000}"/>
    <cellStyle name="40% - Accent3 3 4 3 4 2" xfId="44323" xr:uid="{4E4D5020-D750-4FB0-873D-7FD16127B823}"/>
    <cellStyle name="40% - Accent3 3 4 3 5" xfId="28444" xr:uid="{C4589D11-9327-4291-8861-4D93BBEF1D7B}"/>
    <cellStyle name="40% - Accent3 3 4 4" xfId="6342" xr:uid="{00000000-0005-0000-0000-0000BD3B0000}"/>
    <cellStyle name="40% - Accent3 3 4 4 2" xfId="14316" xr:uid="{00000000-0005-0000-0000-0000BE3B0000}"/>
    <cellStyle name="40% - Accent3 3 4 4 2 2" xfId="38158" xr:uid="{596927FD-A313-4076-B136-D614BFA7B192}"/>
    <cellStyle name="40% - Accent3 3 4 4 3" xfId="22263" xr:uid="{00000000-0005-0000-0000-0000BF3B0000}"/>
    <cellStyle name="40% - Accent3 3 4 4 3 2" xfId="46095" xr:uid="{B54AA4B6-67A2-400D-9390-C8B2A1AFACB5}"/>
    <cellStyle name="40% - Accent3 3 4 4 4" xfId="30217" xr:uid="{56791E52-0637-4D21-9E12-8CEDEBB93A92}"/>
    <cellStyle name="40% - Accent3 3 4 5" xfId="9884" xr:uid="{00000000-0005-0000-0000-0000C03B0000}"/>
    <cellStyle name="40% - Accent3 3 4 5 2" xfId="17842" xr:uid="{00000000-0005-0000-0000-0000C13B0000}"/>
    <cellStyle name="40% - Accent3 3 4 5 2 2" xfId="41682" xr:uid="{A7945FC6-B804-4778-87AF-8457B1480B20}"/>
    <cellStyle name="40% - Accent3 3 4 5 3" xfId="25786" xr:uid="{00000000-0005-0000-0000-0000C23B0000}"/>
    <cellStyle name="40% - Accent3 3 4 5 3 2" xfId="49618" xr:uid="{54C5846E-A482-4700-B43B-5A32B239D247}"/>
    <cellStyle name="40% - Accent3 3 4 5 4" xfId="33741" xr:uid="{CE214B32-CF62-4157-905F-A2AF9DBA15F2}"/>
    <cellStyle name="40% - Accent3 3 4 6" xfId="10780" xr:uid="{00000000-0005-0000-0000-0000C33B0000}"/>
    <cellStyle name="40% - Accent3 3 4 6 2" xfId="34629" xr:uid="{015DE087-06ED-4CCD-847B-63EDAEE1BB90}"/>
    <cellStyle name="40% - Accent3 3 4 7" xfId="18735" xr:uid="{00000000-0005-0000-0000-0000C43B0000}"/>
    <cellStyle name="40% - Accent3 3 4 7 2" xfId="42567" xr:uid="{B9C82A08-10F5-497F-9025-910AB2CE673A}"/>
    <cellStyle name="40% - Accent3 3 4 8" xfId="26687" xr:uid="{600B7CD3-2EEF-4660-8BF4-E77E5ED88F68}"/>
    <cellStyle name="40% - Accent3 3 4_Exh G" xfId="2987" xr:uid="{00000000-0005-0000-0000-0000C53B0000}"/>
    <cellStyle name="40% - Accent3 3 5" xfId="1479" xr:uid="{00000000-0005-0000-0000-0000C63B0000}"/>
    <cellStyle name="40% - Accent3 3 5 2" xfId="5006" xr:uid="{00000000-0005-0000-0000-0000C73B0000}"/>
    <cellStyle name="40% - Accent3 3 5 2 2" xfId="8597" xr:uid="{00000000-0005-0000-0000-0000C83B0000}"/>
    <cellStyle name="40% - Accent3 3 5 2 2 2" xfId="16567" xr:uid="{00000000-0005-0000-0000-0000C93B0000}"/>
    <cellStyle name="40% - Accent3 3 5 2 2 2 2" xfId="40409" xr:uid="{31967456-25F6-4711-9D12-DD657D97F414}"/>
    <cellStyle name="40% - Accent3 3 5 2 2 3" xfId="24513" xr:uid="{00000000-0005-0000-0000-0000CA3B0000}"/>
    <cellStyle name="40% - Accent3 3 5 2 2 3 2" xfId="48345" xr:uid="{93C9A834-BC9B-41A4-9ED8-6C70FECB4125}"/>
    <cellStyle name="40% - Accent3 3 5 2 2 4" xfId="32468" xr:uid="{71378522-8F16-490E-A7BA-D0854746A0F8}"/>
    <cellStyle name="40% - Accent3 3 5 2 3" xfId="13029" xr:uid="{00000000-0005-0000-0000-0000CB3B0000}"/>
    <cellStyle name="40% - Accent3 3 5 2 3 2" xfId="36878" xr:uid="{5A76482F-BAAC-4A69-9DCD-9A7FCDCC5237}"/>
    <cellStyle name="40% - Accent3 3 5 2 4" xfId="20984" xr:uid="{00000000-0005-0000-0000-0000CC3B0000}"/>
    <cellStyle name="40% - Accent3 3 5 2 4 2" xfId="44816" xr:uid="{EA278EC2-8E4E-47C6-88D2-5C81677ED3F6}"/>
    <cellStyle name="40% - Accent3 3 5 2 5" xfId="28937" xr:uid="{C33815E7-05E7-4D6B-BA15-5D1AC28B3A15}"/>
    <cellStyle name="40% - Accent3 3 5 3" xfId="6838" xr:uid="{00000000-0005-0000-0000-0000CD3B0000}"/>
    <cellStyle name="40% - Accent3 3 5 3 2" xfId="14809" xr:uid="{00000000-0005-0000-0000-0000CE3B0000}"/>
    <cellStyle name="40% - Accent3 3 5 3 2 2" xfId="38651" xr:uid="{27AFF68E-519A-44EF-986B-62DA97460323}"/>
    <cellStyle name="40% - Accent3 3 5 3 3" xfId="22756" xr:uid="{00000000-0005-0000-0000-0000CF3B0000}"/>
    <cellStyle name="40% - Accent3 3 5 3 3 2" xfId="46588" xr:uid="{79D9C8AB-4C63-4F34-9096-8DADE750B433}"/>
    <cellStyle name="40% - Accent3 3 5 3 4" xfId="30710" xr:uid="{2A26CC64-FC19-4CD3-9B9B-9BD34E07B9B6}"/>
    <cellStyle name="40% - Accent3 3 5 4" xfId="11273" xr:uid="{00000000-0005-0000-0000-0000D03B0000}"/>
    <cellStyle name="40% - Accent3 3 5 4 2" xfId="35122" xr:uid="{E67CF18F-0B58-49F2-A3A7-D6AD43606C26}"/>
    <cellStyle name="40% - Accent3 3 5 5" xfId="19228" xr:uid="{00000000-0005-0000-0000-0000D13B0000}"/>
    <cellStyle name="40% - Accent3 3 5 5 2" xfId="43060" xr:uid="{3FDF5B71-232B-4B67-A6B2-14F7307768CB}"/>
    <cellStyle name="40% - Accent3 3 5 6" xfId="27180" xr:uid="{054767B9-12FF-4714-A707-E80D10476DA9}"/>
    <cellStyle name="40% - Accent3 3 5_Exh G" xfId="2989" xr:uid="{00000000-0005-0000-0000-0000D23B0000}"/>
    <cellStyle name="40% - Accent3 3 6" xfId="4127" xr:uid="{00000000-0005-0000-0000-0000D33B0000}"/>
    <cellStyle name="40% - Accent3 3 6 2" xfId="7719" xr:uid="{00000000-0005-0000-0000-0000D43B0000}"/>
    <cellStyle name="40% - Accent3 3 6 2 2" xfId="15689" xr:uid="{00000000-0005-0000-0000-0000D53B0000}"/>
    <cellStyle name="40% - Accent3 3 6 2 2 2" xfId="39531" xr:uid="{9D795F71-F8A0-4FB9-901F-51043D0324FA}"/>
    <cellStyle name="40% - Accent3 3 6 2 3" xfId="23635" xr:uid="{00000000-0005-0000-0000-0000D63B0000}"/>
    <cellStyle name="40% - Accent3 3 6 2 3 2" xfId="47467" xr:uid="{14C5437D-470D-4496-ADEB-55DF5B79BDE2}"/>
    <cellStyle name="40% - Accent3 3 6 2 4" xfId="31590" xr:uid="{F4020CBD-AB20-407D-96B3-762C81CA3D75}"/>
    <cellStyle name="40% - Accent3 3 6 3" xfId="12151" xr:uid="{00000000-0005-0000-0000-0000D73B0000}"/>
    <cellStyle name="40% - Accent3 3 6 3 2" xfId="36000" xr:uid="{96DF78E6-39B1-4D9B-BD74-4EE92F658373}"/>
    <cellStyle name="40% - Accent3 3 6 4" xfId="20106" xr:uid="{00000000-0005-0000-0000-0000D83B0000}"/>
    <cellStyle name="40% - Accent3 3 6 4 2" xfId="43938" xr:uid="{7B227922-3A36-4B6A-8735-0FD9543CF4F3}"/>
    <cellStyle name="40% - Accent3 3 6 5" xfId="28059" xr:uid="{D805C4F5-976E-46F8-8048-E0AD78FFF8E3}"/>
    <cellStyle name="40% - Accent3 3 7" xfId="5947" xr:uid="{00000000-0005-0000-0000-0000D93B0000}"/>
    <cellStyle name="40% - Accent3 3 7 2" xfId="13930" xr:uid="{00000000-0005-0000-0000-0000DA3B0000}"/>
    <cellStyle name="40% - Accent3 3 7 2 2" xfId="37773" xr:uid="{5FFA0BBB-E5C1-4DD2-9156-677A3A3AED9F}"/>
    <cellStyle name="40% - Accent3 3 7 3" xfId="21878" xr:uid="{00000000-0005-0000-0000-0000DB3B0000}"/>
    <cellStyle name="40% - Accent3 3 7 3 2" xfId="45710" xr:uid="{5A189860-2430-49CC-A808-C3E2C90F6FB0}"/>
    <cellStyle name="40% - Accent3 3 7 4" xfId="29832" xr:uid="{9937DC3D-1CF7-43C8-B0EE-5C7D2FCA7620}"/>
    <cellStyle name="40% - Accent3 3 8" xfId="9499" xr:uid="{00000000-0005-0000-0000-0000DC3B0000}"/>
    <cellStyle name="40% - Accent3 3 8 2" xfId="17457" xr:uid="{00000000-0005-0000-0000-0000DD3B0000}"/>
    <cellStyle name="40% - Accent3 3 8 2 2" xfId="41297" xr:uid="{61B7526D-0CE1-4EC7-A3F0-E228DD0F0F31}"/>
    <cellStyle name="40% - Accent3 3 8 3" xfId="25401" xr:uid="{00000000-0005-0000-0000-0000DE3B0000}"/>
    <cellStyle name="40% - Accent3 3 8 3 2" xfId="49233" xr:uid="{08CB2811-3B22-4C3A-948C-2BA88B62668A}"/>
    <cellStyle name="40% - Accent3 3 8 4" xfId="33356" xr:uid="{777666A5-5991-4C30-BE17-E73F11756B93}"/>
    <cellStyle name="40% - Accent3 3 9" xfId="10395" xr:uid="{00000000-0005-0000-0000-0000DF3B0000}"/>
    <cellStyle name="40% - Accent3 3 9 2" xfId="34244" xr:uid="{562124D9-B6EE-4B9A-AE68-95E606A83135}"/>
    <cellStyle name="40% - Accent3 3_Exh G" xfId="2978" xr:uid="{00000000-0005-0000-0000-0000E03B0000}"/>
    <cellStyle name="40% - Accent3 4" xfId="457" xr:uid="{00000000-0005-0000-0000-0000E13B0000}"/>
    <cellStyle name="40% - Accent3 4 10" xfId="18354" xr:uid="{00000000-0005-0000-0000-0000E23B0000}"/>
    <cellStyle name="40% - Accent3 4 10 2" xfId="42186" xr:uid="{083EA552-30CB-4081-8E16-C794C52BEEDE}"/>
    <cellStyle name="40% - Accent3 4 11" xfId="26306" xr:uid="{C5A4B964-8213-4E08-9D65-288D40983F98}"/>
    <cellStyle name="40% - Accent3 4 2" xfId="458" xr:uid="{00000000-0005-0000-0000-0000E33B0000}"/>
    <cellStyle name="40% - Accent3 4 2 10" xfId="26307" xr:uid="{BBB1F4A6-4D0D-4B20-8BF6-FFE8602A8A05}"/>
    <cellStyle name="40% - Accent3 4 2 2" xfId="459" xr:uid="{00000000-0005-0000-0000-0000E43B0000}"/>
    <cellStyle name="40% - Accent3 4 2 2 2" xfId="1485" xr:uid="{00000000-0005-0000-0000-0000E53B0000}"/>
    <cellStyle name="40% - Accent3 4 2 2 2 2" xfId="5012" xr:uid="{00000000-0005-0000-0000-0000E63B0000}"/>
    <cellStyle name="40% - Accent3 4 2 2 2 2 2" xfId="8603" xr:uid="{00000000-0005-0000-0000-0000E73B0000}"/>
    <cellStyle name="40% - Accent3 4 2 2 2 2 2 2" xfId="16573" xr:uid="{00000000-0005-0000-0000-0000E83B0000}"/>
    <cellStyle name="40% - Accent3 4 2 2 2 2 2 2 2" xfId="40415" xr:uid="{07145AB8-50D0-4E2C-8C8B-85FBE424318E}"/>
    <cellStyle name="40% - Accent3 4 2 2 2 2 2 3" xfId="24519" xr:uid="{00000000-0005-0000-0000-0000E93B0000}"/>
    <cellStyle name="40% - Accent3 4 2 2 2 2 2 3 2" xfId="48351" xr:uid="{BC8A04CF-5528-4059-8588-0269ADCD412B}"/>
    <cellStyle name="40% - Accent3 4 2 2 2 2 2 4" xfId="32474" xr:uid="{DC75F399-5F6B-46FE-856B-97832C6F2FF2}"/>
    <cellStyle name="40% - Accent3 4 2 2 2 2 3" xfId="13035" xr:uid="{00000000-0005-0000-0000-0000EA3B0000}"/>
    <cellStyle name="40% - Accent3 4 2 2 2 2 3 2" xfId="36884" xr:uid="{1BC1DEFD-820C-4280-81FE-80817082E31B}"/>
    <cellStyle name="40% - Accent3 4 2 2 2 2 4" xfId="20990" xr:uid="{00000000-0005-0000-0000-0000EB3B0000}"/>
    <cellStyle name="40% - Accent3 4 2 2 2 2 4 2" xfId="44822" xr:uid="{72BCCBBF-3901-4A77-9604-D2E81506919D}"/>
    <cellStyle name="40% - Accent3 4 2 2 2 2 5" xfId="28943" xr:uid="{FB980035-0FC0-4120-B758-D9A9954BAA89}"/>
    <cellStyle name="40% - Accent3 4 2 2 2 3" xfId="6844" xr:uid="{00000000-0005-0000-0000-0000EC3B0000}"/>
    <cellStyle name="40% - Accent3 4 2 2 2 3 2" xfId="14815" xr:uid="{00000000-0005-0000-0000-0000ED3B0000}"/>
    <cellStyle name="40% - Accent3 4 2 2 2 3 2 2" xfId="38657" xr:uid="{0280F0D0-2F11-4284-AB56-0403A49DE79A}"/>
    <cellStyle name="40% - Accent3 4 2 2 2 3 3" xfId="22762" xr:uid="{00000000-0005-0000-0000-0000EE3B0000}"/>
    <cellStyle name="40% - Accent3 4 2 2 2 3 3 2" xfId="46594" xr:uid="{275070BC-73AA-414E-9FBA-14D0821BEB2E}"/>
    <cellStyle name="40% - Accent3 4 2 2 2 3 4" xfId="30716" xr:uid="{D53C4FD9-E243-4566-A040-C3E2B46C3D44}"/>
    <cellStyle name="40% - Accent3 4 2 2 2 4" xfId="11279" xr:uid="{00000000-0005-0000-0000-0000EF3B0000}"/>
    <cellStyle name="40% - Accent3 4 2 2 2 4 2" xfId="35128" xr:uid="{F4FD6BEC-9AAD-4383-9D97-F7D8919379CC}"/>
    <cellStyle name="40% - Accent3 4 2 2 2 5" xfId="19234" xr:uid="{00000000-0005-0000-0000-0000F03B0000}"/>
    <cellStyle name="40% - Accent3 4 2 2 2 5 2" xfId="43066" xr:uid="{2CFE3F75-4BAD-40DD-801C-5E9E65BE88D0}"/>
    <cellStyle name="40% - Accent3 4 2 2 2 6" xfId="27186" xr:uid="{9E82563F-310B-479C-89A6-CDF8EB5FD463}"/>
    <cellStyle name="40% - Accent3 4 2 2 2_Exh G" xfId="2993" xr:uid="{00000000-0005-0000-0000-0000F13B0000}"/>
    <cellStyle name="40% - Accent3 4 2 2 3" xfId="4133" xr:uid="{00000000-0005-0000-0000-0000F23B0000}"/>
    <cellStyle name="40% - Accent3 4 2 2 3 2" xfId="7725" xr:uid="{00000000-0005-0000-0000-0000F33B0000}"/>
    <cellStyle name="40% - Accent3 4 2 2 3 2 2" xfId="15695" xr:uid="{00000000-0005-0000-0000-0000F43B0000}"/>
    <cellStyle name="40% - Accent3 4 2 2 3 2 2 2" xfId="39537" xr:uid="{910660F2-7411-4EBB-B2CF-E8C6574ABDB9}"/>
    <cellStyle name="40% - Accent3 4 2 2 3 2 3" xfId="23641" xr:uid="{00000000-0005-0000-0000-0000F53B0000}"/>
    <cellStyle name="40% - Accent3 4 2 2 3 2 3 2" xfId="47473" xr:uid="{12095A46-A782-48DD-A576-E9D50CD09ADA}"/>
    <cellStyle name="40% - Accent3 4 2 2 3 2 4" xfId="31596" xr:uid="{34DC128E-74E3-4E45-B9E2-578798EE45CE}"/>
    <cellStyle name="40% - Accent3 4 2 2 3 3" xfId="12157" xr:uid="{00000000-0005-0000-0000-0000F63B0000}"/>
    <cellStyle name="40% - Accent3 4 2 2 3 3 2" xfId="36006" xr:uid="{2F4303D3-965A-4ED9-8D85-30999B139DE2}"/>
    <cellStyle name="40% - Accent3 4 2 2 3 4" xfId="20112" xr:uid="{00000000-0005-0000-0000-0000F73B0000}"/>
    <cellStyle name="40% - Accent3 4 2 2 3 4 2" xfId="43944" xr:uid="{FF501675-452C-44AC-BFD3-83BC12482D9A}"/>
    <cellStyle name="40% - Accent3 4 2 2 3 5" xfId="28065" xr:uid="{7C78639C-C22B-4C50-B423-EAF7BF8914BC}"/>
    <cellStyle name="40% - Accent3 4 2 2 4" xfId="5953" xr:uid="{00000000-0005-0000-0000-0000F83B0000}"/>
    <cellStyle name="40% - Accent3 4 2 2 4 2" xfId="13936" xr:uid="{00000000-0005-0000-0000-0000F93B0000}"/>
    <cellStyle name="40% - Accent3 4 2 2 4 2 2" xfId="37779" xr:uid="{90A7F065-F2A8-4D60-B4AC-45E88801D25E}"/>
    <cellStyle name="40% - Accent3 4 2 2 4 3" xfId="21884" xr:uid="{00000000-0005-0000-0000-0000FA3B0000}"/>
    <cellStyle name="40% - Accent3 4 2 2 4 3 2" xfId="45716" xr:uid="{4E91EE10-DEA5-4769-8AA5-10BDE200EB35}"/>
    <cellStyle name="40% - Accent3 4 2 2 4 4" xfId="29838" xr:uid="{F6D5D7EB-C190-4778-92D4-71229BFEF1C8}"/>
    <cellStyle name="40% - Accent3 4 2 2 5" xfId="9505" xr:uid="{00000000-0005-0000-0000-0000FB3B0000}"/>
    <cellStyle name="40% - Accent3 4 2 2 5 2" xfId="17463" xr:uid="{00000000-0005-0000-0000-0000FC3B0000}"/>
    <cellStyle name="40% - Accent3 4 2 2 5 2 2" xfId="41303" xr:uid="{CCF3D827-8FE1-41CF-BA63-B6B7A9B60C5A}"/>
    <cellStyle name="40% - Accent3 4 2 2 5 3" xfId="25407" xr:uid="{00000000-0005-0000-0000-0000FD3B0000}"/>
    <cellStyle name="40% - Accent3 4 2 2 5 3 2" xfId="49239" xr:uid="{E974DEF0-3397-4544-9096-453E7B52C656}"/>
    <cellStyle name="40% - Accent3 4 2 2 5 4" xfId="33362" xr:uid="{7FDF6200-4222-41F9-947B-CD86018A4674}"/>
    <cellStyle name="40% - Accent3 4 2 2 6" xfId="10401" xr:uid="{00000000-0005-0000-0000-0000FE3B0000}"/>
    <cellStyle name="40% - Accent3 4 2 2 6 2" xfId="34250" xr:uid="{202AEB9A-E9A5-4349-AB6F-80439CBEC6F1}"/>
    <cellStyle name="40% - Accent3 4 2 2 7" xfId="18356" xr:uid="{00000000-0005-0000-0000-0000FF3B0000}"/>
    <cellStyle name="40% - Accent3 4 2 2 7 2" xfId="42188" xr:uid="{3217A9CF-F82E-4B48-9703-31780921E173}"/>
    <cellStyle name="40% - Accent3 4 2 2 8" xfId="26308" xr:uid="{09287879-65AD-41EC-AB49-CC9413E0DD63}"/>
    <cellStyle name="40% - Accent3 4 2 2_Exh G" xfId="2992" xr:uid="{00000000-0005-0000-0000-0000003C0000}"/>
    <cellStyle name="40% - Accent3 4 2 3" xfId="961" xr:uid="{00000000-0005-0000-0000-0000013C0000}"/>
    <cellStyle name="40% - Accent3 4 2 3 2" xfId="1877" xr:uid="{00000000-0005-0000-0000-0000023C0000}"/>
    <cellStyle name="40% - Accent3 4 2 3 2 2" xfId="5394" xr:uid="{00000000-0005-0000-0000-0000033C0000}"/>
    <cellStyle name="40% - Accent3 4 2 3 2 2 2" xfId="8985" xr:uid="{00000000-0005-0000-0000-0000043C0000}"/>
    <cellStyle name="40% - Accent3 4 2 3 2 2 2 2" xfId="16955" xr:uid="{00000000-0005-0000-0000-0000053C0000}"/>
    <cellStyle name="40% - Accent3 4 2 3 2 2 2 2 2" xfId="40797" xr:uid="{E1147E88-89BF-472E-9325-59099D74D654}"/>
    <cellStyle name="40% - Accent3 4 2 3 2 2 2 3" xfId="24901" xr:uid="{00000000-0005-0000-0000-0000063C0000}"/>
    <cellStyle name="40% - Accent3 4 2 3 2 2 2 3 2" xfId="48733" xr:uid="{C1869313-6DF6-4AB9-95B0-07DF955A234A}"/>
    <cellStyle name="40% - Accent3 4 2 3 2 2 2 4" xfId="32856" xr:uid="{F0EF9015-650D-4E05-8271-78B807DD169A}"/>
    <cellStyle name="40% - Accent3 4 2 3 2 2 3" xfId="13417" xr:uid="{00000000-0005-0000-0000-0000073C0000}"/>
    <cellStyle name="40% - Accent3 4 2 3 2 2 3 2" xfId="37266" xr:uid="{BC5AB502-D01B-416E-9AFA-DCC62BFBE3D7}"/>
    <cellStyle name="40% - Accent3 4 2 3 2 2 4" xfId="21372" xr:uid="{00000000-0005-0000-0000-0000083C0000}"/>
    <cellStyle name="40% - Accent3 4 2 3 2 2 4 2" xfId="45204" xr:uid="{036B9A97-6B2F-49EE-892E-3FD194219837}"/>
    <cellStyle name="40% - Accent3 4 2 3 2 2 5" xfId="29325" xr:uid="{3B4ED4BE-5C89-4FA4-AFD5-7EA1B83F4428}"/>
    <cellStyle name="40% - Accent3 4 2 3 2 3" xfId="7226" xr:uid="{00000000-0005-0000-0000-0000093C0000}"/>
    <cellStyle name="40% - Accent3 4 2 3 2 3 2" xfId="15197" xr:uid="{00000000-0005-0000-0000-00000A3C0000}"/>
    <cellStyle name="40% - Accent3 4 2 3 2 3 2 2" xfId="39039" xr:uid="{3E7618E6-F4DD-445A-8A0A-093D30D57B08}"/>
    <cellStyle name="40% - Accent3 4 2 3 2 3 3" xfId="23144" xr:uid="{00000000-0005-0000-0000-00000B3C0000}"/>
    <cellStyle name="40% - Accent3 4 2 3 2 3 3 2" xfId="46976" xr:uid="{A3E024E8-926C-438E-9F40-977D91138342}"/>
    <cellStyle name="40% - Accent3 4 2 3 2 3 4" xfId="31098" xr:uid="{3D6D8093-9EA3-485C-B47C-19147F0C8751}"/>
    <cellStyle name="40% - Accent3 4 2 3 2 4" xfId="11661" xr:uid="{00000000-0005-0000-0000-00000C3C0000}"/>
    <cellStyle name="40% - Accent3 4 2 3 2 4 2" xfId="35510" xr:uid="{129763D1-75DB-429A-B6DC-BB57960F8D2E}"/>
    <cellStyle name="40% - Accent3 4 2 3 2 5" xfId="19616" xr:uid="{00000000-0005-0000-0000-00000D3C0000}"/>
    <cellStyle name="40% - Accent3 4 2 3 2 5 2" xfId="43448" xr:uid="{71DD4D7D-DEDC-49C7-9D8B-E8EEDA3E8335}"/>
    <cellStyle name="40% - Accent3 4 2 3 2 6" xfId="27568" xr:uid="{0B930F81-068E-4CCB-B92D-D514D45FEF76}"/>
    <cellStyle name="40% - Accent3 4 2 3 2_Exh G" xfId="2995" xr:uid="{00000000-0005-0000-0000-00000E3C0000}"/>
    <cellStyle name="40% - Accent3 4 2 3 3" xfId="4515" xr:uid="{00000000-0005-0000-0000-00000F3C0000}"/>
    <cellStyle name="40% - Accent3 4 2 3 3 2" xfId="8107" xr:uid="{00000000-0005-0000-0000-0000103C0000}"/>
    <cellStyle name="40% - Accent3 4 2 3 3 2 2" xfId="16077" xr:uid="{00000000-0005-0000-0000-0000113C0000}"/>
    <cellStyle name="40% - Accent3 4 2 3 3 2 2 2" xfId="39919" xr:uid="{FFEB20B1-9F0D-4082-9160-E6274992DA42}"/>
    <cellStyle name="40% - Accent3 4 2 3 3 2 3" xfId="24023" xr:uid="{00000000-0005-0000-0000-0000123C0000}"/>
    <cellStyle name="40% - Accent3 4 2 3 3 2 3 2" xfId="47855" xr:uid="{C4E6BDEA-3510-475C-8EC7-425ACF1DDFCF}"/>
    <cellStyle name="40% - Accent3 4 2 3 3 2 4" xfId="31978" xr:uid="{4EED5E82-4B7D-462C-BAAE-2BAE61E9E271}"/>
    <cellStyle name="40% - Accent3 4 2 3 3 3" xfId="12539" xr:uid="{00000000-0005-0000-0000-0000133C0000}"/>
    <cellStyle name="40% - Accent3 4 2 3 3 3 2" xfId="36388" xr:uid="{BCA1BCF2-7AB4-4512-A276-0286479DFDF3}"/>
    <cellStyle name="40% - Accent3 4 2 3 3 4" xfId="20494" xr:uid="{00000000-0005-0000-0000-0000143C0000}"/>
    <cellStyle name="40% - Accent3 4 2 3 3 4 2" xfId="44326" xr:uid="{71CB90B9-402A-43B9-8339-C82FD2B49014}"/>
    <cellStyle name="40% - Accent3 4 2 3 3 5" xfId="28447" xr:uid="{E8787B20-9F10-4FE9-ADC3-9DA70EE7C209}"/>
    <cellStyle name="40% - Accent3 4 2 3 4" xfId="6345" xr:uid="{00000000-0005-0000-0000-0000153C0000}"/>
    <cellStyle name="40% - Accent3 4 2 3 4 2" xfId="14319" xr:uid="{00000000-0005-0000-0000-0000163C0000}"/>
    <cellStyle name="40% - Accent3 4 2 3 4 2 2" xfId="38161" xr:uid="{DC17750B-1777-4741-A6DA-8B13C1A7C029}"/>
    <cellStyle name="40% - Accent3 4 2 3 4 3" xfId="22266" xr:uid="{00000000-0005-0000-0000-0000173C0000}"/>
    <cellStyle name="40% - Accent3 4 2 3 4 3 2" xfId="46098" xr:uid="{2D364280-546E-40BB-8B00-28AFF01DE7A0}"/>
    <cellStyle name="40% - Accent3 4 2 3 4 4" xfId="30220" xr:uid="{8CCD2876-4717-42D8-AFDD-72BEE7E966B4}"/>
    <cellStyle name="40% - Accent3 4 2 3 5" xfId="9887" xr:uid="{00000000-0005-0000-0000-0000183C0000}"/>
    <cellStyle name="40% - Accent3 4 2 3 5 2" xfId="17845" xr:uid="{00000000-0005-0000-0000-0000193C0000}"/>
    <cellStyle name="40% - Accent3 4 2 3 5 2 2" xfId="41685" xr:uid="{BC329F0E-D88F-4F9A-AD05-40B80CC2F9EB}"/>
    <cellStyle name="40% - Accent3 4 2 3 5 3" xfId="25789" xr:uid="{00000000-0005-0000-0000-00001A3C0000}"/>
    <cellStyle name="40% - Accent3 4 2 3 5 3 2" xfId="49621" xr:uid="{98988B97-B5FC-4FC1-9762-15E78B8D5AB8}"/>
    <cellStyle name="40% - Accent3 4 2 3 5 4" xfId="33744" xr:uid="{3093EEA6-621C-4023-B328-6BF86205CEAB}"/>
    <cellStyle name="40% - Accent3 4 2 3 6" xfId="10783" xr:uid="{00000000-0005-0000-0000-00001B3C0000}"/>
    <cellStyle name="40% - Accent3 4 2 3 6 2" xfId="34632" xr:uid="{97586E01-8F15-4C25-B663-533C4E815E9E}"/>
    <cellStyle name="40% - Accent3 4 2 3 7" xfId="18738" xr:uid="{00000000-0005-0000-0000-00001C3C0000}"/>
    <cellStyle name="40% - Accent3 4 2 3 7 2" xfId="42570" xr:uid="{EB31EA63-F847-4AB9-81F0-9B53493FB081}"/>
    <cellStyle name="40% - Accent3 4 2 3 8" xfId="26690" xr:uid="{8B49B5D4-4FBA-421A-86C6-7A144D67792C}"/>
    <cellStyle name="40% - Accent3 4 2 3_Exh G" xfId="2994" xr:uid="{00000000-0005-0000-0000-00001D3C0000}"/>
    <cellStyle name="40% - Accent3 4 2 4" xfId="1484" xr:uid="{00000000-0005-0000-0000-00001E3C0000}"/>
    <cellStyle name="40% - Accent3 4 2 4 2" xfId="5011" xr:uid="{00000000-0005-0000-0000-00001F3C0000}"/>
    <cellStyle name="40% - Accent3 4 2 4 2 2" xfId="8602" xr:uid="{00000000-0005-0000-0000-0000203C0000}"/>
    <cellStyle name="40% - Accent3 4 2 4 2 2 2" xfId="16572" xr:uid="{00000000-0005-0000-0000-0000213C0000}"/>
    <cellStyle name="40% - Accent3 4 2 4 2 2 2 2" xfId="40414" xr:uid="{12DCC574-66BF-422B-BEF8-290A04120922}"/>
    <cellStyle name="40% - Accent3 4 2 4 2 2 3" xfId="24518" xr:uid="{00000000-0005-0000-0000-0000223C0000}"/>
    <cellStyle name="40% - Accent3 4 2 4 2 2 3 2" xfId="48350" xr:uid="{9298AFC0-203B-40E3-83AF-39C2B74E4B77}"/>
    <cellStyle name="40% - Accent3 4 2 4 2 2 4" xfId="32473" xr:uid="{44B79C7D-C68C-45FB-B557-F6EF200BBDA7}"/>
    <cellStyle name="40% - Accent3 4 2 4 2 3" xfId="13034" xr:uid="{00000000-0005-0000-0000-0000233C0000}"/>
    <cellStyle name="40% - Accent3 4 2 4 2 3 2" xfId="36883" xr:uid="{92E86F2B-B2F1-4908-9937-C3187C9DD798}"/>
    <cellStyle name="40% - Accent3 4 2 4 2 4" xfId="20989" xr:uid="{00000000-0005-0000-0000-0000243C0000}"/>
    <cellStyle name="40% - Accent3 4 2 4 2 4 2" xfId="44821" xr:uid="{314B1669-0C86-46A5-A776-34E4B7C493B1}"/>
    <cellStyle name="40% - Accent3 4 2 4 2 5" xfId="28942" xr:uid="{BC45F763-096C-4FB0-8FEA-A2ED1F908332}"/>
    <cellStyle name="40% - Accent3 4 2 4 3" xfId="6843" xr:uid="{00000000-0005-0000-0000-0000253C0000}"/>
    <cellStyle name="40% - Accent3 4 2 4 3 2" xfId="14814" xr:uid="{00000000-0005-0000-0000-0000263C0000}"/>
    <cellStyle name="40% - Accent3 4 2 4 3 2 2" xfId="38656" xr:uid="{5C798A53-0F38-4E64-989B-27F90F4136C2}"/>
    <cellStyle name="40% - Accent3 4 2 4 3 3" xfId="22761" xr:uid="{00000000-0005-0000-0000-0000273C0000}"/>
    <cellStyle name="40% - Accent3 4 2 4 3 3 2" xfId="46593" xr:uid="{6E0DD0FD-01E7-4282-9F8F-7E5C8CF31475}"/>
    <cellStyle name="40% - Accent3 4 2 4 3 4" xfId="30715" xr:uid="{564607FA-8212-4A7A-ACF5-5964973DB079}"/>
    <cellStyle name="40% - Accent3 4 2 4 4" xfId="11278" xr:uid="{00000000-0005-0000-0000-0000283C0000}"/>
    <cellStyle name="40% - Accent3 4 2 4 4 2" xfId="35127" xr:uid="{24D04E11-82EA-4561-972F-7A0B91ED2BA4}"/>
    <cellStyle name="40% - Accent3 4 2 4 5" xfId="19233" xr:uid="{00000000-0005-0000-0000-0000293C0000}"/>
    <cellStyle name="40% - Accent3 4 2 4 5 2" xfId="43065" xr:uid="{5D6A89E2-12C6-4271-9A76-828494171A75}"/>
    <cellStyle name="40% - Accent3 4 2 4 6" xfId="27185" xr:uid="{014C2E80-FBE1-44F4-92E9-CA7B91DA8A64}"/>
    <cellStyle name="40% - Accent3 4 2 4_Exh G" xfId="2996" xr:uid="{00000000-0005-0000-0000-00002A3C0000}"/>
    <cellStyle name="40% - Accent3 4 2 5" xfId="4132" xr:uid="{00000000-0005-0000-0000-00002B3C0000}"/>
    <cellStyle name="40% - Accent3 4 2 5 2" xfId="7724" xr:uid="{00000000-0005-0000-0000-00002C3C0000}"/>
    <cellStyle name="40% - Accent3 4 2 5 2 2" xfId="15694" xr:uid="{00000000-0005-0000-0000-00002D3C0000}"/>
    <cellStyle name="40% - Accent3 4 2 5 2 2 2" xfId="39536" xr:uid="{193D440B-9A0F-4701-9CD4-C5A052D733C4}"/>
    <cellStyle name="40% - Accent3 4 2 5 2 3" xfId="23640" xr:uid="{00000000-0005-0000-0000-00002E3C0000}"/>
    <cellStyle name="40% - Accent3 4 2 5 2 3 2" xfId="47472" xr:uid="{41BDFAFA-FC8B-4318-ABF1-EFDAD74FA7B3}"/>
    <cellStyle name="40% - Accent3 4 2 5 2 4" xfId="31595" xr:uid="{1D4156FC-359E-4AAF-A53C-7486848D2CDD}"/>
    <cellStyle name="40% - Accent3 4 2 5 3" xfId="12156" xr:uid="{00000000-0005-0000-0000-00002F3C0000}"/>
    <cellStyle name="40% - Accent3 4 2 5 3 2" xfId="36005" xr:uid="{EF2DE0F3-3ADE-4B1D-90B1-FC6EA84A60F4}"/>
    <cellStyle name="40% - Accent3 4 2 5 4" xfId="20111" xr:uid="{00000000-0005-0000-0000-0000303C0000}"/>
    <cellStyle name="40% - Accent3 4 2 5 4 2" xfId="43943" xr:uid="{1E8F7F11-A415-46A4-9DA4-F23FFB91009F}"/>
    <cellStyle name="40% - Accent3 4 2 5 5" xfId="28064" xr:uid="{952D0B3B-1073-4D36-8506-883DEC9FA9D5}"/>
    <cellStyle name="40% - Accent3 4 2 6" xfId="5952" xr:uid="{00000000-0005-0000-0000-0000313C0000}"/>
    <cellStyle name="40% - Accent3 4 2 6 2" xfId="13935" xr:uid="{00000000-0005-0000-0000-0000323C0000}"/>
    <cellStyle name="40% - Accent3 4 2 6 2 2" xfId="37778" xr:uid="{5E40EFE8-0688-4E20-9956-3CB939ED4E38}"/>
    <cellStyle name="40% - Accent3 4 2 6 3" xfId="21883" xr:uid="{00000000-0005-0000-0000-0000333C0000}"/>
    <cellStyle name="40% - Accent3 4 2 6 3 2" xfId="45715" xr:uid="{0F77C67B-B520-4086-8314-A15BE7AA8860}"/>
    <cellStyle name="40% - Accent3 4 2 6 4" xfId="29837" xr:uid="{0477ADDB-738D-430C-8408-56F3F69EFDE5}"/>
    <cellStyle name="40% - Accent3 4 2 7" xfId="9504" xr:uid="{00000000-0005-0000-0000-0000343C0000}"/>
    <cellStyle name="40% - Accent3 4 2 7 2" xfId="17462" xr:uid="{00000000-0005-0000-0000-0000353C0000}"/>
    <cellStyle name="40% - Accent3 4 2 7 2 2" xfId="41302" xr:uid="{21B48F5A-449D-46F7-A372-0165B829C10D}"/>
    <cellStyle name="40% - Accent3 4 2 7 3" xfId="25406" xr:uid="{00000000-0005-0000-0000-0000363C0000}"/>
    <cellStyle name="40% - Accent3 4 2 7 3 2" xfId="49238" xr:uid="{E70708E2-4495-45F0-8331-B2FFCEA1893C}"/>
    <cellStyle name="40% - Accent3 4 2 7 4" xfId="33361" xr:uid="{C5AE0180-0B16-45B4-A01A-5A6E8F4C4C1A}"/>
    <cellStyle name="40% - Accent3 4 2 8" xfId="10400" xr:uid="{00000000-0005-0000-0000-0000373C0000}"/>
    <cellStyle name="40% - Accent3 4 2 8 2" xfId="34249" xr:uid="{48A91A74-9827-49E9-B6C3-53B05613E75B}"/>
    <cellStyle name="40% - Accent3 4 2 9" xfId="18355" xr:uid="{00000000-0005-0000-0000-0000383C0000}"/>
    <cellStyle name="40% - Accent3 4 2 9 2" xfId="42187" xr:uid="{1F624EBD-6EA6-4DAB-9897-2BC79A9EB4A8}"/>
    <cellStyle name="40% - Accent3 4 2_Exh G" xfId="2991" xr:uid="{00000000-0005-0000-0000-0000393C0000}"/>
    <cellStyle name="40% - Accent3 4 3" xfId="460" xr:uid="{00000000-0005-0000-0000-00003A3C0000}"/>
    <cellStyle name="40% - Accent3 4 3 2" xfId="1486" xr:uid="{00000000-0005-0000-0000-00003B3C0000}"/>
    <cellStyle name="40% - Accent3 4 3 2 2" xfId="5013" xr:uid="{00000000-0005-0000-0000-00003C3C0000}"/>
    <cellStyle name="40% - Accent3 4 3 2 2 2" xfId="8604" xr:uid="{00000000-0005-0000-0000-00003D3C0000}"/>
    <cellStyle name="40% - Accent3 4 3 2 2 2 2" xfId="16574" xr:uid="{00000000-0005-0000-0000-00003E3C0000}"/>
    <cellStyle name="40% - Accent3 4 3 2 2 2 2 2" xfId="40416" xr:uid="{589BFE74-4C91-460B-AB72-6BE17A3D3459}"/>
    <cellStyle name="40% - Accent3 4 3 2 2 2 3" xfId="24520" xr:uid="{00000000-0005-0000-0000-00003F3C0000}"/>
    <cellStyle name="40% - Accent3 4 3 2 2 2 3 2" xfId="48352" xr:uid="{50DB55D1-F560-47CF-B0B0-609E3743C5BC}"/>
    <cellStyle name="40% - Accent3 4 3 2 2 2 4" xfId="32475" xr:uid="{8D71DD1A-A752-43FA-B7A4-C30A62290EFA}"/>
    <cellStyle name="40% - Accent3 4 3 2 2 3" xfId="13036" xr:uid="{00000000-0005-0000-0000-0000403C0000}"/>
    <cellStyle name="40% - Accent3 4 3 2 2 3 2" xfId="36885" xr:uid="{CC2623B5-4425-4015-85A9-78C9F561B909}"/>
    <cellStyle name="40% - Accent3 4 3 2 2 4" xfId="20991" xr:uid="{00000000-0005-0000-0000-0000413C0000}"/>
    <cellStyle name="40% - Accent3 4 3 2 2 4 2" xfId="44823" xr:uid="{A68FB554-16C6-438E-83F7-430A293F2E82}"/>
    <cellStyle name="40% - Accent3 4 3 2 2 5" xfId="28944" xr:uid="{16751509-1508-49D3-8614-A27345E2AFFF}"/>
    <cellStyle name="40% - Accent3 4 3 2 3" xfId="6845" xr:uid="{00000000-0005-0000-0000-0000423C0000}"/>
    <cellStyle name="40% - Accent3 4 3 2 3 2" xfId="14816" xr:uid="{00000000-0005-0000-0000-0000433C0000}"/>
    <cellStyle name="40% - Accent3 4 3 2 3 2 2" xfId="38658" xr:uid="{C0A460BF-3AC1-42A0-A09A-01D18A6A3BA5}"/>
    <cellStyle name="40% - Accent3 4 3 2 3 3" xfId="22763" xr:uid="{00000000-0005-0000-0000-0000443C0000}"/>
    <cellStyle name="40% - Accent3 4 3 2 3 3 2" xfId="46595" xr:uid="{B8D37BE7-F506-4E2A-A67E-3807169A850F}"/>
    <cellStyle name="40% - Accent3 4 3 2 3 4" xfId="30717" xr:uid="{05D6A72C-9AF2-4729-B59B-01B15A4EF4B8}"/>
    <cellStyle name="40% - Accent3 4 3 2 4" xfId="11280" xr:uid="{00000000-0005-0000-0000-0000453C0000}"/>
    <cellStyle name="40% - Accent3 4 3 2 4 2" xfId="35129" xr:uid="{9122C714-9DD0-417E-9A61-BF8505128C8B}"/>
    <cellStyle name="40% - Accent3 4 3 2 5" xfId="19235" xr:uid="{00000000-0005-0000-0000-0000463C0000}"/>
    <cellStyle name="40% - Accent3 4 3 2 5 2" xfId="43067" xr:uid="{D75048B6-ABBE-4801-AD98-185203AC063C}"/>
    <cellStyle name="40% - Accent3 4 3 2 6" xfId="27187" xr:uid="{01C13532-88CE-4400-880C-8C2FB5F36DAF}"/>
    <cellStyle name="40% - Accent3 4 3 2_Exh G" xfId="2998" xr:uid="{00000000-0005-0000-0000-0000473C0000}"/>
    <cellStyle name="40% - Accent3 4 3 3" xfId="4134" xr:uid="{00000000-0005-0000-0000-0000483C0000}"/>
    <cellStyle name="40% - Accent3 4 3 3 2" xfId="7726" xr:uid="{00000000-0005-0000-0000-0000493C0000}"/>
    <cellStyle name="40% - Accent3 4 3 3 2 2" xfId="15696" xr:uid="{00000000-0005-0000-0000-00004A3C0000}"/>
    <cellStyle name="40% - Accent3 4 3 3 2 2 2" xfId="39538" xr:uid="{5552502C-4431-43B4-A535-8AA78D504FDB}"/>
    <cellStyle name="40% - Accent3 4 3 3 2 3" xfId="23642" xr:uid="{00000000-0005-0000-0000-00004B3C0000}"/>
    <cellStyle name="40% - Accent3 4 3 3 2 3 2" xfId="47474" xr:uid="{76762339-517B-4FB1-B26A-663F085D503F}"/>
    <cellStyle name="40% - Accent3 4 3 3 2 4" xfId="31597" xr:uid="{5C259FF4-FC2C-41FE-A429-E4FD341CC0C2}"/>
    <cellStyle name="40% - Accent3 4 3 3 3" xfId="12158" xr:uid="{00000000-0005-0000-0000-00004C3C0000}"/>
    <cellStyle name="40% - Accent3 4 3 3 3 2" xfId="36007" xr:uid="{9897B066-02BA-429F-B64A-C24C86C37A0F}"/>
    <cellStyle name="40% - Accent3 4 3 3 4" xfId="20113" xr:uid="{00000000-0005-0000-0000-00004D3C0000}"/>
    <cellStyle name="40% - Accent3 4 3 3 4 2" xfId="43945" xr:uid="{5AD43100-8C35-4BFA-8356-03BC3C468594}"/>
    <cellStyle name="40% - Accent3 4 3 3 5" xfId="28066" xr:uid="{6AC7AD36-90AF-4547-9CCA-78D27FD6615B}"/>
    <cellStyle name="40% - Accent3 4 3 4" xfId="5954" xr:uid="{00000000-0005-0000-0000-00004E3C0000}"/>
    <cellStyle name="40% - Accent3 4 3 4 2" xfId="13937" xr:uid="{00000000-0005-0000-0000-00004F3C0000}"/>
    <cellStyle name="40% - Accent3 4 3 4 2 2" xfId="37780" xr:uid="{81F90F61-C0E3-4C83-901B-9B539A0AA444}"/>
    <cellStyle name="40% - Accent3 4 3 4 3" xfId="21885" xr:uid="{00000000-0005-0000-0000-0000503C0000}"/>
    <cellStyle name="40% - Accent3 4 3 4 3 2" xfId="45717" xr:uid="{1DFDE7C9-6FB5-4435-B82E-882B40AE59EA}"/>
    <cellStyle name="40% - Accent3 4 3 4 4" xfId="29839" xr:uid="{102C31AF-9C3D-42D2-B557-8FE4B41CA84E}"/>
    <cellStyle name="40% - Accent3 4 3 5" xfId="9506" xr:uid="{00000000-0005-0000-0000-0000513C0000}"/>
    <cellStyle name="40% - Accent3 4 3 5 2" xfId="17464" xr:uid="{00000000-0005-0000-0000-0000523C0000}"/>
    <cellStyle name="40% - Accent3 4 3 5 2 2" xfId="41304" xr:uid="{400724F2-EA92-4811-B260-91FB389CD415}"/>
    <cellStyle name="40% - Accent3 4 3 5 3" xfId="25408" xr:uid="{00000000-0005-0000-0000-0000533C0000}"/>
    <cellStyle name="40% - Accent3 4 3 5 3 2" xfId="49240" xr:uid="{82141517-C136-4976-835A-F7925FB2567C}"/>
    <cellStyle name="40% - Accent3 4 3 5 4" xfId="33363" xr:uid="{9B4CC504-F648-47B3-8A40-03686BD221DC}"/>
    <cellStyle name="40% - Accent3 4 3 6" xfId="10402" xr:uid="{00000000-0005-0000-0000-0000543C0000}"/>
    <cellStyle name="40% - Accent3 4 3 6 2" xfId="34251" xr:uid="{9675AB7C-FB84-4636-9892-5840E7966A72}"/>
    <cellStyle name="40% - Accent3 4 3 7" xfId="18357" xr:uid="{00000000-0005-0000-0000-0000553C0000}"/>
    <cellStyle name="40% - Accent3 4 3 7 2" xfId="42189" xr:uid="{397A2CD4-D381-476F-A7FA-89CD28034A70}"/>
    <cellStyle name="40% - Accent3 4 3 8" xfId="26309" xr:uid="{5ABE673C-3255-467F-9E69-78D1AE4905B4}"/>
    <cellStyle name="40% - Accent3 4 3_Exh G" xfId="2997" xr:uid="{00000000-0005-0000-0000-0000563C0000}"/>
    <cellStyle name="40% - Accent3 4 4" xfId="960" xr:uid="{00000000-0005-0000-0000-0000573C0000}"/>
    <cellStyle name="40% - Accent3 4 4 2" xfId="1876" xr:uid="{00000000-0005-0000-0000-0000583C0000}"/>
    <cellStyle name="40% - Accent3 4 4 2 2" xfId="5393" xr:uid="{00000000-0005-0000-0000-0000593C0000}"/>
    <cellStyle name="40% - Accent3 4 4 2 2 2" xfId="8984" xr:uid="{00000000-0005-0000-0000-00005A3C0000}"/>
    <cellStyle name="40% - Accent3 4 4 2 2 2 2" xfId="16954" xr:uid="{00000000-0005-0000-0000-00005B3C0000}"/>
    <cellStyle name="40% - Accent3 4 4 2 2 2 2 2" xfId="40796" xr:uid="{08941125-DB05-483A-99CA-5C5B85AB621F}"/>
    <cellStyle name="40% - Accent3 4 4 2 2 2 3" xfId="24900" xr:uid="{00000000-0005-0000-0000-00005C3C0000}"/>
    <cellStyle name="40% - Accent3 4 4 2 2 2 3 2" xfId="48732" xr:uid="{BFF9E59D-1408-4421-A43B-14BEF8539E70}"/>
    <cellStyle name="40% - Accent3 4 4 2 2 2 4" xfId="32855" xr:uid="{69783CED-883E-468A-9D64-3C959C3E7973}"/>
    <cellStyle name="40% - Accent3 4 4 2 2 3" xfId="13416" xr:uid="{00000000-0005-0000-0000-00005D3C0000}"/>
    <cellStyle name="40% - Accent3 4 4 2 2 3 2" xfId="37265" xr:uid="{4469915C-3DC7-47B2-B64A-28B8FC699430}"/>
    <cellStyle name="40% - Accent3 4 4 2 2 4" xfId="21371" xr:uid="{00000000-0005-0000-0000-00005E3C0000}"/>
    <cellStyle name="40% - Accent3 4 4 2 2 4 2" xfId="45203" xr:uid="{1F17C5E4-5111-4A82-BAEB-02D9F9FF1B75}"/>
    <cellStyle name="40% - Accent3 4 4 2 2 5" xfId="29324" xr:uid="{DBAB1348-28FA-4095-8A06-AFC6A2C17E88}"/>
    <cellStyle name="40% - Accent3 4 4 2 3" xfId="7225" xr:uid="{00000000-0005-0000-0000-00005F3C0000}"/>
    <cellStyle name="40% - Accent3 4 4 2 3 2" xfId="15196" xr:uid="{00000000-0005-0000-0000-0000603C0000}"/>
    <cellStyle name="40% - Accent3 4 4 2 3 2 2" xfId="39038" xr:uid="{4B634388-1658-432A-BFEA-CE6C041397EA}"/>
    <cellStyle name="40% - Accent3 4 4 2 3 3" xfId="23143" xr:uid="{00000000-0005-0000-0000-0000613C0000}"/>
    <cellStyle name="40% - Accent3 4 4 2 3 3 2" xfId="46975" xr:uid="{7A5EE7BE-3A29-4EC4-99EF-CA8F0EA3F2B4}"/>
    <cellStyle name="40% - Accent3 4 4 2 3 4" xfId="31097" xr:uid="{9011D163-7F62-496E-AE82-4AB512769F3D}"/>
    <cellStyle name="40% - Accent3 4 4 2 4" xfId="11660" xr:uid="{00000000-0005-0000-0000-0000623C0000}"/>
    <cellStyle name="40% - Accent3 4 4 2 4 2" xfId="35509" xr:uid="{66B109F8-73A3-4434-8235-AC36B02EB529}"/>
    <cellStyle name="40% - Accent3 4 4 2 5" xfId="19615" xr:uid="{00000000-0005-0000-0000-0000633C0000}"/>
    <cellStyle name="40% - Accent3 4 4 2 5 2" xfId="43447" xr:uid="{2D7B9FFE-97D6-41CB-B423-F2922C8FCAC3}"/>
    <cellStyle name="40% - Accent3 4 4 2 6" xfId="27567" xr:uid="{9F71A8AB-8A22-443F-8035-6EF1933FE2E6}"/>
    <cellStyle name="40% - Accent3 4 4 2_Exh G" xfId="3000" xr:uid="{00000000-0005-0000-0000-0000643C0000}"/>
    <cellStyle name="40% - Accent3 4 4 3" xfId="4514" xr:uid="{00000000-0005-0000-0000-0000653C0000}"/>
    <cellStyle name="40% - Accent3 4 4 3 2" xfId="8106" xr:uid="{00000000-0005-0000-0000-0000663C0000}"/>
    <cellStyle name="40% - Accent3 4 4 3 2 2" xfId="16076" xr:uid="{00000000-0005-0000-0000-0000673C0000}"/>
    <cellStyle name="40% - Accent3 4 4 3 2 2 2" xfId="39918" xr:uid="{0C058D46-36EF-4923-ADE5-FC1E72B29CA8}"/>
    <cellStyle name="40% - Accent3 4 4 3 2 3" xfId="24022" xr:uid="{00000000-0005-0000-0000-0000683C0000}"/>
    <cellStyle name="40% - Accent3 4 4 3 2 3 2" xfId="47854" xr:uid="{5257F917-D855-481D-87CA-642DC5723230}"/>
    <cellStyle name="40% - Accent3 4 4 3 2 4" xfId="31977" xr:uid="{C6C4346A-EA9C-45FE-B6FB-20AC9A0C9D29}"/>
    <cellStyle name="40% - Accent3 4 4 3 3" xfId="12538" xr:uid="{00000000-0005-0000-0000-0000693C0000}"/>
    <cellStyle name="40% - Accent3 4 4 3 3 2" xfId="36387" xr:uid="{616829EF-CFC8-45EC-A35B-1382225679B8}"/>
    <cellStyle name="40% - Accent3 4 4 3 4" xfId="20493" xr:uid="{00000000-0005-0000-0000-00006A3C0000}"/>
    <cellStyle name="40% - Accent3 4 4 3 4 2" xfId="44325" xr:uid="{2A587A8E-9300-424F-9E6C-8EBA3A991CE2}"/>
    <cellStyle name="40% - Accent3 4 4 3 5" xfId="28446" xr:uid="{E9306D57-884E-43D3-98AA-7AE3431CD737}"/>
    <cellStyle name="40% - Accent3 4 4 4" xfId="6344" xr:uid="{00000000-0005-0000-0000-00006B3C0000}"/>
    <cellStyle name="40% - Accent3 4 4 4 2" xfId="14318" xr:uid="{00000000-0005-0000-0000-00006C3C0000}"/>
    <cellStyle name="40% - Accent3 4 4 4 2 2" xfId="38160" xr:uid="{309A810B-773D-4084-811E-91B4E3D79F6B}"/>
    <cellStyle name="40% - Accent3 4 4 4 3" xfId="22265" xr:uid="{00000000-0005-0000-0000-00006D3C0000}"/>
    <cellStyle name="40% - Accent3 4 4 4 3 2" xfId="46097" xr:uid="{8669AE2E-F813-4CF3-A29E-A391644AD37C}"/>
    <cellStyle name="40% - Accent3 4 4 4 4" xfId="30219" xr:uid="{AE8A258E-5873-47CB-B262-534B2A57EA99}"/>
    <cellStyle name="40% - Accent3 4 4 5" xfId="9886" xr:uid="{00000000-0005-0000-0000-00006E3C0000}"/>
    <cellStyle name="40% - Accent3 4 4 5 2" xfId="17844" xr:uid="{00000000-0005-0000-0000-00006F3C0000}"/>
    <cellStyle name="40% - Accent3 4 4 5 2 2" xfId="41684" xr:uid="{3B8FB020-B771-45EE-9857-6631309742D5}"/>
    <cellStyle name="40% - Accent3 4 4 5 3" xfId="25788" xr:uid="{00000000-0005-0000-0000-0000703C0000}"/>
    <cellStyle name="40% - Accent3 4 4 5 3 2" xfId="49620" xr:uid="{98C0796D-AC47-42B3-B6E6-308CE1434CBF}"/>
    <cellStyle name="40% - Accent3 4 4 5 4" xfId="33743" xr:uid="{FCEF2567-A3A4-4F0E-B819-3B8E54A49AEA}"/>
    <cellStyle name="40% - Accent3 4 4 6" xfId="10782" xr:uid="{00000000-0005-0000-0000-0000713C0000}"/>
    <cellStyle name="40% - Accent3 4 4 6 2" xfId="34631" xr:uid="{3EFBFA84-80B2-4741-8113-6ADBEDE376DB}"/>
    <cellStyle name="40% - Accent3 4 4 7" xfId="18737" xr:uid="{00000000-0005-0000-0000-0000723C0000}"/>
    <cellStyle name="40% - Accent3 4 4 7 2" xfId="42569" xr:uid="{8AE5E102-8D8F-4EA5-B152-E117BB186A17}"/>
    <cellStyle name="40% - Accent3 4 4 8" xfId="26689" xr:uid="{A962A149-0F1C-4B8B-A5A4-1FAFC4E57269}"/>
    <cellStyle name="40% - Accent3 4 4_Exh G" xfId="2999" xr:uid="{00000000-0005-0000-0000-0000733C0000}"/>
    <cellStyle name="40% - Accent3 4 5" xfId="1483" xr:uid="{00000000-0005-0000-0000-0000743C0000}"/>
    <cellStyle name="40% - Accent3 4 5 2" xfId="5010" xr:uid="{00000000-0005-0000-0000-0000753C0000}"/>
    <cellStyle name="40% - Accent3 4 5 2 2" xfId="8601" xr:uid="{00000000-0005-0000-0000-0000763C0000}"/>
    <cellStyle name="40% - Accent3 4 5 2 2 2" xfId="16571" xr:uid="{00000000-0005-0000-0000-0000773C0000}"/>
    <cellStyle name="40% - Accent3 4 5 2 2 2 2" xfId="40413" xr:uid="{37F5A004-1D9C-45F0-AEB4-6C7D0F6ACAC8}"/>
    <cellStyle name="40% - Accent3 4 5 2 2 3" xfId="24517" xr:uid="{00000000-0005-0000-0000-0000783C0000}"/>
    <cellStyle name="40% - Accent3 4 5 2 2 3 2" xfId="48349" xr:uid="{D752BAAC-8D76-4E3E-A10B-A00EC44E94BB}"/>
    <cellStyle name="40% - Accent3 4 5 2 2 4" xfId="32472" xr:uid="{C936ECD4-E39F-491E-B661-35DA5E796CB2}"/>
    <cellStyle name="40% - Accent3 4 5 2 3" xfId="13033" xr:uid="{00000000-0005-0000-0000-0000793C0000}"/>
    <cellStyle name="40% - Accent3 4 5 2 3 2" xfId="36882" xr:uid="{8DB614B4-7178-4636-BF7A-9FAC4EFC40F5}"/>
    <cellStyle name="40% - Accent3 4 5 2 4" xfId="20988" xr:uid="{00000000-0005-0000-0000-00007A3C0000}"/>
    <cellStyle name="40% - Accent3 4 5 2 4 2" xfId="44820" xr:uid="{B0AE84F1-3F21-4CFD-9BAD-34A8C9AE6081}"/>
    <cellStyle name="40% - Accent3 4 5 2 5" xfId="28941" xr:uid="{35E3D54C-5F9C-46F6-A1ED-7BE639405159}"/>
    <cellStyle name="40% - Accent3 4 5 3" xfId="6842" xr:uid="{00000000-0005-0000-0000-00007B3C0000}"/>
    <cellStyle name="40% - Accent3 4 5 3 2" xfId="14813" xr:uid="{00000000-0005-0000-0000-00007C3C0000}"/>
    <cellStyle name="40% - Accent3 4 5 3 2 2" xfId="38655" xr:uid="{07264E21-EB28-474B-B5E4-AD9A6DAF2CEE}"/>
    <cellStyle name="40% - Accent3 4 5 3 3" xfId="22760" xr:uid="{00000000-0005-0000-0000-00007D3C0000}"/>
    <cellStyle name="40% - Accent3 4 5 3 3 2" xfId="46592" xr:uid="{423906AF-71C4-4000-8AEB-29244AAD67DC}"/>
    <cellStyle name="40% - Accent3 4 5 3 4" xfId="30714" xr:uid="{E50291E9-62DF-4457-93F6-BDAA0A32F887}"/>
    <cellStyle name="40% - Accent3 4 5 4" xfId="11277" xr:uid="{00000000-0005-0000-0000-00007E3C0000}"/>
    <cellStyle name="40% - Accent3 4 5 4 2" xfId="35126" xr:uid="{CF480145-76C5-4C62-A9CA-26C1E8A46A3B}"/>
    <cellStyle name="40% - Accent3 4 5 5" xfId="19232" xr:uid="{00000000-0005-0000-0000-00007F3C0000}"/>
    <cellStyle name="40% - Accent3 4 5 5 2" xfId="43064" xr:uid="{17BA39F1-7F38-4A79-BEB9-71554DCDFE03}"/>
    <cellStyle name="40% - Accent3 4 5 6" xfId="27184" xr:uid="{7BD0C30D-8959-49BA-83E9-52C10B92259E}"/>
    <cellStyle name="40% - Accent3 4 5_Exh G" xfId="3001" xr:uid="{00000000-0005-0000-0000-0000803C0000}"/>
    <cellStyle name="40% - Accent3 4 6" xfId="4131" xr:uid="{00000000-0005-0000-0000-0000813C0000}"/>
    <cellStyle name="40% - Accent3 4 6 2" xfId="7723" xr:uid="{00000000-0005-0000-0000-0000823C0000}"/>
    <cellStyle name="40% - Accent3 4 6 2 2" xfId="15693" xr:uid="{00000000-0005-0000-0000-0000833C0000}"/>
    <cellStyle name="40% - Accent3 4 6 2 2 2" xfId="39535" xr:uid="{69ACF2F0-3467-46C3-A243-E3DA01D76999}"/>
    <cellStyle name="40% - Accent3 4 6 2 3" xfId="23639" xr:uid="{00000000-0005-0000-0000-0000843C0000}"/>
    <cellStyle name="40% - Accent3 4 6 2 3 2" xfId="47471" xr:uid="{B10E03F4-40D1-4B5C-8450-468033FC1B27}"/>
    <cellStyle name="40% - Accent3 4 6 2 4" xfId="31594" xr:uid="{C546CAA8-9A46-47FF-9977-FC0B42D6074D}"/>
    <cellStyle name="40% - Accent3 4 6 3" xfId="12155" xr:uid="{00000000-0005-0000-0000-0000853C0000}"/>
    <cellStyle name="40% - Accent3 4 6 3 2" xfId="36004" xr:uid="{53F57563-9FC3-44CB-B2CD-1C46124A56E3}"/>
    <cellStyle name="40% - Accent3 4 6 4" xfId="20110" xr:uid="{00000000-0005-0000-0000-0000863C0000}"/>
    <cellStyle name="40% - Accent3 4 6 4 2" xfId="43942" xr:uid="{E1A293BF-74D5-42B0-B308-F7E27AF7FED0}"/>
    <cellStyle name="40% - Accent3 4 6 5" xfId="28063" xr:uid="{1380F5EC-3548-4BBB-A005-9C23713ED906}"/>
    <cellStyle name="40% - Accent3 4 7" xfId="5951" xr:uid="{00000000-0005-0000-0000-0000873C0000}"/>
    <cellStyle name="40% - Accent3 4 7 2" xfId="13934" xr:uid="{00000000-0005-0000-0000-0000883C0000}"/>
    <cellStyle name="40% - Accent3 4 7 2 2" xfId="37777" xr:uid="{E1F78F78-E362-4D94-AACE-91525FFDEA85}"/>
    <cellStyle name="40% - Accent3 4 7 3" xfId="21882" xr:uid="{00000000-0005-0000-0000-0000893C0000}"/>
    <cellStyle name="40% - Accent3 4 7 3 2" xfId="45714" xr:uid="{8CA032D2-5520-4F4A-8932-8069D319743F}"/>
    <cellStyle name="40% - Accent3 4 7 4" xfId="29836" xr:uid="{2232F3D0-B3E4-4920-B1AB-4CD8C371D489}"/>
    <cellStyle name="40% - Accent3 4 8" xfId="9503" xr:uid="{00000000-0005-0000-0000-00008A3C0000}"/>
    <cellStyle name="40% - Accent3 4 8 2" xfId="17461" xr:uid="{00000000-0005-0000-0000-00008B3C0000}"/>
    <cellStyle name="40% - Accent3 4 8 2 2" xfId="41301" xr:uid="{FA87A40F-D6FF-427E-AD94-B24A1DC3C28B}"/>
    <cellStyle name="40% - Accent3 4 8 3" xfId="25405" xr:uid="{00000000-0005-0000-0000-00008C3C0000}"/>
    <cellStyle name="40% - Accent3 4 8 3 2" xfId="49237" xr:uid="{13269223-BC40-40A0-81EF-E80659976431}"/>
    <cellStyle name="40% - Accent3 4 8 4" xfId="33360" xr:uid="{A5553F85-5BBC-4B12-966E-9F20A3AE1C56}"/>
    <cellStyle name="40% - Accent3 4 9" xfId="10399" xr:uid="{00000000-0005-0000-0000-00008D3C0000}"/>
    <cellStyle name="40% - Accent3 4 9 2" xfId="34248" xr:uid="{C669A8A7-5D1A-4873-98C4-65927B939C1E}"/>
    <cellStyle name="40% - Accent3 4_Exh G" xfId="2990" xr:uid="{00000000-0005-0000-0000-00008E3C0000}"/>
    <cellStyle name="40% - Accent3 5" xfId="461" xr:uid="{00000000-0005-0000-0000-00008F3C0000}"/>
    <cellStyle name="40% - Accent3 5 10" xfId="18358" xr:uid="{00000000-0005-0000-0000-0000903C0000}"/>
    <cellStyle name="40% - Accent3 5 10 2" xfId="42190" xr:uid="{BE9FA55A-7D8E-41A3-9617-54ED6B19C263}"/>
    <cellStyle name="40% - Accent3 5 11" xfId="26310" xr:uid="{89554308-A293-43EC-BC99-1B97B538217E}"/>
    <cellStyle name="40% - Accent3 5 2" xfId="462" xr:uid="{00000000-0005-0000-0000-0000913C0000}"/>
    <cellStyle name="40% - Accent3 5 2 2" xfId="463" xr:uid="{00000000-0005-0000-0000-0000923C0000}"/>
    <cellStyle name="40% - Accent3 5 2 2 2" xfId="1489" xr:uid="{00000000-0005-0000-0000-0000933C0000}"/>
    <cellStyle name="40% - Accent3 5 2 2 2 2" xfId="5016" xr:uid="{00000000-0005-0000-0000-0000943C0000}"/>
    <cellStyle name="40% - Accent3 5 2 2 2 2 2" xfId="8607" xr:uid="{00000000-0005-0000-0000-0000953C0000}"/>
    <cellStyle name="40% - Accent3 5 2 2 2 2 2 2" xfId="16577" xr:uid="{00000000-0005-0000-0000-0000963C0000}"/>
    <cellStyle name="40% - Accent3 5 2 2 2 2 2 2 2" xfId="40419" xr:uid="{EB6F447F-E59A-4818-B13D-193970D61FC2}"/>
    <cellStyle name="40% - Accent3 5 2 2 2 2 2 3" xfId="24523" xr:uid="{00000000-0005-0000-0000-0000973C0000}"/>
    <cellStyle name="40% - Accent3 5 2 2 2 2 2 3 2" xfId="48355" xr:uid="{3A680A06-B58E-49E1-8B0E-FF8892205CD5}"/>
    <cellStyle name="40% - Accent3 5 2 2 2 2 2 4" xfId="32478" xr:uid="{CAC8B292-CF70-4C9F-AAC3-F4C4CDDD1652}"/>
    <cellStyle name="40% - Accent3 5 2 2 2 2 3" xfId="13039" xr:uid="{00000000-0005-0000-0000-0000983C0000}"/>
    <cellStyle name="40% - Accent3 5 2 2 2 2 3 2" xfId="36888" xr:uid="{CA032536-EFA3-49DD-85E9-BF41D372F765}"/>
    <cellStyle name="40% - Accent3 5 2 2 2 2 4" xfId="20994" xr:uid="{00000000-0005-0000-0000-0000993C0000}"/>
    <cellStyle name="40% - Accent3 5 2 2 2 2 4 2" xfId="44826" xr:uid="{CD5679E0-6760-4128-A489-5F5222DCA5A8}"/>
    <cellStyle name="40% - Accent3 5 2 2 2 2 5" xfId="28947" xr:uid="{D11CF042-D702-470F-8541-5E6266ACBA85}"/>
    <cellStyle name="40% - Accent3 5 2 2 2 3" xfId="6848" xr:uid="{00000000-0005-0000-0000-00009A3C0000}"/>
    <cellStyle name="40% - Accent3 5 2 2 2 3 2" xfId="14819" xr:uid="{00000000-0005-0000-0000-00009B3C0000}"/>
    <cellStyle name="40% - Accent3 5 2 2 2 3 2 2" xfId="38661" xr:uid="{10FF0B1D-ECB0-49D2-AF83-E6D2CCF1FA96}"/>
    <cellStyle name="40% - Accent3 5 2 2 2 3 3" xfId="22766" xr:uid="{00000000-0005-0000-0000-00009C3C0000}"/>
    <cellStyle name="40% - Accent3 5 2 2 2 3 3 2" xfId="46598" xr:uid="{E5F2F9A0-6E6A-473F-87F7-6167A353481F}"/>
    <cellStyle name="40% - Accent3 5 2 2 2 3 4" xfId="30720" xr:uid="{9511846F-25B1-446F-A213-259BB8A5FAAF}"/>
    <cellStyle name="40% - Accent3 5 2 2 2 4" xfId="11283" xr:uid="{00000000-0005-0000-0000-00009D3C0000}"/>
    <cellStyle name="40% - Accent3 5 2 2 2 4 2" xfId="35132" xr:uid="{BAC1FF6B-77AE-4552-BD7F-C800D5C462CE}"/>
    <cellStyle name="40% - Accent3 5 2 2 2 5" xfId="19238" xr:uid="{00000000-0005-0000-0000-00009E3C0000}"/>
    <cellStyle name="40% - Accent3 5 2 2 2 5 2" xfId="43070" xr:uid="{BD498064-1615-4462-AEBE-021556277CB5}"/>
    <cellStyle name="40% - Accent3 5 2 2 2 6" xfId="27190" xr:uid="{EA4F0DEA-B240-4BBE-801A-51E29F1D1424}"/>
    <cellStyle name="40% - Accent3 5 2 2 2_Exh G" xfId="3005" xr:uid="{00000000-0005-0000-0000-00009F3C0000}"/>
    <cellStyle name="40% - Accent3 5 2 2 3" xfId="4137" xr:uid="{00000000-0005-0000-0000-0000A03C0000}"/>
    <cellStyle name="40% - Accent3 5 2 2 3 2" xfId="7729" xr:uid="{00000000-0005-0000-0000-0000A13C0000}"/>
    <cellStyle name="40% - Accent3 5 2 2 3 2 2" xfId="15699" xr:uid="{00000000-0005-0000-0000-0000A23C0000}"/>
    <cellStyle name="40% - Accent3 5 2 2 3 2 2 2" xfId="39541" xr:uid="{8115D03B-C8CC-4832-B412-E78C8D07CDCE}"/>
    <cellStyle name="40% - Accent3 5 2 2 3 2 3" xfId="23645" xr:uid="{00000000-0005-0000-0000-0000A33C0000}"/>
    <cellStyle name="40% - Accent3 5 2 2 3 2 3 2" xfId="47477" xr:uid="{FC0DC9E0-CAC5-42E0-AD95-9D1B5C92D637}"/>
    <cellStyle name="40% - Accent3 5 2 2 3 2 4" xfId="31600" xr:uid="{EF8391C2-F32B-4F74-8390-97BA70D2981D}"/>
    <cellStyle name="40% - Accent3 5 2 2 3 3" xfId="12161" xr:uid="{00000000-0005-0000-0000-0000A43C0000}"/>
    <cellStyle name="40% - Accent3 5 2 2 3 3 2" xfId="36010" xr:uid="{73F47D8B-342D-4CC9-B9D0-72A07BD6BAB7}"/>
    <cellStyle name="40% - Accent3 5 2 2 3 4" xfId="20116" xr:uid="{00000000-0005-0000-0000-0000A53C0000}"/>
    <cellStyle name="40% - Accent3 5 2 2 3 4 2" xfId="43948" xr:uid="{8D867DD1-16A8-485C-AD65-37EEB90F4B94}"/>
    <cellStyle name="40% - Accent3 5 2 2 3 5" xfId="28069" xr:uid="{05EB2D67-639F-4912-9502-BB07B0F55C0F}"/>
    <cellStyle name="40% - Accent3 5 2 2 4" xfId="5957" xr:uid="{00000000-0005-0000-0000-0000A63C0000}"/>
    <cellStyle name="40% - Accent3 5 2 2 4 2" xfId="13940" xr:uid="{00000000-0005-0000-0000-0000A73C0000}"/>
    <cellStyle name="40% - Accent3 5 2 2 4 2 2" xfId="37783" xr:uid="{9FB86A6C-A011-4D5F-A263-EDA094EB4E58}"/>
    <cellStyle name="40% - Accent3 5 2 2 4 3" xfId="21888" xr:uid="{00000000-0005-0000-0000-0000A83C0000}"/>
    <cellStyle name="40% - Accent3 5 2 2 4 3 2" xfId="45720" xr:uid="{41214B0B-B5B4-4691-AC96-C2C0EA569926}"/>
    <cellStyle name="40% - Accent3 5 2 2 4 4" xfId="29842" xr:uid="{6BE15118-6946-4FF6-B833-B527C08F497D}"/>
    <cellStyle name="40% - Accent3 5 2 2 5" xfId="9509" xr:uid="{00000000-0005-0000-0000-0000A93C0000}"/>
    <cellStyle name="40% - Accent3 5 2 2 5 2" xfId="17467" xr:uid="{00000000-0005-0000-0000-0000AA3C0000}"/>
    <cellStyle name="40% - Accent3 5 2 2 5 2 2" xfId="41307" xr:uid="{4660A95B-82B4-405B-A86B-8EAA1A93DA30}"/>
    <cellStyle name="40% - Accent3 5 2 2 5 3" xfId="25411" xr:uid="{00000000-0005-0000-0000-0000AB3C0000}"/>
    <cellStyle name="40% - Accent3 5 2 2 5 3 2" xfId="49243" xr:uid="{8E95AC5E-FED7-4331-B8AE-E37C1060846E}"/>
    <cellStyle name="40% - Accent3 5 2 2 5 4" xfId="33366" xr:uid="{4992F6F2-525E-4121-92A2-55B243FCB7F0}"/>
    <cellStyle name="40% - Accent3 5 2 2 6" xfId="10405" xr:uid="{00000000-0005-0000-0000-0000AC3C0000}"/>
    <cellStyle name="40% - Accent3 5 2 2 6 2" xfId="34254" xr:uid="{666A8662-621A-4E6E-A28F-CED9B768F644}"/>
    <cellStyle name="40% - Accent3 5 2 2 7" xfId="18360" xr:uid="{00000000-0005-0000-0000-0000AD3C0000}"/>
    <cellStyle name="40% - Accent3 5 2 2 7 2" xfId="42192" xr:uid="{08355951-92F3-46B3-A482-E528A0292182}"/>
    <cellStyle name="40% - Accent3 5 2 2 8" xfId="26312" xr:uid="{FD72AE70-642D-4428-A743-B6347E32A7E8}"/>
    <cellStyle name="40% - Accent3 5 2 2_Exh G" xfId="3004" xr:uid="{00000000-0005-0000-0000-0000AE3C0000}"/>
    <cellStyle name="40% - Accent3 5 2 3" xfId="1488" xr:uid="{00000000-0005-0000-0000-0000AF3C0000}"/>
    <cellStyle name="40% - Accent3 5 2 3 2" xfId="5015" xr:uid="{00000000-0005-0000-0000-0000B03C0000}"/>
    <cellStyle name="40% - Accent3 5 2 3 2 2" xfId="8606" xr:uid="{00000000-0005-0000-0000-0000B13C0000}"/>
    <cellStyle name="40% - Accent3 5 2 3 2 2 2" xfId="16576" xr:uid="{00000000-0005-0000-0000-0000B23C0000}"/>
    <cellStyle name="40% - Accent3 5 2 3 2 2 2 2" xfId="40418" xr:uid="{937E2855-56D5-4BBE-BCC6-1C63910F5874}"/>
    <cellStyle name="40% - Accent3 5 2 3 2 2 3" xfId="24522" xr:uid="{00000000-0005-0000-0000-0000B33C0000}"/>
    <cellStyle name="40% - Accent3 5 2 3 2 2 3 2" xfId="48354" xr:uid="{1BAD4C77-B34C-4251-B998-B1D160EFCC99}"/>
    <cellStyle name="40% - Accent3 5 2 3 2 2 4" xfId="32477" xr:uid="{93ACE7D5-D847-4444-BBC1-C61F1F136CED}"/>
    <cellStyle name="40% - Accent3 5 2 3 2 3" xfId="13038" xr:uid="{00000000-0005-0000-0000-0000B43C0000}"/>
    <cellStyle name="40% - Accent3 5 2 3 2 3 2" xfId="36887" xr:uid="{EE4A5C5E-9E24-405A-9292-4E39F2E369BA}"/>
    <cellStyle name="40% - Accent3 5 2 3 2 4" xfId="20993" xr:uid="{00000000-0005-0000-0000-0000B53C0000}"/>
    <cellStyle name="40% - Accent3 5 2 3 2 4 2" xfId="44825" xr:uid="{B7E95E78-68B1-44B1-8EE1-77FA9D82D3E6}"/>
    <cellStyle name="40% - Accent3 5 2 3 2 5" xfId="28946" xr:uid="{367AEF2C-29DD-4A1D-BAEF-73025E7AB603}"/>
    <cellStyle name="40% - Accent3 5 2 3 3" xfId="6847" xr:uid="{00000000-0005-0000-0000-0000B63C0000}"/>
    <cellStyle name="40% - Accent3 5 2 3 3 2" xfId="14818" xr:uid="{00000000-0005-0000-0000-0000B73C0000}"/>
    <cellStyle name="40% - Accent3 5 2 3 3 2 2" xfId="38660" xr:uid="{6CEB8098-9651-4B4E-B5D5-74044F0C35AC}"/>
    <cellStyle name="40% - Accent3 5 2 3 3 3" xfId="22765" xr:uid="{00000000-0005-0000-0000-0000B83C0000}"/>
    <cellStyle name="40% - Accent3 5 2 3 3 3 2" xfId="46597" xr:uid="{9FEEE491-9CD3-4A95-93F2-40375344128B}"/>
    <cellStyle name="40% - Accent3 5 2 3 3 4" xfId="30719" xr:uid="{CC6C84BD-8DA5-4731-8DD9-C75EDCF85A7C}"/>
    <cellStyle name="40% - Accent3 5 2 3 4" xfId="11282" xr:uid="{00000000-0005-0000-0000-0000B93C0000}"/>
    <cellStyle name="40% - Accent3 5 2 3 4 2" xfId="35131" xr:uid="{7B002F1E-F1A8-4764-9B7B-CE62CCC29A49}"/>
    <cellStyle name="40% - Accent3 5 2 3 5" xfId="19237" xr:uid="{00000000-0005-0000-0000-0000BA3C0000}"/>
    <cellStyle name="40% - Accent3 5 2 3 5 2" xfId="43069" xr:uid="{6DB639DF-BBA1-44ED-86C3-D713FC95BD11}"/>
    <cellStyle name="40% - Accent3 5 2 3 6" xfId="27189" xr:uid="{E81B63E1-4DA5-471D-A5B3-3014C055DB1B}"/>
    <cellStyle name="40% - Accent3 5 2 3_Exh G" xfId="3006" xr:uid="{00000000-0005-0000-0000-0000BB3C0000}"/>
    <cellStyle name="40% - Accent3 5 2 4" xfId="4136" xr:uid="{00000000-0005-0000-0000-0000BC3C0000}"/>
    <cellStyle name="40% - Accent3 5 2 4 2" xfId="7728" xr:uid="{00000000-0005-0000-0000-0000BD3C0000}"/>
    <cellStyle name="40% - Accent3 5 2 4 2 2" xfId="15698" xr:uid="{00000000-0005-0000-0000-0000BE3C0000}"/>
    <cellStyle name="40% - Accent3 5 2 4 2 2 2" xfId="39540" xr:uid="{39C2D59D-EF1C-4AF7-9F8E-A5A7C0737C16}"/>
    <cellStyle name="40% - Accent3 5 2 4 2 3" xfId="23644" xr:uid="{00000000-0005-0000-0000-0000BF3C0000}"/>
    <cellStyle name="40% - Accent3 5 2 4 2 3 2" xfId="47476" xr:uid="{F81DF967-DFA5-4E7D-B319-D6DC20807E16}"/>
    <cellStyle name="40% - Accent3 5 2 4 2 4" xfId="31599" xr:uid="{CC60256E-5966-4364-BFB5-3A1E161C9994}"/>
    <cellStyle name="40% - Accent3 5 2 4 3" xfId="12160" xr:uid="{00000000-0005-0000-0000-0000C03C0000}"/>
    <cellStyle name="40% - Accent3 5 2 4 3 2" xfId="36009" xr:uid="{4493AA4F-9A34-453F-999E-ABB920A44ED8}"/>
    <cellStyle name="40% - Accent3 5 2 4 4" xfId="20115" xr:uid="{00000000-0005-0000-0000-0000C13C0000}"/>
    <cellStyle name="40% - Accent3 5 2 4 4 2" xfId="43947" xr:uid="{A62CC37C-3549-4C6E-8BB1-750B5AB2349B}"/>
    <cellStyle name="40% - Accent3 5 2 4 5" xfId="28068" xr:uid="{59B0BA11-3CD0-47CF-B240-A94633E71E59}"/>
    <cellStyle name="40% - Accent3 5 2 5" xfId="5956" xr:uid="{00000000-0005-0000-0000-0000C23C0000}"/>
    <cellStyle name="40% - Accent3 5 2 5 2" xfId="13939" xr:uid="{00000000-0005-0000-0000-0000C33C0000}"/>
    <cellStyle name="40% - Accent3 5 2 5 2 2" xfId="37782" xr:uid="{9142FFE7-B578-4649-A62C-872FFFE3607E}"/>
    <cellStyle name="40% - Accent3 5 2 5 3" xfId="21887" xr:uid="{00000000-0005-0000-0000-0000C43C0000}"/>
    <cellStyle name="40% - Accent3 5 2 5 3 2" xfId="45719" xr:uid="{DFF3431E-7A82-448D-8389-C4227740026E}"/>
    <cellStyle name="40% - Accent3 5 2 5 4" xfId="29841" xr:uid="{59E7C39E-244B-408D-8410-E4DEE24CA496}"/>
    <cellStyle name="40% - Accent3 5 2 6" xfId="9508" xr:uid="{00000000-0005-0000-0000-0000C53C0000}"/>
    <cellStyle name="40% - Accent3 5 2 6 2" xfId="17466" xr:uid="{00000000-0005-0000-0000-0000C63C0000}"/>
    <cellStyle name="40% - Accent3 5 2 6 2 2" xfId="41306" xr:uid="{7D3A1883-6D4A-4132-8C81-4D6A56D9E9AA}"/>
    <cellStyle name="40% - Accent3 5 2 6 3" xfId="25410" xr:uid="{00000000-0005-0000-0000-0000C73C0000}"/>
    <cellStyle name="40% - Accent3 5 2 6 3 2" xfId="49242" xr:uid="{284FEB90-3DDF-4669-9DA1-FC06103ED65A}"/>
    <cellStyle name="40% - Accent3 5 2 6 4" xfId="33365" xr:uid="{2DA76A0E-8096-421A-B1AD-91020D8BB92E}"/>
    <cellStyle name="40% - Accent3 5 2 7" xfId="10404" xr:uid="{00000000-0005-0000-0000-0000C83C0000}"/>
    <cellStyle name="40% - Accent3 5 2 7 2" xfId="34253" xr:uid="{AB598004-4013-4B80-A185-7810D04BAA08}"/>
    <cellStyle name="40% - Accent3 5 2 8" xfId="18359" xr:uid="{00000000-0005-0000-0000-0000C93C0000}"/>
    <cellStyle name="40% - Accent3 5 2 8 2" xfId="42191" xr:uid="{9AC0DB09-08D6-4FF8-AD36-2DC583ADE3F3}"/>
    <cellStyle name="40% - Accent3 5 2 9" xfId="26311" xr:uid="{36DFDCAA-AEF9-48B6-AB5B-249C9CEAAD36}"/>
    <cellStyle name="40% - Accent3 5 2_Exh G" xfId="3003" xr:uid="{00000000-0005-0000-0000-0000CA3C0000}"/>
    <cellStyle name="40% - Accent3 5 3" xfId="464" xr:uid="{00000000-0005-0000-0000-0000CB3C0000}"/>
    <cellStyle name="40% - Accent3 5 3 2" xfId="1490" xr:uid="{00000000-0005-0000-0000-0000CC3C0000}"/>
    <cellStyle name="40% - Accent3 5 3 2 2" xfId="5017" xr:uid="{00000000-0005-0000-0000-0000CD3C0000}"/>
    <cellStyle name="40% - Accent3 5 3 2 2 2" xfId="8608" xr:uid="{00000000-0005-0000-0000-0000CE3C0000}"/>
    <cellStyle name="40% - Accent3 5 3 2 2 2 2" xfId="16578" xr:uid="{00000000-0005-0000-0000-0000CF3C0000}"/>
    <cellStyle name="40% - Accent3 5 3 2 2 2 2 2" xfId="40420" xr:uid="{CF406113-B161-4617-ADB8-88D9E8068FC2}"/>
    <cellStyle name="40% - Accent3 5 3 2 2 2 3" xfId="24524" xr:uid="{00000000-0005-0000-0000-0000D03C0000}"/>
    <cellStyle name="40% - Accent3 5 3 2 2 2 3 2" xfId="48356" xr:uid="{7F14BE9B-9615-4578-8057-ED952470627E}"/>
    <cellStyle name="40% - Accent3 5 3 2 2 2 4" xfId="32479" xr:uid="{011A7B3E-8929-48B2-AFCF-151193CD5474}"/>
    <cellStyle name="40% - Accent3 5 3 2 2 3" xfId="13040" xr:uid="{00000000-0005-0000-0000-0000D13C0000}"/>
    <cellStyle name="40% - Accent3 5 3 2 2 3 2" xfId="36889" xr:uid="{56DB2EF0-7700-4542-860F-E48CB337B6BD}"/>
    <cellStyle name="40% - Accent3 5 3 2 2 4" xfId="20995" xr:uid="{00000000-0005-0000-0000-0000D23C0000}"/>
    <cellStyle name="40% - Accent3 5 3 2 2 4 2" xfId="44827" xr:uid="{F3E747F2-B72A-4A94-9C48-03F8C6A1535C}"/>
    <cellStyle name="40% - Accent3 5 3 2 2 5" xfId="28948" xr:uid="{ECD56A88-7F33-4A32-8A5F-8FD008FBA0F4}"/>
    <cellStyle name="40% - Accent3 5 3 2 3" xfId="6849" xr:uid="{00000000-0005-0000-0000-0000D33C0000}"/>
    <cellStyle name="40% - Accent3 5 3 2 3 2" xfId="14820" xr:uid="{00000000-0005-0000-0000-0000D43C0000}"/>
    <cellStyle name="40% - Accent3 5 3 2 3 2 2" xfId="38662" xr:uid="{0335C941-CD8B-4ADC-9994-DA36143CB1F1}"/>
    <cellStyle name="40% - Accent3 5 3 2 3 3" xfId="22767" xr:uid="{00000000-0005-0000-0000-0000D53C0000}"/>
    <cellStyle name="40% - Accent3 5 3 2 3 3 2" xfId="46599" xr:uid="{467E82E6-1135-4726-B565-F5E8B179A05C}"/>
    <cellStyle name="40% - Accent3 5 3 2 3 4" xfId="30721" xr:uid="{F91FCE04-8E3A-4BB6-9443-A522CF75D58E}"/>
    <cellStyle name="40% - Accent3 5 3 2 4" xfId="11284" xr:uid="{00000000-0005-0000-0000-0000D63C0000}"/>
    <cellStyle name="40% - Accent3 5 3 2 4 2" xfId="35133" xr:uid="{544218EE-42E4-4C7F-85F4-768F78C567FD}"/>
    <cellStyle name="40% - Accent3 5 3 2 5" xfId="19239" xr:uid="{00000000-0005-0000-0000-0000D73C0000}"/>
    <cellStyle name="40% - Accent3 5 3 2 5 2" xfId="43071" xr:uid="{49348345-D912-4985-8482-8CAA47530089}"/>
    <cellStyle name="40% - Accent3 5 3 2 6" xfId="27191" xr:uid="{2B015D54-EB53-4568-AC4A-9814519DE9B0}"/>
    <cellStyle name="40% - Accent3 5 3 2_Exh G" xfId="3008" xr:uid="{00000000-0005-0000-0000-0000D83C0000}"/>
    <cellStyle name="40% - Accent3 5 3 3" xfId="4138" xr:uid="{00000000-0005-0000-0000-0000D93C0000}"/>
    <cellStyle name="40% - Accent3 5 3 3 2" xfId="7730" xr:uid="{00000000-0005-0000-0000-0000DA3C0000}"/>
    <cellStyle name="40% - Accent3 5 3 3 2 2" xfId="15700" xr:uid="{00000000-0005-0000-0000-0000DB3C0000}"/>
    <cellStyle name="40% - Accent3 5 3 3 2 2 2" xfId="39542" xr:uid="{78F68F46-90CE-4272-8862-F987A0751DC6}"/>
    <cellStyle name="40% - Accent3 5 3 3 2 3" xfId="23646" xr:uid="{00000000-0005-0000-0000-0000DC3C0000}"/>
    <cellStyle name="40% - Accent3 5 3 3 2 3 2" xfId="47478" xr:uid="{8EA10B4E-350A-4C1E-8CB2-E54DAC2F97F2}"/>
    <cellStyle name="40% - Accent3 5 3 3 2 4" xfId="31601" xr:uid="{973184E0-A689-4FFE-A77E-D17E8FB03E53}"/>
    <cellStyle name="40% - Accent3 5 3 3 3" xfId="12162" xr:uid="{00000000-0005-0000-0000-0000DD3C0000}"/>
    <cellStyle name="40% - Accent3 5 3 3 3 2" xfId="36011" xr:uid="{65638C12-0F64-41A6-A50A-3B3F30CC544A}"/>
    <cellStyle name="40% - Accent3 5 3 3 4" xfId="20117" xr:uid="{00000000-0005-0000-0000-0000DE3C0000}"/>
    <cellStyle name="40% - Accent3 5 3 3 4 2" xfId="43949" xr:uid="{A8CFE94A-7024-41AF-AEF7-7BF5967B718B}"/>
    <cellStyle name="40% - Accent3 5 3 3 5" xfId="28070" xr:uid="{80C78B21-D334-4686-80EB-31D5363302F0}"/>
    <cellStyle name="40% - Accent3 5 3 4" xfId="5958" xr:uid="{00000000-0005-0000-0000-0000DF3C0000}"/>
    <cellStyle name="40% - Accent3 5 3 4 2" xfId="13941" xr:uid="{00000000-0005-0000-0000-0000E03C0000}"/>
    <cellStyle name="40% - Accent3 5 3 4 2 2" xfId="37784" xr:uid="{BACEDF0D-0E86-4504-9E1C-BFAD37465E35}"/>
    <cellStyle name="40% - Accent3 5 3 4 3" xfId="21889" xr:uid="{00000000-0005-0000-0000-0000E13C0000}"/>
    <cellStyle name="40% - Accent3 5 3 4 3 2" xfId="45721" xr:uid="{33AC0374-1741-4513-AC8F-516D356B5689}"/>
    <cellStyle name="40% - Accent3 5 3 4 4" xfId="29843" xr:uid="{514D2ECE-206D-4C84-9A35-05C93AAA4BF3}"/>
    <cellStyle name="40% - Accent3 5 3 5" xfId="9510" xr:uid="{00000000-0005-0000-0000-0000E23C0000}"/>
    <cellStyle name="40% - Accent3 5 3 5 2" xfId="17468" xr:uid="{00000000-0005-0000-0000-0000E33C0000}"/>
    <cellStyle name="40% - Accent3 5 3 5 2 2" xfId="41308" xr:uid="{BC517358-7A8B-421F-B25A-BD562E765CBC}"/>
    <cellStyle name="40% - Accent3 5 3 5 3" xfId="25412" xr:uid="{00000000-0005-0000-0000-0000E43C0000}"/>
    <cellStyle name="40% - Accent3 5 3 5 3 2" xfId="49244" xr:uid="{ADE0159C-5B29-4CD4-AF5E-D9DCBB46A0A0}"/>
    <cellStyle name="40% - Accent3 5 3 5 4" xfId="33367" xr:uid="{4AA8F6A0-90BF-41BF-8F7C-5A7E7EA11D31}"/>
    <cellStyle name="40% - Accent3 5 3 6" xfId="10406" xr:uid="{00000000-0005-0000-0000-0000E53C0000}"/>
    <cellStyle name="40% - Accent3 5 3 6 2" xfId="34255" xr:uid="{4956579B-CE9B-4446-B3A3-8E59C63FD479}"/>
    <cellStyle name="40% - Accent3 5 3 7" xfId="18361" xr:uid="{00000000-0005-0000-0000-0000E63C0000}"/>
    <cellStyle name="40% - Accent3 5 3 7 2" xfId="42193" xr:uid="{FE8D7184-EF8F-4696-8743-1EC6C2C2CECB}"/>
    <cellStyle name="40% - Accent3 5 3 8" xfId="26313" xr:uid="{B9A97F0E-155F-40EC-8428-65599DBE8156}"/>
    <cellStyle name="40% - Accent3 5 3_Exh G" xfId="3007" xr:uid="{00000000-0005-0000-0000-0000E73C0000}"/>
    <cellStyle name="40% - Accent3 5 4" xfId="962" xr:uid="{00000000-0005-0000-0000-0000E83C0000}"/>
    <cellStyle name="40% - Accent3 5 5" xfId="1487" xr:uid="{00000000-0005-0000-0000-0000E93C0000}"/>
    <cellStyle name="40% - Accent3 5 5 2" xfId="5014" xr:uid="{00000000-0005-0000-0000-0000EA3C0000}"/>
    <cellStyle name="40% - Accent3 5 5 2 2" xfId="8605" xr:uid="{00000000-0005-0000-0000-0000EB3C0000}"/>
    <cellStyle name="40% - Accent3 5 5 2 2 2" xfId="16575" xr:uid="{00000000-0005-0000-0000-0000EC3C0000}"/>
    <cellStyle name="40% - Accent3 5 5 2 2 2 2" xfId="40417" xr:uid="{07CE8FD3-9557-4426-818A-ED7BB6BADC11}"/>
    <cellStyle name="40% - Accent3 5 5 2 2 3" xfId="24521" xr:uid="{00000000-0005-0000-0000-0000ED3C0000}"/>
    <cellStyle name="40% - Accent3 5 5 2 2 3 2" xfId="48353" xr:uid="{4A4F497F-BB0B-4013-B235-383C48739DA8}"/>
    <cellStyle name="40% - Accent3 5 5 2 2 4" xfId="32476" xr:uid="{29084226-2955-44ED-BD0B-6E0AD71297FA}"/>
    <cellStyle name="40% - Accent3 5 5 2 3" xfId="13037" xr:uid="{00000000-0005-0000-0000-0000EE3C0000}"/>
    <cellStyle name="40% - Accent3 5 5 2 3 2" xfId="36886" xr:uid="{B8CD4170-3C59-4378-AABB-3895550B2DB9}"/>
    <cellStyle name="40% - Accent3 5 5 2 4" xfId="20992" xr:uid="{00000000-0005-0000-0000-0000EF3C0000}"/>
    <cellStyle name="40% - Accent3 5 5 2 4 2" xfId="44824" xr:uid="{5F5C6DE9-E2D8-466E-BC50-C284E6966CD0}"/>
    <cellStyle name="40% - Accent3 5 5 2 5" xfId="28945" xr:uid="{F80F348E-C1F5-4162-AE5F-DA9BB0AB6292}"/>
    <cellStyle name="40% - Accent3 5 5 3" xfId="6846" xr:uid="{00000000-0005-0000-0000-0000F03C0000}"/>
    <cellStyle name="40% - Accent3 5 5 3 2" xfId="14817" xr:uid="{00000000-0005-0000-0000-0000F13C0000}"/>
    <cellStyle name="40% - Accent3 5 5 3 2 2" xfId="38659" xr:uid="{E01C5E26-E661-4C82-BCBD-5B6CF6885510}"/>
    <cellStyle name="40% - Accent3 5 5 3 3" xfId="22764" xr:uid="{00000000-0005-0000-0000-0000F23C0000}"/>
    <cellStyle name="40% - Accent3 5 5 3 3 2" xfId="46596" xr:uid="{D6DA661A-ED6B-44C4-9575-F893DBF1CF93}"/>
    <cellStyle name="40% - Accent3 5 5 3 4" xfId="30718" xr:uid="{232B04EC-3FDF-4B42-88CB-2E5BA85E6B25}"/>
    <cellStyle name="40% - Accent3 5 5 4" xfId="11281" xr:uid="{00000000-0005-0000-0000-0000F33C0000}"/>
    <cellStyle name="40% - Accent3 5 5 4 2" xfId="35130" xr:uid="{C2EF1E76-8D58-434C-859A-838F37D9547F}"/>
    <cellStyle name="40% - Accent3 5 5 5" xfId="19236" xr:uid="{00000000-0005-0000-0000-0000F43C0000}"/>
    <cellStyle name="40% - Accent3 5 5 5 2" xfId="43068" xr:uid="{AB9E2696-3D7D-41E7-9757-72E89731F592}"/>
    <cellStyle name="40% - Accent3 5 5 6" xfId="27188" xr:uid="{662C1E2C-100D-4590-8300-06BCB28E3E2F}"/>
    <cellStyle name="40% - Accent3 5 5_Exh G" xfId="3009" xr:uid="{00000000-0005-0000-0000-0000F53C0000}"/>
    <cellStyle name="40% - Accent3 5 6" xfId="4135" xr:uid="{00000000-0005-0000-0000-0000F63C0000}"/>
    <cellStyle name="40% - Accent3 5 6 2" xfId="7727" xr:uid="{00000000-0005-0000-0000-0000F73C0000}"/>
    <cellStyle name="40% - Accent3 5 6 2 2" xfId="15697" xr:uid="{00000000-0005-0000-0000-0000F83C0000}"/>
    <cellStyle name="40% - Accent3 5 6 2 2 2" xfId="39539" xr:uid="{38553734-0394-4806-AD9D-E936C51F6739}"/>
    <cellStyle name="40% - Accent3 5 6 2 3" xfId="23643" xr:uid="{00000000-0005-0000-0000-0000F93C0000}"/>
    <cellStyle name="40% - Accent3 5 6 2 3 2" xfId="47475" xr:uid="{ED396163-B5E5-4560-95DF-37E4915975CF}"/>
    <cellStyle name="40% - Accent3 5 6 2 4" xfId="31598" xr:uid="{B16C2136-2A61-4AE3-8779-F2067444205A}"/>
    <cellStyle name="40% - Accent3 5 6 3" xfId="12159" xr:uid="{00000000-0005-0000-0000-0000FA3C0000}"/>
    <cellStyle name="40% - Accent3 5 6 3 2" xfId="36008" xr:uid="{292A8B01-7E93-48CC-8D67-B11D082077C7}"/>
    <cellStyle name="40% - Accent3 5 6 4" xfId="20114" xr:uid="{00000000-0005-0000-0000-0000FB3C0000}"/>
    <cellStyle name="40% - Accent3 5 6 4 2" xfId="43946" xr:uid="{17A8A62A-E607-49A2-84E8-FF4483835D65}"/>
    <cellStyle name="40% - Accent3 5 6 5" xfId="28067" xr:uid="{FF61AA36-7D46-46BE-955B-2CDDB71E020A}"/>
    <cellStyle name="40% - Accent3 5 7" xfId="5955" xr:uid="{00000000-0005-0000-0000-0000FC3C0000}"/>
    <cellStyle name="40% - Accent3 5 7 2" xfId="13938" xr:uid="{00000000-0005-0000-0000-0000FD3C0000}"/>
    <cellStyle name="40% - Accent3 5 7 2 2" xfId="37781" xr:uid="{04F44D6B-53CB-437E-80C7-B667B765409F}"/>
    <cellStyle name="40% - Accent3 5 7 3" xfId="21886" xr:uid="{00000000-0005-0000-0000-0000FE3C0000}"/>
    <cellStyle name="40% - Accent3 5 7 3 2" xfId="45718" xr:uid="{9A0C430C-9C17-4116-8FEC-C006BB86A163}"/>
    <cellStyle name="40% - Accent3 5 7 4" xfId="29840" xr:uid="{05A99103-46F4-4450-AE35-67299281EAAE}"/>
    <cellStyle name="40% - Accent3 5 8" xfId="9507" xr:uid="{00000000-0005-0000-0000-0000FF3C0000}"/>
    <cellStyle name="40% - Accent3 5 8 2" xfId="17465" xr:uid="{00000000-0005-0000-0000-0000003D0000}"/>
    <cellStyle name="40% - Accent3 5 8 2 2" xfId="41305" xr:uid="{4A07ECC9-7BBF-40C8-8292-2268054EFC79}"/>
    <cellStyle name="40% - Accent3 5 8 3" xfId="25409" xr:uid="{00000000-0005-0000-0000-0000013D0000}"/>
    <cellStyle name="40% - Accent3 5 8 3 2" xfId="49241" xr:uid="{9A8FCC1C-A8D7-46FE-8B84-A05B05C1C839}"/>
    <cellStyle name="40% - Accent3 5 8 4" xfId="33364" xr:uid="{5AD4AB67-E00E-490D-8EF8-989A552AD9CB}"/>
    <cellStyle name="40% - Accent3 5 9" xfId="10403" xr:uid="{00000000-0005-0000-0000-0000023D0000}"/>
    <cellStyle name="40% - Accent3 5 9 2" xfId="34252" xr:uid="{65033F5B-CD03-4848-8FC4-F0F5C12CBC0C}"/>
    <cellStyle name="40% - Accent3 5_Exh G" xfId="3002" xr:uid="{00000000-0005-0000-0000-0000033D0000}"/>
    <cellStyle name="40% - Accent3 6" xfId="465" xr:uid="{00000000-0005-0000-0000-0000043D0000}"/>
    <cellStyle name="40% - Accent3 6 10" xfId="18362" xr:uid="{00000000-0005-0000-0000-0000053D0000}"/>
    <cellStyle name="40% - Accent3 6 10 2" xfId="42194" xr:uid="{2C2ECC1B-F4CD-4571-B04B-E53945526B20}"/>
    <cellStyle name="40% - Accent3 6 11" xfId="26314" xr:uid="{A5E39A5D-2169-4A86-B787-D0BD23ADD179}"/>
    <cellStyle name="40% - Accent3 6 2" xfId="466" xr:uid="{00000000-0005-0000-0000-0000063D0000}"/>
    <cellStyle name="40% - Accent3 6 2 2" xfId="467" xr:uid="{00000000-0005-0000-0000-0000073D0000}"/>
    <cellStyle name="40% - Accent3 6 2 2 2" xfId="1493" xr:uid="{00000000-0005-0000-0000-0000083D0000}"/>
    <cellStyle name="40% - Accent3 6 2 2 2 2" xfId="5020" xr:uid="{00000000-0005-0000-0000-0000093D0000}"/>
    <cellStyle name="40% - Accent3 6 2 2 2 2 2" xfId="8611" xr:uid="{00000000-0005-0000-0000-00000A3D0000}"/>
    <cellStyle name="40% - Accent3 6 2 2 2 2 2 2" xfId="16581" xr:uid="{00000000-0005-0000-0000-00000B3D0000}"/>
    <cellStyle name="40% - Accent3 6 2 2 2 2 2 2 2" xfId="40423" xr:uid="{C22EE272-F954-4B4F-94E8-75F689057C76}"/>
    <cellStyle name="40% - Accent3 6 2 2 2 2 2 3" xfId="24527" xr:uid="{00000000-0005-0000-0000-00000C3D0000}"/>
    <cellStyle name="40% - Accent3 6 2 2 2 2 2 3 2" xfId="48359" xr:uid="{2FDD233A-2F1D-4B23-9B59-06B2679AA552}"/>
    <cellStyle name="40% - Accent3 6 2 2 2 2 2 4" xfId="32482" xr:uid="{55253A9C-00F5-4143-8E15-85581DE1ABFA}"/>
    <cellStyle name="40% - Accent3 6 2 2 2 2 3" xfId="13043" xr:uid="{00000000-0005-0000-0000-00000D3D0000}"/>
    <cellStyle name="40% - Accent3 6 2 2 2 2 3 2" xfId="36892" xr:uid="{E28AE9A3-F044-47A9-AEEB-2477AEA7DA4B}"/>
    <cellStyle name="40% - Accent3 6 2 2 2 2 4" xfId="20998" xr:uid="{00000000-0005-0000-0000-00000E3D0000}"/>
    <cellStyle name="40% - Accent3 6 2 2 2 2 4 2" xfId="44830" xr:uid="{499C8746-2D2C-4DF4-B404-CFC62405D7DF}"/>
    <cellStyle name="40% - Accent3 6 2 2 2 2 5" xfId="28951" xr:uid="{B944932B-50D9-4F89-8A38-C97D7DFC9449}"/>
    <cellStyle name="40% - Accent3 6 2 2 2 3" xfId="6852" xr:uid="{00000000-0005-0000-0000-00000F3D0000}"/>
    <cellStyle name="40% - Accent3 6 2 2 2 3 2" xfId="14823" xr:uid="{00000000-0005-0000-0000-0000103D0000}"/>
    <cellStyle name="40% - Accent3 6 2 2 2 3 2 2" xfId="38665" xr:uid="{63A119D5-7346-45DE-9FDF-03AD84755832}"/>
    <cellStyle name="40% - Accent3 6 2 2 2 3 3" xfId="22770" xr:uid="{00000000-0005-0000-0000-0000113D0000}"/>
    <cellStyle name="40% - Accent3 6 2 2 2 3 3 2" xfId="46602" xr:uid="{2F232F7E-BD13-43CA-8911-E7085EAD2F40}"/>
    <cellStyle name="40% - Accent3 6 2 2 2 3 4" xfId="30724" xr:uid="{2D95219C-C14A-422C-912B-D336AE61CC2F}"/>
    <cellStyle name="40% - Accent3 6 2 2 2 4" xfId="11287" xr:uid="{00000000-0005-0000-0000-0000123D0000}"/>
    <cellStyle name="40% - Accent3 6 2 2 2 4 2" xfId="35136" xr:uid="{99FA36BA-7C00-487F-9B46-A492ED3F3237}"/>
    <cellStyle name="40% - Accent3 6 2 2 2 5" xfId="19242" xr:uid="{00000000-0005-0000-0000-0000133D0000}"/>
    <cellStyle name="40% - Accent3 6 2 2 2 5 2" xfId="43074" xr:uid="{054A49B5-46E5-4C4E-BB4B-449502C53840}"/>
    <cellStyle name="40% - Accent3 6 2 2 2 6" xfId="27194" xr:uid="{A7411BD5-7645-4C66-8C61-C12C26150FEA}"/>
    <cellStyle name="40% - Accent3 6 2 2 2_Exh G" xfId="3013" xr:uid="{00000000-0005-0000-0000-0000143D0000}"/>
    <cellStyle name="40% - Accent3 6 2 2 3" xfId="4141" xr:uid="{00000000-0005-0000-0000-0000153D0000}"/>
    <cellStyle name="40% - Accent3 6 2 2 3 2" xfId="7733" xr:uid="{00000000-0005-0000-0000-0000163D0000}"/>
    <cellStyle name="40% - Accent3 6 2 2 3 2 2" xfId="15703" xr:uid="{00000000-0005-0000-0000-0000173D0000}"/>
    <cellStyle name="40% - Accent3 6 2 2 3 2 2 2" xfId="39545" xr:uid="{B6161E30-E8FB-4CD6-B7E2-1582BE86DBDA}"/>
    <cellStyle name="40% - Accent3 6 2 2 3 2 3" xfId="23649" xr:uid="{00000000-0005-0000-0000-0000183D0000}"/>
    <cellStyle name="40% - Accent3 6 2 2 3 2 3 2" xfId="47481" xr:uid="{926AC158-0D57-46C2-A452-AF8BEA532BD2}"/>
    <cellStyle name="40% - Accent3 6 2 2 3 2 4" xfId="31604" xr:uid="{E9F71281-E58F-4179-80BA-ADE742B1E90B}"/>
    <cellStyle name="40% - Accent3 6 2 2 3 3" xfId="12165" xr:uid="{00000000-0005-0000-0000-0000193D0000}"/>
    <cellStyle name="40% - Accent3 6 2 2 3 3 2" xfId="36014" xr:uid="{F0577C94-6C92-4742-8729-4DCBBC798D46}"/>
    <cellStyle name="40% - Accent3 6 2 2 3 4" xfId="20120" xr:uid="{00000000-0005-0000-0000-00001A3D0000}"/>
    <cellStyle name="40% - Accent3 6 2 2 3 4 2" xfId="43952" xr:uid="{ECB12E09-A716-4570-9C2A-1AC95B97030C}"/>
    <cellStyle name="40% - Accent3 6 2 2 3 5" xfId="28073" xr:uid="{645260B4-0DE3-4ED2-9C8C-547426EE7C9D}"/>
    <cellStyle name="40% - Accent3 6 2 2 4" xfId="5961" xr:uid="{00000000-0005-0000-0000-00001B3D0000}"/>
    <cellStyle name="40% - Accent3 6 2 2 4 2" xfId="13944" xr:uid="{00000000-0005-0000-0000-00001C3D0000}"/>
    <cellStyle name="40% - Accent3 6 2 2 4 2 2" xfId="37787" xr:uid="{FDAA13E7-2275-4B82-8CE5-B6FA7DC684BD}"/>
    <cellStyle name="40% - Accent3 6 2 2 4 3" xfId="21892" xr:uid="{00000000-0005-0000-0000-00001D3D0000}"/>
    <cellStyle name="40% - Accent3 6 2 2 4 3 2" xfId="45724" xr:uid="{700A224A-430B-4541-A06B-A239AB555961}"/>
    <cellStyle name="40% - Accent3 6 2 2 4 4" xfId="29846" xr:uid="{E4426295-40BA-405B-9528-E69DCE81C18D}"/>
    <cellStyle name="40% - Accent3 6 2 2 5" xfId="9513" xr:uid="{00000000-0005-0000-0000-00001E3D0000}"/>
    <cellStyle name="40% - Accent3 6 2 2 5 2" xfId="17471" xr:uid="{00000000-0005-0000-0000-00001F3D0000}"/>
    <cellStyle name="40% - Accent3 6 2 2 5 2 2" xfId="41311" xr:uid="{BD679AA6-392E-41D5-B9D5-21D809BC6510}"/>
    <cellStyle name="40% - Accent3 6 2 2 5 3" xfId="25415" xr:uid="{00000000-0005-0000-0000-0000203D0000}"/>
    <cellStyle name="40% - Accent3 6 2 2 5 3 2" xfId="49247" xr:uid="{E88717F8-1457-4B17-8C80-53F4EE069780}"/>
    <cellStyle name="40% - Accent3 6 2 2 5 4" xfId="33370" xr:uid="{4D7C2D9C-F759-44FF-8250-4D272F21C10B}"/>
    <cellStyle name="40% - Accent3 6 2 2 6" xfId="10409" xr:uid="{00000000-0005-0000-0000-0000213D0000}"/>
    <cellStyle name="40% - Accent3 6 2 2 6 2" xfId="34258" xr:uid="{8EA324BB-F4C8-4598-B761-C656309868C1}"/>
    <cellStyle name="40% - Accent3 6 2 2 7" xfId="18364" xr:uid="{00000000-0005-0000-0000-0000223D0000}"/>
    <cellStyle name="40% - Accent3 6 2 2 7 2" xfId="42196" xr:uid="{99BEA2C7-12BE-4E8B-BFB7-65A377B008B7}"/>
    <cellStyle name="40% - Accent3 6 2 2 8" xfId="26316" xr:uid="{65BC651F-2E1C-42A0-B0D0-4E46128F0548}"/>
    <cellStyle name="40% - Accent3 6 2 2_Exh G" xfId="3012" xr:uid="{00000000-0005-0000-0000-0000233D0000}"/>
    <cellStyle name="40% - Accent3 6 2 3" xfId="1492" xr:uid="{00000000-0005-0000-0000-0000243D0000}"/>
    <cellStyle name="40% - Accent3 6 2 3 2" xfId="5019" xr:uid="{00000000-0005-0000-0000-0000253D0000}"/>
    <cellStyle name="40% - Accent3 6 2 3 2 2" xfId="8610" xr:uid="{00000000-0005-0000-0000-0000263D0000}"/>
    <cellStyle name="40% - Accent3 6 2 3 2 2 2" xfId="16580" xr:uid="{00000000-0005-0000-0000-0000273D0000}"/>
    <cellStyle name="40% - Accent3 6 2 3 2 2 2 2" xfId="40422" xr:uid="{E25705A7-599F-4EE2-8D54-302AA725ED9A}"/>
    <cellStyle name="40% - Accent3 6 2 3 2 2 3" xfId="24526" xr:uid="{00000000-0005-0000-0000-0000283D0000}"/>
    <cellStyle name="40% - Accent3 6 2 3 2 2 3 2" xfId="48358" xr:uid="{FDD5EE51-A55D-4396-8FBE-64EAC710B65B}"/>
    <cellStyle name="40% - Accent3 6 2 3 2 2 4" xfId="32481" xr:uid="{6809D469-88F5-4BF3-B384-C63B88DFD11C}"/>
    <cellStyle name="40% - Accent3 6 2 3 2 3" xfId="13042" xr:uid="{00000000-0005-0000-0000-0000293D0000}"/>
    <cellStyle name="40% - Accent3 6 2 3 2 3 2" xfId="36891" xr:uid="{52E4C576-2379-46CC-8E88-CB933CE042DF}"/>
    <cellStyle name="40% - Accent3 6 2 3 2 4" xfId="20997" xr:uid="{00000000-0005-0000-0000-00002A3D0000}"/>
    <cellStyle name="40% - Accent3 6 2 3 2 4 2" xfId="44829" xr:uid="{DAAD5005-E204-403D-9198-2A0F2E18B38C}"/>
    <cellStyle name="40% - Accent3 6 2 3 2 5" xfId="28950" xr:uid="{D298080A-8F6A-4AEE-B295-E940A8EA22E9}"/>
    <cellStyle name="40% - Accent3 6 2 3 3" xfId="6851" xr:uid="{00000000-0005-0000-0000-00002B3D0000}"/>
    <cellStyle name="40% - Accent3 6 2 3 3 2" xfId="14822" xr:uid="{00000000-0005-0000-0000-00002C3D0000}"/>
    <cellStyle name="40% - Accent3 6 2 3 3 2 2" xfId="38664" xr:uid="{10EBDF70-3A5C-4C09-B14F-911C5326DD4C}"/>
    <cellStyle name="40% - Accent3 6 2 3 3 3" xfId="22769" xr:uid="{00000000-0005-0000-0000-00002D3D0000}"/>
    <cellStyle name="40% - Accent3 6 2 3 3 3 2" xfId="46601" xr:uid="{38ABADF0-91F2-4854-B47C-2297DBFCBDCA}"/>
    <cellStyle name="40% - Accent3 6 2 3 3 4" xfId="30723" xr:uid="{28DA7FEE-DA4D-4A40-A48E-AA115F0F329F}"/>
    <cellStyle name="40% - Accent3 6 2 3 4" xfId="11286" xr:uid="{00000000-0005-0000-0000-00002E3D0000}"/>
    <cellStyle name="40% - Accent3 6 2 3 4 2" xfId="35135" xr:uid="{2C51651D-2340-4199-9342-ABEE914C7225}"/>
    <cellStyle name="40% - Accent3 6 2 3 5" xfId="19241" xr:uid="{00000000-0005-0000-0000-00002F3D0000}"/>
    <cellStyle name="40% - Accent3 6 2 3 5 2" xfId="43073" xr:uid="{46434758-DD77-490A-ADC6-D47C6EA4EE28}"/>
    <cellStyle name="40% - Accent3 6 2 3 6" xfId="27193" xr:uid="{155181D2-D803-46F3-9CD0-A48CA8C29E6B}"/>
    <cellStyle name="40% - Accent3 6 2 3_Exh G" xfId="3014" xr:uid="{00000000-0005-0000-0000-0000303D0000}"/>
    <cellStyle name="40% - Accent3 6 2 4" xfId="4140" xr:uid="{00000000-0005-0000-0000-0000313D0000}"/>
    <cellStyle name="40% - Accent3 6 2 4 2" xfId="7732" xr:uid="{00000000-0005-0000-0000-0000323D0000}"/>
    <cellStyle name="40% - Accent3 6 2 4 2 2" xfId="15702" xr:uid="{00000000-0005-0000-0000-0000333D0000}"/>
    <cellStyle name="40% - Accent3 6 2 4 2 2 2" xfId="39544" xr:uid="{7DEA4153-A6BB-4421-AE14-244EE7748D2F}"/>
    <cellStyle name="40% - Accent3 6 2 4 2 3" xfId="23648" xr:uid="{00000000-0005-0000-0000-0000343D0000}"/>
    <cellStyle name="40% - Accent3 6 2 4 2 3 2" xfId="47480" xr:uid="{D1594209-5CBE-4DD1-B166-BE2A4A7E1C89}"/>
    <cellStyle name="40% - Accent3 6 2 4 2 4" xfId="31603" xr:uid="{7AF55663-B7B3-43C9-9E21-DE205BC02083}"/>
    <cellStyle name="40% - Accent3 6 2 4 3" xfId="12164" xr:uid="{00000000-0005-0000-0000-0000353D0000}"/>
    <cellStyle name="40% - Accent3 6 2 4 3 2" xfId="36013" xr:uid="{5F4A8ACB-3EF8-417E-B5E8-9F2A9CA41BB1}"/>
    <cellStyle name="40% - Accent3 6 2 4 4" xfId="20119" xr:uid="{00000000-0005-0000-0000-0000363D0000}"/>
    <cellStyle name="40% - Accent3 6 2 4 4 2" xfId="43951" xr:uid="{67E04B7E-4FA1-4059-A60E-CD2E61CDA7F7}"/>
    <cellStyle name="40% - Accent3 6 2 4 5" xfId="28072" xr:uid="{C23AD7A3-70B5-4DC9-83E5-B4139E14A11C}"/>
    <cellStyle name="40% - Accent3 6 2 5" xfId="5960" xr:uid="{00000000-0005-0000-0000-0000373D0000}"/>
    <cellStyle name="40% - Accent3 6 2 5 2" xfId="13943" xr:uid="{00000000-0005-0000-0000-0000383D0000}"/>
    <cellStyle name="40% - Accent3 6 2 5 2 2" xfId="37786" xr:uid="{48561BFB-8D80-4A11-984C-CC1821D56E78}"/>
    <cellStyle name="40% - Accent3 6 2 5 3" xfId="21891" xr:uid="{00000000-0005-0000-0000-0000393D0000}"/>
    <cellStyle name="40% - Accent3 6 2 5 3 2" xfId="45723" xr:uid="{00471CAA-8416-4CBE-B54B-BF9710A942F5}"/>
    <cellStyle name="40% - Accent3 6 2 5 4" xfId="29845" xr:uid="{15376615-33AB-4917-8B26-1643704B5A87}"/>
    <cellStyle name="40% - Accent3 6 2 6" xfId="9512" xr:uid="{00000000-0005-0000-0000-00003A3D0000}"/>
    <cellStyle name="40% - Accent3 6 2 6 2" xfId="17470" xr:uid="{00000000-0005-0000-0000-00003B3D0000}"/>
    <cellStyle name="40% - Accent3 6 2 6 2 2" xfId="41310" xr:uid="{A60DEB05-FBF2-4148-ABF0-ED2268DF805E}"/>
    <cellStyle name="40% - Accent3 6 2 6 3" xfId="25414" xr:uid="{00000000-0005-0000-0000-00003C3D0000}"/>
    <cellStyle name="40% - Accent3 6 2 6 3 2" xfId="49246" xr:uid="{0C72DABF-7EF8-464B-9D92-E92AF7E0F262}"/>
    <cellStyle name="40% - Accent3 6 2 6 4" xfId="33369" xr:uid="{948F1C6B-1AA7-4192-BA6E-A6E57CA6DEF4}"/>
    <cellStyle name="40% - Accent3 6 2 7" xfId="10408" xr:uid="{00000000-0005-0000-0000-00003D3D0000}"/>
    <cellStyle name="40% - Accent3 6 2 7 2" xfId="34257" xr:uid="{BE0BF767-1C15-417D-AAB1-D1CE879241CE}"/>
    <cellStyle name="40% - Accent3 6 2 8" xfId="18363" xr:uid="{00000000-0005-0000-0000-00003E3D0000}"/>
    <cellStyle name="40% - Accent3 6 2 8 2" xfId="42195" xr:uid="{B96933A3-C84C-4143-A3B7-0A050A91C62C}"/>
    <cellStyle name="40% - Accent3 6 2 9" xfId="26315" xr:uid="{A3E86D69-5B78-4A32-8AF3-27EC54E13826}"/>
    <cellStyle name="40% - Accent3 6 2_Exh G" xfId="3011" xr:uid="{00000000-0005-0000-0000-00003F3D0000}"/>
    <cellStyle name="40% - Accent3 6 3" xfId="468" xr:uid="{00000000-0005-0000-0000-0000403D0000}"/>
    <cellStyle name="40% - Accent3 6 3 2" xfId="1494" xr:uid="{00000000-0005-0000-0000-0000413D0000}"/>
    <cellStyle name="40% - Accent3 6 3 2 2" xfId="5021" xr:uid="{00000000-0005-0000-0000-0000423D0000}"/>
    <cellStyle name="40% - Accent3 6 3 2 2 2" xfId="8612" xr:uid="{00000000-0005-0000-0000-0000433D0000}"/>
    <cellStyle name="40% - Accent3 6 3 2 2 2 2" xfId="16582" xr:uid="{00000000-0005-0000-0000-0000443D0000}"/>
    <cellStyle name="40% - Accent3 6 3 2 2 2 2 2" xfId="40424" xr:uid="{4DBF41F9-7A65-4593-91D8-F3EB83D62AC0}"/>
    <cellStyle name="40% - Accent3 6 3 2 2 2 3" xfId="24528" xr:uid="{00000000-0005-0000-0000-0000453D0000}"/>
    <cellStyle name="40% - Accent3 6 3 2 2 2 3 2" xfId="48360" xr:uid="{B0D3A823-F4E9-4C8D-8071-E2D96D061E17}"/>
    <cellStyle name="40% - Accent3 6 3 2 2 2 4" xfId="32483" xr:uid="{1ED6A8AD-1444-4679-82C3-56CA7CDF3924}"/>
    <cellStyle name="40% - Accent3 6 3 2 2 3" xfId="13044" xr:uid="{00000000-0005-0000-0000-0000463D0000}"/>
    <cellStyle name="40% - Accent3 6 3 2 2 3 2" xfId="36893" xr:uid="{31FCDAA3-BD19-4A11-A2B2-8F330A0987DA}"/>
    <cellStyle name="40% - Accent3 6 3 2 2 4" xfId="20999" xr:uid="{00000000-0005-0000-0000-0000473D0000}"/>
    <cellStyle name="40% - Accent3 6 3 2 2 4 2" xfId="44831" xr:uid="{1AAEBA4E-A2FA-4390-ABA8-E746136A020D}"/>
    <cellStyle name="40% - Accent3 6 3 2 2 5" xfId="28952" xr:uid="{1667FB2F-EB4D-4A68-A92A-625C56FFFC0D}"/>
    <cellStyle name="40% - Accent3 6 3 2 3" xfId="6853" xr:uid="{00000000-0005-0000-0000-0000483D0000}"/>
    <cellStyle name="40% - Accent3 6 3 2 3 2" xfId="14824" xr:uid="{00000000-0005-0000-0000-0000493D0000}"/>
    <cellStyle name="40% - Accent3 6 3 2 3 2 2" xfId="38666" xr:uid="{0535F4DB-F7EC-4419-A687-3074E23E4873}"/>
    <cellStyle name="40% - Accent3 6 3 2 3 3" xfId="22771" xr:uid="{00000000-0005-0000-0000-00004A3D0000}"/>
    <cellStyle name="40% - Accent3 6 3 2 3 3 2" xfId="46603" xr:uid="{0CDE0599-BB79-4821-BC75-7133E4ED9DE3}"/>
    <cellStyle name="40% - Accent3 6 3 2 3 4" xfId="30725" xr:uid="{E8BF512B-AEDE-49C8-BCFD-DA1F5BA0A62E}"/>
    <cellStyle name="40% - Accent3 6 3 2 4" xfId="11288" xr:uid="{00000000-0005-0000-0000-00004B3D0000}"/>
    <cellStyle name="40% - Accent3 6 3 2 4 2" xfId="35137" xr:uid="{11A155F1-B1EB-4756-9FBF-E80A58BEF514}"/>
    <cellStyle name="40% - Accent3 6 3 2 5" xfId="19243" xr:uid="{00000000-0005-0000-0000-00004C3D0000}"/>
    <cellStyle name="40% - Accent3 6 3 2 5 2" xfId="43075" xr:uid="{85D1CE5A-3DF3-4C8C-91EC-E92BD5FBBD99}"/>
    <cellStyle name="40% - Accent3 6 3 2 6" xfId="27195" xr:uid="{15BC886C-7BD9-4CE6-841B-9533C67ACCC0}"/>
    <cellStyle name="40% - Accent3 6 3 2_Exh G" xfId="3016" xr:uid="{00000000-0005-0000-0000-00004D3D0000}"/>
    <cellStyle name="40% - Accent3 6 3 3" xfId="4142" xr:uid="{00000000-0005-0000-0000-00004E3D0000}"/>
    <cellStyle name="40% - Accent3 6 3 3 2" xfId="7734" xr:uid="{00000000-0005-0000-0000-00004F3D0000}"/>
    <cellStyle name="40% - Accent3 6 3 3 2 2" xfId="15704" xr:uid="{00000000-0005-0000-0000-0000503D0000}"/>
    <cellStyle name="40% - Accent3 6 3 3 2 2 2" xfId="39546" xr:uid="{B280C621-188C-4F55-A55D-486EB47E3E7D}"/>
    <cellStyle name="40% - Accent3 6 3 3 2 3" xfId="23650" xr:uid="{00000000-0005-0000-0000-0000513D0000}"/>
    <cellStyle name="40% - Accent3 6 3 3 2 3 2" xfId="47482" xr:uid="{FD7F69C8-753E-4296-B81D-43EE6C64391D}"/>
    <cellStyle name="40% - Accent3 6 3 3 2 4" xfId="31605" xr:uid="{086F0C24-F3EB-4D5F-A8F3-F8A30CADE232}"/>
    <cellStyle name="40% - Accent3 6 3 3 3" xfId="12166" xr:uid="{00000000-0005-0000-0000-0000523D0000}"/>
    <cellStyle name="40% - Accent3 6 3 3 3 2" xfId="36015" xr:uid="{9F29CD13-1A79-4DAD-8BD7-E9B84C0F0B45}"/>
    <cellStyle name="40% - Accent3 6 3 3 4" xfId="20121" xr:uid="{00000000-0005-0000-0000-0000533D0000}"/>
    <cellStyle name="40% - Accent3 6 3 3 4 2" xfId="43953" xr:uid="{A818F5C5-79B9-4836-99EF-44211CF237A5}"/>
    <cellStyle name="40% - Accent3 6 3 3 5" xfId="28074" xr:uid="{D92FF9A0-8D13-4F3B-9EDE-D0A2B10A697C}"/>
    <cellStyle name="40% - Accent3 6 3 4" xfId="5962" xr:uid="{00000000-0005-0000-0000-0000543D0000}"/>
    <cellStyle name="40% - Accent3 6 3 4 2" xfId="13945" xr:uid="{00000000-0005-0000-0000-0000553D0000}"/>
    <cellStyle name="40% - Accent3 6 3 4 2 2" xfId="37788" xr:uid="{344E0D4D-800F-49CE-BD43-7B7E06647AB4}"/>
    <cellStyle name="40% - Accent3 6 3 4 3" xfId="21893" xr:uid="{00000000-0005-0000-0000-0000563D0000}"/>
    <cellStyle name="40% - Accent3 6 3 4 3 2" xfId="45725" xr:uid="{9CA2863E-4E40-494A-BEEC-FF750C906C71}"/>
    <cellStyle name="40% - Accent3 6 3 4 4" xfId="29847" xr:uid="{254022BA-D61E-4478-AFD9-E610B411738B}"/>
    <cellStyle name="40% - Accent3 6 3 5" xfId="9514" xr:uid="{00000000-0005-0000-0000-0000573D0000}"/>
    <cellStyle name="40% - Accent3 6 3 5 2" xfId="17472" xr:uid="{00000000-0005-0000-0000-0000583D0000}"/>
    <cellStyle name="40% - Accent3 6 3 5 2 2" xfId="41312" xr:uid="{05415A29-C88D-4B07-A778-203C4071AE33}"/>
    <cellStyle name="40% - Accent3 6 3 5 3" xfId="25416" xr:uid="{00000000-0005-0000-0000-0000593D0000}"/>
    <cellStyle name="40% - Accent3 6 3 5 3 2" xfId="49248" xr:uid="{82DB924F-3303-40CA-8D81-6652917808B8}"/>
    <cellStyle name="40% - Accent3 6 3 5 4" xfId="33371" xr:uid="{74B44E46-74B8-4F6C-A7E9-515D3216C1E7}"/>
    <cellStyle name="40% - Accent3 6 3 6" xfId="10410" xr:uid="{00000000-0005-0000-0000-00005A3D0000}"/>
    <cellStyle name="40% - Accent3 6 3 6 2" xfId="34259" xr:uid="{C35E3728-A54A-4E77-A39D-23BD80DE1417}"/>
    <cellStyle name="40% - Accent3 6 3 7" xfId="18365" xr:uid="{00000000-0005-0000-0000-00005B3D0000}"/>
    <cellStyle name="40% - Accent3 6 3 7 2" xfId="42197" xr:uid="{E4564DF0-3059-4328-A7BC-9A791420D2D4}"/>
    <cellStyle name="40% - Accent3 6 3 8" xfId="26317" xr:uid="{691EC888-C0CB-4EDE-937C-EBCFF9ABCD05}"/>
    <cellStyle name="40% - Accent3 6 3_Exh G" xfId="3015" xr:uid="{00000000-0005-0000-0000-00005C3D0000}"/>
    <cellStyle name="40% - Accent3 6 4" xfId="963" xr:uid="{00000000-0005-0000-0000-00005D3D0000}"/>
    <cellStyle name="40% - Accent3 6 4 2" xfId="1878" xr:uid="{00000000-0005-0000-0000-00005E3D0000}"/>
    <cellStyle name="40% - Accent3 6 4 2 2" xfId="5395" xr:uid="{00000000-0005-0000-0000-00005F3D0000}"/>
    <cellStyle name="40% - Accent3 6 4 2 2 2" xfId="8986" xr:uid="{00000000-0005-0000-0000-0000603D0000}"/>
    <cellStyle name="40% - Accent3 6 4 2 2 2 2" xfId="16956" xr:uid="{00000000-0005-0000-0000-0000613D0000}"/>
    <cellStyle name="40% - Accent3 6 4 2 2 2 2 2" xfId="40798" xr:uid="{F0F7F94A-A64E-41B0-AE9A-1237936257A2}"/>
    <cellStyle name="40% - Accent3 6 4 2 2 2 3" xfId="24902" xr:uid="{00000000-0005-0000-0000-0000623D0000}"/>
    <cellStyle name="40% - Accent3 6 4 2 2 2 3 2" xfId="48734" xr:uid="{22CD4EE1-B29C-4219-BC80-8FB54163BC7F}"/>
    <cellStyle name="40% - Accent3 6 4 2 2 2 4" xfId="32857" xr:uid="{2035DD3F-38EE-4728-A3F6-730CC92900C6}"/>
    <cellStyle name="40% - Accent3 6 4 2 2 3" xfId="13418" xr:uid="{00000000-0005-0000-0000-0000633D0000}"/>
    <cellStyle name="40% - Accent3 6 4 2 2 3 2" xfId="37267" xr:uid="{323D4B35-C1CA-4F3A-B826-ED9A4EF3EB3B}"/>
    <cellStyle name="40% - Accent3 6 4 2 2 4" xfId="21373" xr:uid="{00000000-0005-0000-0000-0000643D0000}"/>
    <cellStyle name="40% - Accent3 6 4 2 2 4 2" xfId="45205" xr:uid="{7339787D-EDC5-47C9-A279-B9325F81AAB2}"/>
    <cellStyle name="40% - Accent3 6 4 2 2 5" xfId="29326" xr:uid="{829AC789-0D1B-4624-8F3B-367548D2E497}"/>
    <cellStyle name="40% - Accent3 6 4 2 3" xfId="7227" xr:uid="{00000000-0005-0000-0000-0000653D0000}"/>
    <cellStyle name="40% - Accent3 6 4 2 3 2" xfId="15198" xr:uid="{00000000-0005-0000-0000-0000663D0000}"/>
    <cellStyle name="40% - Accent3 6 4 2 3 2 2" xfId="39040" xr:uid="{249A9963-0B06-4FD2-A58D-915060804FEB}"/>
    <cellStyle name="40% - Accent3 6 4 2 3 3" xfId="23145" xr:uid="{00000000-0005-0000-0000-0000673D0000}"/>
    <cellStyle name="40% - Accent3 6 4 2 3 3 2" xfId="46977" xr:uid="{21A32CC9-D405-4C02-9958-33A8E7439315}"/>
    <cellStyle name="40% - Accent3 6 4 2 3 4" xfId="31099" xr:uid="{D19CDD9D-E9C0-45A2-B0F8-36BD3338702F}"/>
    <cellStyle name="40% - Accent3 6 4 2 4" xfId="11662" xr:uid="{00000000-0005-0000-0000-0000683D0000}"/>
    <cellStyle name="40% - Accent3 6 4 2 4 2" xfId="35511" xr:uid="{045A42BD-C4F1-4E06-92E9-1ACE92FBD37F}"/>
    <cellStyle name="40% - Accent3 6 4 2 5" xfId="19617" xr:uid="{00000000-0005-0000-0000-0000693D0000}"/>
    <cellStyle name="40% - Accent3 6 4 2 5 2" xfId="43449" xr:uid="{3DC8135B-D761-4DA3-A675-8A4206A3F66E}"/>
    <cellStyle name="40% - Accent3 6 4 2 6" xfId="27569" xr:uid="{DFDB6F2F-2A9A-4342-A9A4-DE91439614C1}"/>
    <cellStyle name="40% - Accent3 6 4 2_Exh G" xfId="3018" xr:uid="{00000000-0005-0000-0000-00006A3D0000}"/>
    <cellStyle name="40% - Accent3 6 4 3" xfId="4516" xr:uid="{00000000-0005-0000-0000-00006B3D0000}"/>
    <cellStyle name="40% - Accent3 6 4 3 2" xfId="8108" xr:uid="{00000000-0005-0000-0000-00006C3D0000}"/>
    <cellStyle name="40% - Accent3 6 4 3 2 2" xfId="16078" xr:uid="{00000000-0005-0000-0000-00006D3D0000}"/>
    <cellStyle name="40% - Accent3 6 4 3 2 2 2" xfId="39920" xr:uid="{27F1AB3D-8367-4538-BB9F-1C69BA263DB4}"/>
    <cellStyle name="40% - Accent3 6 4 3 2 3" xfId="24024" xr:uid="{00000000-0005-0000-0000-00006E3D0000}"/>
    <cellStyle name="40% - Accent3 6 4 3 2 3 2" xfId="47856" xr:uid="{654BA144-183E-4B2E-ABE6-53EBC7D0D0DD}"/>
    <cellStyle name="40% - Accent3 6 4 3 2 4" xfId="31979" xr:uid="{0D010307-A8F1-4419-BC16-CE424632A7A0}"/>
    <cellStyle name="40% - Accent3 6 4 3 3" xfId="12540" xr:uid="{00000000-0005-0000-0000-00006F3D0000}"/>
    <cellStyle name="40% - Accent3 6 4 3 3 2" xfId="36389" xr:uid="{47A7C48D-1899-414C-8482-57EB2672A806}"/>
    <cellStyle name="40% - Accent3 6 4 3 4" xfId="20495" xr:uid="{00000000-0005-0000-0000-0000703D0000}"/>
    <cellStyle name="40% - Accent3 6 4 3 4 2" xfId="44327" xr:uid="{E0E7DEE2-42D6-4A14-BAE6-83891B1790E6}"/>
    <cellStyle name="40% - Accent3 6 4 3 5" xfId="28448" xr:uid="{42626888-4430-4847-93FC-16EA392D7AFB}"/>
    <cellStyle name="40% - Accent3 6 4 4" xfId="6346" xr:uid="{00000000-0005-0000-0000-0000713D0000}"/>
    <cellStyle name="40% - Accent3 6 4 4 2" xfId="14320" xr:uid="{00000000-0005-0000-0000-0000723D0000}"/>
    <cellStyle name="40% - Accent3 6 4 4 2 2" xfId="38162" xr:uid="{64F7D51B-0786-4E35-A73A-45A1967835A0}"/>
    <cellStyle name="40% - Accent3 6 4 4 3" xfId="22267" xr:uid="{00000000-0005-0000-0000-0000733D0000}"/>
    <cellStyle name="40% - Accent3 6 4 4 3 2" xfId="46099" xr:uid="{3FB1DCF4-6CF8-4D86-B454-BAA71231EA90}"/>
    <cellStyle name="40% - Accent3 6 4 4 4" xfId="30221" xr:uid="{25C06128-1FAA-4AFC-A2F8-4CEFAD96BD85}"/>
    <cellStyle name="40% - Accent3 6 4 5" xfId="9888" xr:uid="{00000000-0005-0000-0000-0000743D0000}"/>
    <cellStyle name="40% - Accent3 6 4 5 2" xfId="17846" xr:uid="{00000000-0005-0000-0000-0000753D0000}"/>
    <cellStyle name="40% - Accent3 6 4 5 2 2" xfId="41686" xr:uid="{BC61DE62-0468-4404-B170-5069D1321B8B}"/>
    <cellStyle name="40% - Accent3 6 4 5 3" xfId="25790" xr:uid="{00000000-0005-0000-0000-0000763D0000}"/>
    <cellStyle name="40% - Accent3 6 4 5 3 2" xfId="49622" xr:uid="{696EE77F-6889-40B4-8A6A-664B66B3A14D}"/>
    <cellStyle name="40% - Accent3 6 4 5 4" xfId="33745" xr:uid="{67AC06F7-C2EA-4D8B-A004-6EB8CB86828E}"/>
    <cellStyle name="40% - Accent3 6 4 6" xfId="10784" xr:uid="{00000000-0005-0000-0000-0000773D0000}"/>
    <cellStyle name="40% - Accent3 6 4 6 2" xfId="34633" xr:uid="{AD46D1B2-6734-445B-8271-81769ED4C8DF}"/>
    <cellStyle name="40% - Accent3 6 4 7" xfId="18739" xr:uid="{00000000-0005-0000-0000-0000783D0000}"/>
    <cellStyle name="40% - Accent3 6 4 7 2" xfId="42571" xr:uid="{F3DD2C32-335D-46F8-8C72-223657E1587D}"/>
    <cellStyle name="40% - Accent3 6 4 8" xfId="26691" xr:uid="{9467DB7D-1FAC-4399-A432-3C43EB0E0FBD}"/>
    <cellStyle name="40% - Accent3 6 4_Exh G" xfId="3017" xr:uid="{00000000-0005-0000-0000-0000793D0000}"/>
    <cellStyle name="40% - Accent3 6 5" xfId="1491" xr:uid="{00000000-0005-0000-0000-00007A3D0000}"/>
    <cellStyle name="40% - Accent3 6 5 2" xfId="5018" xr:uid="{00000000-0005-0000-0000-00007B3D0000}"/>
    <cellStyle name="40% - Accent3 6 5 2 2" xfId="8609" xr:uid="{00000000-0005-0000-0000-00007C3D0000}"/>
    <cellStyle name="40% - Accent3 6 5 2 2 2" xfId="16579" xr:uid="{00000000-0005-0000-0000-00007D3D0000}"/>
    <cellStyle name="40% - Accent3 6 5 2 2 2 2" xfId="40421" xr:uid="{42028488-E390-4C83-8E8F-4B2AE310708C}"/>
    <cellStyle name="40% - Accent3 6 5 2 2 3" xfId="24525" xr:uid="{00000000-0005-0000-0000-00007E3D0000}"/>
    <cellStyle name="40% - Accent3 6 5 2 2 3 2" xfId="48357" xr:uid="{93ADFCE2-982F-4865-A97A-215783952F62}"/>
    <cellStyle name="40% - Accent3 6 5 2 2 4" xfId="32480" xr:uid="{4B8857C3-7014-410E-BFE8-1907B539381F}"/>
    <cellStyle name="40% - Accent3 6 5 2 3" xfId="13041" xr:uid="{00000000-0005-0000-0000-00007F3D0000}"/>
    <cellStyle name="40% - Accent3 6 5 2 3 2" xfId="36890" xr:uid="{587F4C5C-1901-47B7-81F0-DFBF2D98ED6F}"/>
    <cellStyle name="40% - Accent3 6 5 2 4" xfId="20996" xr:uid="{00000000-0005-0000-0000-0000803D0000}"/>
    <cellStyle name="40% - Accent3 6 5 2 4 2" xfId="44828" xr:uid="{6C84190D-33AC-40AC-9FFB-27956A0C60D3}"/>
    <cellStyle name="40% - Accent3 6 5 2 5" xfId="28949" xr:uid="{04FEED16-84CA-4800-8CAF-13F3B814952D}"/>
    <cellStyle name="40% - Accent3 6 5 3" xfId="6850" xr:uid="{00000000-0005-0000-0000-0000813D0000}"/>
    <cellStyle name="40% - Accent3 6 5 3 2" xfId="14821" xr:uid="{00000000-0005-0000-0000-0000823D0000}"/>
    <cellStyle name="40% - Accent3 6 5 3 2 2" xfId="38663" xr:uid="{A45CF1DA-0947-4494-9816-958426EFA734}"/>
    <cellStyle name="40% - Accent3 6 5 3 3" xfId="22768" xr:uid="{00000000-0005-0000-0000-0000833D0000}"/>
    <cellStyle name="40% - Accent3 6 5 3 3 2" xfId="46600" xr:uid="{7FE2E08A-8B6D-4FB9-9B9B-995A748D3E23}"/>
    <cellStyle name="40% - Accent3 6 5 3 4" xfId="30722" xr:uid="{198DD657-7CFD-410B-84F6-443504E9365C}"/>
    <cellStyle name="40% - Accent3 6 5 4" xfId="11285" xr:uid="{00000000-0005-0000-0000-0000843D0000}"/>
    <cellStyle name="40% - Accent3 6 5 4 2" xfId="35134" xr:uid="{B4193659-3B99-4EBA-865E-F59DB2FBFF32}"/>
    <cellStyle name="40% - Accent3 6 5 5" xfId="19240" xr:uid="{00000000-0005-0000-0000-0000853D0000}"/>
    <cellStyle name="40% - Accent3 6 5 5 2" xfId="43072" xr:uid="{12B8D28C-8D69-4425-8D44-429C3683030C}"/>
    <cellStyle name="40% - Accent3 6 5 6" xfId="27192" xr:uid="{F10BF448-5892-4AE8-9DF4-F80BD8615877}"/>
    <cellStyle name="40% - Accent3 6 5_Exh G" xfId="3019" xr:uid="{00000000-0005-0000-0000-0000863D0000}"/>
    <cellStyle name="40% - Accent3 6 6" xfId="4139" xr:uid="{00000000-0005-0000-0000-0000873D0000}"/>
    <cellStyle name="40% - Accent3 6 6 2" xfId="7731" xr:uid="{00000000-0005-0000-0000-0000883D0000}"/>
    <cellStyle name="40% - Accent3 6 6 2 2" xfId="15701" xr:uid="{00000000-0005-0000-0000-0000893D0000}"/>
    <cellStyle name="40% - Accent3 6 6 2 2 2" xfId="39543" xr:uid="{7A0C5602-E731-4446-9797-F51E038483DF}"/>
    <cellStyle name="40% - Accent3 6 6 2 3" xfId="23647" xr:uid="{00000000-0005-0000-0000-00008A3D0000}"/>
    <cellStyle name="40% - Accent3 6 6 2 3 2" xfId="47479" xr:uid="{7C35295C-159B-4508-859C-D5FE6A21E379}"/>
    <cellStyle name="40% - Accent3 6 6 2 4" xfId="31602" xr:uid="{C102B895-DF8D-4EFF-B037-D9FF4090AEC6}"/>
    <cellStyle name="40% - Accent3 6 6 3" xfId="12163" xr:uid="{00000000-0005-0000-0000-00008B3D0000}"/>
    <cellStyle name="40% - Accent3 6 6 3 2" xfId="36012" xr:uid="{65C7EE4F-06D7-466B-9947-4BCEA4C67534}"/>
    <cellStyle name="40% - Accent3 6 6 4" xfId="20118" xr:uid="{00000000-0005-0000-0000-00008C3D0000}"/>
    <cellStyle name="40% - Accent3 6 6 4 2" xfId="43950" xr:uid="{25166C21-B834-4517-B87C-A4D7BCF0F5DD}"/>
    <cellStyle name="40% - Accent3 6 6 5" xfId="28071" xr:uid="{70794B69-24A2-4DC0-926D-532982AD5303}"/>
    <cellStyle name="40% - Accent3 6 7" xfId="5959" xr:uid="{00000000-0005-0000-0000-00008D3D0000}"/>
    <cellStyle name="40% - Accent3 6 7 2" xfId="13942" xr:uid="{00000000-0005-0000-0000-00008E3D0000}"/>
    <cellStyle name="40% - Accent3 6 7 2 2" xfId="37785" xr:uid="{8358E9CC-60BE-4C6E-8937-5C165CA676CA}"/>
    <cellStyle name="40% - Accent3 6 7 3" xfId="21890" xr:uid="{00000000-0005-0000-0000-00008F3D0000}"/>
    <cellStyle name="40% - Accent3 6 7 3 2" xfId="45722" xr:uid="{40D7D55F-0AC2-4C68-BD82-02A50A8E0722}"/>
    <cellStyle name="40% - Accent3 6 7 4" xfId="29844" xr:uid="{C6968D4A-EF55-4A1B-9B8C-4CF5BF364C38}"/>
    <cellStyle name="40% - Accent3 6 8" xfId="9511" xr:uid="{00000000-0005-0000-0000-0000903D0000}"/>
    <cellStyle name="40% - Accent3 6 8 2" xfId="17469" xr:uid="{00000000-0005-0000-0000-0000913D0000}"/>
    <cellStyle name="40% - Accent3 6 8 2 2" xfId="41309" xr:uid="{C4D8E2FC-8E5A-4DA2-AC00-1F7833A3A099}"/>
    <cellStyle name="40% - Accent3 6 8 3" xfId="25413" xr:uid="{00000000-0005-0000-0000-0000923D0000}"/>
    <cellStyle name="40% - Accent3 6 8 3 2" xfId="49245" xr:uid="{7A74C7DD-C6AF-4ED6-B545-AD8FC29783BF}"/>
    <cellStyle name="40% - Accent3 6 8 4" xfId="33368" xr:uid="{9D6D6657-5F5C-4E71-9C58-E7CA5C5373A0}"/>
    <cellStyle name="40% - Accent3 6 9" xfId="10407" xr:uid="{00000000-0005-0000-0000-0000933D0000}"/>
    <cellStyle name="40% - Accent3 6 9 2" xfId="34256" xr:uid="{9E7CC1D7-8015-4CF5-AEE5-993244AAD871}"/>
    <cellStyle name="40% - Accent3 6_Exh G" xfId="3010" xr:uid="{00000000-0005-0000-0000-0000943D0000}"/>
    <cellStyle name="40% - Accent3 7" xfId="469" xr:uid="{00000000-0005-0000-0000-0000953D0000}"/>
    <cellStyle name="40% - Accent3 7 10" xfId="18366" xr:uid="{00000000-0005-0000-0000-0000963D0000}"/>
    <cellStyle name="40% - Accent3 7 10 2" xfId="42198" xr:uid="{674B1147-4E5E-4F56-BD15-FAB8584D9F04}"/>
    <cellStyle name="40% - Accent3 7 11" xfId="26318" xr:uid="{03799E87-9755-4674-B457-4412808ACC52}"/>
    <cellStyle name="40% - Accent3 7 2" xfId="470" xr:uid="{00000000-0005-0000-0000-0000973D0000}"/>
    <cellStyle name="40% - Accent3 7 2 2" xfId="471" xr:uid="{00000000-0005-0000-0000-0000983D0000}"/>
    <cellStyle name="40% - Accent3 7 2 2 2" xfId="1497" xr:uid="{00000000-0005-0000-0000-0000993D0000}"/>
    <cellStyle name="40% - Accent3 7 2 2 2 2" xfId="5024" xr:uid="{00000000-0005-0000-0000-00009A3D0000}"/>
    <cellStyle name="40% - Accent3 7 2 2 2 2 2" xfId="8615" xr:uid="{00000000-0005-0000-0000-00009B3D0000}"/>
    <cellStyle name="40% - Accent3 7 2 2 2 2 2 2" xfId="16585" xr:uid="{00000000-0005-0000-0000-00009C3D0000}"/>
    <cellStyle name="40% - Accent3 7 2 2 2 2 2 2 2" xfId="40427" xr:uid="{E69FCAD8-281B-4523-9D2C-DBCF78D05FE5}"/>
    <cellStyle name="40% - Accent3 7 2 2 2 2 2 3" xfId="24531" xr:uid="{00000000-0005-0000-0000-00009D3D0000}"/>
    <cellStyle name="40% - Accent3 7 2 2 2 2 2 3 2" xfId="48363" xr:uid="{12ECB9C4-261B-4E89-AECE-21EDB0B7C290}"/>
    <cellStyle name="40% - Accent3 7 2 2 2 2 2 4" xfId="32486" xr:uid="{DB6300B1-0F9D-4F20-B7C9-0ADB7569F935}"/>
    <cellStyle name="40% - Accent3 7 2 2 2 2 3" xfId="13047" xr:uid="{00000000-0005-0000-0000-00009E3D0000}"/>
    <cellStyle name="40% - Accent3 7 2 2 2 2 3 2" xfId="36896" xr:uid="{6704D1F4-D7F8-4BBE-82E4-0805D1FEE0AF}"/>
    <cellStyle name="40% - Accent3 7 2 2 2 2 4" xfId="21002" xr:uid="{00000000-0005-0000-0000-00009F3D0000}"/>
    <cellStyle name="40% - Accent3 7 2 2 2 2 4 2" xfId="44834" xr:uid="{08A7B630-F5D7-425C-955D-EA7DAD486F15}"/>
    <cellStyle name="40% - Accent3 7 2 2 2 2 5" xfId="28955" xr:uid="{88E19AB1-DF5E-4215-B849-C4E980EE1852}"/>
    <cellStyle name="40% - Accent3 7 2 2 2 3" xfId="6856" xr:uid="{00000000-0005-0000-0000-0000A03D0000}"/>
    <cellStyle name="40% - Accent3 7 2 2 2 3 2" xfId="14827" xr:uid="{00000000-0005-0000-0000-0000A13D0000}"/>
    <cellStyle name="40% - Accent3 7 2 2 2 3 2 2" xfId="38669" xr:uid="{395DD813-680F-435D-8609-0887E8B4EAC5}"/>
    <cellStyle name="40% - Accent3 7 2 2 2 3 3" xfId="22774" xr:uid="{00000000-0005-0000-0000-0000A23D0000}"/>
    <cellStyle name="40% - Accent3 7 2 2 2 3 3 2" xfId="46606" xr:uid="{C55D2FEA-33F0-4682-9335-E61DEC4B7937}"/>
    <cellStyle name="40% - Accent3 7 2 2 2 3 4" xfId="30728" xr:uid="{0F2176D2-5B64-4AC3-8DA2-4BAB38F47C05}"/>
    <cellStyle name="40% - Accent3 7 2 2 2 4" xfId="11291" xr:uid="{00000000-0005-0000-0000-0000A33D0000}"/>
    <cellStyle name="40% - Accent3 7 2 2 2 4 2" xfId="35140" xr:uid="{DB86FB56-A818-4760-83F9-F33C0FFB7412}"/>
    <cellStyle name="40% - Accent3 7 2 2 2 5" xfId="19246" xr:uid="{00000000-0005-0000-0000-0000A43D0000}"/>
    <cellStyle name="40% - Accent3 7 2 2 2 5 2" xfId="43078" xr:uid="{925A86CD-3106-44DF-A32E-7C12C2999B72}"/>
    <cellStyle name="40% - Accent3 7 2 2 2 6" xfId="27198" xr:uid="{8C5D9B71-DC3B-4FBA-810A-36659E31E3F0}"/>
    <cellStyle name="40% - Accent3 7 2 2 2_Exh G" xfId="3023" xr:uid="{00000000-0005-0000-0000-0000A53D0000}"/>
    <cellStyle name="40% - Accent3 7 2 2 3" xfId="4145" xr:uid="{00000000-0005-0000-0000-0000A63D0000}"/>
    <cellStyle name="40% - Accent3 7 2 2 3 2" xfId="7737" xr:uid="{00000000-0005-0000-0000-0000A73D0000}"/>
    <cellStyle name="40% - Accent3 7 2 2 3 2 2" xfId="15707" xr:uid="{00000000-0005-0000-0000-0000A83D0000}"/>
    <cellStyle name="40% - Accent3 7 2 2 3 2 2 2" xfId="39549" xr:uid="{78F56B78-7F9F-4312-B237-86E4B43ECC38}"/>
    <cellStyle name="40% - Accent3 7 2 2 3 2 3" xfId="23653" xr:uid="{00000000-0005-0000-0000-0000A93D0000}"/>
    <cellStyle name="40% - Accent3 7 2 2 3 2 3 2" xfId="47485" xr:uid="{395E84C3-AFAB-41DB-A436-8403B72F4062}"/>
    <cellStyle name="40% - Accent3 7 2 2 3 2 4" xfId="31608" xr:uid="{85D86DE1-75D3-4729-B70E-5CEAB5B01F2C}"/>
    <cellStyle name="40% - Accent3 7 2 2 3 3" xfId="12169" xr:uid="{00000000-0005-0000-0000-0000AA3D0000}"/>
    <cellStyle name="40% - Accent3 7 2 2 3 3 2" xfId="36018" xr:uid="{5CD0055A-7034-47B9-8B3E-4F492F631F9D}"/>
    <cellStyle name="40% - Accent3 7 2 2 3 4" xfId="20124" xr:uid="{00000000-0005-0000-0000-0000AB3D0000}"/>
    <cellStyle name="40% - Accent3 7 2 2 3 4 2" xfId="43956" xr:uid="{E8E221AB-02B6-4C12-AFEB-5265AA62C920}"/>
    <cellStyle name="40% - Accent3 7 2 2 3 5" xfId="28077" xr:uid="{E276FBB3-ECD0-41B7-BBAA-A76A497B3B72}"/>
    <cellStyle name="40% - Accent3 7 2 2 4" xfId="5965" xr:uid="{00000000-0005-0000-0000-0000AC3D0000}"/>
    <cellStyle name="40% - Accent3 7 2 2 4 2" xfId="13948" xr:uid="{00000000-0005-0000-0000-0000AD3D0000}"/>
    <cellStyle name="40% - Accent3 7 2 2 4 2 2" xfId="37791" xr:uid="{E494E576-02B4-4AD4-A3D6-1AE9A57DF4A4}"/>
    <cellStyle name="40% - Accent3 7 2 2 4 3" xfId="21896" xr:uid="{00000000-0005-0000-0000-0000AE3D0000}"/>
    <cellStyle name="40% - Accent3 7 2 2 4 3 2" xfId="45728" xr:uid="{58049403-8A4B-4FD2-BABB-0C137C458C72}"/>
    <cellStyle name="40% - Accent3 7 2 2 4 4" xfId="29850" xr:uid="{BAF7943F-BE26-4DEE-9B6D-BC006FBA7AEE}"/>
    <cellStyle name="40% - Accent3 7 2 2 5" xfId="9517" xr:uid="{00000000-0005-0000-0000-0000AF3D0000}"/>
    <cellStyle name="40% - Accent3 7 2 2 5 2" xfId="17475" xr:uid="{00000000-0005-0000-0000-0000B03D0000}"/>
    <cellStyle name="40% - Accent3 7 2 2 5 2 2" xfId="41315" xr:uid="{B54FBAE6-327E-4F33-BECA-D36EA8C817D6}"/>
    <cellStyle name="40% - Accent3 7 2 2 5 3" xfId="25419" xr:uid="{00000000-0005-0000-0000-0000B13D0000}"/>
    <cellStyle name="40% - Accent3 7 2 2 5 3 2" xfId="49251" xr:uid="{266FA86B-E52C-4DE3-9799-404C2347A8F7}"/>
    <cellStyle name="40% - Accent3 7 2 2 5 4" xfId="33374" xr:uid="{100F84EE-9BD0-4BEC-8C80-1F1E03875250}"/>
    <cellStyle name="40% - Accent3 7 2 2 6" xfId="10413" xr:uid="{00000000-0005-0000-0000-0000B23D0000}"/>
    <cellStyle name="40% - Accent3 7 2 2 6 2" xfId="34262" xr:uid="{A799EE88-AA84-46F2-B1F1-119FCEFD3AAE}"/>
    <cellStyle name="40% - Accent3 7 2 2 7" xfId="18368" xr:uid="{00000000-0005-0000-0000-0000B33D0000}"/>
    <cellStyle name="40% - Accent3 7 2 2 7 2" xfId="42200" xr:uid="{D1C3B190-52CB-4834-8065-D089DE56D585}"/>
    <cellStyle name="40% - Accent3 7 2 2 8" xfId="26320" xr:uid="{5B1A8010-7AE2-41C4-8B2C-3AA986E860A3}"/>
    <cellStyle name="40% - Accent3 7 2 2_Exh G" xfId="3022" xr:uid="{00000000-0005-0000-0000-0000B43D0000}"/>
    <cellStyle name="40% - Accent3 7 2 3" xfId="1496" xr:uid="{00000000-0005-0000-0000-0000B53D0000}"/>
    <cellStyle name="40% - Accent3 7 2 3 2" xfId="5023" xr:uid="{00000000-0005-0000-0000-0000B63D0000}"/>
    <cellStyle name="40% - Accent3 7 2 3 2 2" xfId="8614" xr:uid="{00000000-0005-0000-0000-0000B73D0000}"/>
    <cellStyle name="40% - Accent3 7 2 3 2 2 2" xfId="16584" xr:uid="{00000000-0005-0000-0000-0000B83D0000}"/>
    <cellStyle name="40% - Accent3 7 2 3 2 2 2 2" xfId="40426" xr:uid="{11591CFD-018C-4781-A831-7545DD81B3C5}"/>
    <cellStyle name="40% - Accent3 7 2 3 2 2 3" xfId="24530" xr:uid="{00000000-0005-0000-0000-0000B93D0000}"/>
    <cellStyle name="40% - Accent3 7 2 3 2 2 3 2" xfId="48362" xr:uid="{B3EE5C3D-DA21-4C00-92F9-3022AF1CC054}"/>
    <cellStyle name="40% - Accent3 7 2 3 2 2 4" xfId="32485" xr:uid="{45F8DFF4-5933-4F8A-B679-FA805176D12E}"/>
    <cellStyle name="40% - Accent3 7 2 3 2 3" xfId="13046" xr:uid="{00000000-0005-0000-0000-0000BA3D0000}"/>
    <cellStyle name="40% - Accent3 7 2 3 2 3 2" xfId="36895" xr:uid="{7D6CA6FF-4FA6-4922-BF24-C86D12E0A8CF}"/>
    <cellStyle name="40% - Accent3 7 2 3 2 4" xfId="21001" xr:uid="{00000000-0005-0000-0000-0000BB3D0000}"/>
    <cellStyle name="40% - Accent3 7 2 3 2 4 2" xfId="44833" xr:uid="{D94E34D2-8B6E-47A2-B8E4-4999CF71B0CC}"/>
    <cellStyle name="40% - Accent3 7 2 3 2 5" xfId="28954" xr:uid="{38E0BDB2-76AE-40C7-B403-DBBE0848F590}"/>
    <cellStyle name="40% - Accent3 7 2 3 3" xfId="6855" xr:uid="{00000000-0005-0000-0000-0000BC3D0000}"/>
    <cellStyle name="40% - Accent3 7 2 3 3 2" xfId="14826" xr:uid="{00000000-0005-0000-0000-0000BD3D0000}"/>
    <cellStyle name="40% - Accent3 7 2 3 3 2 2" xfId="38668" xr:uid="{D63B4359-DA56-459A-84E2-109781A8CECD}"/>
    <cellStyle name="40% - Accent3 7 2 3 3 3" xfId="22773" xr:uid="{00000000-0005-0000-0000-0000BE3D0000}"/>
    <cellStyle name="40% - Accent3 7 2 3 3 3 2" xfId="46605" xr:uid="{17C7ECB9-C755-400F-B898-C19903D2B334}"/>
    <cellStyle name="40% - Accent3 7 2 3 3 4" xfId="30727" xr:uid="{24BF913E-8AA0-494D-9E2A-87399F828AC8}"/>
    <cellStyle name="40% - Accent3 7 2 3 4" xfId="11290" xr:uid="{00000000-0005-0000-0000-0000BF3D0000}"/>
    <cellStyle name="40% - Accent3 7 2 3 4 2" xfId="35139" xr:uid="{22B6FC52-8287-4836-B5A4-B5F9A3364878}"/>
    <cellStyle name="40% - Accent3 7 2 3 5" xfId="19245" xr:uid="{00000000-0005-0000-0000-0000C03D0000}"/>
    <cellStyle name="40% - Accent3 7 2 3 5 2" xfId="43077" xr:uid="{D0C07590-1084-4E14-9EDA-55B1403F63C7}"/>
    <cellStyle name="40% - Accent3 7 2 3 6" xfId="27197" xr:uid="{B92ACFB6-1C5E-42F9-9405-A7658CCD18A8}"/>
    <cellStyle name="40% - Accent3 7 2 3_Exh G" xfId="3024" xr:uid="{00000000-0005-0000-0000-0000C13D0000}"/>
    <cellStyle name="40% - Accent3 7 2 4" xfId="4144" xr:uid="{00000000-0005-0000-0000-0000C23D0000}"/>
    <cellStyle name="40% - Accent3 7 2 4 2" xfId="7736" xr:uid="{00000000-0005-0000-0000-0000C33D0000}"/>
    <cellStyle name="40% - Accent3 7 2 4 2 2" xfId="15706" xr:uid="{00000000-0005-0000-0000-0000C43D0000}"/>
    <cellStyle name="40% - Accent3 7 2 4 2 2 2" xfId="39548" xr:uid="{38C7CE01-FF25-40E3-BA60-2B60BB37057B}"/>
    <cellStyle name="40% - Accent3 7 2 4 2 3" xfId="23652" xr:uid="{00000000-0005-0000-0000-0000C53D0000}"/>
    <cellStyle name="40% - Accent3 7 2 4 2 3 2" xfId="47484" xr:uid="{779E10C4-7F73-4FA7-A70D-041B6A06424E}"/>
    <cellStyle name="40% - Accent3 7 2 4 2 4" xfId="31607" xr:uid="{D391F4F8-52A2-4056-96DD-FD11D6295175}"/>
    <cellStyle name="40% - Accent3 7 2 4 3" xfId="12168" xr:uid="{00000000-0005-0000-0000-0000C63D0000}"/>
    <cellStyle name="40% - Accent3 7 2 4 3 2" xfId="36017" xr:uid="{1F6D780A-3629-4A18-9DFB-6A9C9A245D56}"/>
    <cellStyle name="40% - Accent3 7 2 4 4" xfId="20123" xr:uid="{00000000-0005-0000-0000-0000C73D0000}"/>
    <cellStyle name="40% - Accent3 7 2 4 4 2" xfId="43955" xr:uid="{EB20622D-59B6-433E-A2EB-60C32137C774}"/>
    <cellStyle name="40% - Accent3 7 2 4 5" xfId="28076" xr:uid="{642BE44E-8639-4AA6-A93C-AF9C3E19203A}"/>
    <cellStyle name="40% - Accent3 7 2 5" xfId="5964" xr:uid="{00000000-0005-0000-0000-0000C83D0000}"/>
    <cellStyle name="40% - Accent3 7 2 5 2" xfId="13947" xr:uid="{00000000-0005-0000-0000-0000C93D0000}"/>
    <cellStyle name="40% - Accent3 7 2 5 2 2" xfId="37790" xr:uid="{A53A9A49-3D13-45D9-966B-D2B4A0904AD2}"/>
    <cellStyle name="40% - Accent3 7 2 5 3" xfId="21895" xr:uid="{00000000-0005-0000-0000-0000CA3D0000}"/>
    <cellStyle name="40% - Accent3 7 2 5 3 2" xfId="45727" xr:uid="{DAEC5B69-6219-494F-B918-43F129E4BB9E}"/>
    <cellStyle name="40% - Accent3 7 2 5 4" xfId="29849" xr:uid="{3B19D33E-086C-45E2-A6D8-1553B506E7FF}"/>
    <cellStyle name="40% - Accent3 7 2 6" xfId="9516" xr:uid="{00000000-0005-0000-0000-0000CB3D0000}"/>
    <cellStyle name="40% - Accent3 7 2 6 2" xfId="17474" xr:uid="{00000000-0005-0000-0000-0000CC3D0000}"/>
    <cellStyle name="40% - Accent3 7 2 6 2 2" xfId="41314" xr:uid="{F36284DA-EEC8-4DEC-AE55-80FC517746D1}"/>
    <cellStyle name="40% - Accent3 7 2 6 3" xfId="25418" xr:uid="{00000000-0005-0000-0000-0000CD3D0000}"/>
    <cellStyle name="40% - Accent3 7 2 6 3 2" xfId="49250" xr:uid="{0A0C004B-1D7A-4383-835F-CF64437F6A36}"/>
    <cellStyle name="40% - Accent3 7 2 6 4" xfId="33373" xr:uid="{67F7180A-BD33-4E18-9D93-6E0656D495A4}"/>
    <cellStyle name="40% - Accent3 7 2 7" xfId="10412" xr:uid="{00000000-0005-0000-0000-0000CE3D0000}"/>
    <cellStyle name="40% - Accent3 7 2 7 2" xfId="34261" xr:uid="{0F2231FA-3B1B-48BD-AF04-CB2BD8435F9B}"/>
    <cellStyle name="40% - Accent3 7 2 8" xfId="18367" xr:uid="{00000000-0005-0000-0000-0000CF3D0000}"/>
    <cellStyle name="40% - Accent3 7 2 8 2" xfId="42199" xr:uid="{A798AAE5-CC41-4A62-89E0-B2126E5B9D68}"/>
    <cellStyle name="40% - Accent3 7 2 9" xfId="26319" xr:uid="{CDDC4634-04C7-4DA6-A53C-770B24F0ECE1}"/>
    <cellStyle name="40% - Accent3 7 2_Exh G" xfId="3021" xr:uid="{00000000-0005-0000-0000-0000D03D0000}"/>
    <cellStyle name="40% - Accent3 7 3" xfId="472" xr:uid="{00000000-0005-0000-0000-0000D13D0000}"/>
    <cellStyle name="40% - Accent3 7 3 2" xfId="1498" xr:uid="{00000000-0005-0000-0000-0000D23D0000}"/>
    <cellStyle name="40% - Accent3 7 3 2 2" xfId="5025" xr:uid="{00000000-0005-0000-0000-0000D33D0000}"/>
    <cellStyle name="40% - Accent3 7 3 2 2 2" xfId="8616" xr:uid="{00000000-0005-0000-0000-0000D43D0000}"/>
    <cellStyle name="40% - Accent3 7 3 2 2 2 2" xfId="16586" xr:uid="{00000000-0005-0000-0000-0000D53D0000}"/>
    <cellStyle name="40% - Accent3 7 3 2 2 2 2 2" xfId="40428" xr:uid="{421A8F3B-4DB6-4A7B-BDE7-0BD60FCD6218}"/>
    <cellStyle name="40% - Accent3 7 3 2 2 2 3" xfId="24532" xr:uid="{00000000-0005-0000-0000-0000D63D0000}"/>
    <cellStyle name="40% - Accent3 7 3 2 2 2 3 2" xfId="48364" xr:uid="{11C1FFC2-5419-407A-88FA-2643F3BB90A6}"/>
    <cellStyle name="40% - Accent3 7 3 2 2 2 4" xfId="32487" xr:uid="{A6A622B6-2AA4-4085-A0A4-A9C884F3815E}"/>
    <cellStyle name="40% - Accent3 7 3 2 2 3" xfId="13048" xr:uid="{00000000-0005-0000-0000-0000D73D0000}"/>
    <cellStyle name="40% - Accent3 7 3 2 2 3 2" xfId="36897" xr:uid="{33496967-42B0-4FDB-9192-3F2CECA5586F}"/>
    <cellStyle name="40% - Accent3 7 3 2 2 4" xfId="21003" xr:uid="{00000000-0005-0000-0000-0000D83D0000}"/>
    <cellStyle name="40% - Accent3 7 3 2 2 4 2" xfId="44835" xr:uid="{B48210A8-E48C-4BFD-BD48-7AA8BF65A954}"/>
    <cellStyle name="40% - Accent3 7 3 2 2 5" xfId="28956" xr:uid="{0492644E-915C-46AB-87E2-699E49700091}"/>
    <cellStyle name="40% - Accent3 7 3 2 3" xfId="6857" xr:uid="{00000000-0005-0000-0000-0000D93D0000}"/>
    <cellStyle name="40% - Accent3 7 3 2 3 2" xfId="14828" xr:uid="{00000000-0005-0000-0000-0000DA3D0000}"/>
    <cellStyle name="40% - Accent3 7 3 2 3 2 2" xfId="38670" xr:uid="{6D48156E-B8AF-44ED-AE34-D94BDE3F9A40}"/>
    <cellStyle name="40% - Accent3 7 3 2 3 3" xfId="22775" xr:uid="{00000000-0005-0000-0000-0000DB3D0000}"/>
    <cellStyle name="40% - Accent3 7 3 2 3 3 2" xfId="46607" xr:uid="{A105D84D-8B55-41E4-A0F1-23F4BB894D21}"/>
    <cellStyle name="40% - Accent3 7 3 2 3 4" xfId="30729" xr:uid="{78420D95-743D-4652-9735-7C51AFF0EE49}"/>
    <cellStyle name="40% - Accent3 7 3 2 4" xfId="11292" xr:uid="{00000000-0005-0000-0000-0000DC3D0000}"/>
    <cellStyle name="40% - Accent3 7 3 2 4 2" xfId="35141" xr:uid="{DD8C6FD2-D4E0-46E2-9069-95C924661061}"/>
    <cellStyle name="40% - Accent3 7 3 2 5" xfId="19247" xr:uid="{00000000-0005-0000-0000-0000DD3D0000}"/>
    <cellStyle name="40% - Accent3 7 3 2 5 2" xfId="43079" xr:uid="{2E533F95-3F0D-4ED4-88E7-B4DF657566A7}"/>
    <cellStyle name="40% - Accent3 7 3 2 6" xfId="27199" xr:uid="{C1A729CE-23B4-4A43-9461-404893E3641E}"/>
    <cellStyle name="40% - Accent3 7 3 2_Exh G" xfId="3026" xr:uid="{00000000-0005-0000-0000-0000DE3D0000}"/>
    <cellStyle name="40% - Accent3 7 3 3" xfId="4146" xr:uid="{00000000-0005-0000-0000-0000DF3D0000}"/>
    <cellStyle name="40% - Accent3 7 3 3 2" xfId="7738" xr:uid="{00000000-0005-0000-0000-0000E03D0000}"/>
    <cellStyle name="40% - Accent3 7 3 3 2 2" xfId="15708" xr:uid="{00000000-0005-0000-0000-0000E13D0000}"/>
    <cellStyle name="40% - Accent3 7 3 3 2 2 2" xfId="39550" xr:uid="{BB830F56-55A6-47A9-9054-7EB876FA9567}"/>
    <cellStyle name="40% - Accent3 7 3 3 2 3" xfId="23654" xr:uid="{00000000-0005-0000-0000-0000E23D0000}"/>
    <cellStyle name="40% - Accent3 7 3 3 2 3 2" xfId="47486" xr:uid="{21D8D9CA-5769-4B3F-AF31-EB488594674E}"/>
    <cellStyle name="40% - Accent3 7 3 3 2 4" xfId="31609" xr:uid="{43D217DD-6BD4-4D02-8B0C-D07B5A4EF387}"/>
    <cellStyle name="40% - Accent3 7 3 3 3" xfId="12170" xr:uid="{00000000-0005-0000-0000-0000E33D0000}"/>
    <cellStyle name="40% - Accent3 7 3 3 3 2" xfId="36019" xr:uid="{5066A4C6-E864-4CF7-8E0D-656AB0107018}"/>
    <cellStyle name="40% - Accent3 7 3 3 4" xfId="20125" xr:uid="{00000000-0005-0000-0000-0000E43D0000}"/>
    <cellStyle name="40% - Accent3 7 3 3 4 2" xfId="43957" xr:uid="{59D5DE01-7F95-4750-A7BF-C60926A4F26E}"/>
    <cellStyle name="40% - Accent3 7 3 3 5" xfId="28078" xr:uid="{4B7485DF-CB1D-4175-894F-F4626034E4D1}"/>
    <cellStyle name="40% - Accent3 7 3 4" xfId="5966" xr:uid="{00000000-0005-0000-0000-0000E53D0000}"/>
    <cellStyle name="40% - Accent3 7 3 4 2" xfId="13949" xr:uid="{00000000-0005-0000-0000-0000E63D0000}"/>
    <cellStyle name="40% - Accent3 7 3 4 2 2" xfId="37792" xr:uid="{792B63AC-2DD2-414E-97B7-A7CA5F337E4A}"/>
    <cellStyle name="40% - Accent3 7 3 4 3" xfId="21897" xr:uid="{00000000-0005-0000-0000-0000E73D0000}"/>
    <cellStyle name="40% - Accent3 7 3 4 3 2" xfId="45729" xr:uid="{7B83C7C2-B641-4E14-B9B3-6422900673A7}"/>
    <cellStyle name="40% - Accent3 7 3 4 4" xfId="29851" xr:uid="{4D427C09-BED1-42C4-9B1B-2E3F639027B6}"/>
    <cellStyle name="40% - Accent3 7 3 5" xfId="9518" xr:uid="{00000000-0005-0000-0000-0000E83D0000}"/>
    <cellStyle name="40% - Accent3 7 3 5 2" xfId="17476" xr:uid="{00000000-0005-0000-0000-0000E93D0000}"/>
    <cellStyle name="40% - Accent3 7 3 5 2 2" xfId="41316" xr:uid="{36B5504A-5319-43D2-98B5-4C34A5AECC3F}"/>
    <cellStyle name="40% - Accent3 7 3 5 3" xfId="25420" xr:uid="{00000000-0005-0000-0000-0000EA3D0000}"/>
    <cellStyle name="40% - Accent3 7 3 5 3 2" xfId="49252" xr:uid="{CC5D8B0B-590A-4AC6-A938-62B67D0D3A1D}"/>
    <cellStyle name="40% - Accent3 7 3 5 4" xfId="33375" xr:uid="{85FC3996-D773-4055-A54A-D3EC056773F3}"/>
    <cellStyle name="40% - Accent3 7 3 6" xfId="10414" xr:uid="{00000000-0005-0000-0000-0000EB3D0000}"/>
    <cellStyle name="40% - Accent3 7 3 6 2" xfId="34263" xr:uid="{3D23349C-3A62-4A20-8600-2F2FF8D8944C}"/>
    <cellStyle name="40% - Accent3 7 3 7" xfId="18369" xr:uid="{00000000-0005-0000-0000-0000EC3D0000}"/>
    <cellStyle name="40% - Accent3 7 3 7 2" xfId="42201" xr:uid="{7F556AEB-1C26-4291-AA4D-30D74C3C35A1}"/>
    <cellStyle name="40% - Accent3 7 3 8" xfId="26321" xr:uid="{F94855F2-CB79-4905-AEF2-E03FFA44A2BF}"/>
    <cellStyle name="40% - Accent3 7 3_Exh G" xfId="3025" xr:uid="{00000000-0005-0000-0000-0000ED3D0000}"/>
    <cellStyle name="40% - Accent3 7 4" xfId="964" xr:uid="{00000000-0005-0000-0000-0000EE3D0000}"/>
    <cellStyle name="40% - Accent3 7 4 2" xfId="1879" xr:uid="{00000000-0005-0000-0000-0000EF3D0000}"/>
    <cellStyle name="40% - Accent3 7 4 2 2" xfId="5396" xr:uid="{00000000-0005-0000-0000-0000F03D0000}"/>
    <cellStyle name="40% - Accent3 7 4 2 2 2" xfId="8987" xr:uid="{00000000-0005-0000-0000-0000F13D0000}"/>
    <cellStyle name="40% - Accent3 7 4 2 2 2 2" xfId="16957" xr:uid="{00000000-0005-0000-0000-0000F23D0000}"/>
    <cellStyle name="40% - Accent3 7 4 2 2 2 2 2" xfId="40799" xr:uid="{39F36E59-DB83-4B87-892E-51518E57AA39}"/>
    <cellStyle name="40% - Accent3 7 4 2 2 2 3" xfId="24903" xr:uid="{00000000-0005-0000-0000-0000F33D0000}"/>
    <cellStyle name="40% - Accent3 7 4 2 2 2 3 2" xfId="48735" xr:uid="{688D9F06-E5A8-45A6-80C8-DED45FF30D20}"/>
    <cellStyle name="40% - Accent3 7 4 2 2 2 4" xfId="32858" xr:uid="{6DFD33C5-CFED-4A2D-936C-4617A4197551}"/>
    <cellStyle name="40% - Accent3 7 4 2 2 3" xfId="13419" xr:uid="{00000000-0005-0000-0000-0000F43D0000}"/>
    <cellStyle name="40% - Accent3 7 4 2 2 3 2" xfId="37268" xr:uid="{9771CCD2-B26A-4575-BA51-0672A9DC3559}"/>
    <cellStyle name="40% - Accent3 7 4 2 2 4" xfId="21374" xr:uid="{00000000-0005-0000-0000-0000F53D0000}"/>
    <cellStyle name="40% - Accent3 7 4 2 2 4 2" xfId="45206" xr:uid="{97593685-D990-4620-BAAA-F21C953E0C22}"/>
    <cellStyle name="40% - Accent3 7 4 2 2 5" xfId="29327" xr:uid="{03C0BD6B-59DD-4132-BE85-964A209D879A}"/>
    <cellStyle name="40% - Accent3 7 4 2 3" xfId="7228" xr:uid="{00000000-0005-0000-0000-0000F63D0000}"/>
    <cellStyle name="40% - Accent3 7 4 2 3 2" xfId="15199" xr:uid="{00000000-0005-0000-0000-0000F73D0000}"/>
    <cellStyle name="40% - Accent3 7 4 2 3 2 2" xfId="39041" xr:uid="{7BF2BCA5-FCDA-423C-961E-BDCFD7D8D135}"/>
    <cellStyle name="40% - Accent3 7 4 2 3 3" xfId="23146" xr:uid="{00000000-0005-0000-0000-0000F83D0000}"/>
    <cellStyle name="40% - Accent3 7 4 2 3 3 2" xfId="46978" xr:uid="{C761753D-F2C5-42EA-80BF-3F1A534C1BF2}"/>
    <cellStyle name="40% - Accent3 7 4 2 3 4" xfId="31100" xr:uid="{598F2FBE-43A4-46D6-8776-F570253613A9}"/>
    <cellStyle name="40% - Accent3 7 4 2 4" xfId="11663" xr:uid="{00000000-0005-0000-0000-0000F93D0000}"/>
    <cellStyle name="40% - Accent3 7 4 2 4 2" xfId="35512" xr:uid="{33572A97-C480-4C54-A803-5AA16AC05BF9}"/>
    <cellStyle name="40% - Accent3 7 4 2 5" xfId="19618" xr:uid="{00000000-0005-0000-0000-0000FA3D0000}"/>
    <cellStyle name="40% - Accent3 7 4 2 5 2" xfId="43450" xr:uid="{FCBC7CFA-5AF8-4D15-A02D-5A3BAD1FC82D}"/>
    <cellStyle name="40% - Accent3 7 4 2 6" xfId="27570" xr:uid="{F8CAB066-1DE3-445F-8301-D08A5BBEB113}"/>
    <cellStyle name="40% - Accent3 7 4 2_Exh G" xfId="3028" xr:uid="{00000000-0005-0000-0000-0000FB3D0000}"/>
    <cellStyle name="40% - Accent3 7 4 3" xfId="4517" xr:uid="{00000000-0005-0000-0000-0000FC3D0000}"/>
    <cellStyle name="40% - Accent3 7 4 3 2" xfId="8109" xr:uid="{00000000-0005-0000-0000-0000FD3D0000}"/>
    <cellStyle name="40% - Accent3 7 4 3 2 2" xfId="16079" xr:uid="{00000000-0005-0000-0000-0000FE3D0000}"/>
    <cellStyle name="40% - Accent3 7 4 3 2 2 2" xfId="39921" xr:uid="{734A9941-29FD-4B8C-A748-6E0D059594CB}"/>
    <cellStyle name="40% - Accent3 7 4 3 2 3" xfId="24025" xr:uid="{00000000-0005-0000-0000-0000FF3D0000}"/>
    <cellStyle name="40% - Accent3 7 4 3 2 3 2" xfId="47857" xr:uid="{E41C626B-9EF9-416B-BB94-37601761AE38}"/>
    <cellStyle name="40% - Accent3 7 4 3 2 4" xfId="31980" xr:uid="{00C4F042-B81D-4D1D-83A9-DD9F7DF441BA}"/>
    <cellStyle name="40% - Accent3 7 4 3 3" xfId="12541" xr:uid="{00000000-0005-0000-0000-0000003E0000}"/>
    <cellStyle name="40% - Accent3 7 4 3 3 2" xfId="36390" xr:uid="{CE2B7CB4-500E-4CC7-AE5B-DC2D08C1A2A0}"/>
    <cellStyle name="40% - Accent3 7 4 3 4" xfId="20496" xr:uid="{00000000-0005-0000-0000-0000013E0000}"/>
    <cellStyle name="40% - Accent3 7 4 3 4 2" xfId="44328" xr:uid="{37C8680C-3150-4694-9E43-C1CDC6B905DC}"/>
    <cellStyle name="40% - Accent3 7 4 3 5" xfId="28449" xr:uid="{1E64C37D-D488-4826-B9EC-3717039E60F4}"/>
    <cellStyle name="40% - Accent3 7 4 4" xfId="6347" xr:uid="{00000000-0005-0000-0000-0000023E0000}"/>
    <cellStyle name="40% - Accent3 7 4 4 2" xfId="14321" xr:uid="{00000000-0005-0000-0000-0000033E0000}"/>
    <cellStyle name="40% - Accent3 7 4 4 2 2" xfId="38163" xr:uid="{60491793-1BBF-4DE0-91B7-B7A830AFDAE4}"/>
    <cellStyle name="40% - Accent3 7 4 4 3" xfId="22268" xr:uid="{00000000-0005-0000-0000-0000043E0000}"/>
    <cellStyle name="40% - Accent3 7 4 4 3 2" xfId="46100" xr:uid="{32F484DA-FF9A-4410-9465-2F26620D47F6}"/>
    <cellStyle name="40% - Accent3 7 4 4 4" xfId="30222" xr:uid="{FA18C2CD-191A-4EFB-BC51-890476714AFF}"/>
    <cellStyle name="40% - Accent3 7 4 5" xfId="9889" xr:uid="{00000000-0005-0000-0000-0000053E0000}"/>
    <cellStyle name="40% - Accent3 7 4 5 2" xfId="17847" xr:uid="{00000000-0005-0000-0000-0000063E0000}"/>
    <cellStyle name="40% - Accent3 7 4 5 2 2" xfId="41687" xr:uid="{BB53554F-3B64-40FF-8D7C-7DA116A5D511}"/>
    <cellStyle name="40% - Accent3 7 4 5 3" xfId="25791" xr:uid="{00000000-0005-0000-0000-0000073E0000}"/>
    <cellStyle name="40% - Accent3 7 4 5 3 2" xfId="49623" xr:uid="{A380A9AE-084D-4681-8942-8CAB108291A2}"/>
    <cellStyle name="40% - Accent3 7 4 5 4" xfId="33746" xr:uid="{DE51E185-D2BB-406B-8629-C75E1E2DC309}"/>
    <cellStyle name="40% - Accent3 7 4 6" xfId="10785" xr:uid="{00000000-0005-0000-0000-0000083E0000}"/>
    <cellStyle name="40% - Accent3 7 4 6 2" xfId="34634" xr:uid="{D3199CC9-2C72-4AD0-9DB3-C58B4ADAE116}"/>
    <cellStyle name="40% - Accent3 7 4 7" xfId="18740" xr:uid="{00000000-0005-0000-0000-0000093E0000}"/>
    <cellStyle name="40% - Accent3 7 4 7 2" xfId="42572" xr:uid="{FF4DC7F0-D67C-4015-8154-DE992883AFB4}"/>
    <cellStyle name="40% - Accent3 7 4 8" xfId="26692" xr:uid="{AF19C031-0127-4722-85F0-3743BB0ABA16}"/>
    <cellStyle name="40% - Accent3 7 4_Exh G" xfId="3027" xr:uid="{00000000-0005-0000-0000-00000A3E0000}"/>
    <cellStyle name="40% - Accent3 7 5" xfId="1495" xr:uid="{00000000-0005-0000-0000-00000B3E0000}"/>
    <cellStyle name="40% - Accent3 7 5 2" xfId="5022" xr:uid="{00000000-0005-0000-0000-00000C3E0000}"/>
    <cellStyle name="40% - Accent3 7 5 2 2" xfId="8613" xr:uid="{00000000-0005-0000-0000-00000D3E0000}"/>
    <cellStyle name="40% - Accent3 7 5 2 2 2" xfId="16583" xr:uid="{00000000-0005-0000-0000-00000E3E0000}"/>
    <cellStyle name="40% - Accent3 7 5 2 2 2 2" xfId="40425" xr:uid="{C05048C6-DC88-463C-8432-CD22BEED50A3}"/>
    <cellStyle name="40% - Accent3 7 5 2 2 3" xfId="24529" xr:uid="{00000000-0005-0000-0000-00000F3E0000}"/>
    <cellStyle name="40% - Accent3 7 5 2 2 3 2" xfId="48361" xr:uid="{E054A8D9-EA57-45B7-BDAA-72D464E9DD99}"/>
    <cellStyle name="40% - Accent3 7 5 2 2 4" xfId="32484" xr:uid="{53DC18C7-BF55-45DC-B4DF-9B0A3FC32ED6}"/>
    <cellStyle name="40% - Accent3 7 5 2 3" xfId="13045" xr:uid="{00000000-0005-0000-0000-0000103E0000}"/>
    <cellStyle name="40% - Accent3 7 5 2 3 2" xfId="36894" xr:uid="{ED1D86A2-4F10-4363-9F80-0A11AC43B593}"/>
    <cellStyle name="40% - Accent3 7 5 2 4" xfId="21000" xr:uid="{00000000-0005-0000-0000-0000113E0000}"/>
    <cellStyle name="40% - Accent3 7 5 2 4 2" xfId="44832" xr:uid="{FC0339B1-34F5-46BF-8251-A58905450774}"/>
    <cellStyle name="40% - Accent3 7 5 2 5" xfId="28953" xr:uid="{39AB7F94-7999-45D8-961F-FD16A495FB88}"/>
    <cellStyle name="40% - Accent3 7 5 3" xfId="6854" xr:uid="{00000000-0005-0000-0000-0000123E0000}"/>
    <cellStyle name="40% - Accent3 7 5 3 2" xfId="14825" xr:uid="{00000000-0005-0000-0000-0000133E0000}"/>
    <cellStyle name="40% - Accent3 7 5 3 2 2" xfId="38667" xr:uid="{7BEC67DB-04A5-4E07-BC01-2763433418A9}"/>
    <cellStyle name="40% - Accent3 7 5 3 3" xfId="22772" xr:uid="{00000000-0005-0000-0000-0000143E0000}"/>
    <cellStyle name="40% - Accent3 7 5 3 3 2" xfId="46604" xr:uid="{E27A8AA5-39D9-4DE6-B870-BD9CBF0443EF}"/>
    <cellStyle name="40% - Accent3 7 5 3 4" xfId="30726" xr:uid="{4F0E8A29-CD21-4DCA-ACCF-A7CE7D0C1036}"/>
    <cellStyle name="40% - Accent3 7 5 4" xfId="11289" xr:uid="{00000000-0005-0000-0000-0000153E0000}"/>
    <cellStyle name="40% - Accent3 7 5 4 2" xfId="35138" xr:uid="{B4D47B8B-B693-41C1-AAE5-A9B7F9C2E0E5}"/>
    <cellStyle name="40% - Accent3 7 5 5" xfId="19244" xr:uid="{00000000-0005-0000-0000-0000163E0000}"/>
    <cellStyle name="40% - Accent3 7 5 5 2" xfId="43076" xr:uid="{4A517BAE-06BE-4850-A037-7E50A819FC90}"/>
    <cellStyle name="40% - Accent3 7 5 6" xfId="27196" xr:uid="{62273F4E-3B3A-4EBE-B256-5969171E886C}"/>
    <cellStyle name="40% - Accent3 7 5_Exh G" xfId="3029" xr:uid="{00000000-0005-0000-0000-0000173E0000}"/>
    <cellStyle name="40% - Accent3 7 6" xfId="4143" xr:uid="{00000000-0005-0000-0000-0000183E0000}"/>
    <cellStyle name="40% - Accent3 7 6 2" xfId="7735" xr:uid="{00000000-0005-0000-0000-0000193E0000}"/>
    <cellStyle name="40% - Accent3 7 6 2 2" xfId="15705" xr:uid="{00000000-0005-0000-0000-00001A3E0000}"/>
    <cellStyle name="40% - Accent3 7 6 2 2 2" xfId="39547" xr:uid="{18EB16DC-8139-4CB1-8B83-E8CF6F96080D}"/>
    <cellStyle name="40% - Accent3 7 6 2 3" xfId="23651" xr:uid="{00000000-0005-0000-0000-00001B3E0000}"/>
    <cellStyle name="40% - Accent3 7 6 2 3 2" xfId="47483" xr:uid="{B6918FE3-F500-4177-A800-3110B92585F7}"/>
    <cellStyle name="40% - Accent3 7 6 2 4" xfId="31606" xr:uid="{D06E8ACA-9B21-4D28-89BC-2D24F14383A6}"/>
    <cellStyle name="40% - Accent3 7 6 3" xfId="12167" xr:uid="{00000000-0005-0000-0000-00001C3E0000}"/>
    <cellStyle name="40% - Accent3 7 6 3 2" xfId="36016" xr:uid="{59FED3F0-33CC-474B-8552-3A50B0BBBB06}"/>
    <cellStyle name="40% - Accent3 7 6 4" xfId="20122" xr:uid="{00000000-0005-0000-0000-00001D3E0000}"/>
    <cellStyle name="40% - Accent3 7 6 4 2" xfId="43954" xr:uid="{D108D840-2112-4C51-8E20-CCBBC27E231D}"/>
    <cellStyle name="40% - Accent3 7 6 5" xfId="28075" xr:uid="{A92F7A41-75BF-4894-80CA-733999C07E61}"/>
    <cellStyle name="40% - Accent3 7 7" xfId="5963" xr:uid="{00000000-0005-0000-0000-00001E3E0000}"/>
    <cellStyle name="40% - Accent3 7 7 2" xfId="13946" xr:uid="{00000000-0005-0000-0000-00001F3E0000}"/>
    <cellStyle name="40% - Accent3 7 7 2 2" xfId="37789" xr:uid="{D1EB8A15-1A02-49B4-B17B-ACE160FB502E}"/>
    <cellStyle name="40% - Accent3 7 7 3" xfId="21894" xr:uid="{00000000-0005-0000-0000-0000203E0000}"/>
    <cellStyle name="40% - Accent3 7 7 3 2" xfId="45726" xr:uid="{2A58D28F-1519-4B4C-A507-9B19BD534DF5}"/>
    <cellStyle name="40% - Accent3 7 7 4" xfId="29848" xr:uid="{E3B12850-902A-4A3A-904C-331172B033DA}"/>
    <cellStyle name="40% - Accent3 7 8" xfId="9515" xr:uid="{00000000-0005-0000-0000-0000213E0000}"/>
    <cellStyle name="40% - Accent3 7 8 2" xfId="17473" xr:uid="{00000000-0005-0000-0000-0000223E0000}"/>
    <cellStyle name="40% - Accent3 7 8 2 2" xfId="41313" xr:uid="{72BA3012-4B34-427A-8B3A-0AC09549934B}"/>
    <cellStyle name="40% - Accent3 7 8 3" xfId="25417" xr:uid="{00000000-0005-0000-0000-0000233E0000}"/>
    <cellStyle name="40% - Accent3 7 8 3 2" xfId="49249" xr:uid="{8132B088-F7F9-499D-95B3-C4CAAF0A75E1}"/>
    <cellStyle name="40% - Accent3 7 8 4" xfId="33372" xr:uid="{753A20B3-DC4F-467A-8B44-C3D8E73471A2}"/>
    <cellStyle name="40% - Accent3 7 9" xfId="10411" xr:uid="{00000000-0005-0000-0000-0000243E0000}"/>
    <cellStyle name="40% - Accent3 7 9 2" xfId="34260" xr:uid="{FEA37011-AB6E-49DF-A42C-A96E832EEDDF}"/>
    <cellStyle name="40% - Accent3 7_Exh G" xfId="3020" xr:uid="{00000000-0005-0000-0000-0000253E0000}"/>
    <cellStyle name="40% - Accent3 8" xfId="473" xr:uid="{00000000-0005-0000-0000-0000263E0000}"/>
    <cellStyle name="40% - Accent3 8 10" xfId="18370" xr:uid="{00000000-0005-0000-0000-0000273E0000}"/>
    <cellStyle name="40% - Accent3 8 10 2" xfId="42202" xr:uid="{5B64E2FB-F7AC-42C1-BC35-003CB3430EA7}"/>
    <cellStyle name="40% - Accent3 8 11" xfId="26322" xr:uid="{D6B1E9D4-DB04-4A2E-9A92-EEA1FD02322C}"/>
    <cellStyle name="40% - Accent3 8 2" xfId="474" xr:uid="{00000000-0005-0000-0000-0000283E0000}"/>
    <cellStyle name="40% - Accent3 8 2 2" xfId="475" xr:uid="{00000000-0005-0000-0000-0000293E0000}"/>
    <cellStyle name="40% - Accent3 8 2 2 2" xfId="1501" xr:uid="{00000000-0005-0000-0000-00002A3E0000}"/>
    <cellStyle name="40% - Accent3 8 2 2 2 2" xfId="5028" xr:uid="{00000000-0005-0000-0000-00002B3E0000}"/>
    <cellStyle name="40% - Accent3 8 2 2 2 2 2" xfId="8619" xr:uid="{00000000-0005-0000-0000-00002C3E0000}"/>
    <cellStyle name="40% - Accent3 8 2 2 2 2 2 2" xfId="16589" xr:uid="{00000000-0005-0000-0000-00002D3E0000}"/>
    <cellStyle name="40% - Accent3 8 2 2 2 2 2 2 2" xfId="40431" xr:uid="{7470117D-71B9-4073-8068-6A0C93BF89CB}"/>
    <cellStyle name="40% - Accent3 8 2 2 2 2 2 3" xfId="24535" xr:uid="{00000000-0005-0000-0000-00002E3E0000}"/>
    <cellStyle name="40% - Accent3 8 2 2 2 2 2 3 2" xfId="48367" xr:uid="{02DE8E49-D250-44A0-9C46-9E879DE30330}"/>
    <cellStyle name="40% - Accent3 8 2 2 2 2 2 4" xfId="32490" xr:uid="{A25716F4-6020-4D27-BF3C-D0A6AC87826F}"/>
    <cellStyle name="40% - Accent3 8 2 2 2 2 3" xfId="13051" xr:uid="{00000000-0005-0000-0000-00002F3E0000}"/>
    <cellStyle name="40% - Accent3 8 2 2 2 2 3 2" xfId="36900" xr:uid="{1C4E42E6-949E-413B-88D6-B4CAE3288346}"/>
    <cellStyle name="40% - Accent3 8 2 2 2 2 4" xfId="21006" xr:uid="{00000000-0005-0000-0000-0000303E0000}"/>
    <cellStyle name="40% - Accent3 8 2 2 2 2 4 2" xfId="44838" xr:uid="{0BD61480-0BD0-4C4A-8E80-8F66E7EFA4E1}"/>
    <cellStyle name="40% - Accent3 8 2 2 2 2 5" xfId="28959" xr:uid="{33261F92-0566-4D7A-A16B-63F1D2471A6B}"/>
    <cellStyle name="40% - Accent3 8 2 2 2 3" xfId="6860" xr:uid="{00000000-0005-0000-0000-0000313E0000}"/>
    <cellStyle name="40% - Accent3 8 2 2 2 3 2" xfId="14831" xr:uid="{00000000-0005-0000-0000-0000323E0000}"/>
    <cellStyle name="40% - Accent3 8 2 2 2 3 2 2" xfId="38673" xr:uid="{C091F114-C4FC-4152-99F9-6A548D577F56}"/>
    <cellStyle name="40% - Accent3 8 2 2 2 3 3" xfId="22778" xr:uid="{00000000-0005-0000-0000-0000333E0000}"/>
    <cellStyle name="40% - Accent3 8 2 2 2 3 3 2" xfId="46610" xr:uid="{5941385C-6FD7-471B-AE6A-E97D1877D336}"/>
    <cellStyle name="40% - Accent3 8 2 2 2 3 4" xfId="30732" xr:uid="{FBB3D76E-D3E0-4EC4-BBA5-4CF7BBF2DB9E}"/>
    <cellStyle name="40% - Accent3 8 2 2 2 4" xfId="11295" xr:uid="{00000000-0005-0000-0000-0000343E0000}"/>
    <cellStyle name="40% - Accent3 8 2 2 2 4 2" xfId="35144" xr:uid="{D474D150-1566-487F-AFEA-41A032E5A4C3}"/>
    <cellStyle name="40% - Accent3 8 2 2 2 5" xfId="19250" xr:uid="{00000000-0005-0000-0000-0000353E0000}"/>
    <cellStyle name="40% - Accent3 8 2 2 2 5 2" xfId="43082" xr:uid="{5DFC3874-F1DF-4D6A-8E04-618E737D552C}"/>
    <cellStyle name="40% - Accent3 8 2 2 2 6" xfId="27202" xr:uid="{3D43B038-DDE5-4067-8CE3-444769689960}"/>
    <cellStyle name="40% - Accent3 8 2 2 2_Exh G" xfId="3033" xr:uid="{00000000-0005-0000-0000-0000363E0000}"/>
    <cellStyle name="40% - Accent3 8 2 2 3" xfId="4149" xr:uid="{00000000-0005-0000-0000-0000373E0000}"/>
    <cellStyle name="40% - Accent3 8 2 2 3 2" xfId="7741" xr:uid="{00000000-0005-0000-0000-0000383E0000}"/>
    <cellStyle name="40% - Accent3 8 2 2 3 2 2" xfId="15711" xr:uid="{00000000-0005-0000-0000-0000393E0000}"/>
    <cellStyle name="40% - Accent3 8 2 2 3 2 2 2" xfId="39553" xr:uid="{B46CB84E-35CD-4E41-AA26-9D25F107FA64}"/>
    <cellStyle name="40% - Accent3 8 2 2 3 2 3" xfId="23657" xr:uid="{00000000-0005-0000-0000-00003A3E0000}"/>
    <cellStyle name="40% - Accent3 8 2 2 3 2 3 2" xfId="47489" xr:uid="{EC52277A-CF3A-4DCA-89B1-F56AC790477E}"/>
    <cellStyle name="40% - Accent3 8 2 2 3 2 4" xfId="31612" xr:uid="{B0FFE802-2458-4EA9-AE4C-E95FA1AF8C4B}"/>
    <cellStyle name="40% - Accent3 8 2 2 3 3" xfId="12173" xr:uid="{00000000-0005-0000-0000-00003B3E0000}"/>
    <cellStyle name="40% - Accent3 8 2 2 3 3 2" xfId="36022" xr:uid="{F1A425AE-1034-49CA-9E19-47AD707DE137}"/>
    <cellStyle name="40% - Accent3 8 2 2 3 4" xfId="20128" xr:uid="{00000000-0005-0000-0000-00003C3E0000}"/>
    <cellStyle name="40% - Accent3 8 2 2 3 4 2" xfId="43960" xr:uid="{88788602-C465-431E-B9A4-F9137212DA33}"/>
    <cellStyle name="40% - Accent3 8 2 2 3 5" xfId="28081" xr:uid="{870F7EF6-9B6A-4FA8-B05A-228B945E1CBB}"/>
    <cellStyle name="40% - Accent3 8 2 2 4" xfId="5969" xr:uid="{00000000-0005-0000-0000-00003D3E0000}"/>
    <cellStyle name="40% - Accent3 8 2 2 4 2" xfId="13952" xr:uid="{00000000-0005-0000-0000-00003E3E0000}"/>
    <cellStyle name="40% - Accent3 8 2 2 4 2 2" xfId="37795" xr:uid="{CA622E95-CD5D-4202-ADD5-0DF677790CD0}"/>
    <cellStyle name="40% - Accent3 8 2 2 4 3" xfId="21900" xr:uid="{00000000-0005-0000-0000-00003F3E0000}"/>
    <cellStyle name="40% - Accent3 8 2 2 4 3 2" xfId="45732" xr:uid="{DFD2FAA7-31A7-4179-B5D2-099A797F825F}"/>
    <cellStyle name="40% - Accent3 8 2 2 4 4" xfId="29854" xr:uid="{DD5BE5F4-2C65-467A-93E9-8CF1A89F7D5A}"/>
    <cellStyle name="40% - Accent3 8 2 2 5" xfId="9521" xr:uid="{00000000-0005-0000-0000-0000403E0000}"/>
    <cellStyle name="40% - Accent3 8 2 2 5 2" xfId="17479" xr:uid="{00000000-0005-0000-0000-0000413E0000}"/>
    <cellStyle name="40% - Accent3 8 2 2 5 2 2" xfId="41319" xr:uid="{338DF3EC-9E04-4FE1-8798-3FD1C8150E48}"/>
    <cellStyle name="40% - Accent3 8 2 2 5 3" xfId="25423" xr:uid="{00000000-0005-0000-0000-0000423E0000}"/>
    <cellStyle name="40% - Accent3 8 2 2 5 3 2" xfId="49255" xr:uid="{05085536-64E8-4E80-8327-A840694628BD}"/>
    <cellStyle name="40% - Accent3 8 2 2 5 4" xfId="33378" xr:uid="{0C8BFD81-0F98-4166-B8B4-4B2ABE8D5140}"/>
    <cellStyle name="40% - Accent3 8 2 2 6" xfId="10417" xr:uid="{00000000-0005-0000-0000-0000433E0000}"/>
    <cellStyle name="40% - Accent3 8 2 2 6 2" xfId="34266" xr:uid="{B3238DEC-EF77-4405-A814-4DF0109E97DE}"/>
    <cellStyle name="40% - Accent3 8 2 2 7" xfId="18372" xr:uid="{00000000-0005-0000-0000-0000443E0000}"/>
    <cellStyle name="40% - Accent3 8 2 2 7 2" xfId="42204" xr:uid="{FFF6D934-70B6-40C4-817D-AB880100C7C9}"/>
    <cellStyle name="40% - Accent3 8 2 2 8" xfId="26324" xr:uid="{4D5614E5-1AE2-412D-8211-BB1A9EE06C04}"/>
    <cellStyle name="40% - Accent3 8 2 2_Exh G" xfId="3032" xr:uid="{00000000-0005-0000-0000-0000453E0000}"/>
    <cellStyle name="40% - Accent3 8 2 3" xfId="1500" xr:uid="{00000000-0005-0000-0000-0000463E0000}"/>
    <cellStyle name="40% - Accent3 8 2 3 2" xfId="5027" xr:uid="{00000000-0005-0000-0000-0000473E0000}"/>
    <cellStyle name="40% - Accent3 8 2 3 2 2" xfId="8618" xr:uid="{00000000-0005-0000-0000-0000483E0000}"/>
    <cellStyle name="40% - Accent3 8 2 3 2 2 2" xfId="16588" xr:uid="{00000000-0005-0000-0000-0000493E0000}"/>
    <cellStyle name="40% - Accent3 8 2 3 2 2 2 2" xfId="40430" xr:uid="{5D28C8B4-E388-4AED-8A60-8E98373E1510}"/>
    <cellStyle name="40% - Accent3 8 2 3 2 2 3" xfId="24534" xr:uid="{00000000-0005-0000-0000-00004A3E0000}"/>
    <cellStyle name="40% - Accent3 8 2 3 2 2 3 2" xfId="48366" xr:uid="{DAB8C555-F5DA-47BB-AD2E-9547F2403B83}"/>
    <cellStyle name="40% - Accent3 8 2 3 2 2 4" xfId="32489" xr:uid="{04AFF4B8-850D-4259-A33D-7B2328741BE1}"/>
    <cellStyle name="40% - Accent3 8 2 3 2 3" xfId="13050" xr:uid="{00000000-0005-0000-0000-00004B3E0000}"/>
    <cellStyle name="40% - Accent3 8 2 3 2 3 2" xfId="36899" xr:uid="{10229259-6CE8-4BBE-AD65-ADE11F36ABA3}"/>
    <cellStyle name="40% - Accent3 8 2 3 2 4" xfId="21005" xr:uid="{00000000-0005-0000-0000-00004C3E0000}"/>
    <cellStyle name="40% - Accent3 8 2 3 2 4 2" xfId="44837" xr:uid="{B7CF5A53-800B-48FD-BF08-8DEDAA56195C}"/>
    <cellStyle name="40% - Accent3 8 2 3 2 5" xfId="28958" xr:uid="{D199DCEE-271A-491B-9D3C-3AB2EBB1D667}"/>
    <cellStyle name="40% - Accent3 8 2 3 3" xfId="6859" xr:uid="{00000000-0005-0000-0000-00004D3E0000}"/>
    <cellStyle name="40% - Accent3 8 2 3 3 2" xfId="14830" xr:uid="{00000000-0005-0000-0000-00004E3E0000}"/>
    <cellStyle name="40% - Accent3 8 2 3 3 2 2" xfId="38672" xr:uid="{FAF66A19-3DC7-4608-B547-DDE13BC91C94}"/>
    <cellStyle name="40% - Accent3 8 2 3 3 3" xfId="22777" xr:uid="{00000000-0005-0000-0000-00004F3E0000}"/>
    <cellStyle name="40% - Accent3 8 2 3 3 3 2" xfId="46609" xr:uid="{CDE4ECEE-51E9-4EFA-8B46-93717B2B8091}"/>
    <cellStyle name="40% - Accent3 8 2 3 3 4" xfId="30731" xr:uid="{260D822B-3590-4D2B-AB05-9B7B44DC463E}"/>
    <cellStyle name="40% - Accent3 8 2 3 4" xfId="11294" xr:uid="{00000000-0005-0000-0000-0000503E0000}"/>
    <cellStyle name="40% - Accent3 8 2 3 4 2" xfId="35143" xr:uid="{1B526941-5649-4091-B5C9-B82F036B8538}"/>
    <cellStyle name="40% - Accent3 8 2 3 5" xfId="19249" xr:uid="{00000000-0005-0000-0000-0000513E0000}"/>
    <cellStyle name="40% - Accent3 8 2 3 5 2" xfId="43081" xr:uid="{1E1DE65C-0F87-490A-A927-A3E97CA248A8}"/>
    <cellStyle name="40% - Accent3 8 2 3 6" xfId="27201" xr:uid="{4F10911E-547C-41B6-89E9-6DD1B453A645}"/>
    <cellStyle name="40% - Accent3 8 2 3_Exh G" xfId="3034" xr:uid="{00000000-0005-0000-0000-0000523E0000}"/>
    <cellStyle name="40% - Accent3 8 2 4" xfId="4148" xr:uid="{00000000-0005-0000-0000-0000533E0000}"/>
    <cellStyle name="40% - Accent3 8 2 4 2" xfId="7740" xr:uid="{00000000-0005-0000-0000-0000543E0000}"/>
    <cellStyle name="40% - Accent3 8 2 4 2 2" xfId="15710" xr:uid="{00000000-0005-0000-0000-0000553E0000}"/>
    <cellStyle name="40% - Accent3 8 2 4 2 2 2" xfId="39552" xr:uid="{19919E7C-205F-4C18-81A7-AB030FDED8B4}"/>
    <cellStyle name="40% - Accent3 8 2 4 2 3" xfId="23656" xr:uid="{00000000-0005-0000-0000-0000563E0000}"/>
    <cellStyle name="40% - Accent3 8 2 4 2 3 2" xfId="47488" xr:uid="{FD64AD58-F81D-45FF-BA7A-2815B037CBE9}"/>
    <cellStyle name="40% - Accent3 8 2 4 2 4" xfId="31611" xr:uid="{610F2985-39FA-4F7B-8EDD-F998D629E5E7}"/>
    <cellStyle name="40% - Accent3 8 2 4 3" xfId="12172" xr:uid="{00000000-0005-0000-0000-0000573E0000}"/>
    <cellStyle name="40% - Accent3 8 2 4 3 2" xfId="36021" xr:uid="{1B89E6B8-6569-4A10-BB85-195F68FD01E2}"/>
    <cellStyle name="40% - Accent3 8 2 4 4" xfId="20127" xr:uid="{00000000-0005-0000-0000-0000583E0000}"/>
    <cellStyle name="40% - Accent3 8 2 4 4 2" xfId="43959" xr:uid="{8EC5942D-37E5-412C-90BD-82C78B8F3310}"/>
    <cellStyle name="40% - Accent3 8 2 4 5" xfId="28080" xr:uid="{839CF5EC-9565-4AD7-90CB-418493125764}"/>
    <cellStyle name="40% - Accent3 8 2 5" xfId="5968" xr:uid="{00000000-0005-0000-0000-0000593E0000}"/>
    <cellStyle name="40% - Accent3 8 2 5 2" xfId="13951" xr:uid="{00000000-0005-0000-0000-00005A3E0000}"/>
    <cellStyle name="40% - Accent3 8 2 5 2 2" xfId="37794" xr:uid="{44BE86CF-DA36-4814-8A6E-CC936385F455}"/>
    <cellStyle name="40% - Accent3 8 2 5 3" xfId="21899" xr:uid="{00000000-0005-0000-0000-00005B3E0000}"/>
    <cellStyle name="40% - Accent3 8 2 5 3 2" xfId="45731" xr:uid="{9D9E3B59-14B2-4821-9BEA-31D481365406}"/>
    <cellStyle name="40% - Accent3 8 2 5 4" xfId="29853" xr:uid="{4ACAF81F-497A-4F11-B5C8-B92FD2EEA745}"/>
    <cellStyle name="40% - Accent3 8 2 6" xfId="9520" xr:uid="{00000000-0005-0000-0000-00005C3E0000}"/>
    <cellStyle name="40% - Accent3 8 2 6 2" xfId="17478" xr:uid="{00000000-0005-0000-0000-00005D3E0000}"/>
    <cellStyle name="40% - Accent3 8 2 6 2 2" xfId="41318" xr:uid="{EDE01863-377B-4C95-AA38-5826CD2671B7}"/>
    <cellStyle name="40% - Accent3 8 2 6 3" xfId="25422" xr:uid="{00000000-0005-0000-0000-00005E3E0000}"/>
    <cellStyle name="40% - Accent3 8 2 6 3 2" xfId="49254" xr:uid="{8EA3A214-B7E7-432F-B156-1945F1252BAE}"/>
    <cellStyle name="40% - Accent3 8 2 6 4" xfId="33377" xr:uid="{A98E1212-0D29-4B88-A641-53B6686490A4}"/>
    <cellStyle name="40% - Accent3 8 2 7" xfId="10416" xr:uid="{00000000-0005-0000-0000-00005F3E0000}"/>
    <cellStyle name="40% - Accent3 8 2 7 2" xfId="34265" xr:uid="{FA55CFA8-E8AA-4500-8456-630417517CA9}"/>
    <cellStyle name="40% - Accent3 8 2 8" xfId="18371" xr:uid="{00000000-0005-0000-0000-0000603E0000}"/>
    <cellStyle name="40% - Accent3 8 2 8 2" xfId="42203" xr:uid="{CA43D517-8EC8-4820-9F95-F802838A4A91}"/>
    <cellStyle name="40% - Accent3 8 2 9" xfId="26323" xr:uid="{6A9420A6-0EAE-4BCB-9CA5-22BCD82EAD4A}"/>
    <cellStyle name="40% - Accent3 8 2_Exh G" xfId="3031" xr:uid="{00000000-0005-0000-0000-0000613E0000}"/>
    <cellStyle name="40% - Accent3 8 3" xfId="476" xr:uid="{00000000-0005-0000-0000-0000623E0000}"/>
    <cellStyle name="40% - Accent3 8 3 2" xfId="1502" xr:uid="{00000000-0005-0000-0000-0000633E0000}"/>
    <cellStyle name="40% - Accent3 8 3 2 2" xfId="5029" xr:uid="{00000000-0005-0000-0000-0000643E0000}"/>
    <cellStyle name="40% - Accent3 8 3 2 2 2" xfId="8620" xr:uid="{00000000-0005-0000-0000-0000653E0000}"/>
    <cellStyle name="40% - Accent3 8 3 2 2 2 2" xfId="16590" xr:uid="{00000000-0005-0000-0000-0000663E0000}"/>
    <cellStyle name="40% - Accent3 8 3 2 2 2 2 2" xfId="40432" xr:uid="{648A8F35-8BF7-4A22-B84B-0CD00F12A585}"/>
    <cellStyle name="40% - Accent3 8 3 2 2 2 3" xfId="24536" xr:uid="{00000000-0005-0000-0000-0000673E0000}"/>
    <cellStyle name="40% - Accent3 8 3 2 2 2 3 2" xfId="48368" xr:uid="{6CA23722-5351-4F48-A38B-DBCBE69F13C2}"/>
    <cellStyle name="40% - Accent3 8 3 2 2 2 4" xfId="32491" xr:uid="{BF2A9DE3-2E1E-40D6-92BB-9F4ACD8DE104}"/>
    <cellStyle name="40% - Accent3 8 3 2 2 3" xfId="13052" xr:uid="{00000000-0005-0000-0000-0000683E0000}"/>
    <cellStyle name="40% - Accent3 8 3 2 2 3 2" xfId="36901" xr:uid="{BD01818C-30FA-4102-95CA-A5338C46C56E}"/>
    <cellStyle name="40% - Accent3 8 3 2 2 4" xfId="21007" xr:uid="{00000000-0005-0000-0000-0000693E0000}"/>
    <cellStyle name="40% - Accent3 8 3 2 2 4 2" xfId="44839" xr:uid="{61A9A670-1111-4777-B3E2-348E1D8C81FF}"/>
    <cellStyle name="40% - Accent3 8 3 2 2 5" xfId="28960" xr:uid="{E68952FE-1AAA-4F85-B739-6B245C16FB28}"/>
    <cellStyle name="40% - Accent3 8 3 2 3" xfId="6861" xr:uid="{00000000-0005-0000-0000-00006A3E0000}"/>
    <cellStyle name="40% - Accent3 8 3 2 3 2" xfId="14832" xr:uid="{00000000-0005-0000-0000-00006B3E0000}"/>
    <cellStyle name="40% - Accent3 8 3 2 3 2 2" xfId="38674" xr:uid="{9A57CC02-DCCD-4645-BB97-4504C2D697F6}"/>
    <cellStyle name="40% - Accent3 8 3 2 3 3" xfId="22779" xr:uid="{00000000-0005-0000-0000-00006C3E0000}"/>
    <cellStyle name="40% - Accent3 8 3 2 3 3 2" xfId="46611" xr:uid="{A4DF6129-4021-4611-BB91-EDE6BA95D4CF}"/>
    <cellStyle name="40% - Accent3 8 3 2 3 4" xfId="30733" xr:uid="{284CE7BD-E093-4D3F-A502-2139AFD507EF}"/>
    <cellStyle name="40% - Accent3 8 3 2 4" xfId="11296" xr:uid="{00000000-0005-0000-0000-00006D3E0000}"/>
    <cellStyle name="40% - Accent3 8 3 2 4 2" xfId="35145" xr:uid="{C88F5323-7BAE-4EB4-8AC3-0B1AC5A4FDED}"/>
    <cellStyle name="40% - Accent3 8 3 2 5" xfId="19251" xr:uid="{00000000-0005-0000-0000-00006E3E0000}"/>
    <cellStyle name="40% - Accent3 8 3 2 5 2" xfId="43083" xr:uid="{B180E1E6-6B90-4C71-8C6B-64033DE7969B}"/>
    <cellStyle name="40% - Accent3 8 3 2 6" xfId="27203" xr:uid="{5ABBA20D-25C6-4D5B-8F68-BCEB193B3D1B}"/>
    <cellStyle name="40% - Accent3 8 3 2_Exh G" xfId="3036" xr:uid="{00000000-0005-0000-0000-00006F3E0000}"/>
    <cellStyle name="40% - Accent3 8 3 3" xfId="4150" xr:uid="{00000000-0005-0000-0000-0000703E0000}"/>
    <cellStyle name="40% - Accent3 8 3 3 2" xfId="7742" xr:uid="{00000000-0005-0000-0000-0000713E0000}"/>
    <cellStyle name="40% - Accent3 8 3 3 2 2" xfId="15712" xr:uid="{00000000-0005-0000-0000-0000723E0000}"/>
    <cellStyle name="40% - Accent3 8 3 3 2 2 2" xfId="39554" xr:uid="{7DCAFE4B-2C82-4248-9F5B-90BB3C4EE4B8}"/>
    <cellStyle name="40% - Accent3 8 3 3 2 3" xfId="23658" xr:uid="{00000000-0005-0000-0000-0000733E0000}"/>
    <cellStyle name="40% - Accent3 8 3 3 2 3 2" xfId="47490" xr:uid="{F61E2A67-7233-4CBC-80B9-715AC8692C06}"/>
    <cellStyle name="40% - Accent3 8 3 3 2 4" xfId="31613" xr:uid="{D4011CC0-5B1D-4E34-9A99-DC0DD3B4E9A3}"/>
    <cellStyle name="40% - Accent3 8 3 3 3" xfId="12174" xr:uid="{00000000-0005-0000-0000-0000743E0000}"/>
    <cellStyle name="40% - Accent3 8 3 3 3 2" xfId="36023" xr:uid="{CC2295A7-0CA1-4C45-B260-042186DECC10}"/>
    <cellStyle name="40% - Accent3 8 3 3 4" xfId="20129" xr:uid="{00000000-0005-0000-0000-0000753E0000}"/>
    <cellStyle name="40% - Accent3 8 3 3 4 2" xfId="43961" xr:uid="{C20FADD5-4762-4323-AC8B-FE59A4BD7023}"/>
    <cellStyle name="40% - Accent3 8 3 3 5" xfId="28082" xr:uid="{825ECAAC-7561-473F-99DE-86390A5C6AF6}"/>
    <cellStyle name="40% - Accent3 8 3 4" xfId="5970" xr:uid="{00000000-0005-0000-0000-0000763E0000}"/>
    <cellStyle name="40% - Accent3 8 3 4 2" xfId="13953" xr:uid="{00000000-0005-0000-0000-0000773E0000}"/>
    <cellStyle name="40% - Accent3 8 3 4 2 2" xfId="37796" xr:uid="{EA8B1BC0-CC60-4D67-8D1C-FC57C7F88695}"/>
    <cellStyle name="40% - Accent3 8 3 4 3" xfId="21901" xr:uid="{00000000-0005-0000-0000-0000783E0000}"/>
    <cellStyle name="40% - Accent3 8 3 4 3 2" xfId="45733" xr:uid="{FCF67114-6616-4E8C-B2DC-7FE2EBA7317A}"/>
    <cellStyle name="40% - Accent3 8 3 4 4" xfId="29855" xr:uid="{3A1A0C6C-05BC-4FCE-8CBA-D921498E2041}"/>
    <cellStyle name="40% - Accent3 8 3 5" xfId="9522" xr:uid="{00000000-0005-0000-0000-0000793E0000}"/>
    <cellStyle name="40% - Accent3 8 3 5 2" xfId="17480" xr:uid="{00000000-0005-0000-0000-00007A3E0000}"/>
    <cellStyle name="40% - Accent3 8 3 5 2 2" xfId="41320" xr:uid="{FAD66C5A-DDBB-43CE-820B-BFDF9E08E4C5}"/>
    <cellStyle name="40% - Accent3 8 3 5 3" xfId="25424" xr:uid="{00000000-0005-0000-0000-00007B3E0000}"/>
    <cellStyle name="40% - Accent3 8 3 5 3 2" xfId="49256" xr:uid="{22ECE826-3424-4459-8E12-E06508E31985}"/>
    <cellStyle name="40% - Accent3 8 3 5 4" xfId="33379" xr:uid="{B79167A0-B863-45F5-B964-F6A704392F13}"/>
    <cellStyle name="40% - Accent3 8 3 6" xfId="10418" xr:uid="{00000000-0005-0000-0000-00007C3E0000}"/>
    <cellStyle name="40% - Accent3 8 3 6 2" xfId="34267" xr:uid="{4EB3F0BB-B4B7-489E-9236-07263F144C43}"/>
    <cellStyle name="40% - Accent3 8 3 7" xfId="18373" xr:uid="{00000000-0005-0000-0000-00007D3E0000}"/>
    <cellStyle name="40% - Accent3 8 3 7 2" xfId="42205" xr:uid="{7DAF81AA-9C20-4FAC-9F3C-05FBAA07DCB7}"/>
    <cellStyle name="40% - Accent3 8 3 8" xfId="26325" xr:uid="{FA681796-3315-4A06-A609-51F78F51C9A9}"/>
    <cellStyle name="40% - Accent3 8 3_Exh G" xfId="3035" xr:uid="{00000000-0005-0000-0000-00007E3E0000}"/>
    <cellStyle name="40% - Accent3 8 4" xfId="965" xr:uid="{00000000-0005-0000-0000-00007F3E0000}"/>
    <cellStyle name="40% - Accent3 8 4 2" xfId="1880" xr:uid="{00000000-0005-0000-0000-0000803E0000}"/>
    <cellStyle name="40% - Accent3 8 4 2 2" xfId="5397" xr:uid="{00000000-0005-0000-0000-0000813E0000}"/>
    <cellStyle name="40% - Accent3 8 4 2 2 2" xfId="8988" xr:uid="{00000000-0005-0000-0000-0000823E0000}"/>
    <cellStyle name="40% - Accent3 8 4 2 2 2 2" xfId="16958" xr:uid="{00000000-0005-0000-0000-0000833E0000}"/>
    <cellStyle name="40% - Accent3 8 4 2 2 2 2 2" xfId="40800" xr:uid="{9B82FEE7-CD37-4EDB-9C33-DED134F7F9AD}"/>
    <cellStyle name="40% - Accent3 8 4 2 2 2 3" xfId="24904" xr:uid="{00000000-0005-0000-0000-0000843E0000}"/>
    <cellStyle name="40% - Accent3 8 4 2 2 2 3 2" xfId="48736" xr:uid="{DCC9842F-0CE5-44F6-8B36-2670FE23DA6D}"/>
    <cellStyle name="40% - Accent3 8 4 2 2 2 4" xfId="32859" xr:uid="{98E3E78B-2185-41A9-ADE5-7F3B3087E844}"/>
    <cellStyle name="40% - Accent3 8 4 2 2 3" xfId="13420" xr:uid="{00000000-0005-0000-0000-0000853E0000}"/>
    <cellStyle name="40% - Accent3 8 4 2 2 3 2" xfId="37269" xr:uid="{36D57C9C-B4FE-4542-9F77-79462CED70D3}"/>
    <cellStyle name="40% - Accent3 8 4 2 2 4" xfId="21375" xr:uid="{00000000-0005-0000-0000-0000863E0000}"/>
    <cellStyle name="40% - Accent3 8 4 2 2 4 2" xfId="45207" xr:uid="{9E4C8C07-2070-4CE9-880A-5D69E662B29B}"/>
    <cellStyle name="40% - Accent3 8 4 2 2 5" xfId="29328" xr:uid="{B85D1026-8C10-4A67-A945-07A152CBCCB1}"/>
    <cellStyle name="40% - Accent3 8 4 2 3" xfId="7229" xr:uid="{00000000-0005-0000-0000-0000873E0000}"/>
    <cellStyle name="40% - Accent3 8 4 2 3 2" xfId="15200" xr:uid="{00000000-0005-0000-0000-0000883E0000}"/>
    <cellStyle name="40% - Accent3 8 4 2 3 2 2" xfId="39042" xr:uid="{AF20C22C-0845-474C-AD10-88EF416548F9}"/>
    <cellStyle name="40% - Accent3 8 4 2 3 3" xfId="23147" xr:uid="{00000000-0005-0000-0000-0000893E0000}"/>
    <cellStyle name="40% - Accent3 8 4 2 3 3 2" xfId="46979" xr:uid="{127346EF-B97E-4195-9A11-71ADC27A83A9}"/>
    <cellStyle name="40% - Accent3 8 4 2 3 4" xfId="31101" xr:uid="{82A499F9-9539-4CD6-A38E-1204ABAC4119}"/>
    <cellStyle name="40% - Accent3 8 4 2 4" xfId="11664" xr:uid="{00000000-0005-0000-0000-00008A3E0000}"/>
    <cellStyle name="40% - Accent3 8 4 2 4 2" xfId="35513" xr:uid="{1AA55B8D-597D-4A38-A842-CE3D3B6A4089}"/>
    <cellStyle name="40% - Accent3 8 4 2 5" xfId="19619" xr:uid="{00000000-0005-0000-0000-00008B3E0000}"/>
    <cellStyle name="40% - Accent3 8 4 2 5 2" xfId="43451" xr:uid="{A65A60E6-387A-4C44-AC5E-346CF37C3235}"/>
    <cellStyle name="40% - Accent3 8 4 2 6" xfId="27571" xr:uid="{D3969D8E-C4EF-408A-A880-84393F1214D1}"/>
    <cellStyle name="40% - Accent3 8 4 2_Exh G" xfId="3038" xr:uid="{00000000-0005-0000-0000-00008C3E0000}"/>
    <cellStyle name="40% - Accent3 8 4 3" xfId="4518" xr:uid="{00000000-0005-0000-0000-00008D3E0000}"/>
    <cellStyle name="40% - Accent3 8 4 3 2" xfId="8110" xr:uid="{00000000-0005-0000-0000-00008E3E0000}"/>
    <cellStyle name="40% - Accent3 8 4 3 2 2" xfId="16080" xr:uid="{00000000-0005-0000-0000-00008F3E0000}"/>
    <cellStyle name="40% - Accent3 8 4 3 2 2 2" xfId="39922" xr:uid="{3C0039A4-C761-4375-99CE-20897690FB76}"/>
    <cellStyle name="40% - Accent3 8 4 3 2 3" xfId="24026" xr:uid="{00000000-0005-0000-0000-0000903E0000}"/>
    <cellStyle name="40% - Accent3 8 4 3 2 3 2" xfId="47858" xr:uid="{AE0E05D3-E9ED-4524-A769-F0CF7C1956DA}"/>
    <cellStyle name="40% - Accent3 8 4 3 2 4" xfId="31981" xr:uid="{5DD4AFB2-06C0-4DDE-8521-995AEFD89A9F}"/>
    <cellStyle name="40% - Accent3 8 4 3 3" xfId="12542" xr:uid="{00000000-0005-0000-0000-0000913E0000}"/>
    <cellStyle name="40% - Accent3 8 4 3 3 2" xfId="36391" xr:uid="{0B0DDD3C-FB12-4EAF-86A7-6D6D7492CEF4}"/>
    <cellStyle name="40% - Accent3 8 4 3 4" xfId="20497" xr:uid="{00000000-0005-0000-0000-0000923E0000}"/>
    <cellStyle name="40% - Accent3 8 4 3 4 2" xfId="44329" xr:uid="{C976DE12-AA71-4849-A8C6-71EC4DF3AD21}"/>
    <cellStyle name="40% - Accent3 8 4 3 5" xfId="28450" xr:uid="{800B92CE-97C0-493A-A455-7D0E9CD3A7F4}"/>
    <cellStyle name="40% - Accent3 8 4 4" xfId="6348" xr:uid="{00000000-0005-0000-0000-0000933E0000}"/>
    <cellStyle name="40% - Accent3 8 4 4 2" xfId="14322" xr:uid="{00000000-0005-0000-0000-0000943E0000}"/>
    <cellStyle name="40% - Accent3 8 4 4 2 2" xfId="38164" xr:uid="{7610F26C-6751-4063-8DCC-6D816C7B1E8A}"/>
    <cellStyle name="40% - Accent3 8 4 4 3" xfId="22269" xr:uid="{00000000-0005-0000-0000-0000953E0000}"/>
    <cellStyle name="40% - Accent3 8 4 4 3 2" xfId="46101" xr:uid="{E2B374AF-CEF0-4EE4-B6AE-8943C4B0AC70}"/>
    <cellStyle name="40% - Accent3 8 4 4 4" xfId="30223" xr:uid="{BC2B4F7D-4E2B-4796-8F6D-98B27EC6B25A}"/>
    <cellStyle name="40% - Accent3 8 4 5" xfId="9890" xr:uid="{00000000-0005-0000-0000-0000963E0000}"/>
    <cellStyle name="40% - Accent3 8 4 5 2" xfId="17848" xr:uid="{00000000-0005-0000-0000-0000973E0000}"/>
    <cellStyle name="40% - Accent3 8 4 5 2 2" xfId="41688" xr:uid="{C8DEBA9A-388E-415F-B914-3FE7B603D152}"/>
    <cellStyle name="40% - Accent3 8 4 5 3" xfId="25792" xr:uid="{00000000-0005-0000-0000-0000983E0000}"/>
    <cellStyle name="40% - Accent3 8 4 5 3 2" xfId="49624" xr:uid="{4B3A247B-CF2D-4548-AC55-A949698E5217}"/>
    <cellStyle name="40% - Accent3 8 4 5 4" xfId="33747" xr:uid="{E2557B11-4D2F-48DF-A8FD-E91425130D09}"/>
    <cellStyle name="40% - Accent3 8 4 6" xfId="10786" xr:uid="{00000000-0005-0000-0000-0000993E0000}"/>
    <cellStyle name="40% - Accent3 8 4 6 2" xfId="34635" xr:uid="{F1CC4EA3-B162-4882-BAC3-F7C9F5320571}"/>
    <cellStyle name="40% - Accent3 8 4 7" xfId="18741" xr:uid="{00000000-0005-0000-0000-00009A3E0000}"/>
    <cellStyle name="40% - Accent3 8 4 7 2" xfId="42573" xr:uid="{88D0F0D5-F9C5-4CD3-858A-C9C32E10CEDD}"/>
    <cellStyle name="40% - Accent3 8 4 8" xfId="26693" xr:uid="{DECEFDDD-DB2B-47D9-81AD-ABC5F6B997BC}"/>
    <cellStyle name="40% - Accent3 8 4_Exh G" xfId="3037" xr:uid="{00000000-0005-0000-0000-00009B3E0000}"/>
    <cellStyle name="40% - Accent3 8 5" xfId="1499" xr:uid="{00000000-0005-0000-0000-00009C3E0000}"/>
    <cellStyle name="40% - Accent3 8 5 2" xfId="5026" xr:uid="{00000000-0005-0000-0000-00009D3E0000}"/>
    <cellStyle name="40% - Accent3 8 5 2 2" xfId="8617" xr:uid="{00000000-0005-0000-0000-00009E3E0000}"/>
    <cellStyle name="40% - Accent3 8 5 2 2 2" xfId="16587" xr:uid="{00000000-0005-0000-0000-00009F3E0000}"/>
    <cellStyle name="40% - Accent3 8 5 2 2 2 2" xfId="40429" xr:uid="{B78BD6B2-9F67-49CE-A17D-04C9127EEF43}"/>
    <cellStyle name="40% - Accent3 8 5 2 2 3" xfId="24533" xr:uid="{00000000-0005-0000-0000-0000A03E0000}"/>
    <cellStyle name="40% - Accent3 8 5 2 2 3 2" xfId="48365" xr:uid="{1A0A3F68-897E-4355-8E7E-0A76855E9718}"/>
    <cellStyle name="40% - Accent3 8 5 2 2 4" xfId="32488" xr:uid="{20981C12-AD31-473D-A369-7DC575626EA5}"/>
    <cellStyle name="40% - Accent3 8 5 2 3" xfId="13049" xr:uid="{00000000-0005-0000-0000-0000A13E0000}"/>
    <cellStyle name="40% - Accent3 8 5 2 3 2" xfId="36898" xr:uid="{F31EEC94-BFDA-4820-83F7-49383DDBAD69}"/>
    <cellStyle name="40% - Accent3 8 5 2 4" xfId="21004" xr:uid="{00000000-0005-0000-0000-0000A23E0000}"/>
    <cellStyle name="40% - Accent3 8 5 2 4 2" xfId="44836" xr:uid="{FDC3BCDD-402D-4676-914A-4AAF638578BF}"/>
    <cellStyle name="40% - Accent3 8 5 2 5" xfId="28957" xr:uid="{FC90A51C-72B9-4E45-A910-7A5F65D5B7CB}"/>
    <cellStyle name="40% - Accent3 8 5 3" xfId="6858" xr:uid="{00000000-0005-0000-0000-0000A33E0000}"/>
    <cellStyle name="40% - Accent3 8 5 3 2" xfId="14829" xr:uid="{00000000-0005-0000-0000-0000A43E0000}"/>
    <cellStyle name="40% - Accent3 8 5 3 2 2" xfId="38671" xr:uid="{B29E5F78-38F6-4D9D-8C74-10096A064ABA}"/>
    <cellStyle name="40% - Accent3 8 5 3 3" xfId="22776" xr:uid="{00000000-0005-0000-0000-0000A53E0000}"/>
    <cellStyle name="40% - Accent3 8 5 3 3 2" xfId="46608" xr:uid="{77855213-51A5-4845-9444-7F778168337B}"/>
    <cellStyle name="40% - Accent3 8 5 3 4" xfId="30730" xr:uid="{EBE22B33-3C18-4F50-83DE-B5D578D92351}"/>
    <cellStyle name="40% - Accent3 8 5 4" xfId="11293" xr:uid="{00000000-0005-0000-0000-0000A63E0000}"/>
    <cellStyle name="40% - Accent3 8 5 4 2" xfId="35142" xr:uid="{B1485A70-E141-4FD6-BBAC-267AA7D89149}"/>
    <cellStyle name="40% - Accent3 8 5 5" xfId="19248" xr:uid="{00000000-0005-0000-0000-0000A73E0000}"/>
    <cellStyle name="40% - Accent3 8 5 5 2" xfId="43080" xr:uid="{474B57EE-72C3-43F5-B903-FDE123DC008D}"/>
    <cellStyle name="40% - Accent3 8 5 6" xfId="27200" xr:uid="{6C14D7DA-6A29-4B28-9F2E-6BE6EE78D523}"/>
    <cellStyle name="40% - Accent3 8 5_Exh G" xfId="3039" xr:uid="{00000000-0005-0000-0000-0000A83E0000}"/>
    <cellStyle name="40% - Accent3 8 6" xfId="4147" xr:uid="{00000000-0005-0000-0000-0000A93E0000}"/>
    <cellStyle name="40% - Accent3 8 6 2" xfId="7739" xr:uid="{00000000-0005-0000-0000-0000AA3E0000}"/>
    <cellStyle name="40% - Accent3 8 6 2 2" xfId="15709" xr:uid="{00000000-0005-0000-0000-0000AB3E0000}"/>
    <cellStyle name="40% - Accent3 8 6 2 2 2" xfId="39551" xr:uid="{524B59F5-3F9A-44E1-910E-4F505ACC997A}"/>
    <cellStyle name="40% - Accent3 8 6 2 3" xfId="23655" xr:uid="{00000000-0005-0000-0000-0000AC3E0000}"/>
    <cellStyle name="40% - Accent3 8 6 2 3 2" xfId="47487" xr:uid="{82C503CB-6C5D-4A38-B9CE-0B53791BDEC8}"/>
    <cellStyle name="40% - Accent3 8 6 2 4" xfId="31610" xr:uid="{381D0185-353F-4EA0-9A76-591029AD507C}"/>
    <cellStyle name="40% - Accent3 8 6 3" xfId="12171" xr:uid="{00000000-0005-0000-0000-0000AD3E0000}"/>
    <cellStyle name="40% - Accent3 8 6 3 2" xfId="36020" xr:uid="{533194A1-2C95-4432-8B84-EF81C6F62D8A}"/>
    <cellStyle name="40% - Accent3 8 6 4" xfId="20126" xr:uid="{00000000-0005-0000-0000-0000AE3E0000}"/>
    <cellStyle name="40% - Accent3 8 6 4 2" xfId="43958" xr:uid="{99320A04-DFA1-4144-A68D-CEC10E56F067}"/>
    <cellStyle name="40% - Accent3 8 6 5" xfId="28079" xr:uid="{B985458C-D0C4-47A2-B2D5-6B44A33BA7ED}"/>
    <cellStyle name="40% - Accent3 8 7" xfId="5967" xr:uid="{00000000-0005-0000-0000-0000AF3E0000}"/>
    <cellStyle name="40% - Accent3 8 7 2" xfId="13950" xr:uid="{00000000-0005-0000-0000-0000B03E0000}"/>
    <cellStyle name="40% - Accent3 8 7 2 2" xfId="37793" xr:uid="{D21C4155-C4CA-4179-9CC4-50BBB0AD9196}"/>
    <cellStyle name="40% - Accent3 8 7 3" xfId="21898" xr:uid="{00000000-0005-0000-0000-0000B13E0000}"/>
    <cellStyle name="40% - Accent3 8 7 3 2" xfId="45730" xr:uid="{B92C0A13-5E62-4BEC-9D6A-F93FBAE176C7}"/>
    <cellStyle name="40% - Accent3 8 7 4" xfId="29852" xr:uid="{8254892E-C7A4-4649-B020-A4C926FA5674}"/>
    <cellStyle name="40% - Accent3 8 8" xfId="9519" xr:uid="{00000000-0005-0000-0000-0000B23E0000}"/>
    <cellStyle name="40% - Accent3 8 8 2" xfId="17477" xr:uid="{00000000-0005-0000-0000-0000B33E0000}"/>
    <cellStyle name="40% - Accent3 8 8 2 2" xfId="41317" xr:uid="{EFE1850A-ACE9-4F1C-946C-64BCC386C6FD}"/>
    <cellStyle name="40% - Accent3 8 8 3" xfId="25421" xr:uid="{00000000-0005-0000-0000-0000B43E0000}"/>
    <cellStyle name="40% - Accent3 8 8 3 2" xfId="49253" xr:uid="{3833D40C-8712-4629-B29D-2F551CDE16FC}"/>
    <cellStyle name="40% - Accent3 8 8 4" xfId="33376" xr:uid="{BD2F6DAB-3169-4575-88F9-E103F7F5D6ED}"/>
    <cellStyle name="40% - Accent3 8 9" xfId="10415" xr:uid="{00000000-0005-0000-0000-0000B53E0000}"/>
    <cellStyle name="40% - Accent3 8 9 2" xfId="34264" xr:uid="{718C6195-DD83-4D92-8202-FCE8EC39ED37}"/>
    <cellStyle name="40% - Accent3 8_Exh G" xfId="3030" xr:uid="{00000000-0005-0000-0000-0000B63E0000}"/>
    <cellStyle name="40% - Accent3 9" xfId="477" xr:uid="{00000000-0005-0000-0000-0000B73E0000}"/>
    <cellStyle name="40% - Accent3 9 10" xfId="18374" xr:uid="{00000000-0005-0000-0000-0000B83E0000}"/>
    <cellStyle name="40% - Accent3 9 10 2" xfId="42206" xr:uid="{4B9DBB61-E253-47FC-B57B-0492D42E3C81}"/>
    <cellStyle name="40% - Accent3 9 11" xfId="26326" xr:uid="{1EF0F16A-3E46-47C0-B43A-2ED7FB8ABF9A}"/>
    <cellStyle name="40% - Accent3 9 2" xfId="478" xr:uid="{00000000-0005-0000-0000-0000B93E0000}"/>
    <cellStyle name="40% - Accent3 9 2 2" xfId="479" xr:uid="{00000000-0005-0000-0000-0000BA3E0000}"/>
    <cellStyle name="40% - Accent3 9 2 2 2" xfId="1505" xr:uid="{00000000-0005-0000-0000-0000BB3E0000}"/>
    <cellStyle name="40% - Accent3 9 2 2 2 2" xfId="5032" xr:uid="{00000000-0005-0000-0000-0000BC3E0000}"/>
    <cellStyle name="40% - Accent3 9 2 2 2 2 2" xfId="8623" xr:uid="{00000000-0005-0000-0000-0000BD3E0000}"/>
    <cellStyle name="40% - Accent3 9 2 2 2 2 2 2" xfId="16593" xr:uid="{00000000-0005-0000-0000-0000BE3E0000}"/>
    <cellStyle name="40% - Accent3 9 2 2 2 2 2 2 2" xfId="40435" xr:uid="{97C7C9B5-380F-4FF2-82A4-591AC4F396B8}"/>
    <cellStyle name="40% - Accent3 9 2 2 2 2 2 3" xfId="24539" xr:uid="{00000000-0005-0000-0000-0000BF3E0000}"/>
    <cellStyle name="40% - Accent3 9 2 2 2 2 2 3 2" xfId="48371" xr:uid="{01171843-29E3-41F5-A5D1-CA9AC822DACD}"/>
    <cellStyle name="40% - Accent3 9 2 2 2 2 2 4" xfId="32494" xr:uid="{B3179F49-50DD-4049-BA0B-5B665EF5A5B0}"/>
    <cellStyle name="40% - Accent3 9 2 2 2 2 3" xfId="13055" xr:uid="{00000000-0005-0000-0000-0000C03E0000}"/>
    <cellStyle name="40% - Accent3 9 2 2 2 2 3 2" xfId="36904" xr:uid="{67FFE14B-A718-4883-A7FD-FB029C9A9D09}"/>
    <cellStyle name="40% - Accent3 9 2 2 2 2 4" xfId="21010" xr:uid="{00000000-0005-0000-0000-0000C13E0000}"/>
    <cellStyle name="40% - Accent3 9 2 2 2 2 4 2" xfId="44842" xr:uid="{8780D6F3-2BE5-40FB-8032-DBBAF9228124}"/>
    <cellStyle name="40% - Accent3 9 2 2 2 2 5" xfId="28963" xr:uid="{2BC0E880-1A79-4A32-879B-63617DF56806}"/>
    <cellStyle name="40% - Accent3 9 2 2 2 3" xfId="6864" xr:uid="{00000000-0005-0000-0000-0000C23E0000}"/>
    <cellStyle name="40% - Accent3 9 2 2 2 3 2" xfId="14835" xr:uid="{00000000-0005-0000-0000-0000C33E0000}"/>
    <cellStyle name="40% - Accent3 9 2 2 2 3 2 2" xfId="38677" xr:uid="{2DB453AE-B034-4FCB-8E1E-7DC948B410F0}"/>
    <cellStyle name="40% - Accent3 9 2 2 2 3 3" xfId="22782" xr:uid="{00000000-0005-0000-0000-0000C43E0000}"/>
    <cellStyle name="40% - Accent3 9 2 2 2 3 3 2" xfId="46614" xr:uid="{6BFEF70C-5739-437C-96D0-9B80464699C6}"/>
    <cellStyle name="40% - Accent3 9 2 2 2 3 4" xfId="30736" xr:uid="{C8B13795-83ED-4C3C-84BF-615C7C2BE5FF}"/>
    <cellStyle name="40% - Accent3 9 2 2 2 4" xfId="11299" xr:uid="{00000000-0005-0000-0000-0000C53E0000}"/>
    <cellStyle name="40% - Accent3 9 2 2 2 4 2" xfId="35148" xr:uid="{1C199B3D-ACDD-49B5-BE1C-E2A34F21C1C1}"/>
    <cellStyle name="40% - Accent3 9 2 2 2 5" xfId="19254" xr:uid="{00000000-0005-0000-0000-0000C63E0000}"/>
    <cellStyle name="40% - Accent3 9 2 2 2 5 2" xfId="43086" xr:uid="{2DC9790E-E10F-40BF-9E6F-3D235A166DA7}"/>
    <cellStyle name="40% - Accent3 9 2 2 2 6" xfId="27206" xr:uid="{1D5FDABC-9AFC-410C-B3EF-D583E3D642B3}"/>
    <cellStyle name="40% - Accent3 9 2 2 2_Exh G" xfId="3043" xr:uid="{00000000-0005-0000-0000-0000C73E0000}"/>
    <cellStyle name="40% - Accent3 9 2 2 3" xfId="4153" xr:uid="{00000000-0005-0000-0000-0000C83E0000}"/>
    <cellStyle name="40% - Accent3 9 2 2 3 2" xfId="7745" xr:uid="{00000000-0005-0000-0000-0000C93E0000}"/>
    <cellStyle name="40% - Accent3 9 2 2 3 2 2" xfId="15715" xr:uid="{00000000-0005-0000-0000-0000CA3E0000}"/>
    <cellStyle name="40% - Accent3 9 2 2 3 2 2 2" xfId="39557" xr:uid="{498F0221-770A-4A84-9513-26D519F46198}"/>
    <cellStyle name="40% - Accent3 9 2 2 3 2 3" xfId="23661" xr:uid="{00000000-0005-0000-0000-0000CB3E0000}"/>
    <cellStyle name="40% - Accent3 9 2 2 3 2 3 2" xfId="47493" xr:uid="{485E5C8B-C19B-40BF-AEE3-5A4692B268EB}"/>
    <cellStyle name="40% - Accent3 9 2 2 3 2 4" xfId="31616" xr:uid="{4FE8D46F-8150-41B4-9D5E-72DE34506816}"/>
    <cellStyle name="40% - Accent3 9 2 2 3 3" xfId="12177" xr:uid="{00000000-0005-0000-0000-0000CC3E0000}"/>
    <cellStyle name="40% - Accent3 9 2 2 3 3 2" xfId="36026" xr:uid="{F27DD972-0D41-402B-8CCB-0BFB1D62FDA0}"/>
    <cellStyle name="40% - Accent3 9 2 2 3 4" xfId="20132" xr:uid="{00000000-0005-0000-0000-0000CD3E0000}"/>
    <cellStyle name="40% - Accent3 9 2 2 3 4 2" xfId="43964" xr:uid="{7E6599CB-69B2-460A-863E-BE05C935E34A}"/>
    <cellStyle name="40% - Accent3 9 2 2 3 5" xfId="28085" xr:uid="{CA32D27A-0DB7-43B7-A52C-DBC126327C43}"/>
    <cellStyle name="40% - Accent3 9 2 2 4" xfId="5973" xr:uid="{00000000-0005-0000-0000-0000CE3E0000}"/>
    <cellStyle name="40% - Accent3 9 2 2 4 2" xfId="13956" xr:uid="{00000000-0005-0000-0000-0000CF3E0000}"/>
    <cellStyle name="40% - Accent3 9 2 2 4 2 2" xfId="37799" xr:uid="{961D5EDA-0D33-4B6D-96AA-BD024022C934}"/>
    <cellStyle name="40% - Accent3 9 2 2 4 3" xfId="21904" xr:uid="{00000000-0005-0000-0000-0000D03E0000}"/>
    <cellStyle name="40% - Accent3 9 2 2 4 3 2" xfId="45736" xr:uid="{561845A5-75AE-47D2-A604-8EAB53DF4EA1}"/>
    <cellStyle name="40% - Accent3 9 2 2 4 4" xfId="29858" xr:uid="{93E64832-CB80-4AB3-A90F-16FA5880B031}"/>
    <cellStyle name="40% - Accent3 9 2 2 5" xfId="9525" xr:uid="{00000000-0005-0000-0000-0000D13E0000}"/>
    <cellStyle name="40% - Accent3 9 2 2 5 2" xfId="17483" xr:uid="{00000000-0005-0000-0000-0000D23E0000}"/>
    <cellStyle name="40% - Accent3 9 2 2 5 2 2" xfId="41323" xr:uid="{AE3A7942-CC17-409B-98FB-FD7AC9A7D873}"/>
    <cellStyle name="40% - Accent3 9 2 2 5 3" xfId="25427" xr:uid="{00000000-0005-0000-0000-0000D33E0000}"/>
    <cellStyle name="40% - Accent3 9 2 2 5 3 2" xfId="49259" xr:uid="{D4B5B9EA-626F-41D0-B177-2FB18FDC4AFB}"/>
    <cellStyle name="40% - Accent3 9 2 2 5 4" xfId="33382" xr:uid="{B9301CCA-DC1E-4938-B4D7-871A2A33CFD3}"/>
    <cellStyle name="40% - Accent3 9 2 2 6" xfId="10421" xr:uid="{00000000-0005-0000-0000-0000D43E0000}"/>
    <cellStyle name="40% - Accent3 9 2 2 6 2" xfId="34270" xr:uid="{30EEC70E-3127-4823-B668-ADE9280FB760}"/>
    <cellStyle name="40% - Accent3 9 2 2 7" xfId="18376" xr:uid="{00000000-0005-0000-0000-0000D53E0000}"/>
    <cellStyle name="40% - Accent3 9 2 2 7 2" xfId="42208" xr:uid="{D48E21D8-EA00-44F7-9BA0-2A7A09938358}"/>
    <cellStyle name="40% - Accent3 9 2 2 8" xfId="26328" xr:uid="{B787E379-5615-4912-9671-83C61EB8C7F3}"/>
    <cellStyle name="40% - Accent3 9 2 2_Exh G" xfId="3042" xr:uid="{00000000-0005-0000-0000-0000D63E0000}"/>
    <cellStyle name="40% - Accent3 9 2 3" xfId="1504" xr:uid="{00000000-0005-0000-0000-0000D73E0000}"/>
    <cellStyle name="40% - Accent3 9 2 3 2" xfId="5031" xr:uid="{00000000-0005-0000-0000-0000D83E0000}"/>
    <cellStyle name="40% - Accent3 9 2 3 2 2" xfId="8622" xr:uid="{00000000-0005-0000-0000-0000D93E0000}"/>
    <cellStyle name="40% - Accent3 9 2 3 2 2 2" xfId="16592" xr:uid="{00000000-0005-0000-0000-0000DA3E0000}"/>
    <cellStyle name="40% - Accent3 9 2 3 2 2 2 2" xfId="40434" xr:uid="{BEA55AAD-C880-493F-9ADB-622C71E76FE5}"/>
    <cellStyle name="40% - Accent3 9 2 3 2 2 3" xfId="24538" xr:uid="{00000000-0005-0000-0000-0000DB3E0000}"/>
    <cellStyle name="40% - Accent3 9 2 3 2 2 3 2" xfId="48370" xr:uid="{784A69F5-D618-46A4-94FC-0FF1628FABA7}"/>
    <cellStyle name="40% - Accent3 9 2 3 2 2 4" xfId="32493" xr:uid="{4A518127-06F4-4FEF-87E2-1D695F09D0CD}"/>
    <cellStyle name="40% - Accent3 9 2 3 2 3" xfId="13054" xr:uid="{00000000-0005-0000-0000-0000DC3E0000}"/>
    <cellStyle name="40% - Accent3 9 2 3 2 3 2" xfId="36903" xr:uid="{D4C4937F-93C7-4B4A-AA70-3081012CFB20}"/>
    <cellStyle name="40% - Accent3 9 2 3 2 4" xfId="21009" xr:uid="{00000000-0005-0000-0000-0000DD3E0000}"/>
    <cellStyle name="40% - Accent3 9 2 3 2 4 2" xfId="44841" xr:uid="{E6C8811D-A75B-4560-9903-8FFDEFA1DBA1}"/>
    <cellStyle name="40% - Accent3 9 2 3 2 5" xfId="28962" xr:uid="{958EBFA7-19A6-4613-B378-8DF241852F62}"/>
    <cellStyle name="40% - Accent3 9 2 3 3" xfId="6863" xr:uid="{00000000-0005-0000-0000-0000DE3E0000}"/>
    <cellStyle name="40% - Accent3 9 2 3 3 2" xfId="14834" xr:uid="{00000000-0005-0000-0000-0000DF3E0000}"/>
    <cellStyle name="40% - Accent3 9 2 3 3 2 2" xfId="38676" xr:uid="{2FD594F7-82F7-43B3-B42F-82A7DBB0F929}"/>
    <cellStyle name="40% - Accent3 9 2 3 3 3" xfId="22781" xr:uid="{00000000-0005-0000-0000-0000E03E0000}"/>
    <cellStyle name="40% - Accent3 9 2 3 3 3 2" xfId="46613" xr:uid="{8E47E541-F338-48F6-A28B-21795575008C}"/>
    <cellStyle name="40% - Accent3 9 2 3 3 4" xfId="30735" xr:uid="{AF4B4D17-7253-49CB-A216-D0E5FBC25717}"/>
    <cellStyle name="40% - Accent3 9 2 3 4" xfId="11298" xr:uid="{00000000-0005-0000-0000-0000E13E0000}"/>
    <cellStyle name="40% - Accent3 9 2 3 4 2" xfId="35147" xr:uid="{A18E448B-7D08-45A1-A3F9-1C4788C378A7}"/>
    <cellStyle name="40% - Accent3 9 2 3 5" xfId="19253" xr:uid="{00000000-0005-0000-0000-0000E23E0000}"/>
    <cellStyle name="40% - Accent3 9 2 3 5 2" xfId="43085" xr:uid="{5892818E-1476-41F8-B143-443115548E42}"/>
    <cellStyle name="40% - Accent3 9 2 3 6" xfId="27205" xr:uid="{CD7E06CC-9AD0-4132-B059-891D84CCA614}"/>
    <cellStyle name="40% - Accent3 9 2 3_Exh G" xfId="3044" xr:uid="{00000000-0005-0000-0000-0000E33E0000}"/>
    <cellStyle name="40% - Accent3 9 2 4" xfId="4152" xr:uid="{00000000-0005-0000-0000-0000E43E0000}"/>
    <cellStyle name="40% - Accent3 9 2 4 2" xfId="7744" xr:uid="{00000000-0005-0000-0000-0000E53E0000}"/>
    <cellStyle name="40% - Accent3 9 2 4 2 2" xfId="15714" xr:uid="{00000000-0005-0000-0000-0000E63E0000}"/>
    <cellStyle name="40% - Accent3 9 2 4 2 2 2" xfId="39556" xr:uid="{B92F0061-6F47-43D7-8F09-A3FA3036771A}"/>
    <cellStyle name="40% - Accent3 9 2 4 2 3" xfId="23660" xr:uid="{00000000-0005-0000-0000-0000E73E0000}"/>
    <cellStyle name="40% - Accent3 9 2 4 2 3 2" xfId="47492" xr:uid="{30C91BA4-DAF2-4B40-B32D-C7F19A7E22F3}"/>
    <cellStyle name="40% - Accent3 9 2 4 2 4" xfId="31615" xr:uid="{827A1D2A-3847-4026-8D87-902EBF6BB461}"/>
    <cellStyle name="40% - Accent3 9 2 4 3" xfId="12176" xr:uid="{00000000-0005-0000-0000-0000E83E0000}"/>
    <cellStyle name="40% - Accent3 9 2 4 3 2" xfId="36025" xr:uid="{5EEEBCF8-BF3E-48E2-9148-A0F1FDAB5809}"/>
    <cellStyle name="40% - Accent3 9 2 4 4" xfId="20131" xr:uid="{00000000-0005-0000-0000-0000E93E0000}"/>
    <cellStyle name="40% - Accent3 9 2 4 4 2" xfId="43963" xr:uid="{342843CB-061B-4597-B533-811C70F6401D}"/>
    <cellStyle name="40% - Accent3 9 2 4 5" xfId="28084" xr:uid="{BA87942D-A668-4BAC-8C2E-9F48F296EA7C}"/>
    <cellStyle name="40% - Accent3 9 2 5" xfId="5972" xr:uid="{00000000-0005-0000-0000-0000EA3E0000}"/>
    <cellStyle name="40% - Accent3 9 2 5 2" xfId="13955" xr:uid="{00000000-0005-0000-0000-0000EB3E0000}"/>
    <cellStyle name="40% - Accent3 9 2 5 2 2" xfId="37798" xr:uid="{8B7E3229-935F-4F1D-A147-035F349DC941}"/>
    <cellStyle name="40% - Accent3 9 2 5 3" xfId="21903" xr:uid="{00000000-0005-0000-0000-0000EC3E0000}"/>
    <cellStyle name="40% - Accent3 9 2 5 3 2" xfId="45735" xr:uid="{5136513A-3C54-4EA7-A285-B9CFFCE22515}"/>
    <cellStyle name="40% - Accent3 9 2 5 4" xfId="29857" xr:uid="{89A36179-89DB-4775-981C-3CCBA0626731}"/>
    <cellStyle name="40% - Accent3 9 2 6" xfId="9524" xr:uid="{00000000-0005-0000-0000-0000ED3E0000}"/>
    <cellStyle name="40% - Accent3 9 2 6 2" xfId="17482" xr:uid="{00000000-0005-0000-0000-0000EE3E0000}"/>
    <cellStyle name="40% - Accent3 9 2 6 2 2" xfId="41322" xr:uid="{FDB8D916-0EE0-4C7E-B467-13AF63E22FDB}"/>
    <cellStyle name="40% - Accent3 9 2 6 3" xfId="25426" xr:uid="{00000000-0005-0000-0000-0000EF3E0000}"/>
    <cellStyle name="40% - Accent3 9 2 6 3 2" xfId="49258" xr:uid="{7FD67ECD-1818-4130-AA87-A3E131CE5941}"/>
    <cellStyle name="40% - Accent3 9 2 6 4" xfId="33381" xr:uid="{EDFB0AD6-7D19-4A39-B9D9-2DE9D49FC695}"/>
    <cellStyle name="40% - Accent3 9 2 7" xfId="10420" xr:uid="{00000000-0005-0000-0000-0000F03E0000}"/>
    <cellStyle name="40% - Accent3 9 2 7 2" xfId="34269" xr:uid="{37FC4934-1D88-4A5A-943E-2A1460B6DAB4}"/>
    <cellStyle name="40% - Accent3 9 2 8" xfId="18375" xr:uid="{00000000-0005-0000-0000-0000F13E0000}"/>
    <cellStyle name="40% - Accent3 9 2 8 2" xfId="42207" xr:uid="{FEF082CA-11A5-412F-8A2B-C152466075E1}"/>
    <cellStyle name="40% - Accent3 9 2 9" xfId="26327" xr:uid="{6381BBD7-ECCD-4D15-B8BF-C2DF7B2F2158}"/>
    <cellStyle name="40% - Accent3 9 2_Exh G" xfId="3041" xr:uid="{00000000-0005-0000-0000-0000F23E0000}"/>
    <cellStyle name="40% - Accent3 9 3" xfId="480" xr:uid="{00000000-0005-0000-0000-0000F33E0000}"/>
    <cellStyle name="40% - Accent3 9 3 2" xfId="1506" xr:uid="{00000000-0005-0000-0000-0000F43E0000}"/>
    <cellStyle name="40% - Accent3 9 3 2 2" xfId="5033" xr:uid="{00000000-0005-0000-0000-0000F53E0000}"/>
    <cellStyle name="40% - Accent3 9 3 2 2 2" xfId="8624" xr:uid="{00000000-0005-0000-0000-0000F63E0000}"/>
    <cellStyle name="40% - Accent3 9 3 2 2 2 2" xfId="16594" xr:uid="{00000000-0005-0000-0000-0000F73E0000}"/>
    <cellStyle name="40% - Accent3 9 3 2 2 2 2 2" xfId="40436" xr:uid="{E4B80362-445E-4A8D-BA81-FA4BE06EC516}"/>
    <cellStyle name="40% - Accent3 9 3 2 2 2 3" xfId="24540" xr:uid="{00000000-0005-0000-0000-0000F83E0000}"/>
    <cellStyle name="40% - Accent3 9 3 2 2 2 3 2" xfId="48372" xr:uid="{C532914D-5588-4761-AAE1-B79849946A49}"/>
    <cellStyle name="40% - Accent3 9 3 2 2 2 4" xfId="32495" xr:uid="{F2B5833E-508F-438B-8D7A-AD7C08BB9A71}"/>
    <cellStyle name="40% - Accent3 9 3 2 2 3" xfId="13056" xr:uid="{00000000-0005-0000-0000-0000F93E0000}"/>
    <cellStyle name="40% - Accent3 9 3 2 2 3 2" xfId="36905" xr:uid="{00BFF935-D124-45B3-AA33-A4002DD7F802}"/>
    <cellStyle name="40% - Accent3 9 3 2 2 4" xfId="21011" xr:uid="{00000000-0005-0000-0000-0000FA3E0000}"/>
    <cellStyle name="40% - Accent3 9 3 2 2 4 2" xfId="44843" xr:uid="{B300E81D-39CD-435C-BFB7-94CE80D0FF29}"/>
    <cellStyle name="40% - Accent3 9 3 2 2 5" xfId="28964" xr:uid="{8D509D69-8C6B-4876-B5FB-3A3C129E30CC}"/>
    <cellStyle name="40% - Accent3 9 3 2 3" xfId="6865" xr:uid="{00000000-0005-0000-0000-0000FB3E0000}"/>
    <cellStyle name="40% - Accent3 9 3 2 3 2" xfId="14836" xr:uid="{00000000-0005-0000-0000-0000FC3E0000}"/>
    <cellStyle name="40% - Accent3 9 3 2 3 2 2" xfId="38678" xr:uid="{B14D2FAA-BC1F-4E7E-BF7C-F787577A98A1}"/>
    <cellStyle name="40% - Accent3 9 3 2 3 3" xfId="22783" xr:uid="{00000000-0005-0000-0000-0000FD3E0000}"/>
    <cellStyle name="40% - Accent3 9 3 2 3 3 2" xfId="46615" xr:uid="{F4F06542-2D2B-42B1-9F55-B38F78BD4AAF}"/>
    <cellStyle name="40% - Accent3 9 3 2 3 4" xfId="30737" xr:uid="{8982A829-A245-415E-AFAC-F00816D28299}"/>
    <cellStyle name="40% - Accent3 9 3 2 4" xfId="11300" xr:uid="{00000000-0005-0000-0000-0000FE3E0000}"/>
    <cellStyle name="40% - Accent3 9 3 2 4 2" xfId="35149" xr:uid="{BF9DEFB7-764A-4965-9C4A-D706BA9D7C37}"/>
    <cellStyle name="40% - Accent3 9 3 2 5" xfId="19255" xr:uid="{00000000-0005-0000-0000-0000FF3E0000}"/>
    <cellStyle name="40% - Accent3 9 3 2 5 2" xfId="43087" xr:uid="{9539FFCD-5051-44C8-898A-D3AA87879CE1}"/>
    <cellStyle name="40% - Accent3 9 3 2 6" xfId="27207" xr:uid="{393F9C05-2344-44F7-B2DF-FF5F57B07391}"/>
    <cellStyle name="40% - Accent3 9 3 2_Exh G" xfId="3046" xr:uid="{00000000-0005-0000-0000-0000003F0000}"/>
    <cellStyle name="40% - Accent3 9 3 3" xfId="4154" xr:uid="{00000000-0005-0000-0000-0000013F0000}"/>
    <cellStyle name="40% - Accent3 9 3 3 2" xfId="7746" xr:uid="{00000000-0005-0000-0000-0000023F0000}"/>
    <cellStyle name="40% - Accent3 9 3 3 2 2" xfId="15716" xr:uid="{00000000-0005-0000-0000-0000033F0000}"/>
    <cellStyle name="40% - Accent3 9 3 3 2 2 2" xfId="39558" xr:uid="{7069184A-F279-48C5-A5B0-63DE970F6529}"/>
    <cellStyle name="40% - Accent3 9 3 3 2 3" xfId="23662" xr:uid="{00000000-0005-0000-0000-0000043F0000}"/>
    <cellStyle name="40% - Accent3 9 3 3 2 3 2" xfId="47494" xr:uid="{1002E2F5-B24C-4653-91A5-46A2CA31525E}"/>
    <cellStyle name="40% - Accent3 9 3 3 2 4" xfId="31617" xr:uid="{45F9DEEC-A3BA-4289-B710-9798F95820FD}"/>
    <cellStyle name="40% - Accent3 9 3 3 3" xfId="12178" xr:uid="{00000000-0005-0000-0000-0000053F0000}"/>
    <cellStyle name="40% - Accent3 9 3 3 3 2" xfId="36027" xr:uid="{AD5C9C65-6537-4376-AA17-0E29CFF33760}"/>
    <cellStyle name="40% - Accent3 9 3 3 4" xfId="20133" xr:uid="{00000000-0005-0000-0000-0000063F0000}"/>
    <cellStyle name="40% - Accent3 9 3 3 4 2" xfId="43965" xr:uid="{5C82AD71-4B3E-4734-9740-345D2C346B61}"/>
    <cellStyle name="40% - Accent3 9 3 3 5" xfId="28086" xr:uid="{5E6B1D1C-F7FF-44C7-AC22-5CAF8FE62E02}"/>
    <cellStyle name="40% - Accent3 9 3 4" xfId="5974" xr:uid="{00000000-0005-0000-0000-0000073F0000}"/>
    <cellStyle name="40% - Accent3 9 3 4 2" xfId="13957" xr:uid="{00000000-0005-0000-0000-0000083F0000}"/>
    <cellStyle name="40% - Accent3 9 3 4 2 2" xfId="37800" xr:uid="{C97C435C-DD8D-42D7-826D-6ABAD8816599}"/>
    <cellStyle name="40% - Accent3 9 3 4 3" xfId="21905" xr:uid="{00000000-0005-0000-0000-0000093F0000}"/>
    <cellStyle name="40% - Accent3 9 3 4 3 2" xfId="45737" xr:uid="{4F48507E-6E35-4241-B76B-2DF13E733A4F}"/>
    <cellStyle name="40% - Accent3 9 3 4 4" xfId="29859" xr:uid="{8DCAB1AD-669C-4F72-8B82-7A79D622498F}"/>
    <cellStyle name="40% - Accent3 9 3 5" xfId="9526" xr:uid="{00000000-0005-0000-0000-00000A3F0000}"/>
    <cellStyle name="40% - Accent3 9 3 5 2" xfId="17484" xr:uid="{00000000-0005-0000-0000-00000B3F0000}"/>
    <cellStyle name="40% - Accent3 9 3 5 2 2" xfId="41324" xr:uid="{753686F9-F741-4CF4-B4C2-7507A6BC7E01}"/>
    <cellStyle name="40% - Accent3 9 3 5 3" xfId="25428" xr:uid="{00000000-0005-0000-0000-00000C3F0000}"/>
    <cellStyle name="40% - Accent3 9 3 5 3 2" xfId="49260" xr:uid="{05B2A289-D9F5-44EA-9A2E-4E7246F4EF7F}"/>
    <cellStyle name="40% - Accent3 9 3 5 4" xfId="33383" xr:uid="{08D15B93-3F00-4029-8630-D1F0E175324E}"/>
    <cellStyle name="40% - Accent3 9 3 6" xfId="10422" xr:uid="{00000000-0005-0000-0000-00000D3F0000}"/>
    <cellStyle name="40% - Accent3 9 3 6 2" xfId="34271" xr:uid="{BADF1AC5-A422-43E0-8D36-A180485B28B6}"/>
    <cellStyle name="40% - Accent3 9 3 7" xfId="18377" xr:uid="{00000000-0005-0000-0000-00000E3F0000}"/>
    <cellStyle name="40% - Accent3 9 3 7 2" xfId="42209" xr:uid="{9D17CA5D-C1B1-4D54-AB14-0AAEA336F9E9}"/>
    <cellStyle name="40% - Accent3 9 3 8" xfId="26329" xr:uid="{B4B9AF0B-3BCE-4033-994B-642658EBC7AA}"/>
    <cellStyle name="40% - Accent3 9 3_Exh G" xfId="3045" xr:uid="{00000000-0005-0000-0000-00000F3F0000}"/>
    <cellStyle name="40% - Accent3 9 4" xfId="966" xr:uid="{00000000-0005-0000-0000-0000103F0000}"/>
    <cellStyle name="40% - Accent3 9 4 2" xfId="1881" xr:uid="{00000000-0005-0000-0000-0000113F0000}"/>
    <cellStyle name="40% - Accent3 9 4 2 2" xfId="5398" xr:uid="{00000000-0005-0000-0000-0000123F0000}"/>
    <cellStyle name="40% - Accent3 9 4 2 2 2" xfId="8989" xr:uid="{00000000-0005-0000-0000-0000133F0000}"/>
    <cellStyle name="40% - Accent3 9 4 2 2 2 2" xfId="16959" xr:uid="{00000000-0005-0000-0000-0000143F0000}"/>
    <cellStyle name="40% - Accent3 9 4 2 2 2 2 2" xfId="40801" xr:uid="{C4D38B31-5527-456B-989C-76F41B43E504}"/>
    <cellStyle name="40% - Accent3 9 4 2 2 2 3" xfId="24905" xr:uid="{00000000-0005-0000-0000-0000153F0000}"/>
    <cellStyle name="40% - Accent3 9 4 2 2 2 3 2" xfId="48737" xr:uid="{4DCF9C7B-474D-4C31-B478-9882E1E6FF79}"/>
    <cellStyle name="40% - Accent3 9 4 2 2 2 4" xfId="32860" xr:uid="{FE7D5D3B-EAB5-4384-9FBB-FBEE1FB02674}"/>
    <cellStyle name="40% - Accent3 9 4 2 2 3" xfId="13421" xr:uid="{00000000-0005-0000-0000-0000163F0000}"/>
    <cellStyle name="40% - Accent3 9 4 2 2 3 2" xfId="37270" xr:uid="{CA05AB22-0A4E-4BAA-BF51-4018252B66D0}"/>
    <cellStyle name="40% - Accent3 9 4 2 2 4" xfId="21376" xr:uid="{00000000-0005-0000-0000-0000173F0000}"/>
    <cellStyle name="40% - Accent3 9 4 2 2 4 2" xfId="45208" xr:uid="{CF3AB557-E31A-43AD-AE56-23D1A350796E}"/>
    <cellStyle name="40% - Accent3 9 4 2 2 5" xfId="29329" xr:uid="{8A98B573-24A1-41B3-979C-3F25ACD02F7F}"/>
    <cellStyle name="40% - Accent3 9 4 2 3" xfId="7230" xr:uid="{00000000-0005-0000-0000-0000183F0000}"/>
    <cellStyle name="40% - Accent3 9 4 2 3 2" xfId="15201" xr:uid="{00000000-0005-0000-0000-0000193F0000}"/>
    <cellStyle name="40% - Accent3 9 4 2 3 2 2" xfId="39043" xr:uid="{CE3CAC67-637C-4B9C-8BFE-CC4A54A54355}"/>
    <cellStyle name="40% - Accent3 9 4 2 3 3" xfId="23148" xr:uid="{00000000-0005-0000-0000-00001A3F0000}"/>
    <cellStyle name="40% - Accent3 9 4 2 3 3 2" xfId="46980" xr:uid="{5091A7E1-80CD-467A-A82A-68432B63F630}"/>
    <cellStyle name="40% - Accent3 9 4 2 3 4" xfId="31102" xr:uid="{95C68670-93AE-42DB-AA3F-772646321185}"/>
    <cellStyle name="40% - Accent3 9 4 2 4" xfId="11665" xr:uid="{00000000-0005-0000-0000-00001B3F0000}"/>
    <cellStyle name="40% - Accent3 9 4 2 4 2" xfId="35514" xr:uid="{471B0260-BD5E-42E2-80E1-EDAB75808204}"/>
    <cellStyle name="40% - Accent3 9 4 2 5" xfId="19620" xr:uid="{00000000-0005-0000-0000-00001C3F0000}"/>
    <cellStyle name="40% - Accent3 9 4 2 5 2" xfId="43452" xr:uid="{3C863C01-7F17-45DF-A1F2-4C6CB937D8BC}"/>
    <cellStyle name="40% - Accent3 9 4 2 6" xfId="27572" xr:uid="{2AB8C3F8-B00A-4A3B-B14A-561808146C19}"/>
    <cellStyle name="40% - Accent3 9 4 2_Exh G" xfId="3048" xr:uid="{00000000-0005-0000-0000-00001D3F0000}"/>
    <cellStyle name="40% - Accent3 9 4 3" xfId="4519" xr:uid="{00000000-0005-0000-0000-00001E3F0000}"/>
    <cellStyle name="40% - Accent3 9 4 3 2" xfId="8111" xr:uid="{00000000-0005-0000-0000-00001F3F0000}"/>
    <cellStyle name="40% - Accent3 9 4 3 2 2" xfId="16081" xr:uid="{00000000-0005-0000-0000-0000203F0000}"/>
    <cellStyle name="40% - Accent3 9 4 3 2 2 2" xfId="39923" xr:uid="{9D17A194-D388-4143-9F8A-F4EFF016222B}"/>
    <cellStyle name="40% - Accent3 9 4 3 2 3" xfId="24027" xr:uid="{00000000-0005-0000-0000-0000213F0000}"/>
    <cellStyle name="40% - Accent3 9 4 3 2 3 2" xfId="47859" xr:uid="{779BA14E-1158-4B43-8EE0-4D2085FF5B23}"/>
    <cellStyle name="40% - Accent3 9 4 3 2 4" xfId="31982" xr:uid="{0F884423-30CE-48DF-8E71-8AC56751A71D}"/>
    <cellStyle name="40% - Accent3 9 4 3 3" xfId="12543" xr:uid="{00000000-0005-0000-0000-0000223F0000}"/>
    <cellStyle name="40% - Accent3 9 4 3 3 2" xfId="36392" xr:uid="{ADAB6C08-5C0D-415A-9A92-EECB5D9DC2B6}"/>
    <cellStyle name="40% - Accent3 9 4 3 4" xfId="20498" xr:uid="{00000000-0005-0000-0000-0000233F0000}"/>
    <cellStyle name="40% - Accent3 9 4 3 4 2" xfId="44330" xr:uid="{8289E08E-524F-4E6E-90A5-30EEC79D6DF0}"/>
    <cellStyle name="40% - Accent3 9 4 3 5" xfId="28451" xr:uid="{DFE0D642-39D3-44CC-8660-83BFDCFBB48D}"/>
    <cellStyle name="40% - Accent3 9 4 4" xfId="6349" xr:uid="{00000000-0005-0000-0000-0000243F0000}"/>
    <cellStyle name="40% - Accent3 9 4 4 2" xfId="14323" xr:uid="{00000000-0005-0000-0000-0000253F0000}"/>
    <cellStyle name="40% - Accent3 9 4 4 2 2" xfId="38165" xr:uid="{1C925458-B65A-48F9-8869-91A39ACA10FA}"/>
    <cellStyle name="40% - Accent3 9 4 4 3" xfId="22270" xr:uid="{00000000-0005-0000-0000-0000263F0000}"/>
    <cellStyle name="40% - Accent3 9 4 4 3 2" xfId="46102" xr:uid="{88A447FD-5C21-4C00-8036-AF83778B42E7}"/>
    <cellStyle name="40% - Accent3 9 4 4 4" xfId="30224" xr:uid="{F5C673CF-B245-461C-BF5F-768E78421684}"/>
    <cellStyle name="40% - Accent3 9 4 5" xfId="9891" xr:uid="{00000000-0005-0000-0000-0000273F0000}"/>
    <cellStyle name="40% - Accent3 9 4 5 2" xfId="17849" xr:uid="{00000000-0005-0000-0000-0000283F0000}"/>
    <cellStyle name="40% - Accent3 9 4 5 2 2" xfId="41689" xr:uid="{6078E7F6-73C7-46E5-AE6E-924FA813B1F6}"/>
    <cellStyle name="40% - Accent3 9 4 5 3" xfId="25793" xr:uid="{00000000-0005-0000-0000-0000293F0000}"/>
    <cellStyle name="40% - Accent3 9 4 5 3 2" xfId="49625" xr:uid="{24DBC9F6-F778-4F84-9FEF-2656C997DEA5}"/>
    <cellStyle name="40% - Accent3 9 4 5 4" xfId="33748" xr:uid="{BB0D034F-C196-44D8-A458-35A590315AC6}"/>
    <cellStyle name="40% - Accent3 9 4 6" xfId="10787" xr:uid="{00000000-0005-0000-0000-00002A3F0000}"/>
    <cellStyle name="40% - Accent3 9 4 6 2" xfId="34636" xr:uid="{69D0D322-6E55-443C-8572-029CEEF5C79C}"/>
    <cellStyle name="40% - Accent3 9 4 7" xfId="18742" xr:uid="{00000000-0005-0000-0000-00002B3F0000}"/>
    <cellStyle name="40% - Accent3 9 4 7 2" xfId="42574" xr:uid="{E9908CE3-0C81-4279-87EB-25192B41D157}"/>
    <cellStyle name="40% - Accent3 9 4 8" xfId="26694" xr:uid="{57DFC820-28B2-413D-A581-5C0D34379CED}"/>
    <cellStyle name="40% - Accent3 9 4_Exh G" xfId="3047" xr:uid="{00000000-0005-0000-0000-00002C3F0000}"/>
    <cellStyle name="40% - Accent3 9 5" xfId="1503" xr:uid="{00000000-0005-0000-0000-00002D3F0000}"/>
    <cellStyle name="40% - Accent3 9 5 2" xfId="5030" xr:uid="{00000000-0005-0000-0000-00002E3F0000}"/>
    <cellStyle name="40% - Accent3 9 5 2 2" xfId="8621" xr:uid="{00000000-0005-0000-0000-00002F3F0000}"/>
    <cellStyle name="40% - Accent3 9 5 2 2 2" xfId="16591" xr:uid="{00000000-0005-0000-0000-0000303F0000}"/>
    <cellStyle name="40% - Accent3 9 5 2 2 2 2" xfId="40433" xr:uid="{9D8EFAFF-D0FD-4D2C-A5A7-A0CF4AFC64E2}"/>
    <cellStyle name="40% - Accent3 9 5 2 2 3" xfId="24537" xr:uid="{00000000-0005-0000-0000-0000313F0000}"/>
    <cellStyle name="40% - Accent3 9 5 2 2 3 2" xfId="48369" xr:uid="{387CD210-F44A-4E04-931D-332E42C63C7C}"/>
    <cellStyle name="40% - Accent3 9 5 2 2 4" xfId="32492" xr:uid="{2D5FA433-ABAF-4F12-8D89-8DE580B4A791}"/>
    <cellStyle name="40% - Accent3 9 5 2 3" xfId="13053" xr:uid="{00000000-0005-0000-0000-0000323F0000}"/>
    <cellStyle name="40% - Accent3 9 5 2 3 2" xfId="36902" xr:uid="{426F6562-C1C5-4A4C-B637-7BF68946A363}"/>
    <cellStyle name="40% - Accent3 9 5 2 4" xfId="21008" xr:uid="{00000000-0005-0000-0000-0000333F0000}"/>
    <cellStyle name="40% - Accent3 9 5 2 4 2" xfId="44840" xr:uid="{0C2E9806-921A-48FA-827B-DAD72E181486}"/>
    <cellStyle name="40% - Accent3 9 5 2 5" xfId="28961" xr:uid="{D0C2EC84-0C5C-4C1A-8DF9-DE3FC6D40D2C}"/>
    <cellStyle name="40% - Accent3 9 5 3" xfId="6862" xr:uid="{00000000-0005-0000-0000-0000343F0000}"/>
    <cellStyle name="40% - Accent3 9 5 3 2" xfId="14833" xr:uid="{00000000-0005-0000-0000-0000353F0000}"/>
    <cellStyle name="40% - Accent3 9 5 3 2 2" xfId="38675" xr:uid="{3BDB3C9A-607A-48C9-89D4-C14977EA6223}"/>
    <cellStyle name="40% - Accent3 9 5 3 3" xfId="22780" xr:uid="{00000000-0005-0000-0000-0000363F0000}"/>
    <cellStyle name="40% - Accent3 9 5 3 3 2" xfId="46612" xr:uid="{C9CD27E2-0761-44D7-8191-0A14ACD8F381}"/>
    <cellStyle name="40% - Accent3 9 5 3 4" xfId="30734" xr:uid="{0AE82B79-AA81-4313-882A-386D869B0E9C}"/>
    <cellStyle name="40% - Accent3 9 5 4" xfId="11297" xr:uid="{00000000-0005-0000-0000-0000373F0000}"/>
    <cellStyle name="40% - Accent3 9 5 4 2" xfId="35146" xr:uid="{85A2CD5D-C207-4AD2-A148-9DF88503B4EB}"/>
    <cellStyle name="40% - Accent3 9 5 5" xfId="19252" xr:uid="{00000000-0005-0000-0000-0000383F0000}"/>
    <cellStyle name="40% - Accent3 9 5 5 2" xfId="43084" xr:uid="{D5CF0042-B43E-4D90-9F36-B3C8C7072CF4}"/>
    <cellStyle name="40% - Accent3 9 5 6" xfId="27204" xr:uid="{1D5E3A3D-C246-4883-9850-80FDAAA4FF58}"/>
    <cellStyle name="40% - Accent3 9 5_Exh G" xfId="3049" xr:uid="{00000000-0005-0000-0000-0000393F0000}"/>
    <cellStyle name="40% - Accent3 9 6" xfId="4151" xr:uid="{00000000-0005-0000-0000-00003A3F0000}"/>
    <cellStyle name="40% - Accent3 9 6 2" xfId="7743" xr:uid="{00000000-0005-0000-0000-00003B3F0000}"/>
    <cellStyle name="40% - Accent3 9 6 2 2" xfId="15713" xr:uid="{00000000-0005-0000-0000-00003C3F0000}"/>
    <cellStyle name="40% - Accent3 9 6 2 2 2" xfId="39555" xr:uid="{3D166FC4-9608-4AB4-A377-C7ED5322DA4E}"/>
    <cellStyle name="40% - Accent3 9 6 2 3" xfId="23659" xr:uid="{00000000-0005-0000-0000-00003D3F0000}"/>
    <cellStyle name="40% - Accent3 9 6 2 3 2" xfId="47491" xr:uid="{B4EB9154-AA2B-4DF3-A698-C006F0FAA09D}"/>
    <cellStyle name="40% - Accent3 9 6 2 4" xfId="31614" xr:uid="{443B5AC0-D68C-4699-9B79-F78AB8F3573A}"/>
    <cellStyle name="40% - Accent3 9 6 3" xfId="12175" xr:uid="{00000000-0005-0000-0000-00003E3F0000}"/>
    <cellStyle name="40% - Accent3 9 6 3 2" xfId="36024" xr:uid="{2B314AF5-51AA-4086-8994-8FFA7AE3CDCE}"/>
    <cellStyle name="40% - Accent3 9 6 4" xfId="20130" xr:uid="{00000000-0005-0000-0000-00003F3F0000}"/>
    <cellStyle name="40% - Accent3 9 6 4 2" xfId="43962" xr:uid="{38083A4D-70B2-415A-97A1-77A019FD5D94}"/>
    <cellStyle name="40% - Accent3 9 6 5" xfId="28083" xr:uid="{EE333707-F57C-4B80-8357-9F9C573CB049}"/>
    <cellStyle name="40% - Accent3 9 7" xfId="5971" xr:uid="{00000000-0005-0000-0000-0000403F0000}"/>
    <cellStyle name="40% - Accent3 9 7 2" xfId="13954" xr:uid="{00000000-0005-0000-0000-0000413F0000}"/>
    <cellStyle name="40% - Accent3 9 7 2 2" xfId="37797" xr:uid="{632EBD0E-D6F0-4AD6-9FA1-ADCAE4ADC8FB}"/>
    <cellStyle name="40% - Accent3 9 7 3" xfId="21902" xr:uid="{00000000-0005-0000-0000-0000423F0000}"/>
    <cellStyle name="40% - Accent3 9 7 3 2" xfId="45734" xr:uid="{BA371634-4E86-48E6-910D-6D2182CB0612}"/>
    <cellStyle name="40% - Accent3 9 7 4" xfId="29856" xr:uid="{336BD4A9-936C-4F9A-BAB7-35B8AD6DD784}"/>
    <cellStyle name="40% - Accent3 9 8" xfId="9523" xr:uid="{00000000-0005-0000-0000-0000433F0000}"/>
    <cellStyle name="40% - Accent3 9 8 2" xfId="17481" xr:uid="{00000000-0005-0000-0000-0000443F0000}"/>
    <cellStyle name="40% - Accent3 9 8 2 2" xfId="41321" xr:uid="{29563217-1F70-4077-88A6-3C159FE3228A}"/>
    <cellStyle name="40% - Accent3 9 8 3" xfId="25425" xr:uid="{00000000-0005-0000-0000-0000453F0000}"/>
    <cellStyle name="40% - Accent3 9 8 3 2" xfId="49257" xr:uid="{668313BE-84C2-4B87-9AC4-90A3024FC06C}"/>
    <cellStyle name="40% - Accent3 9 8 4" xfId="33380" xr:uid="{4C24B845-1B47-49CD-8C4C-29A3A91BA155}"/>
    <cellStyle name="40% - Accent3 9 9" xfId="10419" xr:uid="{00000000-0005-0000-0000-0000463F0000}"/>
    <cellStyle name="40% - Accent3 9 9 2" xfId="34268" xr:uid="{AE06541B-FD0D-42CF-B63B-E68E66545072}"/>
    <cellStyle name="40% - Accent3 9_Exh G" xfId="3040" xr:uid="{00000000-0005-0000-0000-0000473F0000}"/>
    <cellStyle name="40% - Accent4" xfId="49692" builtinId="43" customBuiltin="1"/>
    <cellStyle name="40% - Accent4 10" xfId="481" xr:uid="{00000000-0005-0000-0000-0000483F0000}"/>
    <cellStyle name="40% - Accent4 10 10" xfId="18378" xr:uid="{00000000-0005-0000-0000-0000493F0000}"/>
    <cellStyle name="40% - Accent4 10 10 2" xfId="42210" xr:uid="{091AF3E9-2751-4C75-969F-CBE4AA973A4D}"/>
    <cellStyle name="40% - Accent4 10 11" xfId="26330" xr:uid="{45ADF27B-9A15-49D4-8DA4-462F830628BC}"/>
    <cellStyle name="40% - Accent4 10 2" xfId="482" xr:uid="{00000000-0005-0000-0000-00004A3F0000}"/>
    <cellStyle name="40% - Accent4 10 2 2" xfId="483" xr:uid="{00000000-0005-0000-0000-00004B3F0000}"/>
    <cellStyle name="40% - Accent4 10 2 2 2" xfId="1509" xr:uid="{00000000-0005-0000-0000-00004C3F0000}"/>
    <cellStyle name="40% - Accent4 10 2 2 2 2" xfId="5036" xr:uid="{00000000-0005-0000-0000-00004D3F0000}"/>
    <cellStyle name="40% - Accent4 10 2 2 2 2 2" xfId="8627" xr:uid="{00000000-0005-0000-0000-00004E3F0000}"/>
    <cellStyle name="40% - Accent4 10 2 2 2 2 2 2" xfId="16597" xr:uid="{00000000-0005-0000-0000-00004F3F0000}"/>
    <cellStyle name="40% - Accent4 10 2 2 2 2 2 2 2" xfId="40439" xr:uid="{8C682465-A437-437F-99BA-79C0B31F0B4B}"/>
    <cellStyle name="40% - Accent4 10 2 2 2 2 2 3" xfId="24543" xr:uid="{00000000-0005-0000-0000-0000503F0000}"/>
    <cellStyle name="40% - Accent4 10 2 2 2 2 2 3 2" xfId="48375" xr:uid="{64832D25-C9A6-47A3-AFDC-947458C89595}"/>
    <cellStyle name="40% - Accent4 10 2 2 2 2 2 4" xfId="32498" xr:uid="{E0550A67-074F-4739-87F1-332AFCC0484D}"/>
    <cellStyle name="40% - Accent4 10 2 2 2 2 3" xfId="13059" xr:uid="{00000000-0005-0000-0000-0000513F0000}"/>
    <cellStyle name="40% - Accent4 10 2 2 2 2 3 2" xfId="36908" xr:uid="{4258AB54-0AC2-4D35-8A2B-B720CDCCFFD0}"/>
    <cellStyle name="40% - Accent4 10 2 2 2 2 4" xfId="21014" xr:uid="{00000000-0005-0000-0000-0000523F0000}"/>
    <cellStyle name="40% - Accent4 10 2 2 2 2 4 2" xfId="44846" xr:uid="{C9981C32-8646-4495-932E-AECDB74546DF}"/>
    <cellStyle name="40% - Accent4 10 2 2 2 2 5" xfId="28967" xr:uid="{61FF112A-4FD5-4222-A7BE-6483AF68133B}"/>
    <cellStyle name="40% - Accent4 10 2 2 2 3" xfId="6868" xr:uid="{00000000-0005-0000-0000-0000533F0000}"/>
    <cellStyle name="40% - Accent4 10 2 2 2 3 2" xfId="14839" xr:uid="{00000000-0005-0000-0000-0000543F0000}"/>
    <cellStyle name="40% - Accent4 10 2 2 2 3 2 2" xfId="38681" xr:uid="{00C077E2-2709-47F3-939F-18593EF8E693}"/>
    <cellStyle name="40% - Accent4 10 2 2 2 3 3" xfId="22786" xr:uid="{00000000-0005-0000-0000-0000553F0000}"/>
    <cellStyle name="40% - Accent4 10 2 2 2 3 3 2" xfId="46618" xr:uid="{EFBF9856-5562-4FFC-BA05-D06C11004954}"/>
    <cellStyle name="40% - Accent4 10 2 2 2 3 4" xfId="30740" xr:uid="{8F430DBF-37A1-46A8-8C7A-EAAD4B874D6A}"/>
    <cellStyle name="40% - Accent4 10 2 2 2 4" xfId="11303" xr:uid="{00000000-0005-0000-0000-0000563F0000}"/>
    <cellStyle name="40% - Accent4 10 2 2 2 4 2" xfId="35152" xr:uid="{0E8F1C96-C24A-4143-93E2-4CD8F89D775E}"/>
    <cellStyle name="40% - Accent4 10 2 2 2 5" xfId="19258" xr:uid="{00000000-0005-0000-0000-0000573F0000}"/>
    <cellStyle name="40% - Accent4 10 2 2 2 5 2" xfId="43090" xr:uid="{6ECFEF22-69ED-4CFD-8F67-29C8D54196D0}"/>
    <cellStyle name="40% - Accent4 10 2 2 2 6" xfId="27210" xr:uid="{88417019-81A4-46EA-9F9B-B617139E1524}"/>
    <cellStyle name="40% - Accent4 10 2 2 2_Exh G" xfId="3053" xr:uid="{00000000-0005-0000-0000-0000583F0000}"/>
    <cellStyle name="40% - Accent4 10 2 2 3" xfId="4157" xr:uid="{00000000-0005-0000-0000-0000593F0000}"/>
    <cellStyle name="40% - Accent4 10 2 2 3 2" xfId="7749" xr:uid="{00000000-0005-0000-0000-00005A3F0000}"/>
    <cellStyle name="40% - Accent4 10 2 2 3 2 2" xfId="15719" xr:uid="{00000000-0005-0000-0000-00005B3F0000}"/>
    <cellStyle name="40% - Accent4 10 2 2 3 2 2 2" xfId="39561" xr:uid="{453E65E1-003F-431C-86FB-6FEA88C93C7D}"/>
    <cellStyle name="40% - Accent4 10 2 2 3 2 3" xfId="23665" xr:uid="{00000000-0005-0000-0000-00005C3F0000}"/>
    <cellStyle name="40% - Accent4 10 2 2 3 2 3 2" xfId="47497" xr:uid="{15084898-E966-4B34-8947-6B36EEF4D861}"/>
    <cellStyle name="40% - Accent4 10 2 2 3 2 4" xfId="31620" xr:uid="{34DF396B-EA10-4738-A85A-C1C6447C354A}"/>
    <cellStyle name="40% - Accent4 10 2 2 3 3" xfId="12181" xr:uid="{00000000-0005-0000-0000-00005D3F0000}"/>
    <cellStyle name="40% - Accent4 10 2 2 3 3 2" xfId="36030" xr:uid="{C615A59D-A419-4F63-A3AF-626B0354EE6B}"/>
    <cellStyle name="40% - Accent4 10 2 2 3 4" xfId="20136" xr:uid="{00000000-0005-0000-0000-00005E3F0000}"/>
    <cellStyle name="40% - Accent4 10 2 2 3 4 2" xfId="43968" xr:uid="{E01BA667-A446-4C20-81DC-063045B73C02}"/>
    <cellStyle name="40% - Accent4 10 2 2 3 5" xfId="28089" xr:uid="{77E366EE-D156-4554-8AB4-2FAC61E13251}"/>
    <cellStyle name="40% - Accent4 10 2 2 4" xfId="5977" xr:uid="{00000000-0005-0000-0000-00005F3F0000}"/>
    <cellStyle name="40% - Accent4 10 2 2 4 2" xfId="13960" xr:uid="{00000000-0005-0000-0000-0000603F0000}"/>
    <cellStyle name="40% - Accent4 10 2 2 4 2 2" xfId="37803" xr:uid="{65C12646-FB1F-49A9-A6F6-82A639369E66}"/>
    <cellStyle name="40% - Accent4 10 2 2 4 3" xfId="21908" xr:uid="{00000000-0005-0000-0000-0000613F0000}"/>
    <cellStyle name="40% - Accent4 10 2 2 4 3 2" xfId="45740" xr:uid="{4A68C09C-185C-40B9-88D5-7726218D8F26}"/>
    <cellStyle name="40% - Accent4 10 2 2 4 4" xfId="29862" xr:uid="{72383244-3826-4A28-9CF0-DF713B4C8A3E}"/>
    <cellStyle name="40% - Accent4 10 2 2 5" xfId="9529" xr:uid="{00000000-0005-0000-0000-0000623F0000}"/>
    <cellStyle name="40% - Accent4 10 2 2 5 2" xfId="17487" xr:uid="{00000000-0005-0000-0000-0000633F0000}"/>
    <cellStyle name="40% - Accent4 10 2 2 5 2 2" xfId="41327" xr:uid="{69FAB2B0-82CA-4FE0-8170-970FC5B9E58E}"/>
    <cellStyle name="40% - Accent4 10 2 2 5 3" xfId="25431" xr:uid="{00000000-0005-0000-0000-0000643F0000}"/>
    <cellStyle name="40% - Accent4 10 2 2 5 3 2" xfId="49263" xr:uid="{9C2D84CF-7B2F-458B-B198-8FF3BEB98002}"/>
    <cellStyle name="40% - Accent4 10 2 2 5 4" xfId="33386" xr:uid="{80C488BF-03E0-4626-9B42-D36CDB582D80}"/>
    <cellStyle name="40% - Accent4 10 2 2 6" xfId="10425" xr:uid="{00000000-0005-0000-0000-0000653F0000}"/>
    <cellStyle name="40% - Accent4 10 2 2 6 2" xfId="34274" xr:uid="{7D767769-9F3A-4C59-8B09-B7E80B39B453}"/>
    <cellStyle name="40% - Accent4 10 2 2 7" xfId="18380" xr:uid="{00000000-0005-0000-0000-0000663F0000}"/>
    <cellStyle name="40% - Accent4 10 2 2 7 2" xfId="42212" xr:uid="{25DCAE80-A9CF-45D8-A81E-2E0D7D4D25B7}"/>
    <cellStyle name="40% - Accent4 10 2 2 8" xfId="26332" xr:uid="{D12589B8-ABBD-43B2-BF56-9DAE68BBE742}"/>
    <cellStyle name="40% - Accent4 10 2 2_Exh G" xfId="3052" xr:uid="{00000000-0005-0000-0000-0000673F0000}"/>
    <cellStyle name="40% - Accent4 10 2 3" xfId="1508" xr:uid="{00000000-0005-0000-0000-0000683F0000}"/>
    <cellStyle name="40% - Accent4 10 2 3 2" xfId="5035" xr:uid="{00000000-0005-0000-0000-0000693F0000}"/>
    <cellStyle name="40% - Accent4 10 2 3 2 2" xfId="8626" xr:uid="{00000000-0005-0000-0000-00006A3F0000}"/>
    <cellStyle name="40% - Accent4 10 2 3 2 2 2" xfId="16596" xr:uid="{00000000-0005-0000-0000-00006B3F0000}"/>
    <cellStyle name="40% - Accent4 10 2 3 2 2 2 2" xfId="40438" xr:uid="{4157AA3B-BF9D-4254-9CFE-B41C86B55ADE}"/>
    <cellStyle name="40% - Accent4 10 2 3 2 2 3" xfId="24542" xr:uid="{00000000-0005-0000-0000-00006C3F0000}"/>
    <cellStyle name="40% - Accent4 10 2 3 2 2 3 2" xfId="48374" xr:uid="{1D746980-F59C-4DDE-9E30-86BAC17B6A74}"/>
    <cellStyle name="40% - Accent4 10 2 3 2 2 4" xfId="32497" xr:uid="{7FC58574-41EC-4A38-8DBE-F7D7AD94F621}"/>
    <cellStyle name="40% - Accent4 10 2 3 2 3" xfId="13058" xr:uid="{00000000-0005-0000-0000-00006D3F0000}"/>
    <cellStyle name="40% - Accent4 10 2 3 2 3 2" xfId="36907" xr:uid="{4A1A0899-16CE-4E4D-962B-DCB42683DB41}"/>
    <cellStyle name="40% - Accent4 10 2 3 2 4" xfId="21013" xr:uid="{00000000-0005-0000-0000-00006E3F0000}"/>
    <cellStyle name="40% - Accent4 10 2 3 2 4 2" xfId="44845" xr:uid="{CBE8B3E9-2E8F-42A8-943B-AC76D8450C79}"/>
    <cellStyle name="40% - Accent4 10 2 3 2 5" xfId="28966" xr:uid="{10F25A74-4BBB-4104-A0E2-47FA78E37F46}"/>
    <cellStyle name="40% - Accent4 10 2 3 3" xfId="6867" xr:uid="{00000000-0005-0000-0000-00006F3F0000}"/>
    <cellStyle name="40% - Accent4 10 2 3 3 2" xfId="14838" xr:uid="{00000000-0005-0000-0000-0000703F0000}"/>
    <cellStyle name="40% - Accent4 10 2 3 3 2 2" xfId="38680" xr:uid="{F8E56ADD-EBFA-4136-9F67-C847B7BD1161}"/>
    <cellStyle name="40% - Accent4 10 2 3 3 3" xfId="22785" xr:uid="{00000000-0005-0000-0000-0000713F0000}"/>
    <cellStyle name="40% - Accent4 10 2 3 3 3 2" xfId="46617" xr:uid="{9C606826-5572-4FD7-B020-8775EA8A17C5}"/>
    <cellStyle name="40% - Accent4 10 2 3 3 4" xfId="30739" xr:uid="{B9A3D840-C825-4AA8-AB2B-5FA847117E05}"/>
    <cellStyle name="40% - Accent4 10 2 3 4" xfId="11302" xr:uid="{00000000-0005-0000-0000-0000723F0000}"/>
    <cellStyle name="40% - Accent4 10 2 3 4 2" xfId="35151" xr:uid="{92AC5531-E7C1-428A-874F-484A135AD729}"/>
    <cellStyle name="40% - Accent4 10 2 3 5" xfId="19257" xr:uid="{00000000-0005-0000-0000-0000733F0000}"/>
    <cellStyle name="40% - Accent4 10 2 3 5 2" xfId="43089" xr:uid="{D46817A8-4171-4ECA-9263-EA89C5ED98FF}"/>
    <cellStyle name="40% - Accent4 10 2 3 6" xfId="27209" xr:uid="{B682CD95-0B27-491D-8CFF-1CF3FA7363AF}"/>
    <cellStyle name="40% - Accent4 10 2 3_Exh G" xfId="3054" xr:uid="{00000000-0005-0000-0000-0000743F0000}"/>
    <cellStyle name="40% - Accent4 10 2 4" xfId="4156" xr:uid="{00000000-0005-0000-0000-0000753F0000}"/>
    <cellStyle name="40% - Accent4 10 2 4 2" xfId="7748" xr:uid="{00000000-0005-0000-0000-0000763F0000}"/>
    <cellStyle name="40% - Accent4 10 2 4 2 2" xfId="15718" xr:uid="{00000000-0005-0000-0000-0000773F0000}"/>
    <cellStyle name="40% - Accent4 10 2 4 2 2 2" xfId="39560" xr:uid="{99CD3950-59B3-4ADC-B4DD-03008737194E}"/>
    <cellStyle name="40% - Accent4 10 2 4 2 3" xfId="23664" xr:uid="{00000000-0005-0000-0000-0000783F0000}"/>
    <cellStyle name="40% - Accent4 10 2 4 2 3 2" xfId="47496" xr:uid="{B71D6046-015F-4575-9FBE-1D1255955C62}"/>
    <cellStyle name="40% - Accent4 10 2 4 2 4" xfId="31619" xr:uid="{910F9C39-B2FC-44C4-A04F-25D727352E52}"/>
    <cellStyle name="40% - Accent4 10 2 4 3" xfId="12180" xr:uid="{00000000-0005-0000-0000-0000793F0000}"/>
    <cellStyle name="40% - Accent4 10 2 4 3 2" xfId="36029" xr:uid="{A157C05D-340D-4133-B485-6AC84D0907A2}"/>
    <cellStyle name="40% - Accent4 10 2 4 4" xfId="20135" xr:uid="{00000000-0005-0000-0000-00007A3F0000}"/>
    <cellStyle name="40% - Accent4 10 2 4 4 2" xfId="43967" xr:uid="{66DC7FDC-6180-4014-8DF7-4680EC47B1E7}"/>
    <cellStyle name="40% - Accent4 10 2 4 5" xfId="28088" xr:uid="{612EE604-ADB8-4E42-A9F1-C4AC5B3FE2F0}"/>
    <cellStyle name="40% - Accent4 10 2 5" xfId="5976" xr:uid="{00000000-0005-0000-0000-00007B3F0000}"/>
    <cellStyle name="40% - Accent4 10 2 5 2" xfId="13959" xr:uid="{00000000-0005-0000-0000-00007C3F0000}"/>
    <cellStyle name="40% - Accent4 10 2 5 2 2" xfId="37802" xr:uid="{3DAD2F56-4FB4-4CD0-96AB-85EB6951B498}"/>
    <cellStyle name="40% - Accent4 10 2 5 3" xfId="21907" xr:uid="{00000000-0005-0000-0000-00007D3F0000}"/>
    <cellStyle name="40% - Accent4 10 2 5 3 2" xfId="45739" xr:uid="{351F7395-566F-40CD-95D0-FB4A24887CEA}"/>
    <cellStyle name="40% - Accent4 10 2 5 4" xfId="29861" xr:uid="{1AABEE38-D3D8-4BF8-B72B-E4607060C1D1}"/>
    <cellStyle name="40% - Accent4 10 2 6" xfId="9528" xr:uid="{00000000-0005-0000-0000-00007E3F0000}"/>
    <cellStyle name="40% - Accent4 10 2 6 2" xfId="17486" xr:uid="{00000000-0005-0000-0000-00007F3F0000}"/>
    <cellStyle name="40% - Accent4 10 2 6 2 2" xfId="41326" xr:uid="{58E4FFC7-FA0E-49EB-B9CD-DE2CA43ADE8E}"/>
    <cellStyle name="40% - Accent4 10 2 6 3" xfId="25430" xr:uid="{00000000-0005-0000-0000-0000803F0000}"/>
    <cellStyle name="40% - Accent4 10 2 6 3 2" xfId="49262" xr:uid="{D071ECEE-7551-4B94-9D86-491570364AEA}"/>
    <cellStyle name="40% - Accent4 10 2 6 4" xfId="33385" xr:uid="{872CCE30-66CA-4BD2-BBA8-3FE132A74B20}"/>
    <cellStyle name="40% - Accent4 10 2 7" xfId="10424" xr:uid="{00000000-0005-0000-0000-0000813F0000}"/>
    <cellStyle name="40% - Accent4 10 2 7 2" xfId="34273" xr:uid="{4845CE4F-D191-4449-B77C-3F9EA575136B}"/>
    <cellStyle name="40% - Accent4 10 2 8" xfId="18379" xr:uid="{00000000-0005-0000-0000-0000823F0000}"/>
    <cellStyle name="40% - Accent4 10 2 8 2" xfId="42211" xr:uid="{42A0AB49-1BB1-4E04-8935-235D4A6B8697}"/>
    <cellStyle name="40% - Accent4 10 2 9" xfId="26331" xr:uid="{FB4E80A9-8140-4041-AE6E-2E643E21703D}"/>
    <cellStyle name="40% - Accent4 10 2_Exh G" xfId="3051" xr:uid="{00000000-0005-0000-0000-0000833F0000}"/>
    <cellStyle name="40% - Accent4 10 3" xfId="484" xr:uid="{00000000-0005-0000-0000-0000843F0000}"/>
    <cellStyle name="40% - Accent4 10 3 2" xfId="1510" xr:uid="{00000000-0005-0000-0000-0000853F0000}"/>
    <cellStyle name="40% - Accent4 10 3 2 2" xfId="5037" xr:uid="{00000000-0005-0000-0000-0000863F0000}"/>
    <cellStyle name="40% - Accent4 10 3 2 2 2" xfId="8628" xr:uid="{00000000-0005-0000-0000-0000873F0000}"/>
    <cellStyle name="40% - Accent4 10 3 2 2 2 2" xfId="16598" xr:uid="{00000000-0005-0000-0000-0000883F0000}"/>
    <cellStyle name="40% - Accent4 10 3 2 2 2 2 2" xfId="40440" xr:uid="{8C8709FD-2993-478E-A3F1-1A8BCB5291A0}"/>
    <cellStyle name="40% - Accent4 10 3 2 2 2 3" xfId="24544" xr:uid="{00000000-0005-0000-0000-0000893F0000}"/>
    <cellStyle name="40% - Accent4 10 3 2 2 2 3 2" xfId="48376" xr:uid="{C89D3C23-81B6-4B0E-81CF-A0856D7A2975}"/>
    <cellStyle name="40% - Accent4 10 3 2 2 2 4" xfId="32499" xr:uid="{3730B667-8DFC-466B-B2AB-3888A896510F}"/>
    <cellStyle name="40% - Accent4 10 3 2 2 3" xfId="13060" xr:uid="{00000000-0005-0000-0000-00008A3F0000}"/>
    <cellStyle name="40% - Accent4 10 3 2 2 3 2" xfId="36909" xr:uid="{FA29BB14-BC91-453B-8B70-1AB1E532A214}"/>
    <cellStyle name="40% - Accent4 10 3 2 2 4" xfId="21015" xr:uid="{00000000-0005-0000-0000-00008B3F0000}"/>
    <cellStyle name="40% - Accent4 10 3 2 2 4 2" xfId="44847" xr:uid="{2D732ECA-D5CF-4535-A26A-5073D30F2876}"/>
    <cellStyle name="40% - Accent4 10 3 2 2 5" xfId="28968" xr:uid="{A4F6A0B3-A19C-4653-A693-8470187E5CBC}"/>
    <cellStyle name="40% - Accent4 10 3 2 3" xfId="6869" xr:uid="{00000000-0005-0000-0000-00008C3F0000}"/>
    <cellStyle name="40% - Accent4 10 3 2 3 2" xfId="14840" xr:uid="{00000000-0005-0000-0000-00008D3F0000}"/>
    <cellStyle name="40% - Accent4 10 3 2 3 2 2" xfId="38682" xr:uid="{DE3876F0-FDF6-471E-BC26-EAE7ACBEF6C6}"/>
    <cellStyle name="40% - Accent4 10 3 2 3 3" xfId="22787" xr:uid="{00000000-0005-0000-0000-00008E3F0000}"/>
    <cellStyle name="40% - Accent4 10 3 2 3 3 2" xfId="46619" xr:uid="{A1200CA6-7129-4461-9319-D358B097CE5B}"/>
    <cellStyle name="40% - Accent4 10 3 2 3 4" xfId="30741" xr:uid="{09DE587C-4EFE-4E32-BBC2-CAB6688EDB00}"/>
    <cellStyle name="40% - Accent4 10 3 2 4" xfId="11304" xr:uid="{00000000-0005-0000-0000-00008F3F0000}"/>
    <cellStyle name="40% - Accent4 10 3 2 4 2" xfId="35153" xr:uid="{63E307D3-F3FD-46D5-A88D-F1FDC4121EDD}"/>
    <cellStyle name="40% - Accent4 10 3 2 5" xfId="19259" xr:uid="{00000000-0005-0000-0000-0000903F0000}"/>
    <cellStyle name="40% - Accent4 10 3 2 5 2" xfId="43091" xr:uid="{3B87E635-DA79-4C78-81BE-8E75FCF9614B}"/>
    <cellStyle name="40% - Accent4 10 3 2 6" xfId="27211" xr:uid="{19AEBAF7-E40A-4239-BAD4-3421956B399A}"/>
    <cellStyle name="40% - Accent4 10 3 2_Exh G" xfId="3056" xr:uid="{00000000-0005-0000-0000-0000913F0000}"/>
    <cellStyle name="40% - Accent4 10 3 3" xfId="4158" xr:uid="{00000000-0005-0000-0000-0000923F0000}"/>
    <cellStyle name="40% - Accent4 10 3 3 2" xfId="7750" xr:uid="{00000000-0005-0000-0000-0000933F0000}"/>
    <cellStyle name="40% - Accent4 10 3 3 2 2" xfId="15720" xr:uid="{00000000-0005-0000-0000-0000943F0000}"/>
    <cellStyle name="40% - Accent4 10 3 3 2 2 2" xfId="39562" xr:uid="{D7721753-E733-4843-B012-797DF4A138F4}"/>
    <cellStyle name="40% - Accent4 10 3 3 2 3" xfId="23666" xr:uid="{00000000-0005-0000-0000-0000953F0000}"/>
    <cellStyle name="40% - Accent4 10 3 3 2 3 2" xfId="47498" xr:uid="{CEBC92F1-F8C1-41B1-8E44-7A1FDB78A3C5}"/>
    <cellStyle name="40% - Accent4 10 3 3 2 4" xfId="31621" xr:uid="{9A057D98-76F1-4C23-9155-11FDDD224B68}"/>
    <cellStyle name="40% - Accent4 10 3 3 3" xfId="12182" xr:uid="{00000000-0005-0000-0000-0000963F0000}"/>
    <cellStyle name="40% - Accent4 10 3 3 3 2" xfId="36031" xr:uid="{063471F6-42E2-438C-8861-9211E5B2F96A}"/>
    <cellStyle name="40% - Accent4 10 3 3 4" xfId="20137" xr:uid="{00000000-0005-0000-0000-0000973F0000}"/>
    <cellStyle name="40% - Accent4 10 3 3 4 2" xfId="43969" xr:uid="{5939D674-9398-4F95-908C-A90C71CA4FF7}"/>
    <cellStyle name="40% - Accent4 10 3 3 5" xfId="28090" xr:uid="{6A4AC5CD-0869-4128-971B-B02A9C53BF3F}"/>
    <cellStyle name="40% - Accent4 10 3 4" xfId="5978" xr:uid="{00000000-0005-0000-0000-0000983F0000}"/>
    <cellStyle name="40% - Accent4 10 3 4 2" xfId="13961" xr:uid="{00000000-0005-0000-0000-0000993F0000}"/>
    <cellStyle name="40% - Accent4 10 3 4 2 2" xfId="37804" xr:uid="{35566DF7-B886-4E35-9A42-8EEFB1023389}"/>
    <cellStyle name="40% - Accent4 10 3 4 3" xfId="21909" xr:uid="{00000000-0005-0000-0000-00009A3F0000}"/>
    <cellStyle name="40% - Accent4 10 3 4 3 2" xfId="45741" xr:uid="{EB335724-88A4-45B6-86EA-530AB2012F07}"/>
    <cellStyle name="40% - Accent4 10 3 4 4" xfId="29863" xr:uid="{C86DB39F-EA49-483F-97AB-76C4C77A5CA3}"/>
    <cellStyle name="40% - Accent4 10 3 5" xfId="9530" xr:uid="{00000000-0005-0000-0000-00009B3F0000}"/>
    <cellStyle name="40% - Accent4 10 3 5 2" xfId="17488" xr:uid="{00000000-0005-0000-0000-00009C3F0000}"/>
    <cellStyle name="40% - Accent4 10 3 5 2 2" xfId="41328" xr:uid="{389133C1-303F-4596-97D7-0B9E50A835CD}"/>
    <cellStyle name="40% - Accent4 10 3 5 3" xfId="25432" xr:uid="{00000000-0005-0000-0000-00009D3F0000}"/>
    <cellStyle name="40% - Accent4 10 3 5 3 2" xfId="49264" xr:uid="{9CE6FD5D-5C71-43D3-BFF6-D199A28980A0}"/>
    <cellStyle name="40% - Accent4 10 3 5 4" xfId="33387" xr:uid="{46DC02CB-6A52-473D-B651-90DAC576C00B}"/>
    <cellStyle name="40% - Accent4 10 3 6" xfId="10426" xr:uid="{00000000-0005-0000-0000-00009E3F0000}"/>
    <cellStyle name="40% - Accent4 10 3 6 2" xfId="34275" xr:uid="{51731DFC-2A30-4D7A-8F28-D2871AE839F1}"/>
    <cellStyle name="40% - Accent4 10 3 7" xfId="18381" xr:uid="{00000000-0005-0000-0000-00009F3F0000}"/>
    <cellStyle name="40% - Accent4 10 3 7 2" xfId="42213" xr:uid="{54383AD5-F94D-4527-8DE4-5BF7BCE63752}"/>
    <cellStyle name="40% - Accent4 10 3 8" xfId="26333" xr:uid="{6ADA854F-F48D-4C55-A93F-84DB8C917733}"/>
    <cellStyle name="40% - Accent4 10 3_Exh G" xfId="3055" xr:uid="{00000000-0005-0000-0000-0000A03F0000}"/>
    <cellStyle name="40% - Accent4 10 4" xfId="967" xr:uid="{00000000-0005-0000-0000-0000A13F0000}"/>
    <cellStyle name="40% - Accent4 10 5" xfId="1507" xr:uid="{00000000-0005-0000-0000-0000A23F0000}"/>
    <cellStyle name="40% - Accent4 10 5 2" xfId="5034" xr:uid="{00000000-0005-0000-0000-0000A33F0000}"/>
    <cellStyle name="40% - Accent4 10 5 2 2" xfId="8625" xr:uid="{00000000-0005-0000-0000-0000A43F0000}"/>
    <cellStyle name="40% - Accent4 10 5 2 2 2" xfId="16595" xr:uid="{00000000-0005-0000-0000-0000A53F0000}"/>
    <cellStyle name="40% - Accent4 10 5 2 2 2 2" xfId="40437" xr:uid="{8E68B8E7-387B-4831-9372-15636661548D}"/>
    <cellStyle name="40% - Accent4 10 5 2 2 3" xfId="24541" xr:uid="{00000000-0005-0000-0000-0000A63F0000}"/>
    <cellStyle name="40% - Accent4 10 5 2 2 3 2" xfId="48373" xr:uid="{8DB2776A-0D33-4094-9442-7C6D8A858D39}"/>
    <cellStyle name="40% - Accent4 10 5 2 2 4" xfId="32496" xr:uid="{9293DB11-EB33-407C-A8D7-2438CF45786E}"/>
    <cellStyle name="40% - Accent4 10 5 2 3" xfId="13057" xr:uid="{00000000-0005-0000-0000-0000A73F0000}"/>
    <cellStyle name="40% - Accent4 10 5 2 3 2" xfId="36906" xr:uid="{47262D86-2197-4006-8A6A-D35830526C95}"/>
    <cellStyle name="40% - Accent4 10 5 2 4" xfId="21012" xr:uid="{00000000-0005-0000-0000-0000A83F0000}"/>
    <cellStyle name="40% - Accent4 10 5 2 4 2" xfId="44844" xr:uid="{B9E67798-3EC8-4D22-9F30-453A93FBA0CC}"/>
    <cellStyle name="40% - Accent4 10 5 2 5" xfId="28965" xr:uid="{88C23397-CB46-482F-9568-33B2172A8F44}"/>
    <cellStyle name="40% - Accent4 10 5 3" xfId="6866" xr:uid="{00000000-0005-0000-0000-0000A93F0000}"/>
    <cellStyle name="40% - Accent4 10 5 3 2" xfId="14837" xr:uid="{00000000-0005-0000-0000-0000AA3F0000}"/>
    <cellStyle name="40% - Accent4 10 5 3 2 2" xfId="38679" xr:uid="{4FD62411-F332-49DC-AA5F-210E69BC1846}"/>
    <cellStyle name="40% - Accent4 10 5 3 3" xfId="22784" xr:uid="{00000000-0005-0000-0000-0000AB3F0000}"/>
    <cellStyle name="40% - Accent4 10 5 3 3 2" xfId="46616" xr:uid="{DE1519DD-FBB4-42DD-AC16-2438BF539E92}"/>
    <cellStyle name="40% - Accent4 10 5 3 4" xfId="30738" xr:uid="{FBD9B411-E498-488A-9E37-71CBF09D3B2B}"/>
    <cellStyle name="40% - Accent4 10 5 4" xfId="11301" xr:uid="{00000000-0005-0000-0000-0000AC3F0000}"/>
    <cellStyle name="40% - Accent4 10 5 4 2" xfId="35150" xr:uid="{6924D7A0-C7F1-4387-885C-B2A578C26DD9}"/>
    <cellStyle name="40% - Accent4 10 5 5" xfId="19256" xr:uid="{00000000-0005-0000-0000-0000AD3F0000}"/>
    <cellStyle name="40% - Accent4 10 5 5 2" xfId="43088" xr:uid="{EF03AEA7-F49D-4885-ACB4-DD805667718C}"/>
    <cellStyle name="40% - Accent4 10 5 6" xfId="27208" xr:uid="{F6784F84-CDB8-4EAB-818C-3574F2FC7C62}"/>
    <cellStyle name="40% - Accent4 10 5_Exh G" xfId="3057" xr:uid="{00000000-0005-0000-0000-0000AE3F0000}"/>
    <cellStyle name="40% - Accent4 10 6" xfId="4155" xr:uid="{00000000-0005-0000-0000-0000AF3F0000}"/>
    <cellStyle name="40% - Accent4 10 6 2" xfId="7747" xr:uid="{00000000-0005-0000-0000-0000B03F0000}"/>
    <cellStyle name="40% - Accent4 10 6 2 2" xfId="15717" xr:uid="{00000000-0005-0000-0000-0000B13F0000}"/>
    <cellStyle name="40% - Accent4 10 6 2 2 2" xfId="39559" xr:uid="{014EB1EC-ACFB-45C2-A9AF-3DFBB320D940}"/>
    <cellStyle name="40% - Accent4 10 6 2 3" xfId="23663" xr:uid="{00000000-0005-0000-0000-0000B23F0000}"/>
    <cellStyle name="40% - Accent4 10 6 2 3 2" xfId="47495" xr:uid="{812C7D29-0AE1-49DF-B141-695803212639}"/>
    <cellStyle name="40% - Accent4 10 6 2 4" xfId="31618" xr:uid="{D9F3A1FD-95E9-482B-9668-F8EECDECF07D}"/>
    <cellStyle name="40% - Accent4 10 6 3" xfId="12179" xr:uid="{00000000-0005-0000-0000-0000B33F0000}"/>
    <cellStyle name="40% - Accent4 10 6 3 2" xfId="36028" xr:uid="{3F9240B6-7D40-4BCA-B100-65BBA3F7B656}"/>
    <cellStyle name="40% - Accent4 10 6 4" xfId="20134" xr:uid="{00000000-0005-0000-0000-0000B43F0000}"/>
    <cellStyle name="40% - Accent4 10 6 4 2" xfId="43966" xr:uid="{C0631599-3005-4A44-B60C-885E06622B7F}"/>
    <cellStyle name="40% - Accent4 10 6 5" xfId="28087" xr:uid="{96085A80-2AB9-4185-8E4C-EB97A53A0393}"/>
    <cellStyle name="40% - Accent4 10 7" xfId="5975" xr:uid="{00000000-0005-0000-0000-0000B53F0000}"/>
    <cellStyle name="40% - Accent4 10 7 2" xfId="13958" xr:uid="{00000000-0005-0000-0000-0000B63F0000}"/>
    <cellStyle name="40% - Accent4 10 7 2 2" xfId="37801" xr:uid="{B5B17DEC-B977-4021-BB2A-B1FD8815DC74}"/>
    <cellStyle name="40% - Accent4 10 7 3" xfId="21906" xr:uid="{00000000-0005-0000-0000-0000B73F0000}"/>
    <cellStyle name="40% - Accent4 10 7 3 2" xfId="45738" xr:uid="{6C20138A-5954-4FB0-81B8-D77C5BA55D1B}"/>
    <cellStyle name="40% - Accent4 10 7 4" xfId="29860" xr:uid="{80BA40A9-E3EA-4455-BB09-EDCACA7B82FA}"/>
    <cellStyle name="40% - Accent4 10 8" xfId="9527" xr:uid="{00000000-0005-0000-0000-0000B83F0000}"/>
    <cellStyle name="40% - Accent4 10 8 2" xfId="17485" xr:uid="{00000000-0005-0000-0000-0000B93F0000}"/>
    <cellStyle name="40% - Accent4 10 8 2 2" xfId="41325" xr:uid="{41C634CA-AD96-4CBA-8A47-BEE24F5C195C}"/>
    <cellStyle name="40% - Accent4 10 8 3" xfId="25429" xr:uid="{00000000-0005-0000-0000-0000BA3F0000}"/>
    <cellStyle name="40% - Accent4 10 8 3 2" xfId="49261" xr:uid="{308B50B9-8348-4F5C-8964-0F80E152D808}"/>
    <cellStyle name="40% - Accent4 10 8 4" xfId="33384" xr:uid="{35BC35C8-4AF1-4A16-A37F-D3000FEEB4D8}"/>
    <cellStyle name="40% - Accent4 10 9" xfId="10423" xr:uid="{00000000-0005-0000-0000-0000BB3F0000}"/>
    <cellStyle name="40% - Accent4 10 9 2" xfId="34272" xr:uid="{10E6AEEA-3B56-4D70-BE72-406B5FCB18C0}"/>
    <cellStyle name="40% - Accent4 10_Exh G" xfId="3050" xr:uid="{00000000-0005-0000-0000-0000BC3F0000}"/>
    <cellStyle name="40% - Accent4 11" xfId="485" xr:uid="{00000000-0005-0000-0000-0000BD3F0000}"/>
    <cellStyle name="40% - Accent4 11 10" xfId="26334" xr:uid="{0286C9FC-A348-4DED-BD35-168ED4F9D025}"/>
    <cellStyle name="40% - Accent4 11 2" xfId="486" xr:uid="{00000000-0005-0000-0000-0000BE3F0000}"/>
    <cellStyle name="40% - Accent4 11 2 2" xfId="487" xr:uid="{00000000-0005-0000-0000-0000BF3F0000}"/>
    <cellStyle name="40% - Accent4 11 2 2 2" xfId="1513" xr:uid="{00000000-0005-0000-0000-0000C03F0000}"/>
    <cellStyle name="40% - Accent4 11 2 2 2 2" xfId="5040" xr:uid="{00000000-0005-0000-0000-0000C13F0000}"/>
    <cellStyle name="40% - Accent4 11 2 2 2 2 2" xfId="8631" xr:uid="{00000000-0005-0000-0000-0000C23F0000}"/>
    <cellStyle name="40% - Accent4 11 2 2 2 2 2 2" xfId="16601" xr:uid="{00000000-0005-0000-0000-0000C33F0000}"/>
    <cellStyle name="40% - Accent4 11 2 2 2 2 2 2 2" xfId="40443" xr:uid="{3D79B0EC-B979-45FE-B252-C944B4232CF6}"/>
    <cellStyle name="40% - Accent4 11 2 2 2 2 2 3" xfId="24547" xr:uid="{00000000-0005-0000-0000-0000C43F0000}"/>
    <cellStyle name="40% - Accent4 11 2 2 2 2 2 3 2" xfId="48379" xr:uid="{FACF887C-BD47-497B-AAFC-39FD38028BB7}"/>
    <cellStyle name="40% - Accent4 11 2 2 2 2 2 4" xfId="32502" xr:uid="{586AEC8F-6A98-444F-91C4-8D333ED059E3}"/>
    <cellStyle name="40% - Accent4 11 2 2 2 2 3" xfId="13063" xr:uid="{00000000-0005-0000-0000-0000C53F0000}"/>
    <cellStyle name="40% - Accent4 11 2 2 2 2 3 2" xfId="36912" xr:uid="{FCFA509A-E0C1-4EA8-B8E0-693637CEEA99}"/>
    <cellStyle name="40% - Accent4 11 2 2 2 2 4" xfId="21018" xr:uid="{00000000-0005-0000-0000-0000C63F0000}"/>
    <cellStyle name="40% - Accent4 11 2 2 2 2 4 2" xfId="44850" xr:uid="{1DF9A590-C49D-4EC3-BE16-B858377976C6}"/>
    <cellStyle name="40% - Accent4 11 2 2 2 2 5" xfId="28971" xr:uid="{C65631E8-189D-407F-9DD1-741EE4DF1A5F}"/>
    <cellStyle name="40% - Accent4 11 2 2 2 3" xfId="6872" xr:uid="{00000000-0005-0000-0000-0000C73F0000}"/>
    <cellStyle name="40% - Accent4 11 2 2 2 3 2" xfId="14843" xr:uid="{00000000-0005-0000-0000-0000C83F0000}"/>
    <cellStyle name="40% - Accent4 11 2 2 2 3 2 2" xfId="38685" xr:uid="{BF628C00-8F7C-4D14-AD20-FF2731B31013}"/>
    <cellStyle name="40% - Accent4 11 2 2 2 3 3" xfId="22790" xr:uid="{00000000-0005-0000-0000-0000C93F0000}"/>
    <cellStyle name="40% - Accent4 11 2 2 2 3 3 2" xfId="46622" xr:uid="{0147855E-8495-416B-BB5F-499D7FE6B662}"/>
    <cellStyle name="40% - Accent4 11 2 2 2 3 4" xfId="30744" xr:uid="{73C01720-1885-4EF7-B23A-BD5149ADE873}"/>
    <cellStyle name="40% - Accent4 11 2 2 2 4" xfId="11307" xr:uid="{00000000-0005-0000-0000-0000CA3F0000}"/>
    <cellStyle name="40% - Accent4 11 2 2 2 4 2" xfId="35156" xr:uid="{02D688FD-7E53-4B5F-A29C-BEA41C1EAC71}"/>
    <cellStyle name="40% - Accent4 11 2 2 2 5" xfId="19262" xr:uid="{00000000-0005-0000-0000-0000CB3F0000}"/>
    <cellStyle name="40% - Accent4 11 2 2 2 5 2" xfId="43094" xr:uid="{E51C5479-B22D-419A-8B4E-E40A322E4C01}"/>
    <cellStyle name="40% - Accent4 11 2 2 2 6" xfId="27214" xr:uid="{351364DE-0922-4343-A6E0-5252D4939A79}"/>
    <cellStyle name="40% - Accent4 11 2 2 2_Exh G" xfId="3061" xr:uid="{00000000-0005-0000-0000-0000CC3F0000}"/>
    <cellStyle name="40% - Accent4 11 2 2 3" xfId="4161" xr:uid="{00000000-0005-0000-0000-0000CD3F0000}"/>
    <cellStyle name="40% - Accent4 11 2 2 3 2" xfId="7753" xr:uid="{00000000-0005-0000-0000-0000CE3F0000}"/>
    <cellStyle name="40% - Accent4 11 2 2 3 2 2" xfId="15723" xr:uid="{00000000-0005-0000-0000-0000CF3F0000}"/>
    <cellStyle name="40% - Accent4 11 2 2 3 2 2 2" xfId="39565" xr:uid="{BE187A27-158C-45FA-9AE3-7ACA162558C2}"/>
    <cellStyle name="40% - Accent4 11 2 2 3 2 3" xfId="23669" xr:uid="{00000000-0005-0000-0000-0000D03F0000}"/>
    <cellStyle name="40% - Accent4 11 2 2 3 2 3 2" xfId="47501" xr:uid="{2B55AA6B-A887-45CE-9BDD-BB1848311CE5}"/>
    <cellStyle name="40% - Accent4 11 2 2 3 2 4" xfId="31624" xr:uid="{287892E5-5492-4351-BBE8-708B4BD98E51}"/>
    <cellStyle name="40% - Accent4 11 2 2 3 3" xfId="12185" xr:uid="{00000000-0005-0000-0000-0000D13F0000}"/>
    <cellStyle name="40% - Accent4 11 2 2 3 3 2" xfId="36034" xr:uid="{E9457C53-1CAE-4460-BD33-B80B09895E7F}"/>
    <cellStyle name="40% - Accent4 11 2 2 3 4" xfId="20140" xr:uid="{00000000-0005-0000-0000-0000D23F0000}"/>
    <cellStyle name="40% - Accent4 11 2 2 3 4 2" xfId="43972" xr:uid="{9ECECE0A-FE78-41A7-8DDC-B947CDB408BF}"/>
    <cellStyle name="40% - Accent4 11 2 2 3 5" xfId="28093" xr:uid="{E6290EC5-12FC-4278-A58C-885972DBCE65}"/>
    <cellStyle name="40% - Accent4 11 2 2 4" xfId="5981" xr:uid="{00000000-0005-0000-0000-0000D33F0000}"/>
    <cellStyle name="40% - Accent4 11 2 2 4 2" xfId="13964" xr:uid="{00000000-0005-0000-0000-0000D43F0000}"/>
    <cellStyle name="40% - Accent4 11 2 2 4 2 2" xfId="37807" xr:uid="{5E00FFE1-8A5A-4C36-B67C-43B4C7AEE6EC}"/>
    <cellStyle name="40% - Accent4 11 2 2 4 3" xfId="21912" xr:uid="{00000000-0005-0000-0000-0000D53F0000}"/>
    <cellStyle name="40% - Accent4 11 2 2 4 3 2" xfId="45744" xr:uid="{ED5264D9-D3F4-46E4-8883-639EC0E7B3C0}"/>
    <cellStyle name="40% - Accent4 11 2 2 4 4" xfId="29866" xr:uid="{D4AC5BBF-D879-4D87-9B14-7276BF9203FD}"/>
    <cellStyle name="40% - Accent4 11 2 2 5" xfId="9533" xr:uid="{00000000-0005-0000-0000-0000D63F0000}"/>
    <cellStyle name="40% - Accent4 11 2 2 5 2" xfId="17491" xr:uid="{00000000-0005-0000-0000-0000D73F0000}"/>
    <cellStyle name="40% - Accent4 11 2 2 5 2 2" xfId="41331" xr:uid="{DC65B2B6-CB20-4EE1-A271-A0AC6854D683}"/>
    <cellStyle name="40% - Accent4 11 2 2 5 3" xfId="25435" xr:uid="{00000000-0005-0000-0000-0000D83F0000}"/>
    <cellStyle name="40% - Accent4 11 2 2 5 3 2" xfId="49267" xr:uid="{4EA14811-D31E-4A6A-862E-6C05E6A1872D}"/>
    <cellStyle name="40% - Accent4 11 2 2 5 4" xfId="33390" xr:uid="{497362D6-13F8-4C8B-8B2E-36C569761C2D}"/>
    <cellStyle name="40% - Accent4 11 2 2 6" xfId="10429" xr:uid="{00000000-0005-0000-0000-0000D93F0000}"/>
    <cellStyle name="40% - Accent4 11 2 2 6 2" xfId="34278" xr:uid="{0FB2A468-41CB-4FE2-9099-3437BDCD82AD}"/>
    <cellStyle name="40% - Accent4 11 2 2 7" xfId="18384" xr:uid="{00000000-0005-0000-0000-0000DA3F0000}"/>
    <cellStyle name="40% - Accent4 11 2 2 7 2" xfId="42216" xr:uid="{977318FC-11CD-4DB7-9E9D-2E293D12993F}"/>
    <cellStyle name="40% - Accent4 11 2 2 8" xfId="26336" xr:uid="{021F94A6-0320-4EA6-B582-0F671C7714E4}"/>
    <cellStyle name="40% - Accent4 11 2 2_Exh G" xfId="3060" xr:uid="{00000000-0005-0000-0000-0000DB3F0000}"/>
    <cellStyle name="40% - Accent4 11 2 3" xfId="1512" xr:uid="{00000000-0005-0000-0000-0000DC3F0000}"/>
    <cellStyle name="40% - Accent4 11 2 3 2" xfId="5039" xr:uid="{00000000-0005-0000-0000-0000DD3F0000}"/>
    <cellStyle name="40% - Accent4 11 2 3 2 2" xfId="8630" xr:uid="{00000000-0005-0000-0000-0000DE3F0000}"/>
    <cellStyle name="40% - Accent4 11 2 3 2 2 2" xfId="16600" xr:uid="{00000000-0005-0000-0000-0000DF3F0000}"/>
    <cellStyle name="40% - Accent4 11 2 3 2 2 2 2" xfId="40442" xr:uid="{B9632810-1CD7-4E0F-9BBD-98DD0AB4E5DE}"/>
    <cellStyle name="40% - Accent4 11 2 3 2 2 3" xfId="24546" xr:uid="{00000000-0005-0000-0000-0000E03F0000}"/>
    <cellStyle name="40% - Accent4 11 2 3 2 2 3 2" xfId="48378" xr:uid="{F8A24BEF-2BB9-4FA8-BCF5-DD3A6A36E75E}"/>
    <cellStyle name="40% - Accent4 11 2 3 2 2 4" xfId="32501" xr:uid="{9E36612E-4A8A-4D98-84B1-71340D35A037}"/>
    <cellStyle name="40% - Accent4 11 2 3 2 3" xfId="13062" xr:uid="{00000000-0005-0000-0000-0000E13F0000}"/>
    <cellStyle name="40% - Accent4 11 2 3 2 3 2" xfId="36911" xr:uid="{CE45D98A-B594-47BB-8671-A50443A94E3B}"/>
    <cellStyle name="40% - Accent4 11 2 3 2 4" xfId="21017" xr:uid="{00000000-0005-0000-0000-0000E23F0000}"/>
    <cellStyle name="40% - Accent4 11 2 3 2 4 2" xfId="44849" xr:uid="{8EDF2164-4B0A-4AA5-B11E-870A9029631C}"/>
    <cellStyle name="40% - Accent4 11 2 3 2 5" xfId="28970" xr:uid="{C7D09500-AEFE-4A06-B1CB-97B14395E2E4}"/>
    <cellStyle name="40% - Accent4 11 2 3 3" xfId="6871" xr:uid="{00000000-0005-0000-0000-0000E33F0000}"/>
    <cellStyle name="40% - Accent4 11 2 3 3 2" xfId="14842" xr:uid="{00000000-0005-0000-0000-0000E43F0000}"/>
    <cellStyle name="40% - Accent4 11 2 3 3 2 2" xfId="38684" xr:uid="{C839CDC2-2391-47E5-8A18-304E5322A870}"/>
    <cellStyle name="40% - Accent4 11 2 3 3 3" xfId="22789" xr:uid="{00000000-0005-0000-0000-0000E53F0000}"/>
    <cellStyle name="40% - Accent4 11 2 3 3 3 2" xfId="46621" xr:uid="{5332BAB9-1047-4AA8-9FB4-19305EA168D0}"/>
    <cellStyle name="40% - Accent4 11 2 3 3 4" xfId="30743" xr:uid="{0BE6663A-5737-4B82-9903-E514C3156587}"/>
    <cellStyle name="40% - Accent4 11 2 3 4" xfId="11306" xr:uid="{00000000-0005-0000-0000-0000E63F0000}"/>
    <cellStyle name="40% - Accent4 11 2 3 4 2" xfId="35155" xr:uid="{01C344DC-9926-413D-82DB-4DEAFBC99CF7}"/>
    <cellStyle name="40% - Accent4 11 2 3 5" xfId="19261" xr:uid="{00000000-0005-0000-0000-0000E73F0000}"/>
    <cellStyle name="40% - Accent4 11 2 3 5 2" xfId="43093" xr:uid="{40BBF65D-FCD2-4597-9226-238DC0B81A5D}"/>
    <cellStyle name="40% - Accent4 11 2 3 6" xfId="27213" xr:uid="{0FD422C7-766A-46E4-8615-28889F260C3F}"/>
    <cellStyle name="40% - Accent4 11 2 3_Exh G" xfId="3062" xr:uid="{00000000-0005-0000-0000-0000E83F0000}"/>
    <cellStyle name="40% - Accent4 11 2 4" xfId="4160" xr:uid="{00000000-0005-0000-0000-0000E93F0000}"/>
    <cellStyle name="40% - Accent4 11 2 4 2" xfId="7752" xr:uid="{00000000-0005-0000-0000-0000EA3F0000}"/>
    <cellStyle name="40% - Accent4 11 2 4 2 2" xfId="15722" xr:uid="{00000000-0005-0000-0000-0000EB3F0000}"/>
    <cellStyle name="40% - Accent4 11 2 4 2 2 2" xfId="39564" xr:uid="{EACAE2A8-A8BC-432C-A1AA-0CA379ECCAAD}"/>
    <cellStyle name="40% - Accent4 11 2 4 2 3" xfId="23668" xr:uid="{00000000-0005-0000-0000-0000EC3F0000}"/>
    <cellStyle name="40% - Accent4 11 2 4 2 3 2" xfId="47500" xr:uid="{6B13DC09-8B7E-4F6A-9C6C-A3D1E0988E56}"/>
    <cellStyle name="40% - Accent4 11 2 4 2 4" xfId="31623" xr:uid="{5AF479C0-D395-4828-B50E-927AA68A9D2A}"/>
    <cellStyle name="40% - Accent4 11 2 4 3" xfId="12184" xr:uid="{00000000-0005-0000-0000-0000ED3F0000}"/>
    <cellStyle name="40% - Accent4 11 2 4 3 2" xfId="36033" xr:uid="{7D6B6FBE-A06E-473D-809B-F8770C8E7277}"/>
    <cellStyle name="40% - Accent4 11 2 4 4" xfId="20139" xr:uid="{00000000-0005-0000-0000-0000EE3F0000}"/>
    <cellStyle name="40% - Accent4 11 2 4 4 2" xfId="43971" xr:uid="{A2D3B30E-E3F7-4B09-BED6-6544AD9351CF}"/>
    <cellStyle name="40% - Accent4 11 2 4 5" xfId="28092" xr:uid="{E3962A42-73F6-4C0A-8EDB-EAB44E0F895C}"/>
    <cellStyle name="40% - Accent4 11 2 5" xfId="5980" xr:uid="{00000000-0005-0000-0000-0000EF3F0000}"/>
    <cellStyle name="40% - Accent4 11 2 5 2" xfId="13963" xr:uid="{00000000-0005-0000-0000-0000F03F0000}"/>
    <cellStyle name="40% - Accent4 11 2 5 2 2" xfId="37806" xr:uid="{08240CA3-2E32-42FA-B6F9-CD3D25978522}"/>
    <cellStyle name="40% - Accent4 11 2 5 3" xfId="21911" xr:uid="{00000000-0005-0000-0000-0000F13F0000}"/>
    <cellStyle name="40% - Accent4 11 2 5 3 2" xfId="45743" xr:uid="{FE895800-D819-4934-9DFE-F076BAA8EE05}"/>
    <cellStyle name="40% - Accent4 11 2 5 4" xfId="29865" xr:uid="{4BD5EBDD-9DDE-40B2-A5E3-C59D2FE44FE9}"/>
    <cellStyle name="40% - Accent4 11 2 6" xfId="9532" xr:uid="{00000000-0005-0000-0000-0000F23F0000}"/>
    <cellStyle name="40% - Accent4 11 2 6 2" xfId="17490" xr:uid="{00000000-0005-0000-0000-0000F33F0000}"/>
    <cellStyle name="40% - Accent4 11 2 6 2 2" xfId="41330" xr:uid="{A4BA58E8-1C2E-4690-91DF-ECB1D12522F7}"/>
    <cellStyle name="40% - Accent4 11 2 6 3" xfId="25434" xr:uid="{00000000-0005-0000-0000-0000F43F0000}"/>
    <cellStyle name="40% - Accent4 11 2 6 3 2" xfId="49266" xr:uid="{0729038B-74B6-4204-A7B6-DDCD1F68E35B}"/>
    <cellStyle name="40% - Accent4 11 2 6 4" xfId="33389" xr:uid="{38AA1799-0780-4058-B15F-2B8594C9A9FD}"/>
    <cellStyle name="40% - Accent4 11 2 7" xfId="10428" xr:uid="{00000000-0005-0000-0000-0000F53F0000}"/>
    <cellStyle name="40% - Accent4 11 2 7 2" xfId="34277" xr:uid="{3F643D3D-A68E-476F-ACB5-D2AEA39F48BF}"/>
    <cellStyle name="40% - Accent4 11 2 8" xfId="18383" xr:uid="{00000000-0005-0000-0000-0000F63F0000}"/>
    <cellStyle name="40% - Accent4 11 2 8 2" xfId="42215" xr:uid="{221305C9-1874-421C-A322-436AD6E2064D}"/>
    <cellStyle name="40% - Accent4 11 2 9" xfId="26335" xr:uid="{918A3D8A-7D30-4C7D-ABEF-49DA6E324648}"/>
    <cellStyle name="40% - Accent4 11 2_Exh G" xfId="3059" xr:uid="{00000000-0005-0000-0000-0000F73F0000}"/>
    <cellStyle name="40% - Accent4 11 3" xfId="488" xr:uid="{00000000-0005-0000-0000-0000F83F0000}"/>
    <cellStyle name="40% - Accent4 11 3 2" xfId="1514" xr:uid="{00000000-0005-0000-0000-0000F93F0000}"/>
    <cellStyle name="40% - Accent4 11 3 2 2" xfId="5041" xr:uid="{00000000-0005-0000-0000-0000FA3F0000}"/>
    <cellStyle name="40% - Accent4 11 3 2 2 2" xfId="8632" xr:uid="{00000000-0005-0000-0000-0000FB3F0000}"/>
    <cellStyle name="40% - Accent4 11 3 2 2 2 2" xfId="16602" xr:uid="{00000000-0005-0000-0000-0000FC3F0000}"/>
    <cellStyle name="40% - Accent4 11 3 2 2 2 2 2" xfId="40444" xr:uid="{91444C0F-996E-4910-A907-6DF0FB013977}"/>
    <cellStyle name="40% - Accent4 11 3 2 2 2 3" xfId="24548" xr:uid="{00000000-0005-0000-0000-0000FD3F0000}"/>
    <cellStyle name="40% - Accent4 11 3 2 2 2 3 2" xfId="48380" xr:uid="{83971264-9CA3-4406-901E-E9D57E2B98BA}"/>
    <cellStyle name="40% - Accent4 11 3 2 2 2 4" xfId="32503" xr:uid="{14191647-8680-4340-83E1-497C4BA52509}"/>
    <cellStyle name="40% - Accent4 11 3 2 2 3" xfId="13064" xr:uid="{00000000-0005-0000-0000-0000FE3F0000}"/>
    <cellStyle name="40% - Accent4 11 3 2 2 3 2" xfId="36913" xr:uid="{E4025B7F-53FC-4876-ACD6-A8B8F45F3E86}"/>
    <cellStyle name="40% - Accent4 11 3 2 2 4" xfId="21019" xr:uid="{00000000-0005-0000-0000-0000FF3F0000}"/>
    <cellStyle name="40% - Accent4 11 3 2 2 4 2" xfId="44851" xr:uid="{6848569F-3190-4F9B-A018-5B3E8F85C10F}"/>
    <cellStyle name="40% - Accent4 11 3 2 2 5" xfId="28972" xr:uid="{BBB96641-12A4-4F5F-99EC-E42AAD797863}"/>
    <cellStyle name="40% - Accent4 11 3 2 3" xfId="6873" xr:uid="{00000000-0005-0000-0000-000000400000}"/>
    <cellStyle name="40% - Accent4 11 3 2 3 2" xfId="14844" xr:uid="{00000000-0005-0000-0000-000001400000}"/>
    <cellStyle name="40% - Accent4 11 3 2 3 2 2" xfId="38686" xr:uid="{140D9D98-DDB1-4D95-BF46-1CF78F3D881D}"/>
    <cellStyle name="40% - Accent4 11 3 2 3 3" xfId="22791" xr:uid="{00000000-0005-0000-0000-000002400000}"/>
    <cellStyle name="40% - Accent4 11 3 2 3 3 2" xfId="46623" xr:uid="{6C0A0369-5FAC-423E-A074-45A2A1744282}"/>
    <cellStyle name="40% - Accent4 11 3 2 3 4" xfId="30745" xr:uid="{9AD0B369-590E-41E1-BA84-7C5BBBB4109B}"/>
    <cellStyle name="40% - Accent4 11 3 2 4" xfId="11308" xr:uid="{00000000-0005-0000-0000-000003400000}"/>
    <cellStyle name="40% - Accent4 11 3 2 4 2" xfId="35157" xr:uid="{1E749B1C-B2B9-4E9D-BB7A-19146E2CF9D9}"/>
    <cellStyle name="40% - Accent4 11 3 2 5" xfId="19263" xr:uid="{00000000-0005-0000-0000-000004400000}"/>
    <cellStyle name="40% - Accent4 11 3 2 5 2" xfId="43095" xr:uid="{389DAAA6-C526-438D-80AE-99EFD706F494}"/>
    <cellStyle name="40% - Accent4 11 3 2 6" xfId="27215" xr:uid="{8DBA957B-453B-460C-BE99-6D8F3B9E64FF}"/>
    <cellStyle name="40% - Accent4 11 3 2_Exh G" xfId="3064" xr:uid="{00000000-0005-0000-0000-000005400000}"/>
    <cellStyle name="40% - Accent4 11 3 3" xfId="4162" xr:uid="{00000000-0005-0000-0000-000006400000}"/>
    <cellStyle name="40% - Accent4 11 3 3 2" xfId="7754" xr:uid="{00000000-0005-0000-0000-000007400000}"/>
    <cellStyle name="40% - Accent4 11 3 3 2 2" xfId="15724" xr:uid="{00000000-0005-0000-0000-000008400000}"/>
    <cellStyle name="40% - Accent4 11 3 3 2 2 2" xfId="39566" xr:uid="{DAB3FC39-D169-4DDC-B2ED-136C50A39754}"/>
    <cellStyle name="40% - Accent4 11 3 3 2 3" xfId="23670" xr:uid="{00000000-0005-0000-0000-000009400000}"/>
    <cellStyle name="40% - Accent4 11 3 3 2 3 2" xfId="47502" xr:uid="{590D8A6B-DC3D-47A0-80BD-04B453C55D9D}"/>
    <cellStyle name="40% - Accent4 11 3 3 2 4" xfId="31625" xr:uid="{C96FC957-50A6-44EE-8CF1-4A56AF5699F0}"/>
    <cellStyle name="40% - Accent4 11 3 3 3" xfId="12186" xr:uid="{00000000-0005-0000-0000-00000A400000}"/>
    <cellStyle name="40% - Accent4 11 3 3 3 2" xfId="36035" xr:uid="{9372C229-F191-4D2B-ACAC-FDDD336C2C38}"/>
    <cellStyle name="40% - Accent4 11 3 3 4" xfId="20141" xr:uid="{00000000-0005-0000-0000-00000B400000}"/>
    <cellStyle name="40% - Accent4 11 3 3 4 2" xfId="43973" xr:uid="{5A353C31-4F05-4FD2-9318-80674F58A7CB}"/>
    <cellStyle name="40% - Accent4 11 3 3 5" xfId="28094" xr:uid="{D5104189-CFEA-45BD-8FBD-AF6C2DB37F93}"/>
    <cellStyle name="40% - Accent4 11 3 4" xfId="5982" xr:uid="{00000000-0005-0000-0000-00000C400000}"/>
    <cellStyle name="40% - Accent4 11 3 4 2" xfId="13965" xr:uid="{00000000-0005-0000-0000-00000D400000}"/>
    <cellStyle name="40% - Accent4 11 3 4 2 2" xfId="37808" xr:uid="{16EE97EF-66F2-4472-8138-8AA75321C809}"/>
    <cellStyle name="40% - Accent4 11 3 4 3" xfId="21913" xr:uid="{00000000-0005-0000-0000-00000E400000}"/>
    <cellStyle name="40% - Accent4 11 3 4 3 2" xfId="45745" xr:uid="{4904B9CE-F534-43F9-942A-687328679B79}"/>
    <cellStyle name="40% - Accent4 11 3 4 4" xfId="29867" xr:uid="{462A0127-2DAC-4538-A146-808E56B09E23}"/>
    <cellStyle name="40% - Accent4 11 3 5" xfId="9534" xr:uid="{00000000-0005-0000-0000-00000F400000}"/>
    <cellStyle name="40% - Accent4 11 3 5 2" xfId="17492" xr:uid="{00000000-0005-0000-0000-000010400000}"/>
    <cellStyle name="40% - Accent4 11 3 5 2 2" xfId="41332" xr:uid="{050BA098-5C51-42A9-9A67-DA86D9B5798D}"/>
    <cellStyle name="40% - Accent4 11 3 5 3" xfId="25436" xr:uid="{00000000-0005-0000-0000-000011400000}"/>
    <cellStyle name="40% - Accent4 11 3 5 3 2" xfId="49268" xr:uid="{97CE6771-781C-44B2-B9CC-36400067BC08}"/>
    <cellStyle name="40% - Accent4 11 3 5 4" xfId="33391" xr:uid="{268C679A-0168-4580-AB7F-C279C5717451}"/>
    <cellStyle name="40% - Accent4 11 3 6" xfId="10430" xr:uid="{00000000-0005-0000-0000-000012400000}"/>
    <cellStyle name="40% - Accent4 11 3 6 2" xfId="34279" xr:uid="{6EC5141D-A970-48E3-8DE0-C04BA9FD595C}"/>
    <cellStyle name="40% - Accent4 11 3 7" xfId="18385" xr:uid="{00000000-0005-0000-0000-000013400000}"/>
    <cellStyle name="40% - Accent4 11 3 7 2" xfId="42217" xr:uid="{2A367B9B-4D3A-4D55-859C-43261B12A646}"/>
    <cellStyle name="40% - Accent4 11 3 8" xfId="26337" xr:uid="{8B619FBC-1EC9-4F61-9A1F-12EFEED05FAE}"/>
    <cellStyle name="40% - Accent4 11 3_Exh G" xfId="3063" xr:uid="{00000000-0005-0000-0000-000014400000}"/>
    <cellStyle name="40% - Accent4 11 4" xfId="1511" xr:uid="{00000000-0005-0000-0000-000015400000}"/>
    <cellStyle name="40% - Accent4 11 4 2" xfId="5038" xr:uid="{00000000-0005-0000-0000-000016400000}"/>
    <cellStyle name="40% - Accent4 11 4 2 2" xfId="8629" xr:uid="{00000000-0005-0000-0000-000017400000}"/>
    <cellStyle name="40% - Accent4 11 4 2 2 2" xfId="16599" xr:uid="{00000000-0005-0000-0000-000018400000}"/>
    <cellStyle name="40% - Accent4 11 4 2 2 2 2" xfId="40441" xr:uid="{50C41173-E2CD-4DD4-8A7F-3855553779E8}"/>
    <cellStyle name="40% - Accent4 11 4 2 2 3" xfId="24545" xr:uid="{00000000-0005-0000-0000-000019400000}"/>
    <cellStyle name="40% - Accent4 11 4 2 2 3 2" xfId="48377" xr:uid="{51E6511F-BBCD-4347-B8BE-09B132774AC6}"/>
    <cellStyle name="40% - Accent4 11 4 2 2 4" xfId="32500" xr:uid="{6518BF76-95B9-42E7-AD12-65BE14A3594F}"/>
    <cellStyle name="40% - Accent4 11 4 2 3" xfId="13061" xr:uid="{00000000-0005-0000-0000-00001A400000}"/>
    <cellStyle name="40% - Accent4 11 4 2 3 2" xfId="36910" xr:uid="{BB9E8AF8-6484-466E-BDB0-8179B71BDAF5}"/>
    <cellStyle name="40% - Accent4 11 4 2 4" xfId="21016" xr:uid="{00000000-0005-0000-0000-00001B400000}"/>
    <cellStyle name="40% - Accent4 11 4 2 4 2" xfId="44848" xr:uid="{44837C38-717F-4A2B-9F3E-02C8C9D4293B}"/>
    <cellStyle name="40% - Accent4 11 4 2 5" xfId="28969" xr:uid="{8A7A36E7-8E49-4DA7-BE36-67C5023DE696}"/>
    <cellStyle name="40% - Accent4 11 4 3" xfId="6870" xr:uid="{00000000-0005-0000-0000-00001C400000}"/>
    <cellStyle name="40% - Accent4 11 4 3 2" xfId="14841" xr:uid="{00000000-0005-0000-0000-00001D400000}"/>
    <cellStyle name="40% - Accent4 11 4 3 2 2" xfId="38683" xr:uid="{8F0C1674-EC63-4C9A-B9FF-FAC7E03D0ED4}"/>
    <cellStyle name="40% - Accent4 11 4 3 3" xfId="22788" xr:uid="{00000000-0005-0000-0000-00001E400000}"/>
    <cellStyle name="40% - Accent4 11 4 3 3 2" xfId="46620" xr:uid="{05406EAE-DFD4-480C-AE07-15F7CF002F91}"/>
    <cellStyle name="40% - Accent4 11 4 3 4" xfId="30742" xr:uid="{018FDE6A-0BEB-409A-93C9-4DC7B3F8EA57}"/>
    <cellStyle name="40% - Accent4 11 4 4" xfId="11305" xr:uid="{00000000-0005-0000-0000-00001F400000}"/>
    <cellStyle name="40% - Accent4 11 4 4 2" xfId="35154" xr:uid="{D920E4DD-8BEF-4703-A9C8-5FBFBCCF9DF3}"/>
    <cellStyle name="40% - Accent4 11 4 5" xfId="19260" xr:uid="{00000000-0005-0000-0000-000020400000}"/>
    <cellStyle name="40% - Accent4 11 4 5 2" xfId="43092" xr:uid="{11A16259-BB29-4E64-8493-650D4AA51738}"/>
    <cellStyle name="40% - Accent4 11 4 6" xfId="27212" xr:uid="{AC6D32FC-177F-4130-BB03-A316D90A6258}"/>
    <cellStyle name="40% - Accent4 11 4_Exh G" xfId="3065" xr:uid="{00000000-0005-0000-0000-000021400000}"/>
    <cellStyle name="40% - Accent4 11 5" xfId="4159" xr:uid="{00000000-0005-0000-0000-000022400000}"/>
    <cellStyle name="40% - Accent4 11 5 2" xfId="7751" xr:uid="{00000000-0005-0000-0000-000023400000}"/>
    <cellStyle name="40% - Accent4 11 5 2 2" xfId="15721" xr:uid="{00000000-0005-0000-0000-000024400000}"/>
    <cellStyle name="40% - Accent4 11 5 2 2 2" xfId="39563" xr:uid="{80C38B93-B368-4336-8307-D3782F2B2320}"/>
    <cellStyle name="40% - Accent4 11 5 2 3" xfId="23667" xr:uid="{00000000-0005-0000-0000-000025400000}"/>
    <cellStyle name="40% - Accent4 11 5 2 3 2" xfId="47499" xr:uid="{04391034-4A42-40C2-9109-6632E092C4CF}"/>
    <cellStyle name="40% - Accent4 11 5 2 4" xfId="31622" xr:uid="{7741383F-CC3D-4AD6-B227-BD82F5F01E6B}"/>
    <cellStyle name="40% - Accent4 11 5 3" xfId="12183" xr:uid="{00000000-0005-0000-0000-000026400000}"/>
    <cellStyle name="40% - Accent4 11 5 3 2" xfId="36032" xr:uid="{449382DB-2264-4B4D-8057-196194D68CF9}"/>
    <cellStyle name="40% - Accent4 11 5 4" xfId="20138" xr:uid="{00000000-0005-0000-0000-000027400000}"/>
    <cellStyle name="40% - Accent4 11 5 4 2" xfId="43970" xr:uid="{893645AE-7D3C-4B10-AD0F-F7EE27D62C4B}"/>
    <cellStyle name="40% - Accent4 11 5 5" xfId="28091" xr:uid="{8C5FFA87-7485-41C8-A7AC-DD8BC32E73B0}"/>
    <cellStyle name="40% - Accent4 11 6" xfId="5979" xr:uid="{00000000-0005-0000-0000-000028400000}"/>
    <cellStyle name="40% - Accent4 11 6 2" xfId="13962" xr:uid="{00000000-0005-0000-0000-000029400000}"/>
    <cellStyle name="40% - Accent4 11 6 2 2" xfId="37805" xr:uid="{98CF3C51-A864-448F-AB3B-31DA48C45E24}"/>
    <cellStyle name="40% - Accent4 11 6 3" xfId="21910" xr:uid="{00000000-0005-0000-0000-00002A400000}"/>
    <cellStyle name="40% - Accent4 11 6 3 2" xfId="45742" xr:uid="{6D832CDF-55A1-40B7-A50B-B61036C63911}"/>
    <cellStyle name="40% - Accent4 11 6 4" xfId="29864" xr:uid="{6E1046C7-7630-4944-AF16-8E62CA9931FA}"/>
    <cellStyle name="40% - Accent4 11 7" xfId="9531" xr:uid="{00000000-0005-0000-0000-00002B400000}"/>
    <cellStyle name="40% - Accent4 11 7 2" xfId="17489" xr:uid="{00000000-0005-0000-0000-00002C400000}"/>
    <cellStyle name="40% - Accent4 11 7 2 2" xfId="41329" xr:uid="{391E8F74-62E6-4785-90CD-AF6020F4027A}"/>
    <cellStyle name="40% - Accent4 11 7 3" xfId="25433" xr:uid="{00000000-0005-0000-0000-00002D400000}"/>
    <cellStyle name="40% - Accent4 11 7 3 2" xfId="49265" xr:uid="{2AE4BFCE-2740-444D-AB9B-A0630EA8AAD9}"/>
    <cellStyle name="40% - Accent4 11 7 4" xfId="33388" xr:uid="{BCFFE88B-A343-407F-B2FF-DCFC7FFB228C}"/>
    <cellStyle name="40% - Accent4 11 8" xfId="10427" xr:uid="{00000000-0005-0000-0000-00002E400000}"/>
    <cellStyle name="40% - Accent4 11 8 2" xfId="34276" xr:uid="{7F8A4EF4-5776-4F52-B187-4A054F193228}"/>
    <cellStyle name="40% - Accent4 11 9" xfId="18382" xr:uid="{00000000-0005-0000-0000-00002F400000}"/>
    <cellStyle name="40% - Accent4 11 9 2" xfId="42214" xr:uid="{F17EA48B-A385-474E-9260-73E95839E161}"/>
    <cellStyle name="40% - Accent4 11_Exh G" xfId="3058" xr:uid="{00000000-0005-0000-0000-000030400000}"/>
    <cellStyle name="40% - Accent4 12" xfId="489" xr:uid="{00000000-0005-0000-0000-000031400000}"/>
    <cellStyle name="40% - Accent4 12 10" xfId="26338" xr:uid="{80D4225A-8ADE-4D7F-A9AF-C69435B279A7}"/>
    <cellStyle name="40% - Accent4 12 2" xfId="490" xr:uid="{00000000-0005-0000-0000-000032400000}"/>
    <cellStyle name="40% - Accent4 12 2 2" xfId="491" xr:uid="{00000000-0005-0000-0000-000033400000}"/>
    <cellStyle name="40% - Accent4 12 2 2 2" xfId="1517" xr:uid="{00000000-0005-0000-0000-000034400000}"/>
    <cellStyle name="40% - Accent4 12 2 2 2 2" xfId="5044" xr:uid="{00000000-0005-0000-0000-000035400000}"/>
    <cellStyle name="40% - Accent4 12 2 2 2 2 2" xfId="8635" xr:uid="{00000000-0005-0000-0000-000036400000}"/>
    <cellStyle name="40% - Accent4 12 2 2 2 2 2 2" xfId="16605" xr:uid="{00000000-0005-0000-0000-000037400000}"/>
    <cellStyle name="40% - Accent4 12 2 2 2 2 2 2 2" xfId="40447" xr:uid="{86809E0D-CB21-4BC8-87AD-95048A11FE02}"/>
    <cellStyle name="40% - Accent4 12 2 2 2 2 2 3" xfId="24551" xr:uid="{00000000-0005-0000-0000-000038400000}"/>
    <cellStyle name="40% - Accent4 12 2 2 2 2 2 3 2" xfId="48383" xr:uid="{A54757EC-8867-4912-B870-A8FE73C8FD9E}"/>
    <cellStyle name="40% - Accent4 12 2 2 2 2 2 4" xfId="32506" xr:uid="{A2A08A6F-6EAC-47DE-9AD2-2A64A025CC93}"/>
    <cellStyle name="40% - Accent4 12 2 2 2 2 3" xfId="13067" xr:uid="{00000000-0005-0000-0000-000039400000}"/>
    <cellStyle name="40% - Accent4 12 2 2 2 2 3 2" xfId="36916" xr:uid="{E04C7B1A-68A0-40D5-855B-C226C7835360}"/>
    <cellStyle name="40% - Accent4 12 2 2 2 2 4" xfId="21022" xr:uid="{00000000-0005-0000-0000-00003A400000}"/>
    <cellStyle name="40% - Accent4 12 2 2 2 2 4 2" xfId="44854" xr:uid="{5CACB679-7AB4-4155-BDD9-E11D734B742D}"/>
    <cellStyle name="40% - Accent4 12 2 2 2 2 5" xfId="28975" xr:uid="{155C97F6-6344-4387-853A-2C37C0CD1773}"/>
    <cellStyle name="40% - Accent4 12 2 2 2 3" xfId="6876" xr:uid="{00000000-0005-0000-0000-00003B400000}"/>
    <cellStyle name="40% - Accent4 12 2 2 2 3 2" xfId="14847" xr:uid="{00000000-0005-0000-0000-00003C400000}"/>
    <cellStyle name="40% - Accent4 12 2 2 2 3 2 2" xfId="38689" xr:uid="{ACDB26F2-47F9-4331-8A53-D2043C98B482}"/>
    <cellStyle name="40% - Accent4 12 2 2 2 3 3" xfId="22794" xr:uid="{00000000-0005-0000-0000-00003D400000}"/>
    <cellStyle name="40% - Accent4 12 2 2 2 3 3 2" xfId="46626" xr:uid="{9E23BF26-E700-4868-97E8-47CFDCBD75A9}"/>
    <cellStyle name="40% - Accent4 12 2 2 2 3 4" xfId="30748" xr:uid="{BAD62AED-2694-4B45-B09D-166CE650CE42}"/>
    <cellStyle name="40% - Accent4 12 2 2 2 4" xfId="11311" xr:uid="{00000000-0005-0000-0000-00003E400000}"/>
    <cellStyle name="40% - Accent4 12 2 2 2 4 2" xfId="35160" xr:uid="{C2B4C320-872C-469F-8927-5F4E13F35458}"/>
    <cellStyle name="40% - Accent4 12 2 2 2 5" xfId="19266" xr:uid="{00000000-0005-0000-0000-00003F400000}"/>
    <cellStyle name="40% - Accent4 12 2 2 2 5 2" xfId="43098" xr:uid="{E030B505-01F1-4E83-B3F7-C10E407485E2}"/>
    <cellStyle name="40% - Accent4 12 2 2 2 6" xfId="27218" xr:uid="{0590889B-9756-4DF0-B6D4-16755695DC08}"/>
    <cellStyle name="40% - Accent4 12 2 2 2_Exh G" xfId="3069" xr:uid="{00000000-0005-0000-0000-000040400000}"/>
    <cellStyle name="40% - Accent4 12 2 2 3" xfId="4165" xr:uid="{00000000-0005-0000-0000-000041400000}"/>
    <cellStyle name="40% - Accent4 12 2 2 3 2" xfId="7757" xr:uid="{00000000-0005-0000-0000-000042400000}"/>
    <cellStyle name="40% - Accent4 12 2 2 3 2 2" xfId="15727" xr:uid="{00000000-0005-0000-0000-000043400000}"/>
    <cellStyle name="40% - Accent4 12 2 2 3 2 2 2" xfId="39569" xr:uid="{776C48B6-03C4-4A82-8D9D-8D3DF04851AF}"/>
    <cellStyle name="40% - Accent4 12 2 2 3 2 3" xfId="23673" xr:uid="{00000000-0005-0000-0000-000044400000}"/>
    <cellStyle name="40% - Accent4 12 2 2 3 2 3 2" xfId="47505" xr:uid="{34CA7A9A-0900-434D-B10D-974687E2FD5D}"/>
    <cellStyle name="40% - Accent4 12 2 2 3 2 4" xfId="31628" xr:uid="{3386099E-5A30-40A8-8A6F-14FD85332B83}"/>
    <cellStyle name="40% - Accent4 12 2 2 3 3" xfId="12189" xr:uid="{00000000-0005-0000-0000-000045400000}"/>
    <cellStyle name="40% - Accent4 12 2 2 3 3 2" xfId="36038" xr:uid="{87BD1D91-D3A4-4453-A159-9D5E8CD0EB61}"/>
    <cellStyle name="40% - Accent4 12 2 2 3 4" xfId="20144" xr:uid="{00000000-0005-0000-0000-000046400000}"/>
    <cellStyle name="40% - Accent4 12 2 2 3 4 2" xfId="43976" xr:uid="{C66A52B9-76E4-40C4-B052-95F2BA18167C}"/>
    <cellStyle name="40% - Accent4 12 2 2 3 5" xfId="28097" xr:uid="{B1E5E0AA-D67C-4C9F-A01A-1A3E2ECE10E8}"/>
    <cellStyle name="40% - Accent4 12 2 2 4" xfId="5985" xr:uid="{00000000-0005-0000-0000-000047400000}"/>
    <cellStyle name="40% - Accent4 12 2 2 4 2" xfId="13968" xr:uid="{00000000-0005-0000-0000-000048400000}"/>
    <cellStyle name="40% - Accent4 12 2 2 4 2 2" xfId="37811" xr:uid="{AABF351D-33FC-43E2-B69F-690A39A5D162}"/>
    <cellStyle name="40% - Accent4 12 2 2 4 3" xfId="21916" xr:uid="{00000000-0005-0000-0000-000049400000}"/>
    <cellStyle name="40% - Accent4 12 2 2 4 3 2" xfId="45748" xr:uid="{2980AA5D-2548-4E7C-89DE-4103297AE5F4}"/>
    <cellStyle name="40% - Accent4 12 2 2 4 4" xfId="29870" xr:uid="{96F53058-7FDD-45CD-8941-B7099B467536}"/>
    <cellStyle name="40% - Accent4 12 2 2 5" xfId="9537" xr:uid="{00000000-0005-0000-0000-00004A400000}"/>
    <cellStyle name="40% - Accent4 12 2 2 5 2" xfId="17495" xr:uid="{00000000-0005-0000-0000-00004B400000}"/>
    <cellStyle name="40% - Accent4 12 2 2 5 2 2" xfId="41335" xr:uid="{76A8CDE3-A46D-4BDA-B67E-EE75A3167CE5}"/>
    <cellStyle name="40% - Accent4 12 2 2 5 3" xfId="25439" xr:uid="{00000000-0005-0000-0000-00004C400000}"/>
    <cellStyle name="40% - Accent4 12 2 2 5 3 2" xfId="49271" xr:uid="{EE73085C-3996-4D62-9614-4BC44FAC9A26}"/>
    <cellStyle name="40% - Accent4 12 2 2 5 4" xfId="33394" xr:uid="{CB0F5781-EBA4-44B6-9F1D-A9EFAF5C506F}"/>
    <cellStyle name="40% - Accent4 12 2 2 6" xfId="10433" xr:uid="{00000000-0005-0000-0000-00004D400000}"/>
    <cellStyle name="40% - Accent4 12 2 2 6 2" xfId="34282" xr:uid="{F9EC0A44-1EB4-4F99-9EAE-D3C229DB3A65}"/>
    <cellStyle name="40% - Accent4 12 2 2 7" xfId="18388" xr:uid="{00000000-0005-0000-0000-00004E400000}"/>
    <cellStyle name="40% - Accent4 12 2 2 7 2" xfId="42220" xr:uid="{71255634-F0DC-4F94-8884-15394E060E1F}"/>
    <cellStyle name="40% - Accent4 12 2 2 8" xfId="26340" xr:uid="{B88F9CBC-565B-44F5-8F60-B49AF7B5D7CC}"/>
    <cellStyle name="40% - Accent4 12 2 2_Exh G" xfId="3068" xr:uid="{00000000-0005-0000-0000-00004F400000}"/>
    <cellStyle name="40% - Accent4 12 2 3" xfId="1516" xr:uid="{00000000-0005-0000-0000-000050400000}"/>
    <cellStyle name="40% - Accent4 12 2 3 2" xfId="5043" xr:uid="{00000000-0005-0000-0000-000051400000}"/>
    <cellStyle name="40% - Accent4 12 2 3 2 2" xfId="8634" xr:uid="{00000000-0005-0000-0000-000052400000}"/>
    <cellStyle name="40% - Accent4 12 2 3 2 2 2" xfId="16604" xr:uid="{00000000-0005-0000-0000-000053400000}"/>
    <cellStyle name="40% - Accent4 12 2 3 2 2 2 2" xfId="40446" xr:uid="{886CBEC4-8F0C-490D-890E-0B9CD4AD74A8}"/>
    <cellStyle name="40% - Accent4 12 2 3 2 2 3" xfId="24550" xr:uid="{00000000-0005-0000-0000-000054400000}"/>
    <cellStyle name="40% - Accent4 12 2 3 2 2 3 2" xfId="48382" xr:uid="{3904D2B0-FD85-4255-8975-F1578895E2A3}"/>
    <cellStyle name="40% - Accent4 12 2 3 2 2 4" xfId="32505" xr:uid="{36B072D3-5C61-4197-B5E2-3171915076A4}"/>
    <cellStyle name="40% - Accent4 12 2 3 2 3" xfId="13066" xr:uid="{00000000-0005-0000-0000-000055400000}"/>
    <cellStyle name="40% - Accent4 12 2 3 2 3 2" xfId="36915" xr:uid="{FDED0D39-EC37-4A44-8875-A8C144040F19}"/>
    <cellStyle name="40% - Accent4 12 2 3 2 4" xfId="21021" xr:uid="{00000000-0005-0000-0000-000056400000}"/>
    <cellStyle name="40% - Accent4 12 2 3 2 4 2" xfId="44853" xr:uid="{989A3E1D-66F9-4772-86A1-471BEA96EEF5}"/>
    <cellStyle name="40% - Accent4 12 2 3 2 5" xfId="28974" xr:uid="{8004D7C4-8B99-45C3-AD37-EB86B7C689A3}"/>
    <cellStyle name="40% - Accent4 12 2 3 3" xfId="6875" xr:uid="{00000000-0005-0000-0000-000057400000}"/>
    <cellStyle name="40% - Accent4 12 2 3 3 2" xfId="14846" xr:uid="{00000000-0005-0000-0000-000058400000}"/>
    <cellStyle name="40% - Accent4 12 2 3 3 2 2" xfId="38688" xr:uid="{1E0F66AE-FD55-4852-90D6-A2793574B5DA}"/>
    <cellStyle name="40% - Accent4 12 2 3 3 3" xfId="22793" xr:uid="{00000000-0005-0000-0000-000059400000}"/>
    <cellStyle name="40% - Accent4 12 2 3 3 3 2" xfId="46625" xr:uid="{F4E3A4A9-B2D3-4567-810B-219558CC3776}"/>
    <cellStyle name="40% - Accent4 12 2 3 3 4" xfId="30747" xr:uid="{4EF1A80B-209C-40DA-8A5E-3D3E1839639B}"/>
    <cellStyle name="40% - Accent4 12 2 3 4" xfId="11310" xr:uid="{00000000-0005-0000-0000-00005A400000}"/>
    <cellStyle name="40% - Accent4 12 2 3 4 2" xfId="35159" xr:uid="{A66D02BD-786D-413B-985E-E81B50A0E81D}"/>
    <cellStyle name="40% - Accent4 12 2 3 5" xfId="19265" xr:uid="{00000000-0005-0000-0000-00005B400000}"/>
    <cellStyle name="40% - Accent4 12 2 3 5 2" xfId="43097" xr:uid="{13A4A293-A93D-40D1-AA19-B71700D55E32}"/>
    <cellStyle name="40% - Accent4 12 2 3 6" xfId="27217" xr:uid="{C6175AB5-5630-4F4D-86BA-EBE7F6E326B8}"/>
    <cellStyle name="40% - Accent4 12 2 3_Exh G" xfId="3070" xr:uid="{00000000-0005-0000-0000-00005C400000}"/>
    <cellStyle name="40% - Accent4 12 2 4" xfId="4164" xr:uid="{00000000-0005-0000-0000-00005D400000}"/>
    <cellStyle name="40% - Accent4 12 2 4 2" xfId="7756" xr:uid="{00000000-0005-0000-0000-00005E400000}"/>
    <cellStyle name="40% - Accent4 12 2 4 2 2" xfId="15726" xr:uid="{00000000-0005-0000-0000-00005F400000}"/>
    <cellStyle name="40% - Accent4 12 2 4 2 2 2" xfId="39568" xr:uid="{F275DCE7-1870-4C02-8F85-92698134888C}"/>
    <cellStyle name="40% - Accent4 12 2 4 2 3" xfId="23672" xr:uid="{00000000-0005-0000-0000-000060400000}"/>
    <cellStyle name="40% - Accent4 12 2 4 2 3 2" xfId="47504" xr:uid="{BC08F7F9-47F9-432F-892F-EDDA863BC42A}"/>
    <cellStyle name="40% - Accent4 12 2 4 2 4" xfId="31627" xr:uid="{9EC0B7FB-0664-4802-AC0A-4CFA6500C27C}"/>
    <cellStyle name="40% - Accent4 12 2 4 3" xfId="12188" xr:uid="{00000000-0005-0000-0000-000061400000}"/>
    <cellStyle name="40% - Accent4 12 2 4 3 2" xfId="36037" xr:uid="{56E0BD27-3D7A-4410-B502-3BD9A36E3ADA}"/>
    <cellStyle name="40% - Accent4 12 2 4 4" xfId="20143" xr:uid="{00000000-0005-0000-0000-000062400000}"/>
    <cellStyle name="40% - Accent4 12 2 4 4 2" xfId="43975" xr:uid="{B037EAD1-45BA-48D2-8B27-256A2C49B046}"/>
    <cellStyle name="40% - Accent4 12 2 4 5" xfId="28096" xr:uid="{2F8BC214-119B-45D5-962D-26171403527D}"/>
    <cellStyle name="40% - Accent4 12 2 5" xfId="5984" xr:uid="{00000000-0005-0000-0000-000063400000}"/>
    <cellStyle name="40% - Accent4 12 2 5 2" xfId="13967" xr:uid="{00000000-0005-0000-0000-000064400000}"/>
    <cellStyle name="40% - Accent4 12 2 5 2 2" xfId="37810" xr:uid="{CCB26F60-45D3-4695-8C43-3B6FF5554044}"/>
    <cellStyle name="40% - Accent4 12 2 5 3" xfId="21915" xr:uid="{00000000-0005-0000-0000-000065400000}"/>
    <cellStyle name="40% - Accent4 12 2 5 3 2" xfId="45747" xr:uid="{D757C051-7912-4FEB-98F8-FFBFFAC105B9}"/>
    <cellStyle name="40% - Accent4 12 2 5 4" xfId="29869" xr:uid="{D23B5797-F8E3-4384-809A-DC996374AEA8}"/>
    <cellStyle name="40% - Accent4 12 2 6" xfId="9536" xr:uid="{00000000-0005-0000-0000-000066400000}"/>
    <cellStyle name="40% - Accent4 12 2 6 2" xfId="17494" xr:uid="{00000000-0005-0000-0000-000067400000}"/>
    <cellStyle name="40% - Accent4 12 2 6 2 2" xfId="41334" xr:uid="{EC67BDF2-A3E0-4EC0-B270-AB0238459F2E}"/>
    <cellStyle name="40% - Accent4 12 2 6 3" xfId="25438" xr:uid="{00000000-0005-0000-0000-000068400000}"/>
    <cellStyle name="40% - Accent4 12 2 6 3 2" xfId="49270" xr:uid="{AB1885BF-015F-40A3-A608-31225B93C8C1}"/>
    <cellStyle name="40% - Accent4 12 2 6 4" xfId="33393" xr:uid="{0138365D-D6B5-4101-890E-2F8BF8376053}"/>
    <cellStyle name="40% - Accent4 12 2 7" xfId="10432" xr:uid="{00000000-0005-0000-0000-000069400000}"/>
    <cellStyle name="40% - Accent4 12 2 7 2" xfId="34281" xr:uid="{4782415B-22A7-4739-8BA2-5CAF2B199935}"/>
    <cellStyle name="40% - Accent4 12 2 8" xfId="18387" xr:uid="{00000000-0005-0000-0000-00006A400000}"/>
    <cellStyle name="40% - Accent4 12 2 8 2" xfId="42219" xr:uid="{3E7D1199-5C04-40D3-8864-E31979503BD0}"/>
    <cellStyle name="40% - Accent4 12 2 9" xfId="26339" xr:uid="{0D525391-1370-49ED-B341-0C9EA6E4B882}"/>
    <cellStyle name="40% - Accent4 12 2_Exh G" xfId="3067" xr:uid="{00000000-0005-0000-0000-00006B400000}"/>
    <cellStyle name="40% - Accent4 12 3" xfId="492" xr:uid="{00000000-0005-0000-0000-00006C400000}"/>
    <cellStyle name="40% - Accent4 12 3 2" xfId="1518" xr:uid="{00000000-0005-0000-0000-00006D400000}"/>
    <cellStyle name="40% - Accent4 12 3 2 2" xfId="5045" xr:uid="{00000000-0005-0000-0000-00006E400000}"/>
    <cellStyle name="40% - Accent4 12 3 2 2 2" xfId="8636" xr:uid="{00000000-0005-0000-0000-00006F400000}"/>
    <cellStyle name="40% - Accent4 12 3 2 2 2 2" xfId="16606" xr:uid="{00000000-0005-0000-0000-000070400000}"/>
    <cellStyle name="40% - Accent4 12 3 2 2 2 2 2" xfId="40448" xr:uid="{D1B28C61-08CC-4BC5-9CFC-FAD9328E758D}"/>
    <cellStyle name="40% - Accent4 12 3 2 2 2 3" xfId="24552" xr:uid="{00000000-0005-0000-0000-000071400000}"/>
    <cellStyle name="40% - Accent4 12 3 2 2 2 3 2" xfId="48384" xr:uid="{D5E0E965-8CB5-458B-9A54-063A02107B53}"/>
    <cellStyle name="40% - Accent4 12 3 2 2 2 4" xfId="32507" xr:uid="{B0FEC80A-680E-44D5-A360-B638E726C5D0}"/>
    <cellStyle name="40% - Accent4 12 3 2 2 3" xfId="13068" xr:uid="{00000000-0005-0000-0000-000072400000}"/>
    <cellStyle name="40% - Accent4 12 3 2 2 3 2" xfId="36917" xr:uid="{AB9760F5-9C44-46BC-ADA7-5FB114E02D9B}"/>
    <cellStyle name="40% - Accent4 12 3 2 2 4" xfId="21023" xr:uid="{00000000-0005-0000-0000-000073400000}"/>
    <cellStyle name="40% - Accent4 12 3 2 2 4 2" xfId="44855" xr:uid="{EFF5905F-2A0D-42F9-8186-F1077551F7D4}"/>
    <cellStyle name="40% - Accent4 12 3 2 2 5" xfId="28976" xr:uid="{A6B43848-79F5-4053-B1F6-3747A49EB877}"/>
    <cellStyle name="40% - Accent4 12 3 2 3" xfId="6877" xr:uid="{00000000-0005-0000-0000-000074400000}"/>
    <cellStyle name="40% - Accent4 12 3 2 3 2" xfId="14848" xr:uid="{00000000-0005-0000-0000-000075400000}"/>
    <cellStyle name="40% - Accent4 12 3 2 3 2 2" xfId="38690" xr:uid="{B4FDFB09-F229-4202-AE32-C203648CA3D3}"/>
    <cellStyle name="40% - Accent4 12 3 2 3 3" xfId="22795" xr:uid="{00000000-0005-0000-0000-000076400000}"/>
    <cellStyle name="40% - Accent4 12 3 2 3 3 2" xfId="46627" xr:uid="{AD32146A-EFF7-44E8-9B7E-80AF63B33C5B}"/>
    <cellStyle name="40% - Accent4 12 3 2 3 4" xfId="30749" xr:uid="{BF68811C-E409-4A73-B9ED-1B2EC4C511DD}"/>
    <cellStyle name="40% - Accent4 12 3 2 4" xfId="11312" xr:uid="{00000000-0005-0000-0000-000077400000}"/>
    <cellStyle name="40% - Accent4 12 3 2 4 2" xfId="35161" xr:uid="{50E93C53-0BD9-4BE3-A235-2235FB8A57EF}"/>
    <cellStyle name="40% - Accent4 12 3 2 5" xfId="19267" xr:uid="{00000000-0005-0000-0000-000078400000}"/>
    <cellStyle name="40% - Accent4 12 3 2 5 2" xfId="43099" xr:uid="{CC9E4917-EC99-4F7B-B14A-CCD1FDBA5254}"/>
    <cellStyle name="40% - Accent4 12 3 2 6" xfId="27219" xr:uid="{A86F78B1-F423-4250-886F-1D77C57ABD6F}"/>
    <cellStyle name="40% - Accent4 12 3 2_Exh G" xfId="3072" xr:uid="{00000000-0005-0000-0000-000079400000}"/>
    <cellStyle name="40% - Accent4 12 3 3" xfId="4166" xr:uid="{00000000-0005-0000-0000-00007A400000}"/>
    <cellStyle name="40% - Accent4 12 3 3 2" xfId="7758" xr:uid="{00000000-0005-0000-0000-00007B400000}"/>
    <cellStyle name="40% - Accent4 12 3 3 2 2" xfId="15728" xr:uid="{00000000-0005-0000-0000-00007C400000}"/>
    <cellStyle name="40% - Accent4 12 3 3 2 2 2" xfId="39570" xr:uid="{5173B856-F2C3-44A0-9483-3BEB69E0B095}"/>
    <cellStyle name="40% - Accent4 12 3 3 2 3" xfId="23674" xr:uid="{00000000-0005-0000-0000-00007D400000}"/>
    <cellStyle name="40% - Accent4 12 3 3 2 3 2" xfId="47506" xr:uid="{835A5FDA-7D94-43F2-9842-A63F173BD1BF}"/>
    <cellStyle name="40% - Accent4 12 3 3 2 4" xfId="31629" xr:uid="{D333BCCB-4F33-4D97-9BAE-2B9265C704FA}"/>
    <cellStyle name="40% - Accent4 12 3 3 3" xfId="12190" xr:uid="{00000000-0005-0000-0000-00007E400000}"/>
    <cellStyle name="40% - Accent4 12 3 3 3 2" xfId="36039" xr:uid="{7C77F689-F2BA-4EC6-A943-0A6815C41693}"/>
    <cellStyle name="40% - Accent4 12 3 3 4" xfId="20145" xr:uid="{00000000-0005-0000-0000-00007F400000}"/>
    <cellStyle name="40% - Accent4 12 3 3 4 2" xfId="43977" xr:uid="{10C25E88-AB38-450A-99D0-B7D6ABBE07FB}"/>
    <cellStyle name="40% - Accent4 12 3 3 5" xfId="28098" xr:uid="{68D85CED-3330-4048-8F75-B85C2FA8BE51}"/>
    <cellStyle name="40% - Accent4 12 3 4" xfId="5986" xr:uid="{00000000-0005-0000-0000-000080400000}"/>
    <cellStyle name="40% - Accent4 12 3 4 2" xfId="13969" xr:uid="{00000000-0005-0000-0000-000081400000}"/>
    <cellStyle name="40% - Accent4 12 3 4 2 2" xfId="37812" xr:uid="{B7FC95FC-2206-4D4B-A066-1D86AD202448}"/>
    <cellStyle name="40% - Accent4 12 3 4 3" xfId="21917" xr:uid="{00000000-0005-0000-0000-000082400000}"/>
    <cellStyle name="40% - Accent4 12 3 4 3 2" xfId="45749" xr:uid="{51280762-53C7-4DF9-AC14-CECA80AE52C1}"/>
    <cellStyle name="40% - Accent4 12 3 4 4" xfId="29871" xr:uid="{E476D846-E6A0-4B02-979D-D25D617E1395}"/>
    <cellStyle name="40% - Accent4 12 3 5" xfId="9538" xr:uid="{00000000-0005-0000-0000-000083400000}"/>
    <cellStyle name="40% - Accent4 12 3 5 2" xfId="17496" xr:uid="{00000000-0005-0000-0000-000084400000}"/>
    <cellStyle name="40% - Accent4 12 3 5 2 2" xfId="41336" xr:uid="{1086D9D0-5B62-4555-8886-ACB3B0B07AF7}"/>
    <cellStyle name="40% - Accent4 12 3 5 3" xfId="25440" xr:uid="{00000000-0005-0000-0000-000085400000}"/>
    <cellStyle name="40% - Accent4 12 3 5 3 2" xfId="49272" xr:uid="{1BABEB2A-950E-4A52-80B5-7D476F24F683}"/>
    <cellStyle name="40% - Accent4 12 3 5 4" xfId="33395" xr:uid="{46DE0169-9537-40F6-9AAF-9386D057283F}"/>
    <cellStyle name="40% - Accent4 12 3 6" xfId="10434" xr:uid="{00000000-0005-0000-0000-000086400000}"/>
    <cellStyle name="40% - Accent4 12 3 6 2" xfId="34283" xr:uid="{00F7F4BB-819C-4B7D-A471-65A958D9DB5B}"/>
    <cellStyle name="40% - Accent4 12 3 7" xfId="18389" xr:uid="{00000000-0005-0000-0000-000087400000}"/>
    <cellStyle name="40% - Accent4 12 3 7 2" xfId="42221" xr:uid="{9BE14422-9507-4FC7-97A4-371247DE2F9E}"/>
    <cellStyle name="40% - Accent4 12 3 8" xfId="26341" xr:uid="{14C2A170-5A11-47B6-A871-F1D049297B94}"/>
    <cellStyle name="40% - Accent4 12 3_Exh G" xfId="3071" xr:uid="{00000000-0005-0000-0000-000088400000}"/>
    <cellStyle name="40% - Accent4 12 4" xfId="1515" xr:uid="{00000000-0005-0000-0000-000089400000}"/>
    <cellStyle name="40% - Accent4 12 4 2" xfId="5042" xr:uid="{00000000-0005-0000-0000-00008A400000}"/>
    <cellStyle name="40% - Accent4 12 4 2 2" xfId="8633" xr:uid="{00000000-0005-0000-0000-00008B400000}"/>
    <cellStyle name="40% - Accent4 12 4 2 2 2" xfId="16603" xr:uid="{00000000-0005-0000-0000-00008C400000}"/>
    <cellStyle name="40% - Accent4 12 4 2 2 2 2" xfId="40445" xr:uid="{9CDF4268-6D85-43B9-9622-9863B196AE2F}"/>
    <cellStyle name="40% - Accent4 12 4 2 2 3" xfId="24549" xr:uid="{00000000-0005-0000-0000-00008D400000}"/>
    <cellStyle name="40% - Accent4 12 4 2 2 3 2" xfId="48381" xr:uid="{80D0BC1D-8212-43E0-ACF1-81E9FB2B0B9E}"/>
    <cellStyle name="40% - Accent4 12 4 2 2 4" xfId="32504" xr:uid="{8D08838A-1498-4FAE-89DE-B17622D285FC}"/>
    <cellStyle name="40% - Accent4 12 4 2 3" xfId="13065" xr:uid="{00000000-0005-0000-0000-00008E400000}"/>
    <cellStyle name="40% - Accent4 12 4 2 3 2" xfId="36914" xr:uid="{8F73892A-534A-48B3-BA43-5E9684A1AF77}"/>
    <cellStyle name="40% - Accent4 12 4 2 4" xfId="21020" xr:uid="{00000000-0005-0000-0000-00008F400000}"/>
    <cellStyle name="40% - Accent4 12 4 2 4 2" xfId="44852" xr:uid="{99400509-BF91-415F-8828-414CDF7EDA18}"/>
    <cellStyle name="40% - Accent4 12 4 2 5" xfId="28973" xr:uid="{8117DB69-0BF1-4CD6-A156-232F962F6F0C}"/>
    <cellStyle name="40% - Accent4 12 4 3" xfId="6874" xr:uid="{00000000-0005-0000-0000-000090400000}"/>
    <cellStyle name="40% - Accent4 12 4 3 2" xfId="14845" xr:uid="{00000000-0005-0000-0000-000091400000}"/>
    <cellStyle name="40% - Accent4 12 4 3 2 2" xfId="38687" xr:uid="{E32CAC52-47E6-4F66-9292-4A56078273C2}"/>
    <cellStyle name="40% - Accent4 12 4 3 3" xfId="22792" xr:uid="{00000000-0005-0000-0000-000092400000}"/>
    <cellStyle name="40% - Accent4 12 4 3 3 2" xfId="46624" xr:uid="{650264AA-7C25-4EC8-96D0-863E124097D8}"/>
    <cellStyle name="40% - Accent4 12 4 3 4" xfId="30746" xr:uid="{EEC12E87-D6A0-475E-94ED-374758A71103}"/>
    <cellStyle name="40% - Accent4 12 4 4" xfId="11309" xr:uid="{00000000-0005-0000-0000-000093400000}"/>
    <cellStyle name="40% - Accent4 12 4 4 2" xfId="35158" xr:uid="{8BCE7B86-9C0D-49E6-BD81-5AADE5805585}"/>
    <cellStyle name="40% - Accent4 12 4 5" xfId="19264" xr:uid="{00000000-0005-0000-0000-000094400000}"/>
    <cellStyle name="40% - Accent4 12 4 5 2" xfId="43096" xr:uid="{B3356F09-65E5-4656-98DD-49C617E66521}"/>
    <cellStyle name="40% - Accent4 12 4 6" xfId="27216" xr:uid="{79888420-CFCC-4FD8-9A00-C660CE58A183}"/>
    <cellStyle name="40% - Accent4 12 4_Exh G" xfId="3073" xr:uid="{00000000-0005-0000-0000-000095400000}"/>
    <cellStyle name="40% - Accent4 12 5" xfId="4163" xr:uid="{00000000-0005-0000-0000-000096400000}"/>
    <cellStyle name="40% - Accent4 12 5 2" xfId="7755" xr:uid="{00000000-0005-0000-0000-000097400000}"/>
    <cellStyle name="40% - Accent4 12 5 2 2" xfId="15725" xr:uid="{00000000-0005-0000-0000-000098400000}"/>
    <cellStyle name="40% - Accent4 12 5 2 2 2" xfId="39567" xr:uid="{80F09B1D-E499-45F6-BDD5-42437A0F05BE}"/>
    <cellStyle name="40% - Accent4 12 5 2 3" xfId="23671" xr:uid="{00000000-0005-0000-0000-000099400000}"/>
    <cellStyle name="40% - Accent4 12 5 2 3 2" xfId="47503" xr:uid="{50B72661-21E3-4B8B-8C77-A310F78F4957}"/>
    <cellStyle name="40% - Accent4 12 5 2 4" xfId="31626" xr:uid="{F761CBE0-1CE6-4D18-8047-B6E70D8F7278}"/>
    <cellStyle name="40% - Accent4 12 5 3" xfId="12187" xr:uid="{00000000-0005-0000-0000-00009A400000}"/>
    <cellStyle name="40% - Accent4 12 5 3 2" xfId="36036" xr:uid="{8076ECB8-C426-410B-9F55-4BA112235AD9}"/>
    <cellStyle name="40% - Accent4 12 5 4" xfId="20142" xr:uid="{00000000-0005-0000-0000-00009B400000}"/>
    <cellStyle name="40% - Accent4 12 5 4 2" xfId="43974" xr:uid="{542235AB-F116-4525-9476-84F59768FD59}"/>
    <cellStyle name="40% - Accent4 12 5 5" xfId="28095" xr:uid="{216F7ADD-243C-425C-810B-572A04CE6FB3}"/>
    <cellStyle name="40% - Accent4 12 6" xfId="5983" xr:uid="{00000000-0005-0000-0000-00009C400000}"/>
    <cellStyle name="40% - Accent4 12 6 2" xfId="13966" xr:uid="{00000000-0005-0000-0000-00009D400000}"/>
    <cellStyle name="40% - Accent4 12 6 2 2" xfId="37809" xr:uid="{AAA6F551-65C2-4EBD-89DE-578E7D916D4F}"/>
    <cellStyle name="40% - Accent4 12 6 3" xfId="21914" xr:uid="{00000000-0005-0000-0000-00009E400000}"/>
    <cellStyle name="40% - Accent4 12 6 3 2" xfId="45746" xr:uid="{DED67B95-B03E-4A28-98B1-F9580FB1B6FC}"/>
    <cellStyle name="40% - Accent4 12 6 4" xfId="29868" xr:uid="{A98A9356-522E-4896-A33C-AED3FF4FC3E1}"/>
    <cellStyle name="40% - Accent4 12 7" xfId="9535" xr:uid="{00000000-0005-0000-0000-00009F400000}"/>
    <cellStyle name="40% - Accent4 12 7 2" xfId="17493" xr:uid="{00000000-0005-0000-0000-0000A0400000}"/>
    <cellStyle name="40% - Accent4 12 7 2 2" xfId="41333" xr:uid="{051B9697-D386-4875-9EF9-A3766B98AA0F}"/>
    <cellStyle name="40% - Accent4 12 7 3" xfId="25437" xr:uid="{00000000-0005-0000-0000-0000A1400000}"/>
    <cellStyle name="40% - Accent4 12 7 3 2" xfId="49269" xr:uid="{A48FECBC-27D0-41F5-ACFD-EFC3DCD95D25}"/>
    <cellStyle name="40% - Accent4 12 7 4" xfId="33392" xr:uid="{C6C9BA08-996F-41A4-9741-79F7082C8254}"/>
    <cellStyle name="40% - Accent4 12 8" xfId="10431" xr:uid="{00000000-0005-0000-0000-0000A2400000}"/>
    <cellStyle name="40% - Accent4 12 8 2" xfId="34280" xr:uid="{17C83322-21F0-4771-9E3B-3F735C1F8347}"/>
    <cellStyle name="40% - Accent4 12 9" xfId="18386" xr:uid="{00000000-0005-0000-0000-0000A3400000}"/>
    <cellStyle name="40% - Accent4 12 9 2" xfId="42218" xr:uid="{882FD7D1-EBD7-47D1-B47B-C230D8D043C3}"/>
    <cellStyle name="40% - Accent4 12_Exh G" xfId="3066" xr:uid="{00000000-0005-0000-0000-0000A4400000}"/>
    <cellStyle name="40% - Accent4 13" xfId="493" xr:uid="{00000000-0005-0000-0000-0000A5400000}"/>
    <cellStyle name="40% - Accent4 13 10" xfId="26342" xr:uid="{32A3A9C5-AF00-4557-87C2-34B2138570BE}"/>
    <cellStyle name="40% - Accent4 13 2" xfId="494" xr:uid="{00000000-0005-0000-0000-0000A6400000}"/>
    <cellStyle name="40% - Accent4 13 2 2" xfId="495" xr:uid="{00000000-0005-0000-0000-0000A7400000}"/>
    <cellStyle name="40% - Accent4 13 2 2 2" xfId="1521" xr:uid="{00000000-0005-0000-0000-0000A8400000}"/>
    <cellStyle name="40% - Accent4 13 2 2 2 2" xfId="5048" xr:uid="{00000000-0005-0000-0000-0000A9400000}"/>
    <cellStyle name="40% - Accent4 13 2 2 2 2 2" xfId="8639" xr:uid="{00000000-0005-0000-0000-0000AA400000}"/>
    <cellStyle name="40% - Accent4 13 2 2 2 2 2 2" xfId="16609" xr:uid="{00000000-0005-0000-0000-0000AB400000}"/>
    <cellStyle name="40% - Accent4 13 2 2 2 2 2 2 2" xfId="40451" xr:uid="{BF7D88F2-57B9-41E3-AF37-8F10BBC00763}"/>
    <cellStyle name="40% - Accent4 13 2 2 2 2 2 3" xfId="24555" xr:uid="{00000000-0005-0000-0000-0000AC400000}"/>
    <cellStyle name="40% - Accent4 13 2 2 2 2 2 3 2" xfId="48387" xr:uid="{EEDF08AD-EA82-443C-B2F7-C92B65675B7A}"/>
    <cellStyle name="40% - Accent4 13 2 2 2 2 2 4" xfId="32510" xr:uid="{A9E3F1D9-D75D-4346-83EA-754FA950C685}"/>
    <cellStyle name="40% - Accent4 13 2 2 2 2 3" xfId="13071" xr:uid="{00000000-0005-0000-0000-0000AD400000}"/>
    <cellStyle name="40% - Accent4 13 2 2 2 2 3 2" xfId="36920" xr:uid="{448EE400-0B15-46BA-B19E-C487AC07ACB3}"/>
    <cellStyle name="40% - Accent4 13 2 2 2 2 4" xfId="21026" xr:uid="{00000000-0005-0000-0000-0000AE400000}"/>
    <cellStyle name="40% - Accent4 13 2 2 2 2 4 2" xfId="44858" xr:uid="{D3F5FC92-219E-49A9-AF91-EA11B6AABFB5}"/>
    <cellStyle name="40% - Accent4 13 2 2 2 2 5" xfId="28979" xr:uid="{9BB5793C-F1D4-478C-90C8-8087EC9354AE}"/>
    <cellStyle name="40% - Accent4 13 2 2 2 3" xfId="6880" xr:uid="{00000000-0005-0000-0000-0000AF400000}"/>
    <cellStyle name="40% - Accent4 13 2 2 2 3 2" xfId="14851" xr:uid="{00000000-0005-0000-0000-0000B0400000}"/>
    <cellStyle name="40% - Accent4 13 2 2 2 3 2 2" xfId="38693" xr:uid="{93049A72-536F-416E-9940-750C6C1AE434}"/>
    <cellStyle name="40% - Accent4 13 2 2 2 3 3" xfId="22798" xr:uid="{00000000-0005-0000-0000-0000B1400000}"/>
    <cellStyle name="40% - Accent4 13 2 2 2 3 3 2" xfId="46630" xr:uid="{3CB2D838-65E5-4B61-8BC6-4CF2D81FE95A}"/>
    <cellStyle name="40% - Accent4 13 2 2 2 3 4" xfId="30752" xr:uid="{6539131B-2B12-4524-B5F1-AC77AB9DA3B2}"/>
    <cellStyle name="40% - Accent4 13 2 2 2 4" xfId="11315" xr:uid="{00000000-0005-0000-0000-0000B2400000}"/>
    <cellStyle name="40% - Accent4 13 2 2 2 4 2" xfId="35164" xr:uid="{CBE40256-3083-4AD1-83DB-11FCFBF81BE0}"/>
    <cellStyle name="40% - Accent4 13 2 2 2 5" xfId="19270" xr:uid="{00000000-0005-0000-0000-0000B3400000}"/>
    <cellStyle name="40% - Accent4 13 2 2 2 5 2" xfId="43102" xr:uid="{52E11D6E-1FAB-4606-B342-BA8F1363663F}"/>
    <cellStyle name="40% - Accent4 13 2 2 2 6" xfId="27222" xr:uid="{B94824E5-0588-40FF-8480-2F32A56CE519}"/>
    <cellStyle name="40% - Accent4 13 2 2 2_Exh G" xfId="3077" xr:uid="{00000000-0005-0000-0000-0000B4400000}"/>
    <cellStyle name="40% - Accent4 13 2 2 3" xfId="4169" xr:uid="{00000000-0005-0000-0000-0000B5400000}"/>
    <cellStyle name="40% - Accent4 13 2 2 3 2" xfId="7761" xr:uid="{00000000-0005-0000-0000-0000B6400000}"/>
    <cellStyle name="40% - Accent4 13 2 2 3 2 2" xfId="15731" xr:uid="{00000000-0005-0000-0000-0000B7400000}"/>
    <cellStyle name="40% - Accent4 13 2 2 3 2 2 2" xfId="39573" xr:uid="{0BA68887-A30D-4B55-BA15-AA432DCAB6B0}"/>
    <cellStyle name="40% - Accent4 13 2 2 3 2 3" xfId="23677" xr:uid="{00000000-0005-0000-0000-0000B8400000}"/>
    <cellStyle name="40% - Accent4 13 2 2 3 2 3 2" xfId="47509" xr:uid="{DC91E0ED-6656-4483-BC33-87E9C430988A}"/>
    <cellStyle name="40% - Accent4 13 2 2 3 2 4" xfId="31632" xr:uid="{723B6B26-2A75-4327-933E-770C7C69A705}"/>
    <cellStyle name="40% - Accent4 13 2 2 3 3" xfId="12193" xr:uid="{00000000-0005-0000-0000-0000B9400000}"/>
    <cellStyle name="40% - Accent4 13 2 2 3 3 2" xfId="36042" xr:uid="{2D86418F-147C-43F8-8306-72B7ABB8B901}"/>
    <cellStyle name="40% - Accent4 13 2 2 3 4" xfId="20148" xr:uid="{00000000-0005-0000-0000-0000BA400000}"/>
    <cellStyle name="40% - Accent4 13 2 2 3 4 2" xfId="43980" xr:uid="{E9991526-6C51-449A-BE2C-6EBB71205B41}"/>
    <cellStyle name="40% - Accent4 13 2 2 3 5" xfId="28101" xr:uid="{F488031E-EA38-4E20-95A5-284F8CB33F4A}"/>
    <cellStyle name="40% - Accent4 13 2 2 4" xfId="5989" xr:uid="{00000000-0005-0000-0000-0000BB400000}"/>
    <cellStyle name="40% - Accent4 13 2 2 4 2" xfId="13972" xr:uid="{00000000-0005-0000-0000-0000BC400000}"/>
    <cellStyle name="40% - Accent4 13 2 2 4 2 2" xfId="37815" xr:uid="{5B62F344-80DC-45CE-B8FF-924C49FA6DE1}"/>
    <cellStyle name="40% - Accent4 13 2 2 4 3" xfId="21920" xr:uid="{00000000-0005-0000-0000-0000BD400000}"/>
    <cellStyle name="40% - Accent4 13 2 2 4 3 2" xfId="45752" xr:uid="{71745CEE-78B4-4E3E-A20F-00A3BA436D99}"/>
    <cellStyle name="40% - Accent4 13 2 2 4 4" xfId="29874" xr:uid="{5FC7005F-133C-411D-84BC-7A76678062CD}"/>
    <cellStyle name="40% - Accent4 13 2 2 5" xfId="9541" xr:uid="{00000000-0005-0000-0000-0000BE400000}"/>
    <cellStyle name="40% - Accent4 13 2 2 5 2" xfId="17499" xr:uid="{00000000-0005-0000-0000-0000BF400000}"/>
    <cellStyle name="40% - Accent4 13 2 2 5 2 2" xfId="41339" xr:uid="{08A59B4D-3185-458E-96F7-D0B5B7C071D3}"/>
    <cellStyle name="40% - Accent4 13 2 2 5 3" xfId="25443" xr:uid="{00000000-0005-0000-0000-0000C0400000}"/>
    <cellStyle name="40% - Accent4 13 2 2 5 3 2" xfId="49275" xr:uid="{CA42AC22-F13F-40B6-ACF1-C755F9A69B9B}"/>
    <cellStyle name="40% - Accent4 13 2 2 5 4" xfId="33398" xr:uid="{F474E87F-D8F3-411C-BA95-638073774DEF}"/>
    <cellStyle name="40% - Accent4 13 2 2 6" xfId="10437" xr:uid="{00000000-0005-0000-0000-0000C1400000}"/>
    <cellStyle name="40% - Accent4 13 2 2 6 2" xfId="34286" xr:uid="{797DF032-6221-4191-B571-A1581128DF71}"/>
    <cellStyle name="40% - Accent4 13 2 2 7" xfId="18392" xr:uid="{00000000-0005-0000-0000-0000C2400000}"/>
    <cellStyle name="40% - Accent4 13 2 2 7 2" xfId="42224" xr:uid="{009F3E26-F2DA-4346-BADB-4961338E19BF}"/>
    <cellStyle name="40% - Accent4 13 2 2 8" xfId="26344" xr:uid="{D2F39155-77A7-48FE-8BB2-809947911D8D}"/>
    <cellStyle name="40% - Accent4 13 2 2_Exh G" xfId="3076" xr:uid="{00000000-0005-0000-0000-0000C3400000}"/>
    <cellStyle name="40% - Accent4 13 2 3" xfId="1520" xr:uid="{00000000-0005-0000-0000-0000C4400000}"/>
    <cellStyle name="40% - Accent4 13 2 3 2" xfId="5047" xr:uid="{00000000-0005-0000-0000-0000C5400000}"/>
    <cellStyle name="40% - Accent4 13 2 3 2 2" xfId="8638" xr:uid="{00000000-0005-0000-0000-0000C6400000}"/>
    <cellStyle name="40% - Accent4 13 2 3 2 2 2" xfId="16608" xr:uid="{00000000-0005-0000-0000-0000C7400000}"/>
    <cellStyle name="40% - Accent4 13 2 3 2 2 2 2" xfId="40450" xr:uid="{E368ECE0-44CF-4FFE-A838-8DA10EF132C1}"/>
    <cellStyle name="40% - Accent4 13 2 3 2 2 3" xfId="24554" xr:uid="{00000000-0005-0000-0000-0000C8400000}"/>
    <cellStyle name="40% - Accent4 13 2 3 2 2 3 2" xfId="48386" xr:uid="{02122684-62A6-4AFA-B211-834E757EB6A1}"/>
    <cellStyle name="40% - Accent4 13 2 3 2 2 4" xfId="32509" xr:uid="{5902DB5C-4838-49D3-BCF6-9DC950D32F24}"/>
    <cellStyle name="40% - Accent4 13 2 3 2 3" xfId="13070" xr:uid="{00000000-0005-0000-0000-0000C9400000}"/>
    <cellStyle name="40% - Accent4 13 2 3 2 3 2" xfId="36919" xr:uid="{4E7FF113-3079-43AD-9561-CD416332D396}"/>
    <cellStyle name="40% - Accent4 13 2 3 2 4" xfId="21025" xr:uid="{00000000-0005-0000-0000-0000CA400000}"/>
    <cellStyle name="40% - Accent4 13 2 3 2 4 2" xfId="44857" xr:uid="{6DE7DCFA-2ADF-4236-8BC5-03689CE1EE2B}"/>
    <cellStyle name="40% - Accent4 13 2 3 2 5" xfId="28978" xr:uid="{4C1C6EE7-9322-407C-93FC-B94E48E1B296}"/>
    <cellStyle name="40% - Accent4 13 2 3 3" xfId="6879" xr:uid="{00000000-0005-0000-0000-0000CB400000}"/>
    <cellStyle name="40% - Accent4 13 2 3 3 2" xfId="14850" xr:uid="{00000000-0005-0000-0000-0000CC400000}"/>
    <cellStyle name="40% - Accent4 13 2 3 3 2 2" xfId="38692" xr:uid="{373CC48A-5A17-4DBA-9013-A19B31EAF630}"/>
    <cellStyle name="40% - Accent4 13 2 3 3 3" xfId="22797" xr:uid="{00000000-0005-0000-0000-0000CD400000}"/>
    <cellStyle name="40% - Accent4 13 2 3 3 3 2" xfId="46629" xr:uid="{8D0E799A-6FA2-402F-8537-992D04F6EC04}"/>
    <cellStyle name="40% - Accent4 13 2 3 3 4" xfId="30751" xr:uid="{6F856FC4-3712-42CD-A66C-DD74AE1EFF55}"/>
    <cellStyle name="40% - Accent4 13 2 3 4" xfId="11314" xr:uid="{00000000-0005-0000-0000-0000CE400000}"/>
    <cellStyle name="40% - Accent4 13 2 3 4 2" xfId="35163" xr:uid="{C2DCA902-CB76-4EE6-A6E3-D799BA4BFCAC}"/>
    <cellStyle name="40% - Accent4 13 2 3 5" xfId="19269" xr:uid="{00000000-0005-0000-0000-0000CF400000}"/>
    <cellStyle name="40% - Accent4 13 2 3 5 2" xfId="43101" xr:uid="{7B6B7FB4-5ACB-4E67-88F0-4CF863883D10}"/>
    <cellStyle name="40% - Accent4 13 2 3 6" xfId="27221" xr:uid="{1A48B2D0-3E12-4AA0-ACD2-6EE58E5E0D9C}"/>
    <cellStyle name="40% - Accent4 13 2 3_Exh G" xfId="3078" xr:uid="{00000000-0005-0000-0000-0000D0400000}"/>
    <cellStyle name="40% - Accent4 13 2 4" xfId="4168" xr:uid="{00000000-0005-0000-0000-0000D1400000}"/>
    <cellStyle name="40% - Accent4 13 2 4 2" xfId="7760" xr:uid="{00000000-0005-0000-0000-0000D2400000}"/>
    <cellStyle name="40% - Accent4 13 2 4 2 2" xfId="15730" xr:uid="{00000000-0005-0000-0000-0000D3400000}"/>
    <cellStyle name="40% - Accent4 13 2 4 2 2 2" xfId="39572" xr:uid="{1EAF73B1-AAC3-4198-AD51-75C07D2766CA}"/>
    <cellStyle name="40% - Accent4 13 2 4 2 3" xfId="23676" xr:uid="{00000000-0005-0000-0000-0000D4400000}"/>
    <cellStyle name="40% - Accent4 13 2 4 2 3 2" xfId="47508" xr:uid="{227A1B53-7AA3-49AD-A85A-78BF0119A149}"/>
    <cellStyle name="40% - Accent4 13 2 4 2 4" xfId="31631" xr:uid="{CAF797DF-6C05-416A-AB80-E4DEA923DE51}"/>
    <cellStyle name="40% - Accent4 13 2 4 3" xfId="12192" xr:uid="{00000000-0005-0000-0000-0000D5400000}"/>
    <cellStyle name="40% - Accent4 13 2 4 3 2" xfId="36041" xr:uid="{8A8857CF-3AF2-4F38-9720-8E6D279136FC}"/>
    <cellStyle name="40% - Accent4 13 2 4 4" xfId="20147" xr:uid="{00000000-0005-0000-0000-0000D6400000}"/>
    <cellStyle name="40% - Accent4 13 2 4 4 2" xfId="43979" xr:uid="{E8F95292-55BF-4AF8-87BA-1958174B3421}"/>
    <cellStyle name="40% - Accent4 13 2 4 5" xfId="28100" xr:uid="{AED30DC2-A739-48C4-A7BE-DF12936601F9}"/>
    <cellStyle name="40% - Accent4 13 2 5" xfId="5988" xr:uid="{00000000-0005-0000-0000-0000D7400000}"/>
    <cellStyle name="40% - Accent4 13 2 5 2" xfId="13971" xr:uid="{00000000-0005-0000-0000-0000D8400000}"/>
    <cellStyle name="40% - Accent4 13 2 5 2 2" xfId="37814" xr:uid="{973C9740-EA45-47BB-87DF-3CB3623C9D40}"/>
    <cellStyle name="40% - Accent4 13 2 5 3" xfId="21919" xr:uid="{00000000-0005-0000-0000-0000D9400000}"/>
    <cellStyle name="40% - Accent4 13 2 5 3 2" xfId="45751" xr:uid="{FF9C9902-215F-4334-8DE1-FAE814B28F87}"/>
    <cellStyle name="40% - Accent4 13 2 5 4" xfId="29873" xr:uid="{C4781489-41B4-455C-A2B8-382EAA315C1B}"/>
    <cellStyle name="40% - Accent4 13 2 6" xfId="9540" xr:uid="{00000000-0005-0000-0000-0000DA400000}"/>
    <cellStyle name="40% - Accent4 13 2 6 2" xfId="17498" xr:uid="{00000000-0005-0000-0000-0000DB400000}"/>
    <cellStyle name="40% - Accent4 13 2 6 2 2" xfId="41338" xr:uid="{F6436B1B-3AF8-4A6E-B7E3-2F4D86AAED72}"/>
    <cellStyle name="40% - Accent4 13 2 6 3" xfId="25442" xr:uid="{00000000-0005-0000-0000-0000DC400000}"/>
    <cellStyle name="40% - Accent4 13 2 6 3 2" xfId="49274" xr:uid="{0E48269F-C3B2-42CA-9757-7F20EA4EDDFF}"/>
    <cellStyle name="40% - Accent4 13 2 6 4" xfId="33397" xr:uid="{F6A91D20-D4DE-4AE2-ACF7-D61A387F4E2C}"/>
    <cellStyle name="40% - Accent4 13 2 7" xfId="10436" xr:uid="{00000000-0005-0000-0000-0000DD400000}"/>
    <cellStyle name="40% - Accent4 13 2 7 2" xfId="34285" xr:uid="{814128F5-2B07-46A5-834E-7F5B2CEE67A9}"/>
    <cellStyle name="40% - Accent4 13 2 8" xfId="18391" xr:uid="{00000000-0005-0000-0000-0000DE400000}"/>
    <cellStyle name="40% - Accent4 13 2 8 2" xfId="42223" xr:uid="{91E863F8-F761-45E8-B403-EAB5A1130DEC}"/>
    <cellStyle name="40% - Accent4 13 2 9" xfId="26343" xr:uid="{4D5A2B49-95EE-401B-99BA-6825980E931A}"/>
    <cellStyle name="40% - Accent4 13 2_Exh G" xfId="3075" xr:uid="{00000000-0005-0000-0000-0000DF400000}"/>
    <cellStyle name="40% - Accent4 13 3" xfId="496" xr:uid="{00000000-0005-0000-0000-0000E0400000}"/>
    <cellStyle name="40% - Accent4 13 3 2" xfId="1522" xr:uid="{00000000-0005-0000-0000-0000E1400000}"/>
    <cellStyle name="40% - Accent4 13 3 2 2" xfId="5049" xr:uid="{00000000-0005-0000-0000-0000E2400000}"/>
    <cellStyle name="40% - Accent4 13 3 2 2 2" xfId="8640" xr:uid="{00000000-0005-0000-0000-0000E3400000}"/>
    <cellStyle name="40% - Accent4 13 3 2 2 2 2" xfId="16610" xr:uid="{00000000-0005-0000-0000-0000E4400000}"/>
    <cellStyle name="40% - Accent4 13 3 2 2 2 2 2" xfId="40452" xr:uid="{E0C7AD84-A817-4BA3-B09C-702325D456CB}"/>
    <cellStyle name="40% - Accent4 13 3 2 2 2 3" xfId="24556" xr:uid="{00000000-0005-0000-0000-0000E5400000}"/>
    <cellStyle name="40% - Accent4 13 3 2 2 2 3 2" xfId="48388" xr:uid="{ADEDBEB4-ECFA-45CB-9901-01AEA14F03C0}"/>
    <cellStyle name="40% - Accent4 13 3 2 2 2 4" xfId="32511" xr:uid="{0542F831-68DD-4C95-801C-83C6F056AB88}"/>
    <cellStyle name="40% - Accent4 13 3 2 2 3" xfId="13072" xr:uid="{00000000-0005-0000-0000-0000E6400000}"/>
    <cellStyle name="40% - Accent4 13 3 2 2 3 2" xfId="36921" xr:uid="{78C7980A-0AB5-45A7-9E41-71144D2FFA83}"/>
    <cellStyle name="40% - Accent4 13 3 2 2 4" xfId="21027" xr:uid="{00000000-0005-0000-0000-0000E7400000}"/>
    <cellStyle name="40% - Accent4 13 3 2 2 4 2" xfId="44859" xr:uid="{FCD6FEE2-F8D0-41F8-90DE-08097AA3899E}"/>
    <cellStyle name="40% - Accent4 13 3 2 2 5" xfId="28980" xr:uid="{B4A8C0B4-F435-446D-A4E0-E8E9F450341C}"/>
    <cellStyle name="40% - Accent4 13 3 2 3" xfId="6881" xr:uid="{00000000-0005-0000-0000-0000E8400000}"/>
    <cellStyle name="40% - Accent4 13 3 2 3 2" xfId="14852" xr:uid="{00000000-0005-0000-0000-0000E9400000}"/>
    <cellStyle name="40% - Accent4 13 3 2 3 2 2" xfId="38694" xr:uid="{97202B13-6EC1-439B-9CE9-FAAD20F10204}"/>
    <cellStyle name="40% - Accent4 13 3 2 3 3" xfId="22799" xr:uid="{00000000-0005-0000-0000-0000EA400000}"/>
    <cellStyle name="40% - Accent4 13 3 2 3 3 2" xfId="46631" xr:uid="{9C8DBC86-F86A-4981-9FAA-22DA49C023E3}"/>
    <cellStyle name="40% - Accent4 13 3 2 3 4" xfId="30753" xr:uid="{239AA03E-C177-4754-B90B-E5A8CAFE2829}"/>
    <cellStyle name="40% - Accent4 13 3 2 4" xfId="11316" xr:uid="{00000000-0005-0000-0000-0000EB400000}"/>
    <cellStyle name="40% - Accent4 13 3 2 4 2" xfId="35165" xr:uid="{5F95FF56-BD30-48BB-9852-842B54502D54}"/>
    <cellStyle name="40% - Accent4 13 3 2 5" xfId="19271" xr:uid="{00000000-0005-0000-0000-0000EC400000}"/>
    <cellStyle name="40% - Accent4 13 3 2 5 2" xfId="43103" xr:uid="{60D9244B-C117-4DA8-AF12-030E7107C157}"/>
    <cellStyle name="40% - Accent4 13 3 2 6" xfId="27223" xr:uid="{68447A79-B7B8-4B31-9C59-E074F5197260}"/>
    <cellStyle name="40% - Accent4 13 3 2_Exh G" xfId="3080" xr:uid="{00000000-0005-0000-0000-0000ED400000}"/>
    <cellStyle name="40% - Accent4 13 3 3" xfId="4170" xr:uid="{00000000-0005-0000-0000-0000EE400000}"/>
    <cellStyle name="40% - Accent4 13 3 3 2" xfId="7762" xr:uid="{00000000-0005-0000-0000-0000EF400000}"/>
    <cellStyle name="40% - Accent4 13 3 3 2 2" xfId="15732" xr:uid="{00000000-0005-0000-0000-0000F0400000}"/>
    <cellStyle name="40% - Accent4 13 3 3 2 2 2" xfId="39574" xr:uid="{3DDF143D-08EB-4333-A0C7-7F4445B873DA}"/>
    <cellStyle name="40% - Accent4 13 3 3 2 3" xfId="23678" xr:uid="{00000000-0005-0000-0000-0000F1400000}"/>
    <cellStyle name="40% - Accent4 13 3 3 2 3 2" xfId="47510" xr:uid="{40A35FB7-F6B5-4190-9265-71461174DC4B}"/>
    <cellStyle name="40% - Accent4 13 3 3 2 4" xfId="31633" xr:uid="{8CAE82C7-E326-42BB-A7B2-8C06A0D9E274}"/>
    <cellStyle name="40% - Accent4 13 3 3 3" xfId="12194" xr:uid="{00000000-0005-0000-0000-0000F2400000}"/>
    <cellStyle name="40% - Accent4 13 3 3 3 2" xfId="36043" xr:uid="{7F7F464D-2BE0-4563-A92C-BDE0EDA78B63}"/>
    <cellStyle name="40% - Accent4 13 3 3 4" xfId="20149" xr:uid="{00000000-0005-0000-0000-0000F3400000}"/>
    <cellStyle name="40% - Accent4 13 3 3 4 2" xfId="43981" xr:uid="{E4B56ACE-6E4D-46EC-BA1A-5DC362D95B3F}"/>
    <cellStyle name="40% - Accent4 13 3 3 5" xfId="28102" xr:uid="{0DDB0C47-0AA1-4827-BC72-6B2E83F40D63}"/>
    <cellStyle name="40% - Accent4 13 3 4" xfId="5990" xr:uid="{00000000-0005-0000-0000-0000F4400000}"/>
    <cellStyle name="40% - Accent4 13 3 4 2" xfId="13973" xr:uid="{00000000-0005-0000-0000-0000F5400000}"/>
    <cellStyle name="40% - Accent4 13 3 4 2 2" xfId="37816" xr:uid="{18405503-691B-436C-8076-AF47C3E6DA2F}"/>
    <cellStyle name="40% - Accent4 13 3 4 3" xfId="21921" xr:uid="{00000000-0005-0000-0000-0000F6400000}"/>
    <cellStyle name="40% - Accent4 13 3 4 3 2" xfId="45753" xr:uid="{F241190E-1260-42FC-B766-E5F025AC3CAA}"/>
    <cellStyle name="40% - Accent4 13 3 4 4" xfId="29875" xr:uid="{466F3107-8C1D-4DDA-86EF-72D7451B3EC9}"/>
    <cellStyle name="40% - Accent4 13 3 5" xfId="9542" xr:uid="{00000000-0005-0000-0000-0000F7400000}"/>
    <cellStyle name="40% - Accent4 13 3 5 2" xfId="17500" xr:uid="{00000000-0005-0000-0000-0000F8400000}"/>
    <cellStyle name="40% - Accent4 13 3 5 2 2" xfId="41340" xr:uid="{FB91BD38-D903-4D52-9849-8FD5D7FBFFC4}"/>
    <cellStyle name="40% - Accent4 13 3 5 3" xfId="25444" xr:uid="{00000000-0005-0000-0000-0000F9400000}"/>
    <cellStyle name="40% - Accent4 13 3 5 3 2" xfId="49276" xr:uid="{31EF6D4A-DE22-40A3-AEDD-766104B2389D}"/>
    <cellStyle name="40% - Accent4 13 3 5 4" xfId="33399" xr:uid="{9AA1724D-2D99-42CB-8499-D11774D956BF}"/>
    <cellStyle name="40% - Accent4 13 3 6" xfId="10438" xr:uid="{00000000-0005-0000-0000-0000FA400000}"/>
    <cellStyle name="40% - Accent4 13 3 6 2" xfId="34287" xr:uid="{49430808-9A5F-41CA-8278-B703DC79B408}"/>
    <cellStyle name="40% - Accent4 13 3 7" xfId="18393" xr:uid="{00000000-0005-0000-0000-0000FB400000}"/>
    <cellStyle name="40% - Accent4 13 3 7 2" xfId="42225" xr:uid="{0B9FD9A5-5038-41CA-8DDF-57E869BDF159}"/>
    <cellStyle name="40% - Accent4 13 3 8" xfId="26345" xr:uid="{E374C097-1879-47EA-A017-7D9D881F1FB2}"/>
    <cellStyle name="40% - Accent4 13 3_Exh G" xfId="3079" xr:uid="{00000000-0005-0000-0000-0000FC400000}"/>
    <cellStyle name="40% - Accent4 13 4" xfId="1519" xr:uid="{00000000-0005-0000-0000-0000FD400000}"/>
    <cellStyle name="40% - Accent4 13 4 2" xfId="5046" xr:uid="{00000000-0005-0000-0000-0000FE400000}"/>
    <cellStyle name="40% - Accent4 13 4 2 2" xfId="8637" xr:uid="{00000000-0005-0000-0000-0000FF400000}"/>
    <cellStyle name="40% - Accent4 13 4 2 2 2" xfId="16607" xr:uid="{00000000-0005-0000-0000-000000410000}"/>
    <cellStyle name="40% - Accent4 13 4 2 2 2 2" xfId="40449" xr:uid="{C9285BBA-92A8-4F3E-A96E-A77F286CB9AF}"/>
    <cellStyle name="40% - Accent4 13 4 2 2 3" xfId="24553" xr:uid="{00000000-0005-0000-0000-000001410000}"/>
    <cellStyle name="40% - Accent4 13 4 2 2 3 2" xfId="48385" xr:uid="{21C81054-05DC-4EC9-BDB6-EC5EC535F95A}"/>
    <cellStyle name="40% - Accent4 13 4 2 2 4" xfId="32508" xr:uid="{6366D1A0-955B-4BC0-8B24-C44909A732ED}"/>
    <cellStyle name="40% - Accent4 13 4 2 3" xfId="13069" xr:uid="{00000000-0005-0000-0000-000002410000}"/>
    <cellStyle name="40% - Accent4 13 4 2 3 2" xfId="36918" xr:uid="{02DF09F9-3F5C-4143-8AA4-1F1BD75F39A3}"/>
    <cellStyle name="40% - Accent4 13 4 2 4" xfId="21024" xr:uid="{00000000-0005-0000-0000-000003410000}"/>
    <cellStyle name="40% - Accent4 13 4 2 4 2" xfId="44856" xr:uid="{B1C7E29F-E6DF-48B3-A724-7907A7C14E4B}"/>
    <cellStyle name="40% - Accent4 13 4 2 5" xfId="28977" xr:uid="{D3B26841-7E94-4C06-8784-AE5F1A497F47}"/>
    <cellStyle name="40% - Accent4 13 4 3" xfId="6878" xr:uid="{00000000-0005-0000-0000-000004410000}"/>
    <cellStyle name="40% - Accent4 13 4 3 2" xfId="14849" xr:uid="{00000000-0005-0000-0000-000005410000}"/>
    <cellStyle name="40% - Accent4 13 4 3 2 2" xfId="38691" xr:uid="{0D1B12A2-BFAE-4D16-B9FB-A96E5EE13949}"/>
    <cellStyle name="40% - Accent4 13 4 3 3" xfId="22796" xr:uid="{00000000-0005-0000-0000-000006410000}"/>
    <cellStyle name="40% - Accent4 13 4 3 3 2" xfId="46628" xr:uid="{DC6A12B1-1CC1-463C-A7A2-0D8358C3C4AD}"/>
    <cellStyle name="40% - Accent4 13 4 3 4" xfId="30750" xr:uid="{86297378-2C88-46D2-978A-43F2983D96BF}"/>
    <cellStyle name="40% - Accent4 13 4 4" xfId="11313" xr:uid="{00000000-0005-0000-0000-000007410000}"/>
    <cellStyle name="40% - Accent4 13 4 4 2" xfId="35162" xr:uid="{1E464D8D-4035-49A5-BF64-06608C594D0F}"/>
    <cellStyle name="40% - Accent4 13 4 5" xfId="19268" xr:uid="{00000000-0005-0000-0000-000008410000}"/>
    <cellStyle name="40% - Accent4 13 4 5 2" xfId="43100" xr:uid="{D367A3B8-3B85-4B86-B81A-2FAF702029BF}"/>
    <cellStyle name="40% - Accent4 13 4 6" xfId="27220" xr:uid="{43B7DA5F-C800-4172-B5C2-EA8EF02B0E01}"/>
    <cellStyle name="40% - Accent4 13 4_Exh G" xfId="3081" xr:uid="{00000000-0005-0000-0000-000009410000}"/>
    <cellStyle name="40% - Accent4 13 5" xfId="4167" xr:uid="{00000000-0005-0000-0000-00000A410000}"/>
    <cellStyle name="40% - Accent4 13 5 2" xfId="7759" xr:uid="{00000000-0005-0000-0000-00000B410000}"/>
    <cellStyle name="40% - Accent4 13 5 2 2" xfId="15729" xr:uid="{00000000-0005-0000-0000-00000C410000}"/>
    <cellStyle name="40% - Accent4 13 5 2 2 2" xfId="39571" xr:uid="{E0D7D561-CFC6-4862-9321-D126737BDCFB}"/>
    <cellStyle name="40% - Accent4 13 5 2 3" xfId="23675" xr:uid="{00000000-0005-0000-0000-00000D410000}"/>
    <cellStyle name="40% - Accent4 13 5 2 3 2" xfId="47507" xr:uid="{0A8D7526-487B-4049-A788-44900437DC9C}"/>
    <cellStyle name="40% - Accent4 13 5 2 4" xfId="31630" xr:uid="{B4214C2D-A9ED-4B9E-A1C8-4B03F7401AD5}"/>
    <cellStyle name="40% - Accent4 13 5 3" xfId="12191" xr:uid="{00000000-0005-0000-0000-00000E410000}"/>
    <cellStyle name="40% - Accent4 13 5 3 2" xfId="36040" xr:uid="{DE51C4D5-C8EB-4D57-B103-A954E9B62C87}"/>
    <cellStyle name="40% - Accent4 13 5 4" xfId="20146" xr:uid="{00000000-0005-0000-0000-00000F410000}"/>
    <cellStyle name="40% - Accent4 13 5 4 2" xfId="43978" xr:uid="{A6424F73-CCFF-4DBC-9A14-4B441C0E609E}"/>
    <cellStyle name="40% - Accent4 13 5 5" xfId="28099" xr:uid="{0A02EE47-4EAE-4D9D-85B4-DCEC98B6F55A}"/>
    <cellStyle name="40% - Accent4 13 6" xfId="5987" xr:uid="{00000000-0005-0000-0000-000010410000}"/>
    <cellStyle name="40% - Accent4 13 6 2" xfId="13970" xr:uid="{00000000-0005-0000-0000-000011410000}"/>
    <cellStyle name="40% - Accent4 13 6 2 2" xfId="37813" xr:uid="{53846137-2CA2-47F5-9939-2EC04CB55698}"/>
    <cellStyle name="40% - Accent4 13 6 3" xfId="21918" xr:uid="{00000000-0005-0000-0000-000012410000}"/>
    <cellStyle name="40% - Accent4 13 6 3 2" xfId="45750" xr:uid="{05116CC2-59E7-4B95-A7E2-7CD2377C9BE9}"/>
    <cellStyle name="40% - Accent4 13 6 4" xfId="29872" xr:uid="{179A9A1B-88C6-4107-89EC-69659C0D6BA1}"/>
    <cellStyle name="40% - Accent4 13 7" xfId="9539" xr:uid="{00000000-0005-0000-0000-000013410000}"/>
    <cellStyle name="40% - Accent4 13 7 2" xfId="17497" xr:uid="{00000000-0005-0000-0000-000014410000}"/>
    <cellStyle name="40% - Accent4 13 7 2 2" xfId="41337" xr:uid="{DE13EFFA-AC24-4CB0-BD56-6FD6BF108343}"/>
    <cellStyle name="40% - Accent4 13 7 3" xfId="25441" xr:uid="{00000000-0005-0000-0000-000015410000}"/>
    <cellStyle name="40% - Accent4 13 7 3 2" xfId="49273" xr:uid="{5559012A-6174-4EAA-BB00-DA7F027A032D}"/>
    <cellStyle name="40% - Accent4 13 7 4" xfId="33396" xr:uid="{73E01557-C520-42D9-BB31-CAEB2C3C8AA1}"/>
    <cellStyle name="40% - Accent4 13 8" xfId="10435" xr:uid="{00000000-0005-0000-0000-000016410000}"/>
    <cellStyle name="40% - Accent4 13 8 2" xfId="34284" xr:uid="{0992BC4C-283C-43A7-B943-9285C12152C8}"/>
    <cellStyle name="40% - Accent4 13 9" xfId="18390" xr:uid="{00000000-0005-0000-0000-000017410000}"/>
    <cellStyle name="40% - Accent4 13 9 2" xfId="42222" xr:uid="{673DB673-C89B-4CDF-ABCA-A7F7ACDA9D0B}"/>
    <cellStyle name="40% - Accent4 13_Exh G" xfId="3074" xr:uid="{00000000-0005-0000-0000-000018410000}"/>
    <cellStyle name="40% - Accent4 14" xfId="497" xr:uid="{00000000-0005-0000-0000-000019410000}"/>
    <cellStyle name="40% - Accent4 14 2" xfId="498" xr:uid="{00000000-0005-0000-0000-00001A410000}"/>
    <cellStyle name="40% - Accent4 14 2 2" xfId="1524" xr:uid="{00000000-0005-0000-0000-00001B410000}"/>
    <cellStyle name="40% - Accent4 14 2 2 2" xfId="5051" xr:uid="{00000000-0005-0000-0000-00001C410000}"/>
    <cellStyle name="40% - Accent4 14 2 2 2 2" xfId="8642" xr:uid="{00000000-0005-0000-0000-00001D410000}"/>
    <cellStyle name="40% - Accent4 14 2 2 2 2 2" xfId="16612" xr:uid="{00000000-0005-0000-0000-00001E410000}"/>
    <cellStyle name="40% - Accent4 14 2 2 2 2 2 2" xfId="40454" xr:uid="{52E7B048-1EBA-4795-9AC9-CB6F0D474857}"/>
    <cellStyle name="40% - Accent4 14 2 2 2 2 3" xfId="24558" xr:uid="{00000000-0005-0000-0000-00001F410000}"/>
    <cellStyle name="40% - Accent4 14 2 2 2 2 3 2" xfId="48390" xr:uid="{3AC34E4D-C6EA-4BF4-AC33-AD1ECA65B0BA}"/>
    <cellStyle name="40% - Accent4 14 2 2 2 2 4" xfId="32513" xr:uid="{98FD446E-6D98-4361-8598-8B7339BCC8D4}"/>
    <cellStyle name="40% - Accent4 14 2 2 2 3" xfId="13074" xr:uid="{00000000-0005-0000-0000-000020410000}"/>
    <cellStyle name="40% - Accent4 14 2 2 2 3 2" xfId="36923" xr:uid="{E9E7361B-A22A-4518-92C9-08F2F1D7303E}"/>
    <cellStyle name="40% - Accent4 14 2 2 2 4" xfId="21029" xr:uid="{00000000-0005-0000-0000-000021410000}"/>
    <cellStyle name="40% - Accent4 14 2 2 2 4 2" xfId="44861" xr:uid="{A63C1532-6E0A-4446-8762-B79A8418CB8D}"/>
    <cellStyle name="40% - Accent4 14 2 2 2 5" xfId="28982" xr:uid="{9C45FEB7-2385-4B84-92B3-98EB114BA546}"/>
    <cellStyle name="40% - Accent4 14 2 2 3" xfId="6883" xr:uid="{00000000-0005-0000-0000-000022410000}"/>
    <cellStyle name="40% - Accent4 14 2 2 3 2" xfId="14854" xr:uid="{00000000-0005-0000-0000-000023410000}"/>
    <cellStyle name="40% - Accent4 14 2 2 3 2 2" xfId="38696" xr:uid="{B6DA6697-0932-4D3B-9CD5-2ADECE1159A7}"/>
    <cellStyle name="40% - Accent4 14 2 2 3 3" xfId="22801" xr:uid="{00000000-0005-0000-0000-000024410000}"/>
    <cellStyle name="40% - Accent4 14 2 2 3 3 2" xfId="46633" xr:uid="{4F9C5AB7-A5EE-489A-B7F7-23CF4B647103}"/>
    <cellStyle name="40% - Accent4 14 2 2 3 4" xfId="30755" xr:uid="{C537C017-097E-4D90-9A2D-34E7CFC45AF1}"/>
    <cellStyle name="40% - Accent4 14 2 2 4" xfId="11318" xr:uid="{00000000-0005-0000-0000-000025410000}"/>
    <cellStyle name="40% - Accent4 14 2 2 4 2" xfId="35167" xr:uid="{4A81B8B3-C338-4E30-9C67-ED8D3D1F933A}"/>
    <cellStyle name="40% - Accent4 14 2 2 5" xfId="19273" xr:uid="{00000000-0005-0000-0000-000026410000}"/>
    <cellStyle name="40% - Accent4 14 2 2 5 2" xfId="43105" xr:uid="{E96CD4C5-87E8-4A8C-95B3-737C1B764B40}"/>
    <cellStyle name="40% - Accent4 14 2 2 6" xfId="27225" xr:uid="{399EB351-C8D1-40B1-986D-97DCF8419CC1}"/>
    <cellStyle name="40% - Accent4 14 2 2_Exh G" xfId="3084" xr:uid="{00000000-0005-0000-0000-000027410000}"/>
    <cellStyle name="40% - Accent4 14 2 3" xfId="4172" xr:uid="{00000000-0005-0000-0000-000028410000}"/>
    <cellStyle name="40% - Accent4 14 2 3 2" xfId="7764" xr:uid="{00000000-0005-0000-0000-000029410000}"/>
    <cellStyle name="40% - Accent4 14 2 3 2 2" xfId="15734" xr:uid="{00000000-0005-0000-0000-00002A410000}"/>
    <cellStyle name="40% - Accent4 14 2 3 2 2 2" xfId="39576" xr:uid="{B243C1A0-FA79-4E8C-96DB-A4C50C7C399D}"/>
    <cellStyle name="40% - Accent4 14 2 3 2 3" xfId="23680" xr:uid="{00000000-0005-0000-0000-00002B410000}"/>
    <cellStyle name="40% - Accent4 14 2 3 2 3 2" xfId="47512" xr:uid="{B4415D16-9B56-41CC-9450-31513628CAAF}"/>
    <cellStyle name="40% - Accent4 14 2 3 2 4" xfId="31635" xr:uid="{648F75D1-592B-4764-ACD5-715AF7989C68}"/>
    <cellStyle name="40% - Accent4 14 2 3 3" xfId="12196" xr:uid="{00000000-0005-0000-0000-00002C410000}"/>
    <cellStyle name="40% - Accent4 14 2 3 3 2" xfId="36045" xr:uid="{3FB48E77-9E85-427A-94A2-4356836E9DA0}"/>
    <cellStyle name="40% - Accent4 14 2 3 4" xfId="20151" xr:uid="{00000000-0005-0000-0000-00002D410000}"/>
    <cellStyle name="40% - Accent4 14 2 3 4 2" xfId="43983" xr:uid="{01EE1C17-EE02-41B5-979F-AD2DFE8CBD73}"/>
    <cellStyle name="40% - Accent4 14 2 3 5" xfId="28104" xr:uid="{770CB57B-EC6A-42A2-B0AA-8CB6C5DE2D83}"/>
    <cellStyle name="40% - Accent4 14 2 4" xfId="5992" xr:uid="{00000000-0005-0000-0000-00002E410000}"/>
    <cellStyle name="40% - Accent4 14 2 4 2" xfId="13975" xr:uid="{00000000-0005-0000-0000-00002F410000}"/>
    <cellStyle name="40% - Accent4 14 2 4 2 2" xfId="37818" xr:uid="{7562BDBC-FCC2-4E93-93E8-A41C183C3EA9}"/>
    <cellStyle name="40% - Accent4 14 2 4 3" xfId="21923" xr:uid="{00000000-0005-0000-0000-000030410000}"/>
    <cellStyle name="40% - Accent4 14 2 4 3 2" xfId="45755" xr:uid="{71874AF9-0FF9-4B4E-8727-C79EB4707D75}"/>
    <cellStyle name="40% - Accent4 14 2 4 4" xfId="29877" xr:uid="{CBB55A59-1814-4271-BF5A-CAE700101A0D}"/>
    <cellStyle name="40% - Accent4 14 2 5" xfId="9544" xr:uid="{00000000-0005-0000-0000-000031410000}"/>
    <cellStyle name="40% - Accent4 14 2 5 2" xfId="17502" xr:uid="{00000000-0005-0000-0000-000032410000}"/>
    <cellStyle name="40% - Accent4 14 2 5 2 2" xfId="41342" xr:uid="{72644311-9517-4722-837C-93A9F8F0BF33}"/>
    <cellStyle name="40% - Accent4 14 2 5 3" xfId="25446" xr:uid="{00000000-0005-0000-0000-000033410000}"/>
    <cellStyle name="40% - Accent4 14 2 5 3 2" xfId="49278" xr:uid="{1B8BE82E-7286-49B3-B43D-17A85B3853D9}"/>
    <cellStyle name="40% - Accent4 14 2 5 4" xfId="33401" xr:uid="{ACC40B05-856A-44BF-A6B7-CE80AEAD8DEF}"/>
    <cellStyle name="40% - Accent4 14 2 6" xfId="10440" xr:uid="{00000000-0005-0000-0000-000034410000}"/>
    <cellStyle name="40% - Accent4 14 2 6 2" xfId="34289" xr:uid="{B89AB038-E2CA-4E55-8E38-3E88210863DB}"/>
    <cellStyle name="40% - Accent4 14 2 7" xfId="18395" xr:uid="{00000000-0005-0000-0000-000035410000}"/>
    <cellStyle name="40% - Accent4 14 2 7 2" xfId="42227" xr:uid="{662FAC74-6420-4991-9389-B340CACEE031}"/>
    <cellStyle name="40% - Accent4 14 2 8" xfId="26347" xr:uid="{4143AEE5-65F5-4A92-8600-131BD7C96474}"/>
    <cellStyle name="40% - Accent4 14 2_Exh G" xfId="3083" xr:uid="{00000000-0005-0000-0000-000036410000}"/>
    <cellStyle name="40% - Accent4 14 3" xfId="1523" xr:uid="{00000000-0005-0000-0000-000037410000}"/>
    <cellStyle name="40% - Accent4 14 3 2" xfId="5050" xr:uid="{00000000-0005-0000-0000-000038410000}"/>
    <cellStyle name="40% - Accent4 14 3 2 2" xfId="8641" xr:uid="{00000000-0005-0000-0000-000039410000}"/>
    <cellStyle name="40% - Accent4 14 3 2 2 2" xfId="16611" xr:uid="{00000000-0005-0000-0000-00003A410000}"/>
    <cellStyle name="40% - Accent4 14 3 2 2 2 2" xfId="40453" xr:uid="{B3BEC9E1-2AA5-432B-B7C0-892C556AD4C3}"/>
    <cellStyle name="40% - Accent4 14 3 2 2 3" xfId="24557" xr:uid="{00000000-0005-0000-0000-00003B410000}"/>
    <cellStyle name="40% - Accent4 14 3 2 2 3 2" xfId="48389" xr:uid="{34FF0C03-0D0A-4ED1-A5D4-E7006000EF14}"/>
    <cellStyle name="40% - Accent4 14 3 2 2 4" xfId="32512" xr:uid="{E2E337C4-0695-49E1-BD03-1DCDDAEFBDCA}"/>
    <cellStyle name="40% - Accent4 14 3 2 3" xfId="13073" xr:uid="{00000000-0005-0000-0000-00003C410000}"/>
    <cellStyle name="40% - Accent4 14 3 2 3 2" xfId="36922" xr:uid="{3CA9572C-BA46-4D3C-BE65-70CD212D9378}"/>
    <cellStyle name="40% - Accent4 14 3 2 4" xfId="21028" xr:uid="{00000000-0005-0000-0000-00003D410000}"/>
    <cellStyle name="40% - Accent4 14 3 2 4 2" xfId="44860" xr:uid="{09495704-7E88-44A6-8947-617CE7C6ECCF}"/>
    <cellStyle name="40% - Accent4 14 3 2 5" xfId="28981" xr:uid="{3D6C7655-02AB-467B-A9C5-A3316E61EB39}"/>
    <cellStyle name="40% - Accent4 14 3 3" xfId="6882" xr:uid="{00000000-0005-0000-0000-00003E410000}"/>
    <cellStyle name="40% - Accent4 14 3 3 2" xfId="14853" xr:uid="{00000000-0005-0000-0000-00003F410000}"/>
    <cellStyle name="40% - Accent4 14 3 3 2 2" xfId="38695" xr:uid="{89C6F5F3-0FB0-4689-995E-19120E20EABB}"/>
    <cellStyle name="40% - Accent4 14 3 3 3" xfId="22800" xr:uid="{00000000-0005-0000-0000-000040410000}"/>
    <cellStyle name="40% - Accent4 14 3 3 3 2" xfId="46632" xr:uid="{313C897D-A7B2-4FC6-970B-1500C1B173DD}"/>
    <cellStyle name="40% - Accent4 14 3 3 4" xfId="30754" xr:uid="{E571B1A8-1A5F-49AE-811B-376BA8340497}"/>
    <cellStyle name="40% - Accent4 14 3 4" xfId="11317" xr:uid="{00000000-0005-0000-0000-000041410000}"/>
    <cellStyle name="40% - Accent4 14 3 4 2" xfId="35166" xr:uid="{DD0C43AE-E792-4B9E-9890-55EEE9F87A8F}"/>
    <cellStyle name="40% - Accent4 14 3 5" xfId="19272" xr:uid="{00000000-0005-0000-0000-000042410000}"/>
    <cellStyle name="40% - Accent4 14 3 5 2" xfId="43104" xr:uid="{8757678A-6D6C-4B5D-B15E-3ADF2BAB801B}"/>
    <cellStyle name="40% - Accent4 14 3 6" xfId="27224" xr:uid="{30CE344F-5608-4FAE-9909-F10C88AEFFF3}"/>
    <cellStyle name="40% - Accent4 14 3_Exh G" xfId="3085" xr:uid="{00000000-0005-0000-0000-000043410000}"/>
    <cellStyle name="40% - Accent4 14 4" xfId="4171" xr:uid="{00000000-0005-0000-0000-000044410000}"/>
    <cellStyle name="40% - Accent4 14 4 2" xfId="7763" xr:uid="{00000000-0005-0000-0000-000045410000}"/>
    <cellStyle name="40% - Accent4 14 4 2 2" xfId="15733" xr:uid="{00000000-0005-0000-0000-000046410000}"/>
    <cellStyle name="40% - Accent4 14 4 2 2 2" xfId="39575" xr:uid="{5669D65F-4ED1-4032-AF91-D9881E18D9A0}"/>
    <cellStyle name="40% - Accent4 14 4 2 3" xfId="23679" xr:uid="{00000000-0005-0000-0000-000047410000}"/>
    <cellStyle name="40% - Accent4 14 4 2 3 2" xfId="47511" xr:uid="{FA0A1BC0-CBD6-40DD-A56A-0FAA2A6D9DF8}"/>
    <cellStyle name="40% - Accent4 14 4 2 4" xfId="31634" xr:uid="{41D51D4F-60B0-404C-9B26-02ADDF7D7679}"/>
    <cellStyle name="40% - Accent4 14 4 3" xfId="12195" xr:uid="{00000000-0005-0000-0000-000048410000}"/>
    <cellStyle name="40% - Accent4 14 4 3 2" xfId="36044" xr:uid="{71677563-DDF3-4290-AD68-8ED0CC236067}"/>
    <cellStyle name="40% - Accent4 14 4 4" xfId="20150" xr:uid="{00000000-0005-0000-0000-000049410000}"/>
    <cellStyle name="40% - Accent4 14 4 4 2" xfId="43982" xr:uid="{B24E31F6-7905-4A10-84AC-D856CC47841E}"/>
    <cellStyle name="40% - Accent4 14 4 5" xfId="28103" xr:uid="{36168B1D-B144-4A37-ADD8-03767DE3D71D}"/>
    <cellStyle name="40% - Accent4 14 5" xfId="5991" xr:uid="{00000000-0005-0000-0000-00004A410000}"/>
    <cellStyle name="40% - Accent4 14 5 2" xfId="13974" xr:uid="{00000000-0005-0000-0000-00004B410000}"/>
    <cellStyle name="40% - Accent4 14 5 2 2" xfId="37817" xr:uid="{6DAD5847-9D33-477F-8E5F-F0B2B975845C}"/>
    <cellStyle name="40% - Accent4 14 5 3" xfId="21922" xr:uid="{00000000-0005-0000-0000-00004C410000}"/>
    <cellStyle name="40% - Accent4 14 5 3 2" xfId="45754" xr:uid="{394D7010-B4D9-455B-8351-2DD3DDD41AB8}"/>
    <cellStyle name="40% - Accent4 14 5 4" xfId="29876" xr:uid="{11FE31FE-CE4D-4E95-BFC9-94F54083AFA0}"/>
    <cellStyle name="40% - Accent4 14 6" xfId="9543" xr:uid="{00000000-0005-0000-0000-00004D410000}"/>
    <cellStyle name="40% - Accent4 14 6 2" xfId="17501" xr:uid="{00000000-0005-0000-0000-00004E410000}"/>
    <cellStyle name="40% - Accent4 14 6 2 2" xfId="41341" xr:uid="{779FBA9C-1F47-4577-8295-EC5D23EEA95F}"/>
    <cellStyle name="40% - Accent4 14 6 3" xfId="25445" xr:uid="{00000000-0005-0000-0000-00004F410000}"/>
    <cellStyle name="40% - Accent4 14 6 3 2" xfId="49277" xr:uid="{022E3040-F87C-42EE-B816-756907F2FD67}"/>
    <cellStyle name="40% - Accent4 14 6 4" xfId="33400" xr:uid="{4A0A8D01-2083-416E-8B1B-E02E8045D85E}"/>
    <cellStyle name="40% - Accent4 14 7" xfId="10439" xr:uid="{00000000-0005-0000-0000-000050410000}"/>
    <cellStyle name="40% - Accent4 14 7 2" xfId="34288" xr:uid="{61B9C0EA-FFCD-4BD2-86A6-31280FB420AC}"/>
    <cellStyle name="40% - Accent4 14 8" xfId="18394" xr:uid="{00000000-0005-0000-0000-000051410000}"/>
    <cellStyle name="40% - Accent4 14 8 2" xfId="42226" xr:uid="{96F8BDB9-87F2-45B4-BB09-B611A5BEE775}"/>
    <cellStyle name="40% - Accent4 14 9" xfId="26346" xr:uid="{117620F5-902F-4FAC-B177-36A08BD62B68}"/>
    <cellStyle name="40% - Accent4 14_Exh G" xfId="3082" xr:uid="{00000000-0005-0000-0000-000052410000}"/>
    <cellStyle name="40% - Accent4 15" xfId="499" xr:uid="{00000000-0005-0000-0000-000053410000}"/>
    <cellStyle name="40% - Accent4 15 2" xfId="1525" xr:uid="{00000000-0005-0000-0000-000054410000}"/>
    <cellStyle name="40% - Accent4 15 2 2" xfId="5052" xr:uid="{00000000-0005-0000-0000-000055410000}"/>
    <cellStyle name="40% - Accent4 15 2 2 2" xfId="8643" xr:uid="{00000000-0005-0000-0000-000056410000}"/>
    <cellStyle name="40% - Accent4 15 2 2 2 2" xfId="16613" xr:uid="{00000000-0005-0000-0000-000057410000}"/>
    <cellStyle name="40% - Accent4 15 2 2 2 2 2" xfId="40455" xr:uid="{7202F387-AD17-4F0D-B1CB-704B2B9A296C}"/>
    <cellStyle name="40% - Accent4 15 2 2 2 3" xfId="24559" xr:uid="{00000000-0005-0000-0000-000058410000}"/>
    <cellStyle name="40% - Accent4 15 2 2 2 3 2" xfId="48391" xr:uid="{EF30D652-4CF1-4B4C-9BD2-B64A614DA590}"/>
    <cellStyle name="40% - Accent4 15 2 2 2 4" xfId="32514" xr:uid="{925E686A-8DB6-4768-8C32-938B2B96121A}"/>
    <cellStyle name="40% - Accent4 15 2 2 3" xfId="13075" xr:uid="{00000000-0005-0000-0000-000059410000}"/>
    <cellStyle name="40% - Accent4 15 2 2 3 2" xfId="36924" xr:uid="{0FB82D1D-B320-4E4D-86D5-9268273390CC}"/>
    <cellStyle name="40% - Accent4 15 2 2 4" xfId="21030" xr:uid="{00000000-0005-0000-0000-00005A410000}"/>
    <cellStyle name="40% - Accent4 15 2 2 4 2" xfId="44862" xr:uid="{D162D7AB-E34C-4797-9A5E-026826309C97}"/>
    <cellStyle name="40% - Accent4 15 2 2 5" xfId="28983" xr:uid="{3D3A6E9D-4A42-4FB5-B9FE-6F47F319F4C7}"/>
    <cellStyle name="40% - Accent4 15 2 3" xfId="6884" xr:uid="{00000000-0005-0000-0000-00005B410000}"/>
    <cellStyle name="40% - Accent4 15 2 3 2" xfId="14855" xr:uid="{00000000-0005-0000-0000-00005C410000}"/>
    <cellStyle name="40% - Accent4 15 2 3 2 2" xfId="38697" xr:uid="{402BDB5B-0DC3-44FE-BCF6-64CA23D0677B}"/>
    <cellStyle name="40% - Accent4 15 2 3 3" xfId="22802" xr:uid="{00000000-0005-0000-0000-00005D410000}"/>
    <cellStyle name="40% - Accent4 15 2 3 3 2" xfId="46634" xr:uid="{7D4CCF73-02BB-451D-8491-EE68E1A850A7}"/>
    <cellStyle name="40% - Accent4 15 2 3 4" xfId="30756" xr:uid="{7DBC2E84-4C41-4880-BB18-C3C29AC0ED1E}"/>
    <cellStyle name="40% - Accent4 15 2 4" xfId="11319" xr:uid="{00000000-0005-0000-0000-00005E410000}"/>
    <cellStyle name="40% - Accent4 15 2 4 2" xfId="35168" xr:uid="{E8928721-1E7C-4059-8189-A186586E252E}"/>
    <cellStyle name="40% - Accent4 15 2 5" xfId="19274" xr:uid="{00000000-0005-0000-0000-00005F410000}"/>
    <cellStyle name="40% - Accent4 15 2 5 2" xfId="43106" xr:uid="{A7D0E833-728D-4DFA-9F49-58566F99BF87}"/>
    <cellStyle name="40% - Accent4 15 2 6" xfId="27226" xr:uid="{A50083E3-DDE9-49B1-AEC9-B8655A3C96F5}"/>
    <cellStyle name="40% - Accent4 15 2_Exh G" xfId="3087" xr:uid="{00000000-0005-0000-0000-000060410000}"/>
    <cellStyle name="40% - Accent4 15 3" xfId="4173" xr:uid="{00000000-0005-0000-0000-000061410000}"/>
    <cellStyle name="40% - Accent4 15 3 2" xfId="7765" xr:uid="{00000000-0005-0000-0000-000062410000}"/>
    <cellStyle name="40% - Accent4 15 3 2 2" xfId="15735" xr:uid="{00000000-0005-0000-0000-000063410000}"/>
    <cellStyle name="40% - Accent4 15 3 2 2 2" xfId="39577" xr:uid="{CACF827F-3EB3-4FF4-B719-E5F6A651D05A}"/>
    <cellStyle name="40% - Accent4 15 3 2 3" xfId="23681" xr:uid="{00000000-0005-0000-0000-000064410000}"/>
    <cellStyle name="40% - Accent4 15 3 2 3 2" xfId="47513" xr:uid="{3B08AEE9-2C45-43AC-A07C-5FA64C2C459D}"/>
    <cellStyle name="40% - Accent4 15 3 2 4" xfId="31636" xr:uid="{8FCBC72C-8E85-49C8-A0EA-E05F058139A9}"/>
    <cellStyle name="40% - Accent4 15 3 3" xfId="12197" xr:uid="{00000000-0005-0000-0000-000065410000}"/>
    <cellStyle name="40% - Accent4 15 3 3 2" xfId="36046" xr:uid="{70B2B36C-74E7-49DD-B7F4-4140B71A18AB}"/>
    <cellStyle name="40% - Accent4 15 3 4" xfId="20152" xr:uid="{00000000-0005-0000-0000-000066410000}"/>
    <cellStyle name="40% - Accent4 15 3 4 2" xfId="43984" xr:uid="{779F23C1-0C97-4899-B6CD-D1F057095B57}"/>
    <cellStyle name="40% - Accent4 15 3 5" xfId="28105" xr:uid="{6EBB9A82-CCDD-4244-8040-5AC399917C4A}"/>
    <cellStyle name="40% - Accent4 15 4" xfId="5993" xr:uid="{00000000-0005-0000-0000-000067410000}"/>
    <cellStyle name="40% - Accent4 15 4 2" xfId="13976" xr:uid="{00000000-0005-0000-0000-000068410000}"/>
    <cellStyle name="40% - Accent4 15 4 2 2" xfId="37819" xr:uid="{04DD7A69-3A48-4F31-B339-49C4038C931E}"/>
    <cellStyle name="40% - Accent4 15 4 3" xfId="21924" xr:uid="{00000000-0005-0000-0000-000069410000}"/>
    <cellStyle name="40% - Accent4 15 4 3 2" xfId="45756" xr:uid="{88D2A24E-D898-4EFE-AD75-44175721F65D}"/>
    <cellStyle name="40% - Accent4 15 4 4" xfId="29878" xr:uid="{6EAE62B2-32B3-4A6A-819B-F88FCCE8E251}"/>
    <cellStyle name="40% - Accent4 15 5" xfId="9545" xr:uid="{00000000-0005-0000-0000-00006A410000}"/>
    <cellStyle name="40% - Accent4 15 5 2" xfId="17503" xr:uid="{00000000-0005-0000-0000-00006B410000}"/>
    <cellStyle name="40% - Accent4 15 5 2 2" xfId="41343" xr:uid="{A33A3D53-522B-45C5-9458-B1583B551150}"/>
    <cellStyle name="40% - Accent4 15 5 3" xfId="25447" xr:uid="{00000000-0005-0000-0000-00006C410000}"/>
    <cellStyle name="40% - Accent4 15 5 3 2" xfId="49279" xr:uid="{EBA096AA-6AD5-4DA6-9D94-9790FCE50DCB}"/>
    <cellStyle name="40% - Accent4 15 5 4" xfId="33402" xr:uid="{5EE865F8-E1A5-48C6-9EAF-43FFBEF78E4B}"/>
    <cellStyle name="40% - Accent4 15 6" xfId="10441" xr:uid="{00000000-0005-0000-0000-00006D410000}"/>
    <cellStyle name="40% - Accent4 15 6 2" xfId="34290" xr:uid="{385269D9-A708-4EDB-B2C1-8485FF360DE4}"/>
    <cellStyle name="40% - Accent4 15 7" xfId="18396" xr:uid="{00000000-0005-0000-0000-00006E410000}"/>
    <cellStyle name="40% - Accent4 15 7 2" xfId="42228" xr:uid="{71499F45-70C6-4730-A83F-B2336E4A26C4}"/>
    <cellStyle name="40% - Accent4 15 8" xfId="26348" xr:uid="{B5170A6E-7DDA-4BCA-A934-3E4A2B337ED4}"/>
    <cellStyle name="40% - Accent4 15_Exh G" xfId="3086" xr:uid="{00000000-0005-0000-0000-00006F410000}"/>
    <cellStyle name="40% - Accent4 16" xfId="849" xr:uid="{00000000-0005-0000-0000-000070410000}"/>
    <cellStyle name="40% - Accent4 16 2" xfId="1784" xr:uid="{00000000-0005-0000-0000-000071410000}"/>
    <cellStyle name="40% - Accent4 16 2 2" xfId="5304" xr:uid="{00000000-0005-0000-0000-000072410000}"/>
    <cellStyle name="40% - Accent4 16 2 2 2" xfId="8895" xr:uid="{00000000-0005-0000-0000-000073410000}"/>
    <cellStyle name="40% - Accent4 16 2 2 2 2" xfId="16865" xr:uid="{00000000-0005-0000-0000-000074410000}"/>
    <cellStyle name="40% - Accent4 16 2 2 2 2 2" xfId="40707" xr:uid="{60CD5B50-9C74-4CBB-A421-78318E96296A}"/>
    <cellStyle name="40% - Accent4 16 2 2 2 3" xfId="24811" xr:uid="{00000000-0005-0000-0000-000075410000}"/>
    <cellStyle name="40% - Accent4 16 2 2 2 3 2" xfId="48643" xr:uid="{6CB5F435-7089-41B9-8837-347E48EEE80A}"/>
    <cellStyle name="40% - Accent4 16 2 2 2 4" xfId="32766" xr:uid="{06918825-6FF2-4FB1-BCCF-402175052DD8}"/>
    <cellStyle name="40% - Accent4 16 2 2 3" xfId="13327" xr:uid="{00000000-0005-0000-0000-000076410000}"/>
    <cellStyle name="40% - Accent4 16 2 2 3 2" xfId="37176" xr:uid="{ADF50A8D-0D2F-4979-BA09-4244C6BE8D68}"/>
    <cellStyle name="40% - Accent4 16 2 2 4" xfId="21282" xr:uid="{00000000-0005-0000-0000-000077410000}"/>
    <cellStyle name="40% - Accent4 16 2 2 4 2" xfId="45114" xr:uid="{170E0C62-63B8-4D5A-929A-368BFF625216}"/>
    <cellStyle name="40% - Accent4 16 2 2 5" xfId="29235" xr:uid="{B3496B4C-5857-4EDB-88E2-8E9B856914D1}"/>
    <cellStyle name="40% - Accent4 16 2 3" xfId="7136" xr:uid="{00000000-0005-0000-0000-000078410000}"/>
    <cellStyle name="40% - Accent4 16 2 3 2" xfId="15107" xr:uid="{00000000-0005-0000-0000-000079410000}"/>
    <cellStyle name="40% - Accent4 16 2 3 2 2" xfId="38949" xr:uid="{576C8791-6FD3-4D88-8EE4-EFAA34ADE8AC}"/>
    <cellStyle name="40% - Accent4 16 2 3 3" xfId="23054" xr:uid="{00000000-0005-0000-0000-00007A410000}"/>
    <cellStyle name="40% - Accent4 16 2 3 3 2" xfId="46886" xr:uid="{E1E250EC-DF7D-43B5-A8AD-CC92FD11AD35}"/>
    <cellStyle name="40% - Accent4 16 2 3 4" xfId="31008" xr:uid="{47C408BD-73C7-49BF-A4B0-761CE0169AE5}"/>
    <cellStyle name="40% - Accent4 16 2 4" xfId="11571" xr:uid="{00000000-0005-0000-0000-00007B410000}"/>
    <cellStyle name="40% - Accent4 16 2 4 2" xfId="35420" xr:uid="{76C80284-0984-462D-851B-07ADD5AA3629}"/>
    <cellStyle name="40% - Accent4 16 2 5" xfId="19526" xr:uid="{00000000-0005-0000-0000-00007C410000}"/>
    <cellStyle name="40% - Accent4 16 2 5 2" xfId="43358" xr:uid="{FF77B386-B275-473B-896B-C4A139C0E88D}"/>
    <cellStyle name="40% - Accent4 16 2 6" xfId="27478" xr:uid="{5442CE8B-484C-4A2A-A509-50B125A5F572}"/>
    <cellStyle name="40% - Accent4 16 2_Exh G" xfId="3089" xr:uid="{00000000-0005-0000-0000-00007D410000}"/>
    <cellStyle name="40% - Accent4 16 3" xfId="4425" xr:uid="{00000000-0005-0000-0000-00007E410000}"/>
    <cellStyle name="40% - Accent4 16 3 2" xfId="8017" xr:uid="{00000000-0005-0000-0000-00007F410000}"/>
    <cellStyle name="40% - Accent4 16 3 2 2" xfId="15987" xr:uid="{00000000-0005-0000-0000-000080410000}"/>
    <cellStyle name="40% - Accent4 16 3 2 2 2" xfId="39829" xr:uid="{705C648B-73DF-4633-9CA8-7421A47336AF}"/>
    <cellStyle name="40% - Accent4 16 3 2 3" xfId="23933" xr:uid="{00000000-0005-0000-0000-000081410000}"/>
    <cellStyle name="40% - Accent4 16 3 2 3 2" xfId="47765" xr:uid="{837CAC72-9973-4993-B3B3-CFA384C14DC5}"/>
    <cellStyle name="40% - Accent4 16 3 2 4" xfId="31888" xr:uid="{6D3E94B2-AD76-412F-9ED2-9F78EC221048}"/>
    <cellStyle name="40% - Accent4 16 3 3" xfId="12449" xr:uid="{00000000-0005-0000-0000-000082410000}"/>
    <cellStyle name="40% - Accent4 16 3 3 2" xfId="36298" xr:uid="{37EBF04D-CAAC-456A-B80B-80E67F83A3C6}"/>
    <cellStyle name="40% - Accent4 16 3 4" xfId="20404" xr:uid="{00000000-0005-0000-0000-000083410000}"/>
    <cellStyle name="40% - Accent4 16 3 4 2" xfId="44236" xr:uid="{A7C1AA3F-5A1D-4D3E-AAC1-6F4B3DBA69DB}"/>
    <cellStyle name="40% - Accent4 16 3 5" xfId="28357" xr:uid="{D5D35CEC-5F7E-49F6-B632-A8CC14557A8E}"/>
    <cellStyle name="40% - Accent4 16 4" xfId="6255" xr:uid="{00000000-0005-0000-0000-000084410000}"/>
    <cellStyle name="40% - Accent4 16 4 2" xfId="14229" xr:uid="{00000000-0005-0000-0000-000085410000}"/>
    <cellStyle name="40% - Accent4 16 4 2 2" xfId="38071" xr:uid="{C3E6D8FA-B562-47C7-8423-A4D3C50DB52A}"/>
    <cellStyle name="40% - Accent4 16 4 3" xfId="22176" xr:uid="{00000000-0005-0000-0000-000086410000}"/>
    <cellStyle name="40% - Accent4 16 4 3 2" xfId="46008" xr:uid="{866E9BE7-CDAC-460D-A8A0-C5924EDFC00F}"/>
    <cellStyle name="40% - Accent4 16 4 4" xfId="30130" xr:uid="{ABE789A3-8E32-4040-8EFD-8CC59BE09807}"/>
    <cellStyle name="40% - Accent4 16 5" xfId="9797" xr:uid="{00000000-0005-0000-0000-000087410000}"/>
    <cellStyle name="40% - Accent4 16 5 2" xfId="17755" xr:uid="{00000000-0005-0000-0000-000088410000}"/>
    <cellStyle name="40% - Accent4 16 5 2 2" xfId="41595" xr:uid="{69EE2AE1-12D7-48B6-9B26-87FBF6CE1642}"/>
    <cellStyle name="40% - Accent4 16 5 3" xfId="25699" xr:uid="{00000000-0005-0000-0000-000089410000}"/>
    <cellStyle name="40% - Accent4 16 5 3 2" xfId="49531" xr:uid="{B75A3C1D-5E43-4066-AD25-FC926315CE53}"/>
    <cellStyle name="40% - Accent4 16 5 4" xfId="33654" xr:uid="{6073F5ED-A15C-4D93-AB33-BEFBA536099F}"/>
    <cellStyle name="40% - Accent4 16 6" xfId="10693" xr:uid="{00000000-0005-0000-0000-00008A410000}"/>
    <cellStyle name="40% - Accent4 16 6 2" xfId="34542" xr:uid="{9C0731A9-B77A-4404-9527-90A48C256443}"/>
    <cellStyle name="40% - Accent4 16 7" xfId="18648" xr:uid="{00000000-0005-0000-0000-00008B410000}"/>
    <cellStyle name="40% - Accent4 16 7 2" xfId="42480" xr:uid="{7EEC8A07-1A70-4877-A15D-8CD834B05E0E}"/>
    <cellStyle name="40% - Accent4 16 8" xfId="26600" xr:uid="{AF85E0E6-56A1-4468-AF1D-335B114D5881}"/>
    <cellStyle name="40% - Accent4 16_Exh G" xfId="3088" xr:uid="{00000000-0005-0000-0000-00008C410000}"/>
    <cellStyle name="40% - Accent4 17" xfId="49790" xr:uid="{50B61F38-D25E-4EB7-8710-268F673E3CCC}"/>
    <cellStyle name="40% - Accent4 18" xfId="49830" xr:uid="{E259418A-DF69-43A4-86F2-EF9B61F57B64}"/>
    <cellStyle name="40% - Accent4 2" xfId="500" xr:uid="{00000000-0005-0000-0000-00008D410000}"/>
    <cellStyle name="40% - Accent4 2 10" xfId="18397" xr:uid="{00000000-0005-0000-0000-00008E410000}"/>
    <cellStyle name="40% - Accent4 2 10 2" xfId="42229" xr:uid="{042FADDB-5BD3-4C43-8B38-7CBF00A8B178}"/>
    <cellStyle name="40% - Accent4 2 11" xfId="26349" xr:uid="{F43D789F-D7E7-46BC-BEBB-8B59612E4579}"/>
    <cellStyle name="40% - Accent4 2 12" xfId="49775" xr:uid="{C13CB8F4-CA60-4765-8B23-CCD3878CE86D}"/>
    <cellStyle name="40% - Accent4 2 13" xfId="49803" xr:uid="{20DEE15C-4915-43B4-B034-7BE8861D20D7}"/>
    <cellStyle name="40% - Accent4 2 14" xfId="49844" xr:uid="{16AFE9F0-2619-4DA2-A356-C7850FDBC141}"/>
    <cellStyle name="40% - Accent4 2 2" xfId="501" xr:uid="{00000000-0005-0000-0000-00008F410000}"/>
    <cellStyle name="40% - Accent4 2 2 10" xfId="26350" xr:uid="{C8AF8A1A-B42D-48FD-81D4-321483732515}"/>
    <cellStyle name="40% - Accent4 2 2 2" xfId="502" xr:uid="{00000000-0005-0000-0000-000090410000}"/>
    <cellStyle name="40% - Accent4 2 2 2 2" xfId="1528" xr:uid="{00000000-0005-0000-0000-000091410000}"/>
    <cellStyle name="40% - Accent4 2 2 2 2 2" xfId="5055" xr:uid="{00000000-0005-0000-0000-000092410000}"/>
    <cellStyle name="40% - Accent4 2 2 2 2 2 2" xfId="8646" xr:uid="{00000000-0005-0000-0000-000093410000}"/>
    <cellStyle name="40% - Accent4 2 2 2 2 2 2 2" xfId="16616" xr:uid="{00000000-0005-0000-0000-000094410000}"/>
    <cellStyle name="40% - Accent4 2 2 2 2 2 2 2 2" xfId="40458" xr:uid="{3B9E2DED-D417-436F-B0EE-7147630BB9A7}"/>
    <cellStyle name="40% - Accent4 2 2 2 2 2 2 3" xfId="24562" xr:uid="{00000000-0005-0000-0000-000095410000}"/>
    <cellStyle name="40% - Accent4 2 2 2 2 2 2 3 2" xfId="48394" xr:uid="{81F7E82E-7667-481B-AC39-17A8DAFDE222}"/>
    <cellStyle name="40% - Accent4 2 2 2 2 2 2 4" xfId="32517" xr:uid="{1BE74311-ACCC-4DA0-B35D-D0A4E999BA9C}"/>
    <cellStyle name="40% - Accent4 2 2 2 2 2 3" xfId="13078" xr:uid="{00000000-0005-0000-0000-000096410000}"/>
    <cellStyle name="40% - Accent4 2 2 2 2 2 3 2" xfId="36927" xr:uid="{C39296C9-D847-40F2-943C-A952E337F4BB}"/>
    <cellStyle name="40% - Accent4 2 2 2 2 2 4" xfId="21033" xr:uid="{00000000-0005-0000-0000-000097410000}"/>
    <cellStyle name="40% - Accent4 2 2 2 2 2 4 2" xfId="44865" xr:uid="{AD437589-0A52-4D66-9F7B-F2466DFF3740}"/>
    <cellStyle name="40% - Accent4 2 2 2 2 2 5" xfId="28986" xr:uid="{993CCC55-F13C-4E16-BDE9-E8ABE0D286FF}"/>
    <cellStyle name="40% - Accent4 2 2 2 2 3" xfId="6887" xr:uid="{00000000-0005-0000-0000-000098410000}"/>
    <cellStyle name="40% - Accent4 2 2 2 2 3 2" xfId="14858" xr:uid="{00000000-0005-0000-0000-000099410000}"/>
    <cellStyle name="40% - Accent4 2 2 2 2 3 2 2" xfId="38700" xr:uid="{04D84990-0335-490B-996E-B456E4A55DCC}"/>
    <cellStyle name="40% - Accent4 2 2 2 2 3 3" xfId="22805" xr:uid="{00000000-0005-0000-0000-00009A410000}"/>
    <cellStyle name="40% - Accent4 2 2 2 2 3 3 2" xfId="46637" xr:uid="{82CCE9A4-0E55-401D-B3FF-9B6103AB1CCA}"/>
    <cellStyle name="40% - Accent4 2 2 2 2 3 4" xfId="30759" xr:uid="{4F576E48-0B10-4EBF-BDB7-597483AD65BC}"/>
    <cellStyle name="40% - Accent4 2 2 2 2 4" xfId="11322" xr:uid="{00000000-0005-0000-0000-00009B410000}"/>
    <cellStyle name="40% - Accent4 2 2 2 2 4 2" xfId="35171" xr:uid="{0F9D785B-6B00-4380-B903-B4C28FD05862}"/>
    <cellStyle name="40% - Accent4 2 2 2 2 5" xfId="19277" xr:uid="{00000000-0005-0000-0000-00009C410000}"/>
    <cellStyle name="40% - Accent4 2 2 2 2 5 2" xfId="43109" xr:uid="{0F9EF237-F91F-43F6-B26E-E3AADAF2E435}"/>
    <cellStyle name="40% - Accent4 2 2 2 2 6" xfId="27229" xr:uid="{1FFC42C4-779C-471C-AD45-ACEC1F01AFC6}"/>
    <cellStyle name="40% - Accent4 2 2 2 2_Exh G" xfId="3093" xr:uid="{00000000-0005-0000-0000-00009D410000}"/>
    <cellStyle name="40% - Accent4 2 2 2 3" xfId="4176" xr:uid="{00000000-0005-0000-0000-00009E410000}"/>
    <cellStyle name="40% - Accent4 2 2 2 3 2" xfId="7768" xr:uid="{00000000-0005-0000-0000-00009F410000}"/>
    <cellStyle name="40% - Accent4 2 2 2 3 2 2" xfId="15738" xr:uid="{00000000-0005-0000-0000-0000A0410000}"/>
    <cellStyle name="40% - Accent4 2 2 2 3 2 2 2" xfId="39580" xr:uid="{E51DB69C-92BD-458F-8CC6-B3AA13EF8554}"/>
    <cellStyle name="40% - Accent4 2 2 2 3 2 3" xfId="23684" xr:uid="{00000000-0005-0000-0000-0000A1410000}"/>
    <cellStyle name="40% - Accent4 2 2 2 3 2 3 2" xfId="47516" xr:uid="{B63CFEAD-76C2-4FD4-A147-EE5F0283E85F}"/>
    <cellStyle name="40% - Accent4 2 2 2 3 2 4" xfId="31639" xr:uid="{1A13D493-82E2-403C-A6F5-9F392D3FA636}"/>
    <cellStyle name="40% - Accent4 2 2 2 3 3" xfId="12200" xr:uid="{00000000-0005-0000-0000-0000A2410000}"/>
    <cellStyle name="40% - Accent4 2 2 2 3 3 2" xfId="36049" xr:uid="{B3CA77E0-2EC5-4F54-9F6D-D2F1539B3CC6}"/>
    <cellStyle name="40% - Accent4 2 2 2 3 4" xfId="20155" xr:uid="{00000000-0005-0000-0000-0000A3410000}"/>
    <cellStyle name="40% - Accent4 2 2 2 3 4 2" xfId="43987" xr:uid="{759BAF34-29E2-4A9C-A254-77A0654CDBAA}"/>
    <cellStyle name="40% - Accent4 2 2 2 3 5" xfId="28108" xr:uid="{59BA5C05-097D-4C29-9F78-EDDCEAC455B6}"/>
    <cellStyle name="40% - Accent4 2 2 2 4" xfId="5996" xr:uid="{00000000-0005-0000-0000-0000A4410000}"/>
    <cellStyle name="40% - Accent4 2 2 2 4 2" xfId="13979" xr:uid="{00000000-0005-0000-0000-0000A5410000}"/>
    <cellStyle name="40% - Accent4 2 2 2 4 2 2" xfId="37822" xr:uid="{AA8EB964-26EC-40A6-A3E2-F72EDC18F683}"/>
    <cellStyle name="40% - Accent4 2 2 2 4 3" xfId="21927" xr:uid="{00000000-0005-0000-0000-0000A6410000}"/>
    <cellStyle name="40% - Accent4 2 2 2 4 3 2" xfId="45759" xr:uid="{7F45FE0C-0281-45D9-B323-7D01E26716C1}"/>
    <cellStyle name="40% - Accent4 2 2 2 4 4" xfId="29881" xr:uid="{A22D62E3-BF07-4424-86F8-616D141FC8FA}"/>
    <cellStyle name="40% - Accent4 2 2 2 5" xfId="9548" xr:uid="{00000000-0005-0000-0000-0000A7410000}"/>
    <cellStyle name="40% - Accent4 2 2 2 5 2" xfId="17506" xr:uid="{00000000-0005-0000-0000-0000A8410000}"/>
    <cellStyle name="40% - Accent4 2 2 2 5 2 2" xfId="41346" xr:uid="{0AC187AB-707E-4AE7-9329-B2EEEF7555EF}"/>
    <cellStyle name="40% - Accent4 2 2 2 5 3" xfId="25450" xr:uid="{00000000-0005-0000-0000-0000A9410000}"/>
    <cellStyle name="40% - Accent4 2 2 2 5 3 2" xfId="49282" xr:uid="{55DD5A72-E22A-45BA-84EC-7C20C5B342DC}"/>
    <cellStyle name="40% - Accent4 2 2 2 5 4" xfId="33405" xr:uid="{57966FAA-8D5F-43E5-8A37-AB930E625681}"/>
    <cellStyle name="40% - Accent4 2 2 2 6" xfId="10444" xr:uid="{00000000-0005-0000-0000-0000AA410000}"/>
    <cellStyle name="40% - Accent4 2 2 2 6 2" xfId="34293" xr:uid="{19416A94-A973-4A44-95E6-4AFD4ED5E02E}"/>
    <cellStyle name="40% - Accent4 2 2 2 7" xfId="18399" xr:uid="{00000000-0005-0000-0000-0000AB410000}"/>
    <cellStyle name="40% - Accent4 2 2 2 7 2" xfId="42231" xr:uid="{61906CBA-C8F6-4E17-B5FB-D28295308EAB}"/>
    <cellStyle name="40% - Accent4 2 2 2 8" xfId="26351" xr:uid="{7CE528F0-1247-4947-A97A-637B892000A0}"/>
    <cellStyle name="40% - Accent4 2 2 2_Exh G" xfId="3092" xr:uid="{00000000-0005-0000-0000-0000AC410000}"/>
    <cellStyle name="40% - Accent4 2 2 3" xfId="969" xr:uid="{00000000-0005-0000-0000-0000AD410000}"/>
    <cellStyle name="40% - Accent4 2 2 3 2" xfId="1883" xr:uid="{00000000-0005-0000-0000-0000AE410000}"/>
    <cellStyle name="40% - Accent4 2 2 3 2 2" xfId="5400" xr:uid="{00000000-0005-0000-0000-0000AF410000}"/>
    <cellStyle name="40% - Accent4 2 2 3 2 2 2" xfId="8991" xr:uid="{00000000-0005-0000-0000-0000B0410000}"/>
    <cellStyle name="40% - Accent4 2 2 3 2 2 2 2" xfId="16961" xr:uid="{00000000-0005-0000-0000-0000B1410000}"/>
    <cellStyle name="40% - Accent4 2 2 3 2 2 2 2 2" xfId="40803" xr:uid="{48619863-E2E6-4645-BBA8-4F87C0500F17}"/>
    <cellStyle name="40% - Accent4 2 2 3 2 2 2 3" xfId="24907" xr:uid="{00000000-0005-0000-0000-0000B2410000}"/>
    <cellStyle name="40% - Accent4 2 2 3 2 2 2 3 2" xfId="48739" xr:uid="{9973B9DB-6E74-43DB-8E43-F29B46E6A4F5}"/>
    <cellStyle name="40% - Accent4 2 2 3 2 2 2 4" xfId="32862" xr:uid="{CBAB7F29-C96C-4407-A9E2-CE26FE3F9AD6}"/>
    <cellStyle name="40% - Accent4 2 2 3 2 2 3" xfId="13423" xr:uid="{00000000-0005-0000-0000-0000B3410000}"/>
    <cellStyle name="40% - Accent4 2 2 3 2 2 3 2" xfId="37272" xr:uid="{E2CE381C-474B-4996-AD76-8395C28B2388}"/>
    <cellStyle name="40% - Accent4 2 2 3 2 2 4" xfId="21378" xr:uid="{00000000-0005-0000-0000-0000B4410000}"/>
    <cellStyle name="40% - Accent4 2 2 3 2 2 4 2" xfId="45210" xr:uid="{7B821503-0B2F-48CF-9295-2C3A07CE71A7}"/>
    <cellStyle name="40% - Accent4 2 2 3 2 2 5" xfId="29331" xr:uid="{F9C5450D-7151-4790-803E-AC112EA6B1BB}"/>
    <cellStyle name="40% - Accent4 2 2 3 2 3" xfId="7232" xr:uid="{00000000-0005-0000-0000-0000B5410000}"/>
    <cellStyle name="40% - Accent4 2 2 3 2 3 2" xfId="15203" xr:uid="{00000000-0005-0000-0000-0000B6410000}"/>
    <cellStyle name="40% - Accent4 2 2 3 2 3 2 2" xfId="39045" xr:uid="{958E5D4E-8A47-4030-A8C6-70EE60A5E06E}"/>
    <cellStyle name="40% - Accent4 2 2 3 2 3 3" xfId="23150" xr:uid="{00000000-0005-0000-0000-0000B7410000}"/>
    <cellStyle name="40% - Accent4 2 2 3 2 3 3 2" xfId="46982" xr:uid="{1D1CF853-722D-4328-827A-ABA0712A8CF8}"/>
    <cellStyle name="40% - Accent4 2 2 3 2 3 4" xfId="31104" xr:uid="{4EE30D47-45F5-4348-8110-FB699FCB768E}"/>
    <cellStyle name="40% - Accent4 2 2 3 2 4" xfId="11667" xr:uid="{00000000-0005-0000-0000-0000B8410000}"/>
    <cellStyle name="40% - Accent4 2 2 3 2 4 2" xfId="35516" xr:uid="{7B7F205D-2094-4D0B-8220-BAAF7ED9DB2B}"/>
    <cellStyle name="40% - Accent4 2 2 3 2 5" xfId="19622" xr:uid="{00000000-0005-0000-0000-0000B9410000}"/>
    <cellStyle name="40% - Accent4 2 2 3 2 5 2" xfId="43454" xr:uid="{C30DCFBF-B93A-4255-83BF-44773E128B59}"/>
    <cellStyle name="40% - Accent4 2 2 3 2 6" xfId="27574" xr:uid="{BB42082F-7CA8-4061-92C9-86DA929CDDF3}"/>
    <cellStyle name="40% - Accent4 2 2 3 2_Exh G" xfId="3095" xr:uid="{00000000-0005-0000-0000-0000BA410000}"/>
    <cellStyle name="40% - Accent4 2 2 3 3" xfId="4521" xr:uid="{00000000-0005-0000-0000-0000BB410000}"/>
    <cellStyle name="40% - Accent4 2 2 3 3 2" xfId="8113" xr:uid="{00000000-0005-0000-0000-0000BC410000}"/>
    <cellStyle name="40% - Accent4 2 2 3 3 2 2" xfId="16083" xr:uid="{00000000-0005-0000-0000-0000BD410000}"/>
    <cellStyle name="40% - Accent4 2 2 3 3 2 2 2" xfId="39925" xr:uid="{5DA6FF1F-BC29-48C2-AAFF-27A082275BA5}"/>
    <cellStyle name="40% - Accent4 2 2 3 3 2 3" xfId="24029" xr:uid="{00000000-0005-0000-0000-0000BE410000}"/>
    <cellStyle name="40% - Accent4 2 2 3 3 2 3 2" xfId="47861" xr:uid="{CE6C9A39-6F51-4058-B744-D99177C50B0D}"/>
    <cellStyle name="40% - Accent4 2 2 3 3 2 4" xfId="31984" xr:uid="{170B105C-BE20-4A3B-BCD2-7C0988541555}"/>
    <cellStyle name="40% - Accent4 2 2 3 3 3" xfId="12545" xr:uid="{00000000-0005-0000-0000-0000BF410000}"/>
    <cellStyle name="40% - Accent4 2 2 3 3 3 2" xfId="36394" xr:uid="{2A245452-3BC3-4F19-99B9-72716AA160A8}"/>
    <cellStyle name="40% - Accent4 2 2 3 3 4" xfId="20500" xr:uid="{00000000-0005-0000-0000-0000C0410000}"/>
    <cellStyle name="40% - Accent4 2 2 3 3 4 2" xfId="44332" xr:uid="{8A66DE16-0735-4AB4-B1B4-3F0C776EB1E8}"/>
    <cellStyle name="40% - Accent4 2 2 3 3 5" xfId="28453" xr:uid="{BEAE95DE-9658-497F-A964-8718EB04C44A}"/>
    <cellStyle name="40% - Accent4 2 2 3 4" xfId="6351" xr:uid="{00000000-0005-0000-0000-0000C1410000}"/>
    <cellStyle name="40% - Accent4 2 2 3 4 2" xfId="14325" xr:uid="{00000000-0005-0000-0000-0000C2410000}"/>
    <cellStyle name="40% - Accent4 2 2 3 4 2 2" xfId="38167" xr:uid="{18ACFF46-BB01-46A8-947B-C02AB98255C4}"/>
    <cellStyle name="40% - Accent4 2 2 3 4 3" xfId="22272" xr:uid="{00000000-0005-0000-0000-0000C3410000}"/>
    <cellStyle name="40% - Accent4 2 2 3 4 3 2" xfId="46104" xr:uid="{CC95FD76-FAD4-44A0-9923-B86C78A7916B}"/>
    <cellStyle name="40% - Accent4 2 2 3 4 4" xfId="30226" xr:uid="{2DEFDFBF-C731-4D19-8FB5-DCF28EC043F7}"/>
    <cellStyle name="40% - Accent4 2 2 3 5" xfId="9893" xr:uid="{00000000-0005-0000-0000-0000C4410000}"/>
    <cellStyle name="40% - Accent4 2 2 3 5 2" xfId="17851" xr:uid="{00000000-0005-0000-0000-0000C5410000}"/>
    <cellStyle name="40% - Accent4 2 2 3 5 2 2" xfId="41691" xr:uid="{FA0A3E77-4CD7-41A9-A605-E58274DAC8A9}"/>
    <cellStyle name="40% - Accent4 2 2 3 5 3" xfId="25795" xr:uid="{00000000-0005-0000-0000-0000C6410000}"/>
    <cellStyle name="40% - Accent4 2 2 3 5 3 2" xfId="49627" xr:uid="{90BA8F7C-1026-4182-BB60-D49BCB0D9830}"/>
    <cellStyle name="40% - Accent4 2 2 3 5 4" xfId="33750" xr:uid="{F25AE26D-A3FC-4AAF-9BB2-9F357076ABF8}"/>
    <cellStyle name="40% - Accent4 2 2 3 6" xfId="10789" xr:uid="{00000000-0005-0000-0000-0000C7410000}"/>
    <cellStyle name="40% - Accent4 2 2 3 6 2" xfId="34638" xr:uid="{6C10DDAD-FB02-45F2-B9C9-877AABDBB162}"/>
    <cellStyle name="40% - Accent4 2 2 3 7" xfId="18744" xr:uid="{00000000-0005-0000-0000-0000C8410000}"/>
    <cellStyle name="40% - Accent4 2 2 3 7 2" xfId="42576" xr:uid="{9295FBE4-3ECB-4F8C-A7C5-4466CFDD98FC}"/>
    <cellStyle name="40% - Accent4 2 2 3 8" xfId="26696" xr:uid="{EA8EE386-B486-4DCF-800B-90B957A3724A}"/>
    <cellStyle name="40% - Accent4 2 2 3_Exh G" xfId="3094" xr:uid="{00000000-0005-0000-0000-0000C9410000}"/>
    <cellStyle name="40% - Accent4 2 2 4" xfId="1527" xr:uid="{00000000-0005-0000-0000-0000CA410000}"/>
    <cellStyle name="40% - Accent4 2 2 4 2" xfId="5054" xr:uid="{00000000-0005-0000-0000-0000CB410000}"/>
    <cellStyle name="40% - Accent4 2 2 4 2 2" xfId="8645" xr:uid="{00000000-0005-0000-0000-0000CC410000}"/>
    <cellStyle name="40% - Accent4 2 2 4 2 2 2" xfId="16615" xr:uid="{00000000-0005-0000-0000-0000CD410000}"/>
    <cellStyle name="40% - Accent4 2 2 4 2 2 2 2" xfId="40457" xr:uid="{72DB3F85-D1D9-420F-8C49-FFC75E4D3F1B}"/>
    <cellStyle name="40% - Accent4 2 2 4 2 2 3" xfId="24561" xr:uid="{00000000-0005-0000-0000-0000CE410000}"/>
    <cellStyle name="40% - Accent4 2 2 4 2 2 3 2" xfId="48393" xr:uid="{A8F7B629-B201-4D91-ACAC-5753C923D301}"/>
    <cellStyle name="40% - Accent4 2 2 4 2 2 4" xfId="32516" xr:uid="{88661F99-6BE5-4488-8355-8109801DD93F}"/>
    <cellStyle name="40% - Accent4 2 2 4 2 3" xfId="13077" xr:uid="{00000000-0005-0000-0000-0000CF410000}"/>
    <cellStyle name="40% - Accent4 2 2 4 2 3 2" xfId="36926" xr:uid="{DCED09E9-2658-4BA6-A911-48F990D42063}"/>
    <cellStyle name="40% - Accent4 2 2 4 2 4" xfId="21032" xr:uid="{00000000-0005-0000-0000-0000D0410000}"/>
    <cellStyle name="40% - Accent4 2 2 4 2 4 2" xfId="44864" xr:uid="{EAE796D2-39DC-4501-BE24-7DF93FAB44FF}"/>
    <cellStyle name="40% - Accent4 2 2 4 2 5" xfId="28985" xr:uid="{F4A8CCD8-545A-47DF-BC85-04EBBB0C1C00}"/>
    <cellStyle name="40% - Accent4 2 2 4 3" xfId="6886" xr:uid="{00000000-0005-0000-0000-0000D1410000}"/>
    <cellStyle name="40% - Accent4 2 2 4 3 2" xfId="14857" xr:uid="{00000000-0005-0000-0000-0000D2410000}"/>
    <cellStyle name="40% - Accent4 2 2 4 3 2 2" xfId="38699" xr:uid="{9B885CAE-25EB-468D-9B04-D24965CB67EF}"/>
    <cellStyle name="40% - Accent4 2 2 4 3 3" xfId="22804" xr:uid="{00000000-0005-0000-0000-0000D3410000}"/>
    <cellStyle name="40% - Accent4 2 2 4 3 3 2" xfId="46636" xr:uid="{074B2234-0C7C-49AA-A228-A1F4CD68A6CA}"/>
    <cellStyle name="40% - Accent4 2 2 4 3 4" xfId="30758" xr:uid="{57C277FF-6BE8-4427-9FFB-5F895D321175}"/>
    <cellStyle name="40% - Accent4 2 2 4 4" xfId="11321" xr:uid="{00000000-0005-0000-0000-0000D4410000}"/>
    <cellStyle name="40% - Accent4 2 2 4 4 2" xfId="35170" xr:uid="{27499511-20C6-442B-A1C2-1E136078235F}"/>
    <cellStyle name="40% - Accent4 2 2 4 5" xfId="19276" xr:uid="{00000000-0005-0000-0000-0000D5410000}"/>
    <cellStyle name="40% - Accent4 2 2 4 5 2" xfId="43108" xr:uid="{9EE0CD0B-1D97-4DD1-9146-934FF11BEDB4}"/>
    <cellStyle name="40% - Accent4 2 2 4 6" xfId="27228" xr:uid="{E7997852-8238-475D-9B5A-2F656C6B8351}"/>
    <cellStyle name="40% - Accent4 2 2 4_Exh G" xfId="3096" xr:uid="{00000000-0005-0000-0000-0000D6410000}"/>
    <cellStyle name="40% - Accent4 2 2 5" xfId="4175" xr:uid="{00000000-0005-0000-0000-0000D7410000}"/>
    <cellStyle name="40% - Accent4 2 2 5 2" xfId="7767" xr:uid="{00000000-0005-0000-0000-0000D8410000}"/>
    <cellStyle name="40% - Accent4 2 2 5 2 2" xfId="15737" xr:uid="{00000000-0005-0000-0000-0000D9410000}"/>
    <cellStyle name="40% - Accent4 2 2 5 2 2 2" xfId="39579" xr:uid="{7D2CF6AD-5C66-4897-94C5-B76934352DEA}"/>
    <cellStyle name="40% - Accent4 2 2 5 2 3" xfId="23683" xr:uid="{00000000-0005-0000-0000-0000DA410000}"/>
    <cellStyle name="40% - Accent4 2 2 5 2 3 2" xfId="47515" xr:uid="{438049AC-7ED3-4327-8AFE-415E1D064B87}"/>
    <cellStyle name="40% - Accent4 2 2 5 2 4" xfId="31638" xr:uid="{0517DFF5-018D-4777-A575-71E85C036902}"/>
    <cellStyle name="40% - Accent4 2 2 5 3" xfId="12199" xr:uid="{00000000-0005-0000-0000-0000DB410000}"/>
    <cellStyle name="40% - Accent4 2 2 5 3 2" xfId="36048" xr:uid="{AACB2EC5-D637-4A50-8ADF-50A395569D73}"/>
    <cellStyle name="40% - Accent4 2 2 5 4" xfId="20154" xr:uid="{00000000-0005-0000-0000-0000DC410000}"/>
    <cellStyle name="40% - Accent4 2 2 5 4 2" xfId="43986" xr:uid="{39441BF7-3C75-4D30-99EF-E7829377166C}"/>
    <cellStyle name="40% - Accent4 2 2 5 5" xfId="28107" xr:uid="{5D5C4B9C-D830-46E5-B39F-CBCDD0A72908}"/>
    <cellStyle name="40% - Accent4 2 2 6" xfId="5995" xr:uid="{00000000-0005-0000-0000-0000DD410000}"/>
    <cellStyle name="40% - Accent4 2 2 6 2" xfId="13978" xr:uid="{00000000-0005-0000-0000-0000DE410000}"/>
    <cellStyle name="40% - Accent4 2 2 6 2 2" xfId="37821" xr:uid="{26DA5B5F-C2C7-4846-A31A-DBA4D29C5E84}"/>
    <cellStyle name="40% - Accent4 2 2 6 3" xfId="21926" xr:uid="{00000000-0005-0000-0000-0000DF410000}"/>
    <cellStyle name="40% - Accent4 2 2 6 3 2" xfId="45758" xr:uid="{9F98AE64-B737-4921-87DF-3F7602AABA54}"/>
    <cellStyle name="40% - Accent4 2 2 6 4" xfId="29880" xr:uid="{DA7A222F-E673-4652-AA55-1F6FC32D9131}"/>
    <cellStyle name="40% - Accent4 2 2 7" xfId="9547" xr:uid="{00000000-0005-0000-0000-0000E0410000}"/>
    <cellStyle name="40% - Accent4 2 2 7 2" xfId="17505" xr:uid="{00000000-0005-0000-0000-0000E1410000}"/>
    <cellStyle name="40% - Accent4 2 2 7 2 2" xfId="41345" xr:uid="{A36C18AB-07E0-42CC-899F-E133FDD22EBB}"/>
    <cellStyle name="40% - Accent4 2 2 7 3" xfId="25449" xr:uid="{00000000-0005-0000-0000-0000E2410000}"/>
    <cellStyle name="40% - Accent4 2 2 7 3 2" xfId="49281" xr:uid="{DB020100-CE66-4DF7-9240-FC04CEA37AFD}"/>
    <cellStyle name="40% - Accent4 2 2 7 4" xfId="33404" xr:uid="{5DB45DF1-8FE2-4231-BE38-CE02C16F0FED}"/>
    <cellStyle name="40% - Accent4 2 2 8" xfId="10443" xr:uid="{00000000-0005-0000-0000-0000E3410000}"/>
    <cellStyle name="40% - Accent4 2 2 8 2" xfId="34292" xr:uid="{9199B007-BDDA-4B30-AE4C-DD111D638C97}"/>
    <cellStyle name="40% - Accent4 2 2 9" xfId="18398" xr:uid="{00000000-0005-0000-0000-0000E4410000}"/>
    <cellStyle name="40% - Accent4 2 2 9 2" xfId="42230" xr:uid="{8004325E-3584-41EE-8252-936FC6E605E4}"/>
    <cellStyle name="40% - Accent4 2 2_Exh G" xfId="3091" xr:uid="{00000000-0005-0000-0000-0000E5410000}"/>
    <cellStyle name="40% - Accent4 2 3" xfId="503" xr:uid="{00000000-0005-0000-0000-0000E6410000}"/>
    <cellStyle name="40% - Accent4 2 3 2" xfId="1529" xr:uid="{00000000-0005-0000-0000-0000E7410000}"/>
    <cellStyle name="40% - Accent4 2 3 2 2" xfId="5056" xr:uid="{00000000-0005-0000-0000-0000E8410000}"/>
    <cellStyle name="40% - Accent4 2 3 2 2 2" xfId="8647" xr:uid="{00000000-0005-0000-0000-0000E9410000}"/>
    <cellStyle name="40% - Accent4 2 3 2 2 2 2" xfId="16617" xr:uid="{00000000-0005-0000-0000-0000EA410000}"/>
    <cellStyle name="40% - Accent4 2 3 2 2 2 2 2" xfId="40459" xr:uid="{5C677370-4824-42BD-BDDD-061A7F2C37F7}"/>
    <cellStyle name="40% - Accent4 2 3 2 2 2 3" xfId="24563" xr:uid="{00000000-0005-0000-0000-0000EB410000}"/>
    <cellStyle name="40% - Accent4 2 3 2 2 2 3 2" xfId="48395" xr:uid="{6BF0F9A8-AAE6-46F5-95C0-E1C387E5CA4F}"/>
    <cellStyle name="40% - Accent4 2 3 2 2 2 4" xfId="32518" xr:uid="{E1B990B8-2373-43E5-9300-166F9122FE1F}"/>
    <cellStyle name="40% - Accent4 2 3 2 2 3" xfId="13079" xr:uid="{00000000-0005-0000-0000-0000EC410000}"/>
    <cellStyle name="40% - Accent4 2 3 2 2 3 2" xfId="36928" xr:uid="{A38ACCFD-5970-4558-B034-07D0D4E00B08}"/>
    <cellStyle name="40% - Accent4 2 3 2 2 4" xfId="21034" xr:uid="{00000000-0005-0000-0000-0000ED410000}"/>
    <cellStyle name="40% - Accent4 2 3 2 2 4 2" xfId="44866" xr:uid="{C0A9F629-B8A0-4958-BC05-0EB6A423636E}"/>
    <cellStyle name="40% - Accent4 2 3 2 2 5" xfId="28987" xr:uid="{EB1E4724-2AD4-4AC9-AB03-519267448953}"/>
    <cellStyle name="40% - Accent4 2 3 2 3" xfId="6888" xr:uid="{00000000-0005-0000-0000-0000EE410000}"/>
    <cellStyle name="40% - Accent4 2 3 2 3 2" xfId="14859" xr:uid="{00000000-0005-0000-0000-0000EF410000}"/>
    <cellStyle name="40% - Accent4 2 3 2 3 2 2" xfId="38701" xr:uid="{04816579-7253-4925-8467-92715CB61E49}"/>
    <cellStyle name="40% - Accent4 2 3 2 3 3" xfId="22806" xr:uid="{00000000-0005-0000-0000-0000F0410000}"/>
    <cellStyle name="40% - Accent4 2 3 2 3 3 2" xfId="46638" xr:uid="{332ECCA4-BFDB-492E-AD0A-70AB695152D0}"/>
    <cellStyle name="40% - Accent4 2 3 2 3 4" xfId="30760" xr:uid="{32171904-0F47-470D-9F41-D2B02AB9B5DB}"/>
    <cellStyle name="40% - Accent4 2 3 2 4" xfId="11323" xr:uid="{00000000-0005-0000-0000-0000F1410000}"/>
    <cellStyle name="40% - Accent4 2 3 2 4 2" xfId="35172" xr:uid="{151FDB53-8BC6-42E1-B869-4008D1EA3869}"/>
    <cellStyle name="40% - Accent4 2 3 2 5" xfId="19278" xr:uid="{00000000-0005-0000-0000-0000F2410000}"/>
    <cellStyle name="40% - Accent4 2 3 2 5 2" xfId="43110" xr:uid="{468AFD6A-D30E-4492-B7D5-FDC05F32BCFC}"/>
    <cellStyle name="40% - Accent4 2 3 2 6" xfId="27230" xr:uid="{1A93E228-EEFC-4AD2-920D-5F58B6A92918}"/>
    <cellStyle name="40% - Accent4 2 3 2_Exh G" xfId="3098" xr:uid="{00000000-0005-0000-0000-0000F3410000}"/>
    <cellStyle name="40% - Accent4 2 3 3" xfId="4177" xr:uid="{00000000-0005-0000-0000-0000F4410000}"/>
    <cellStyle name="40% - Accent4 2 3 3 2" xfId="7769" xr:uid="{00000000-0005-0000-0000-0000F5410000}"/>
    <cellStyle name="40% - Accent4 2 3 3 2 2" xfId="15739" xr:uid="{00000000-0005-0000-0000-0000F6410000}"/>
    <cellStyle name="40% - Accent4 2 3 3 2 2 2" xfId="39581" xr:uid="{629768F3-818C-4A5A-8C02-D66B329F1D4C}"/>
    <cellStyle name="40% - Accent4 2 3 3 2 3" xfId="23685" xr:uid="{00000000-0005-0000-0000-0000F7410000}"/>
    <cellStyle name="40% - Accent4 2 3 3 2 3 2" xfId="47517" xr:uid="{9EDE8CCD-6FA2-4882-A6B2-8827A169F34D}"/>
    <cellStyle name="40% - Accent4 2 3 3 2 4" xfId="31640" xr:uid="{77CB774B-A3C5-400F-A554-DD6249EBD075}"/>
    <cellStyle name="40% - Accent4 2 3 3 3" xfId="12201" xr:uid="{00000000-0005-0000-0000-0000F8410000}"/>
    <cellStyle name="40% - Accent4 2 3 3 3 2" xfId="36050" xr:uid="{80E2C33A-C31B-4D3D-B1AC-FDB701C14E04}"/>
    <cellStyle name="40% - Accent4 2 3 3 4" xfId="20156" xr:uid="{00000000-0005-0000-0000-0000F9410000}"/>
    <cellStyle name="40% - Accent4 2 3 3 4 2" xfId="43988" xr:uid="{A7CCC952-A99E-48B6-8A26-E1E9B1CF2FAC}"/>
    <cellStyle name="40% - Accent4 2 3 3 5" xfId="28109" xr:uid="{DC96DBD8-63A6-4C76-8DAC-8487D6E88E62}"/>
    <cellStyle name="40% - Accent4 2 3 4" xfId="5997" xr:uid="{00000000-0005-0000-0000-0000FA410000}"/>
    <cellStyle name="40% - Accent4 2 3 4 2" xfId="13980" xr:uid="{00000000-0005-0000-0000-0000FB410000}"/>
    <cellStyle name="40% - Accent4 2 3 4 2 2" xfId="37823" xr:uid="{401706EC-23F2-4EFF-9D6E-AA5D58FBEE84}"/>
    <cellStyle name="40% - Accent4 2 3 4 3" xfId="21928" xr:uid="{00000000-0005-0000-0000-0000FC410000}"/>
    <cellStyle name="40% - Accent4 2 3 4 3 2" xfId="45760" xr:uid="{2582B0FE-8069-49CD-B601-596DFF5E0616}"/>
    <cellStyle name="40% - Accent4 2 3 4 4" xfId="29882" xr:uid="{EBD85D5B-0DDA-4597-914E-EF3771C61736}"/>
    <cellStyle name="40% - Accent4 2 3 5" xfId="9549" xr:uid="{00000000-0005-0000-0000-0000FD410000}"/>
    <cellStyle name="40% - Accent4 2 3 5 2" xfId="17507" xr:uid="{00000000-0005-0000-0000-0000FE410000}"/>
    <cellStyle name="40% - Accent4 2 3 5 2 2" xfId="41347" xr:uid="{0CBD5E4F-6944-4140-A302-D129512D79A0}"/>
    <cellStyle name="40% - Accent4 2 3 5 3" xfId="25451" xr:uid="{00000000-0005-0000-0000-0000FF410000}"/>
    <cellStyle name="40% - Accent4 2 3 5 3 2" xfId="49283" xr:uid="{EF7BE122-ACEB-4C9E-BACC-381A6D4DDDA8}"/>
    <cellStyle name="40% - Accent4 2 3 5 4" xfId="33406" xr:uid="{22767313-776D-4721-93D9-36D7B7A24B2B}"/>
    <cellStyle name="40% - Accent4 2 3 6" xfId="10445" xr:uid="{00000000-0005-0000-0000-000000420000}"/>
    <cellStyle name="40% - Accent4 2 3 6 2" xfId="34294" xr:uid="{985A8EAC-D628-4135-B18B-12BD32183AEB}"/>
    <cellStyle name="40% - Accent4 2 3 7" xfId="18400" xr:uid="{00000000-0005-0000-0000-000001420000}"/>
    <cellStyle name="40% - Accent4 2 3 7 2" xfId="42232" xr:uid="{040287AA-E986-4011-9ABA-2C1EEEE19D67}"/>
    <cellStyle name="40% - Accent4 2 3 8" xfId="26352" xr:uid="{C4C8FB22-B409-4DC7-9ECC-BFE6EA03FD07}"/>
    <cellStyle name="40% - Accent4 2 3_Exh G" xfId="3097" xr:uid="{00000000-0005-0000-0000-000002420000}"/>
    <cellStyle name="40% - Accent4 2 4" xfId="968" xr:uid="{00000000-0005-0000-0000-000003420000}"/>
    <cellStyle name="40% - Accent4 2 4 2" xfId="1882" xr:uid="{00000000-0005-0000-0000-000004420000}"/>
    <cellStyle name="40% - Accent4 2 4 2 2" xfId="5399" xr:uid="{00000000-0005-0000-0000-000005420000}"/>
    <cellStyle name="40% - Accent4 2 4 2 2 2" xfId="8990" xr:uid="{00000000-0005-0000-0000-000006420000}"/>
    <cellStyle name="40% - Accent4 2 4 2 2 2 2" xfId="16960" xr:uid="{00000000-0005-0000-0000-000007420000}"/>
    <cellStyle name="40% - Accent4 2 4 2 2 2 2 2" xfId="40802" xr:uid="{E6531F4B-9F01-4524-B56F-726C226BBF72}"/>
    <cellStyle name="40% - Accent4 2 4 2 2 2 3" xfId="24906" xr:uid="{00000000-0005-0000-0000-000008420000}"/>
    <cellStyle name="40% - Accent4 2 4 2 2 2 3 2" xfId="48738" xr:uid="{AC738C05-AB56-475B-A266-DD7B92A688D2}"/>
    <cellStyle name="40% - Accent4 2 4 2 2 2 4" xfId="32861" xr:uid="{3E635B6C-6E99-48C0-913D-359C19E7EADF}"/>
    <cellStyle name="40% - Accent4 2 4 2 2 3" xfId="13422" xr:uid="{00000000-0005-0000-0000-000009420000}"/>
    <cellStyle name="40% - Accent4 2 4 2 2 3 2" xfId="37271" xr:uid="{3F2D100F-CB90-4799-BD3E-0DB7816EC53B}"/>
    <cellStyle name="40% - Accent4 2 4 2 2 4" xfId="21377" xr:uid="{00000000-0005-0000-0000-00000A420000}"/>
    <cellStyle name="40% - Accent4 2 4 2 2 4 2" xfId="45209" xr:uid="{93370C7F-1AD5-4382-8F38-C05B4F0C293A}"/>
    <cellStyle name="40% - Accent4 2 4 2 2 5" xfId="29330" xr:uid="{606D281A-ADAB-43CF-A771-AB5D26EC61EF}"/>
    <cellStyle name="40% - Accent4 2 4 2 3" xfId="7231" xr:uid="{00000000-0005-0000-0000-00000B420000}"/>
    <cellStyle name="40% - Accent4 2 4 2 3 2" xfId="15202" xr:uid="{00000000-0005-0000-0000-00000C420000}"/>
    <cellStyle name="40% - Accent4 2 4 2 3 2 2" xfId="39044" xr:uid="{AF55F7A8-42E9-443F-A638-5E680326381F}"/>
    <cellStyle name="40% - Accent4 2 4 2 3 3" xfId="23149" xr:uid="{00000000-0005-0000-0000-00000D420000}"/>
    <cellStyle name="40% - Accent4 2 4 2 3 3 2" xfId="46981" xr:uid="{CCCE4694-D0E7-4824-93EF-88AD72E4ED1B}"/>
    <cellStyle name="40% - Accent4 2 4 2 3 4" xfId="31103" xr:uid="{4C9ADAE8-BA9E-46E4-8092-6BC33A4611C9}"/>
    <cellStyle name="40% - Accent4 2 4 2 4" xfId="11666" xr:uid="{00000000-0005-0000-0000-00000E420000}"/>
    <cellStyle name="40% - Accent4 2 4 2 4 2" xfId="35515" xr:uid="{95245B3C-E9B1-47AA-A0B2-340CC9CB0FDE}"/>
    <cellStyle name="40% - Accent4 2 4 2 5" xfId="19621" xr:uid="{00000000-0005-0000-0000-00000F420000}"/>
    <cellStyle name="40% - Accent4 2 4 2 5 2" xfId="43453" xr:uid="{5F764E5F-C90C-425E-B00A-E5951B72014B}"/>
    <cellStyle name="40% - Accent4 2 4 2 6" xfId="27573" xr:uid="{DA0EAFDB-7178-40EE-97A9-81DC7920D249}"/>
    <cellStyle name="40% - Accent4 2 4 2_Exh G" xfId="3100" xr:uid="{00000000-0005-0000-0000-000010420000}"/>
    <cellStyle name="40% - Accent4 2 4 3" xfId="4520" xr:uid="{00000000-0005-0000-0000-000011420000}"/>
    <cellStyle name="40% - Accent4 2 4 3 2" xfId="8112" xr:uid="{00000000-0005-0000-0000-000012420000}"/>
    <cellStyle name="40% - Accent4 2 4 3 2 2" xfId="16082" xr:uid="{00000000-0005-0000-0000-000013420000}"/>
    <cellStyle name="40% - Accent4 2 4 3 2 2 2" xfId="39924" xr:uid="{4C6A2FCE-D62B-450A-9E3F-B948DE4E19E8}"/>
    <cellStyle name="40% - Accent4 2 4 3 2 3" xfId="24028" xr:uid="{00000000-0005-0000-0000-000014420000}"/>
    <cellStyle name="40% - Accent4 2 4 3 2 3 2" xfId="47860" xr:uid="{1144C03E-F74E-47C4-BB1D-880B10ADE431}"/>
    <cellStyle name="40% - Accent4 2 4 3 2 4" xfId="31983" xr:uid="{AC32F730-8BAA-40DC-961D-9D6CD2B7B706}"/>
    <cellStyle name="40% - Accent4 2 4 3 3" xfId="12544" xr:uid="{00000000-0005-0000-0000-000015420000}"/>
    <cellStyle name="40% - Accent4 2 4 3 3 2" xfId="36393" xr:uid="{9D8BA786-5D34-4261-844F-E9D70E9DA38E}"/>
    <cellStyle name="40% - Accent4 2 4 3 4" xfId="20499" xr:uid="{00000000-0005-0000-0000-000016420000}"/>
    <cellStyle name="40% - Accent4 2 4 3 4 2" xfId="44331" xr:uid="{7454A02C-88C9-4F7B-B59C-6EE44B8A47E8}"/>
    <cellStyle name="40% - Accent4 2 4 3 5" xfId="28452" xr:uid="{3257DA1B-EE44-4D2F-80D3-FBD6815B117A}"/>
    <cellStyle name="40% - Accent4 2 4 4" xfId="6350" xr:uid="{00000000-0005-0000-0000-000017420000}"/>
    <cellStyle name="40% - Accent4 2 4 4 2" xfId="14324" xr:uid="{00000000-0005-0000-0000-000018420000}"/>
    <cellStyle name="40% - Accent4 2 4 4 2 2" xfId="38166" xr:uid="{92C98F21-3F25-4279-BC6E-A8225582367F}"/>
    <cellStyle name="40% - Accent4 2 4 4 3" xfId="22271" xr:uid="{00000000-0005-0000-0000-000019420000}"/>
    <cellStyle name="40% - Accent4 2 4 4 3 2" xfId="46103" xr:uid="{B1A89891-A03D-49EB-968C-4DB6A1EFD2E6}"/>
    <cellStyle name="40% - Accent4 2 4 4 4" xfId="30225" xr:uid="{654773FA-CE4C-4371-AF18-139BDCF4A5C0}"/>
    <cellStyle name="40% - Accent4 2 4 5" xfId="9892" xr:uid="{00000000-0005-0000-0000-00001A420000}"/>
    <cellStyle name="40% - Accent4 2 4 5 2" xfId="17850" xr:uid="{00000000-0005-0000-0000-00001B420000}"/>
    <cellStyle name="40% - Accent4 2 4 5 2 2" xfId="41690" xr:uid="{5443139E-6122-4CE2-A8C7-86434B998E0B}"/>
    <cellStyle name="40% - Accent4 2 4 5 3" xfId="25794" xr:uid="{00000000-0005-0000-0000-00001C420000}"/>
    <cellStyle name="40% - Accent4 2 4 5 3 2" xfId="49626" xr:uid="{85C81B12-AAAE-4C3E-A203-FC191BC1CE3A}"/>
    <cellStyle name="40% - Accent4 2 4 5 4" xfId="33749" xr:uid="{33BE3F59-32AD-49DF-A600-4081141F3614}"/>
    <cellStyle name="40% - Accent4 2 4 6" xfId="10788" xr:uid="{00000000-0005-0000-0000-00001D420000}"/>
    <cellStyle name="40% - Accent4 2 4 6 2" xfId="34637" xr:uid="{A2CCB97E-D373-4136-B8AD-EFFD087CF093}"/>
    <cellStyle name="40% - Accent4 2 4 7" xfId="18743" xr:uid="{00000000-0005-0000-0000-00001E420000}"/>
    <cellStyle name="40% - Accent4 2 4 7 2" xfId="42575" xr:uid="{6C9693D6-41B4-4D98-A3A1-14DC31FF2D35}"/>
    <cellStyle name="40% - Accent4 2 4 8" xfId="26695" xr:uid="{4EF0658D-D9D2-4A77-A213-5D888E59808F}"/>
    <cellStyle name="40% - Accent4 2 4_Exh G" xfId="3099" xr:uid="{00000000-0005-0000-0000-00001F420000}"/>
    <cellStyle name="40% - Accent4 2 5" xfId="1526" xr:uid="{00000000-0005-0000-0000-000020420000}"/>
    <cellStyle name="40% - Accent4 2 5 2" xfId="5053" xr:uid="{00000000-0005-0000-0000-000021420000}"/>
    <cellStyle name="40% - Accent4 2 5 2 2" xfId="8644" xr:uid="{00000000-0005-0000-0000-000022420000}"/>
    <cellStyle name="40% - Accent4 2 5 2 2 2" xfId="16614" xr:uid="{00000000-0005-0000-0000-000023420000}"/>
    <cellStyle name="40% - Accent4 2 5 2 2 2 2" xfId="40456" xr:uid="{C1FEBA76-1D6E-4D5C-AF1B-581933AE9C13}"/>
    <cellStyle name="40% - Accent4 2 5 2 2 3" xfId="24560" xr:uid="{00000000-0005-0000-0000-000024420000}"/>
    <cellStyle name="40% - Accent4 2 5 2 2 3 2" xfId="48392" xr:uid="{48D9CB70-E02C-4BEC-ACBA-4299EB31FBCD}"/>
    <cellStyle name="40% - Accent4 2 5 2 2 4" xfId="32515" xr:uid="{6B48B180-2F11-44FB-A7B9-A1B280A79C6C}"/>
    <cellStyle name="40% - Accent4 2 5 2 3" xfId="13076" xr:uid="{00000000-0005-0000-0000-000025420000}"/>
    <cellStyle name="40% - Accent4 2 5 2 3 2" xfId="36925" xr:uid="{D9592565-8542-4260-9C19-F7D60F2D9649}"/>
    <cellStyle name="40% - Accent4 2 5 2 4" xfId="21031" xr:uid="{00000000-0005-0000-0000-000026420000}"/>
    <cellStyle name="40% - Accent4 2 5 2 4 2" xfId="44863" xr:uid="{90C4A698-8C1B-40A5-B646-D1AFA7069D71}"/>
    <cellStyle name="40% - Accent4 2 5 2 5" xfId="28984" xr:uid="{851CD6DE-1BBD-4CF2-95B0-D8F4D8859EFD}"/>
    <cellStyle name="40% - Accent4 2 5 3" xfId="6885" xr:uid="{00000000-0005-0000-0000-000027420000}"/>
    <cellStyle name="40% - Accent4 2 5 3 2" xfId="14856" xr:uid="{00000000-0005-0000-0000-000028420000}"/>
    <cellStyle name="40% - Accent4 2 5 3 2 2" xfId="38698" xr:uid="{AF431400-BA85-4E91-9357-DCBCECA2330D}"/>
    <cellStyle name="40% - Accent4 2 5 3 3" xfId="22803" xr:uid="{00000000-0005-0000-0000-000029420000}"/>
    <cellStyle name="40% - Accent4 2 5 3 3 2" xfId="46635" xr:uid="{C7A07EAD-E8EA-4F62-A29D-E952962BFE83}"/>
    <cellStyle name="40% - Accent4 2 5 3 4" xfId="30757" xr:uid="{E49F4070-350B-4577-96C9-527291C00DD9}"/>
    <cellStyle name="40% - Accent4 2 5 4" xfId="11320" xr:uid="{00000000-0005-0000-0000-00002A420000}"/>
    <cellStyle name="40% - Accent4 2 5 4 2" xfId="35169" xr:uid="{4D116ACE-8885-4A01-AC76-AC0487B6B32F}"/>
    <cellStyle name="40% - Accent4 2 5 5" xfId="19275" xr:uid="{00000000-0005-0000-0000-00002B420000}"/>
    <cellStyle name="40% - Accent4 2 5 5 2" xfId="43107" xr:uid="{9B7B9A79-570B-4057-84A7-0D54AEA77937}"/>
    <cellStyle name="40% - Accent4 2 5 6" xfId="27227" xr:uid="{781D9EB0-6F0C-49F8-9914-FBBC6BF978CA}"/>
    <cellStyle name="40% - Accent4 2 5_Exh G" xfId="3101" xr:uid="{00000000-0005-0000-0000-00002C420000}"/>
    <cellStyle name="40% - Accent4 2 6" xfId="4174" xr:uid="{00000000-0005-0000-0000-00002D420000}"/>
    <cellStyle name="40% - Accent4 2 6 2" xfId="7766" xr:uid="{00000000-0005-0000-0000-00002E420000}"/>
    <cellStyle name="40% - Accent4 2 6 2 2" xfId="15736" xr:uid="{00000000-0005-0000-0000-00002F420000}"/>
    <cellStyle name="40% - Accent4 2 6 2 2 2" xfId="39578" xr:uid="{7A72D268-95B0-46EE-8675-0D555F42F1D8}"/>
    <cellStyle name="40% - Accent4 2 6 2 3" xfId="23682" xr:uid="{00000000-0005-0000-0000-000030420000}"/>
    <cellStyle name="40% - Accent4 2 6 2 3 2" xfId="47514" xr:uid="{45BC722A-4AA1-4E2D-AAD5-AA7D978E2A9F}"/>
    <cellStyle name="40% - Accent4 2 6 2 4" xfId="31637" xr:uid="{6280B64F-1129-455A-B9D9-2FC907B5D686}"/>
    <cellStyle name="40% - Accent4 2 6 3" xfId="12198" xr:uid="{00000000-0005-0000-0000-000031420000}"/>
    <cellStyle name="40% - Accent4 2 6 3 2" xfId="36047" xr:uid="{84C1C32A-D394-4683-B3A0-BC6C5FAF8D78}"/>
    <cellStyle name="40% - Accent4 2 6 4" xfId="20153" xr:uid="{00000000-0005-0000-0000-000032420000}"/>
    <cellStyle name="40% - Accent4 2 6 4 2" xfId="43985" xr:uid="{CBB32699-E694-4E1E-B6CD-466CC1E135C5}"/>
    <cellStyle name="40% - Accent4 2 6 5" xfId="28106" xr:uid="{F06A3372-EDB2-42B9-816A-A326A33B0794}"/>
    <cellStyle name="40% - Accent4 2 7" xfId="5994" xr:uid="{00000000-0005-0000-0000-000033420000}"/>
    <cellStyle name="40% - Accent4 2 7 2" xfId="13977" xr:uid="{00000000-0005-0000-0000-000034420000}"/>
    <cellStyle name="40% - Accent4 2 7 2 2" xfId="37820" xr:uid="{B8BAEC34-C367-4972-B94B-C7733DB280CB}"/>
    <cellStyle name="40% - Accent4 2 7 3" xfId="21925" xr:uid="{00000000-0005-0000-0000-000035420000}"/>
    <cellStyle name="40% - Accent4 2 7 3 2" xfId="45757" xr:uid="{E7463EA1-84B3-4434-A289-C8261E57AB78}"/>
    <cellStyle name="40% - Accent4 2 7 4" xfId="29879" xr:uid="{D8C621DE-D38E-43D0-AFAD-0DD4479B8393}"/>
    <cellStyle name="40% - Accent4 2 8" xfId="9546" xr:uid="{00000000-0005-0000-0000-000036420000}"/>
    <cellStyle name="40% - Accent4 2 8 2" xfId="17504" xr:uid="{00000000-0005-0000-0000-000037420000}"/>
    <cellStyle name="40% - Accent4 2 8 2 2" xfId="41344" xr:uid="{92EC5AD4-9BEF-434E-A269-A143CD531C38}"/>
    <cellStyle name="40% - Accent4 2 8 3" xfId="25448" xr:uid="{00000000-0005-0000-0000-000038420000}"/>
    <cellStyle name="40% - Accent4 2 8 3 2" xfId="49280" xr:uid="{A1EC5AD2-5D57-429B-9B5D-7B4D613857A8}"/>
    <cellStyle name="40% - Accent4 2 8 4" xfId="33403" xr:uid="{D23E3B21-BE1D-48B9-95D6-58062F110EEC}"/>
    <cellStyle name="40% - Accent4 2 9" xfId="10442" xr:uid="{00000000-0005-0000-0000-000039420000}"/>
    <cellStyle name="40% - Accent4 2 9 2" xfId="34291" xr:uid="{0CA3DB56-3DC9-4C9E-A4BC-F9A344E1E025}"/>
    <cellStyle name="40% - Accent4 2_Exh G" xfId="3090" xr:uid="{00000000-0005-0000-0000-00003A420000}"/>
    <cellStyle name="40% - Accent4 3" xfId="504" xr:uid="{00000000-0005-0000-0000-00003B420000}"/>
    <cellStyle name="40% - Accent4 3 10" xfId="18401" xr:uid="{00000000-0005-0000-0000-00003C420000}"/>
    <cellStyle name="40% - Accent4 3 10 2" xfId="42233" xr:uid="{49916F93-9D85-4322-B891-5714523448AC}"/>
    <cellStyle name="40% - Accent4 3 11" xfId="26353" xr:uid="{704D65E6-3812-458E-8780-F1BD932EABC7}"/>
    <cellStyle name="40% - Accent4 3 12" xfId="49761" xr:uid="{035F9CAE-C5B0-4BA8-ACB3-3374E481DDF7}"/>
    <cellStyle name="40% - Accent4 3 13" xfId="49815" xr:uid="{90095F8B-97D1-444B-B9E6-FF108C247D51}"/>
    <cellStyle name="40% - Accent4 3 2" xfId="505" xr:uid="{00000000-0005-0000-0000-00003D420000}"/>
    <cellStyle name="40% - Accent4 3 2 10" xfId="26354" xr:uid="{23323BF3-4995-48D2-BF93-162B62F7705E}"/>
    <cellStyle name="40% - Accent4 3 2 2" xfId="506" xr:uid="{00000000-0005-0000-0000-00003E420000}"/>
    <cellStyle name="40% - Accent4 3 2 2 2" xfId="1532" xr:uid="{00000000-0005-0000-0000-00003F420000}"/>
    <cellStyle name="40% - Accent4 3 2 2 2 2" xfId="5059" xr:uid="{00000000-0005-0000-0000-000040420000}"/>
    <cellStyle name="40% - Accent4 3 2 2 2 2 2" xfId="8650" xr:uid="{00000000-0005-0000-0000-000041420000}"/>
    <cellStyle name="40% - Accent4 3 2 2 2 2 2 2" xfId="16620" xr:uid="{00000000-0005-0000-0000-000042420000}"/>
    <cellStyle name="40% - Accent4 3 2 2 2 2 2 2 2" xfId="40462" xr:uid="{FE44741B-91D6-46B8-BBC9-D24D4D515EF2}"/>
    <cellStyle name="40% - Accent4 3 2 2 2 2 2 3" xfId="24566" xr:uid="{00000000-0005-0000-0000-000043420000}"/>
    <cellStyle name="40% - Accent4 3 2 2 2 2 2 3 2" xfId="48398" xr:uid="{B84F2D39-6105-48EE-BB50-3E9261ECFD73}"/>
    <cellStyle name="40% - Accent4 3 2 2 2 2 2 4" xfId="32521" xr:uid="{1E86C068-057C-4287-AEFF-4CA5E208CF19}"/>
    <cellStyle name="40% - Accent4 3 2 2 2 2 3" xfId="13082" xr:uid="{00000000-0005-0000-0000-000044420000}"/>
    <cellStyle name="40% - Accent4 3 2 2 2 2 3 2" xfId="36931" xr:uid="{8514BDE4-4446-490E-9480-CE58F5911459}"/>
    <cellStyle name="40% - Accent4 3 2 2 2 2 4" xfId="21037" xr:uid="{00000000-0005-0000-0000-000045420000}"/>
    <cellStyle name="40% - Accent4 3 2 2 2 2 4 2" xfId="44869" xr:uid="{B8E67818-F028-4BAC-8CB6-4F23223D8443}"/>
    <cellStyle name="40% - Accent4 3 2 2 2 2 5" xfId="28990" xr:uid="{9615B3B5-886B-4734-9ED7-80AEDBAD6EFC}"/>
    <cellStyle name="40% - Accent4 3 2 2 2 3" xfId="6891" xr:uid="{00000000-0005-0000-0000-000046420000}"/>
    <cellStyle name="40% - Accent4 3 2 2 2 3 2" xfId="14862" xr:uid="{00000000-0005-0000-0000-000047420000}"/>
    <cellStyle name="40% - Accent4 3 2 2 2 3 2 2" xfId="38704" xr:uid="{5B2A7079-460C-491E-B015-7F9C8073AC93}"/>
    <cellStyle name="40% - Accent4 3 2 2 2 3 3" xfId="22809" xr:uid="{00000000-0005-0000-0000-000048420000}"/>
    <cellStyle name="40% - Accent4 3 2 2 2 3 3 2" xfId="46641" xr:uid="{E8DF3231-E0CD-45F2-82A6-A2F57A1BFB99}"/>
    <cellStyle name="40% - Accent4 3 2 2 2 3 4" xfId="30763" xr:uid="{A6FF5BC9-5E2C-458D-BEFF-363ACDE4E617}"/>
    <cellStyle name="40% - Accent4 3 2 2 2 4" xfId="11326" xr:uid="{00000000-0005-0000-0000-000049420000}"/>
    <cellStyle name="40% - Accent4 3 2 2 2 4 2" xfId="35175" xr:uid="{C4FB5B39-3EBD-41D5-A8FB-1A9D85EC05A7}"/>
    <cellStyle name="40% - Accent4 3 2 2 2 5" xfId="19281" xr:uid="{00000000-0005-0000-0000-00004A420000}"/>
    <cellStyle name="40% - Accent4 3 2 2 2 5 2" xfId="43113" xr:uid="{EC8D52D5-257A-47FC-B75C-33133B6663D8}"/>
    <cellStyle name="40% - Accent4 3 2 2 2 6" xfId="27233" xr:uid="{60622B2D-F32F-475A-B209-74309E9119BF}"/>
    <cellStyle name="40% - Accent4 3 2 2 2_Exh G" xfId="3105" xr:uid="{00000000-0005-0000-0000-00004B420000}"/>
    <cellStyle name="40% - Accent4 3 2 2 3" xfId="4180" xr:uid="{00000000-0005-0000-0000-00004C420000}"/>
    <cellStyle name="40% - Accent4 3 2 2 3 2" xfId="7772" xr:uid="{00000000-0005-0000-0000-00004D420000}"/>
    <cellStyle name="40% - Accent4 3 2 2 3 2 2" xfId="15742" xr:uid="{00000000-0005-0000-0000-00004E420000}"/>
    <cellStyle name="40% - Accent4 3 2 2 3 2 2 2" xfId="39584" xr:uid="{7831F4BD-8A93-4DBF-8C57-9EB841A2006A}"/>
    <cellStyle name="40% - Accent4 3 2 2 3 2 3" xfId="23688" xr:uid="{00000000-0005-0000-0000-00004F420000}"/>
    <cellStyle name="40% - Accent4 3 2 2 3 2 3 2" xfId="47520" xr:uid="{4D1A4858-8C23-40B0-B4D9-AAE05C4482C4}"/>
    <cellStyle name="40% - Accent4 3 2 2 3 2 4" xfId="31643" xr:uid="{43558F6A-117B-4BB0-BE9C-AD2CB980A0A9}"/>
    <cellStyle name="40% - Accent4 3 2 2 3 3" xfId="12204" xr:uid="{00000000-0005-0000-0000-000050420000}"/>
    <cellStyle name="40% - Accent4 3 2 2 3 3 2" xfId="36053" xr:uid="{1F916163-4CB4-46D0-A626-3BE5D253FAAE}"/>
    <cellStyle name="40% - Accent4 3 2 2 3 4" xfId="20159" xr:uid="{00000000-0005-0000-0000-000051420000}"/>
    <cellStyle name="40% - Accent4 3 2 2 3 4 2" xfId="43991" xr:uid="{5EF445DE-BCE4-4811-8276-ED0BB348A4A9}"/>
    <cellStyle name="40% - Accent4 3 2 2 3 5" xfId="28112" xr:uid="{F1767D6F-F057-423B-86AC-1F9C7D22A811}"/>
    <cellStyle name="40% - Accent4 3 2 2 4" xfId="6000" xr:uid="{00000000-0005-0000-0000-000052420000}"/>
    <cellStyle name="40% - Accent4 3 2 2 4 2" xfId="13983" xr:uid="{00000000-0005-0000-0000-000053420000}"/>
    <cellStyle name="40% - Accent4 3 2 2 4 2 2" xfId="37826" xr:uid="{651E779F-A241-4143-BC53-CB68B488F404}"/>
    <cellStyle name="40% - Accent4 3 2 2 4 3" xfId="21931" xr:uid="{00000000-0005-0000-0000-000054420000}"/>
    <cellStyle name="40% - Accent4 3 2 2 4 3 2" xfId="45763" xr:uid="{8D5E4F32-C3C2-48F0-85B0-81402FE2A7F3}"/>
    <cellStyle name="40% - Accent4 3 2 2 4 4" xfId="29885" xr:uid="{E6A31E4F-1EB8-4D01-B5F0-1134ACD9AD44}"/>
    <cellStyle name="40% - Accent4 3 2 2 5" xfId="9552" xr:uid="{00000000-0005-0000-0000-000055420000}"/>
    <cellStyle name="40% - Accent4 3 2 2 5 2" xfId="17510" xr:uid="{00000000-0005-0000-0000-000056420000}"/>
    <cellStyle name="40% - Accent4 3 2 2 5 2 2" xfId="41350" xr:uid="{82E8496C-5740-4565-B685-E4DD676C8D82}"/>
    <cellStyle name="40% - Accent4 3 2 2 5 3" xfId="25454" xr:uid="{00000000-0005-0000-0000-000057420000}"/>
    <cellStyle name="40% - Accent4 3 2 2 5 3 2" xfId="49286" xr:uid="{FB6CC448-D97B-492A-9019-3823278373FA}"/>
    <cellStyle name="40% - Accent4 3 2 2 5 4" xfId="33409" xr:uid="{9CBDE43F-B335-4673-8B50-10798DC0E1D0}"/>
    <cellStyle name="40% - Accent4 3 2 2 6" xfId="10448" xr:uid="{00000000-0005-0000-0000-000058420000}"/>
    <cellStyle name="40% - Accent4 3 2 2 6 2" xfId="34297" xr:uid="{95D2E2F6-BDC5-4E81-9D25-59F597AF1EAA}"/>
    <cellStyle name="40% - Accent4 3 2 2 7" xfId="18403" xr:uid="{00000000-0005-0000-0000-000059420000}"/>
    <cellStyle name="40% - Accent4 3 2 2 7 2" xfId="42235" xr:uid="{1CD30561-E1E3-4CB0-9E94-AA7170F4CD07}"/>
    <cellStyle name="40% - Accent4 3 2 2 8" xfId="26355" xr:uid="{E9380D34-3375-400B-B93E-65B073CE4297}"/>
    <cellStyle name="40% - Accent4 3 2 2_Exh G" xfId="3104" xr:uid="{00000000-0005-0000-0000-00005A420000}"/>
    <cellStyle name="40% - Accent4 3 2 3" xfId="971" xr:uid="{00000000-0005-0000-0000-00005B420000}"/>
    <cellStyle name="40% - Accent4 3 2 3 2" xfId="1885" xr:uid="{00000000-0005-0000-0000-00005C420000}"/>
    <cellStyle name="40% - Accent4 3 2 3 2 2" xfId="5402" xr:uid="{00000000-0005-0000-0000-00005D420000}"/>
    <cellStyle name="40% - Accent4 3 2 3 2 2 2" xfId="8993" xr:uid="{00000000-0005-0000-0000-00005E420000}"/>
    <cellStyle name="40% - Accent4 3 2 3 2 2 2 2" xfId="16963" xr:uid="{00000000-0005-0000-0000-00005F420000}"/>
    <cellStyle name="40% - Accent4 3 2 3 2 2 2 2 2" xfId="40805" xr:uid="{49330E50-3941-4C04-BA1D-5A9C617EB3EF}"/>
    <cellStyle name="40% - Accent4 3 2 3 2 2 2 3" xfId="24909" xr:uid="{00000000-0005-0000-0000-000060420000}"/>
    <cellStyle name="40% - Accent4 3 2 3 2 2 2 3 2" xfId="48741" xr:uid="{A86F116B-CC41-448D-968A-F66BE6250B6D}"/>
    <cellStyle name="40% - Accent4 3 2 3 2 2 2 4" xfId="32864" xr:uid="{532CF3DD-FE6F-481B-80CE-C24357095A7F}"/>
    <cellStyle name="40% - Accent4 3 2 3 2 2 3" xfId="13425" xr:uid="{00000000-0005-0000-0000-000061420000}"/>
    <cellStyle name="40% - Accent4 3 2 3 2 2 3 2" xfId="37274" xr:uid="{B6FD8A8D-A21C-485C-9A3F-8CF56EBE75CD}"/>
    <cellStyle name="40% - Accent4 3 2 3 2 2 4" xfId="21380" xr:uid="{00000000-0005-0000-0000-000062420000}"/>
    <cellStyle name="40% - Accent4 3 2 3 2 2 4 2" xfId="45212" xr:uid="{A20F9225-6F39-4424-8158-15520356104D}"/>
    <cellStyle name="40% - Accent4 3 2 3 2 2 5" xfId="29333" xr:uid="{7CACD3AF-0FFA-4844-94C1-0DC99D7530B7}"/>
    <cellStyle name="40% - Accent4 3 2 3 2 3" xfId="7234" xr:uid="{00000000-0005-0000-0000-000063420000}"/>
    <cellStyle name="40% - Accent4 3 2 3 2 3 2" xfId="15205" xr:uid="{00000000-0005-0000-0000-000064420000}"/>
    <cellStyle name="40% - Accent4 3 2 3 2 3 2 2" xfId="39047" xr:uid="{551A2799-98B8-4810-B886-59B02043CA2C}"/>
    <cellStyle name="40% - Accent4 3 2 3 2 3 3" xfId="23152" xr:uid="{00000000-0005-0000-0000-000065420000}"/>
    <cellStyle name="40% - Accent4 3 2 3 2 3 3 2" xfId="46984" xr:uid="{5E8A5D29-5497-44A3-AA8B-3994C6D820CA}"/>
    <cellStyle name="40% - Accent4 3 2 3 2 3 4" xfId="31106" xr:uid="{7DB7D26D-2D85-4F87-938B-E29B1FCEC405}"/>
    <cellStyle name="40% - Accent4 3 2 3 2 4" xfId="11669" xr:uid="{00000000-0005-0000-0000-000066420000}"/>
    <cellStyle name="40% - Accent4 3 2 3 2 4 2" xfId="35518" xr:uid="{AC0F22F6-FB37-4623-A335-C8EF661EDC36}"/>
    <cellStyle name="40% - Accent4 3 2 3 2 5" xfId="19624" xr:uid="{00000000-0005-0000-0000-000067420000}"/>
    <cellStyle name="40% - Accent4 3 2 3 2 5 2" xfId="43456" xr:uid="{A0E597D5-8DBE-4C91-99F4-3CA819679678}"/>
    <cellStyle name="40% - Accent4 3 2 3 2 6" xfId="27576" xr:uid="{6C4E6BBB-B3F0-455B-9ECD-1D38EEEA0127}"/>
    <cellStyle name="40% - Accent4 3 2 3 2_Exh G" xfId="3107" xr:uid="{00000000-0005-0000-0000-000068420000}"/>
    <cellStyle name="40% - Accent4 3 2 3 3" xfId="4523" xr:uid="{00000000-0005-0000-0000-000069420000}"/>
    <cellStyle name="40% - Accent4 3 2 3 3 2" xfId="8115" xr:uid="{00000000-0005-0000-0000-00006A420000}"/>
    <cellStyle name="40% - Accent4 3 2 3 3 2 2" xfId="16085" xr:uid="{00000000-0005-0000-0000-00006B420000}"/>
    <cellStyle name="40% - Accent4 3 2 3 3 2 2 2" xfId="39927" xr:uid="{744F78D7-ACA1-49AC-8DB1-AEAF253CAC26}"/>
    <cellStyle name="40% - Accent4 3 2 3 3 2 3" xfId="24031" xr:uid="{00000000-0005-0000-0000-00006C420000}"/>
    <cellStyle name="40% - Accent4 3 2 3 3 2 3 2" xfId="47863" xr:uid="{243C5EBB-47A5-4AA0-9482-49317993EE3B}"/>
    <cellStyle name="40% - Accent4 3 2 3 3 2 4" xfId="31986" xr:uid="{98D854A5-07F6-4042-820C-9950F1FEAAF1}"/>
    <cellStyle name="40% - Accent4 3 2 3 3 3" xfId="12547" xr:uid="{00000000-0005-0000-0000-00006D420000}"/>
    <cellStyle name="40% - Accent4 3 2 3 3 3 2" xfId="36396" xr:uid="{D0414C77-8912-4A0C-99D1-B3CF432972CA}"/>
    <cellStyle name="40% - Accent4 3 2 3 3 4" xfId="20502" xr:uid="{00000000-0005-0000-0000-00006E420000}"/>
    <cellStyle name="40% - Accent4 3 2 3 3 4 2" xfId="44334" xr:uid="{FCD77185-01C6-4BFD-80FD-2096C44DC0FF}"/>
    <cellStyle name="40% - Accent4 3 2 3 3 5" xfId="28455" xr:uid="{84496EC1-4678-49B4-B6A3-22ADC8DBD235}"/>
    <cellStyle name="40% - Accent4 3 2 3 4" xfId="6353" xr:uid="{00000000-0005-0000-0000-00006F420000}"/>
    <cellStyle name="40% - Accent4 3 2 3 4 2" xfId="14327" xr:uid="{00000000-0005-0000-0000-000070420000}"/>
    <cellStyle name="40% - Accent4 3 2 3 4 2 2" xfId="38169" xr:uid="{E3B0C46C-BAEF-43D0-8128-40CBAAB11E74}"/>
    <cellStyle name="40% - Accent4 3 2 3 4 3" xfId="22274" xr:uid="{00000000-0005-0000-0000-000071420000}"/>
    <cellStyle name="40% - Accent4 3 2 3 4 3 2" xfId="46106" xr:uid="{50008A7B-4C4B-4D99-9314-2D2A8728D1C6}"/>
    <cellStyle name="40% - Accent4 3 2 3 4 4" xfId="30228" xr:uid="{77F64F59-E8B8-46ED-864E-4F0B47DD00F9}"/>
    <cellStyle name="40% - Accent4 3 2 3 5" xfId="9895" xr:uid="{00000000-0005-0000-0000-000072420000}"/>
    <cellStyle name="40% - Accent4 3 2 3 5 2" xfId="17853" xr:uid="{00000000-0005-0000-0000-000073420000}"/>
    <cellStyle name="40% - Accent4 3 2 3 5 2 2" xfId="41693" xr:uid="{425615C1-5F67-4A52-A6D1-B917192AE23E}"/>
    <cellStyle name="40% - Accent4 3 2 3 5 3" xfId="25797" xr:uid="{00000000-0005-0000-0000-000074420000}"/>
    <cellStyle name="40% - Accent4 3 2 3 5 3 2" xfId="49629" xr:uid="{7E022157-9A02-4E77-8988-020B072E7924}"/>
    <cellStyle name="40% - Accent4 3 2 3 5 4" xfId="33752" xr:uid="{837D4625-5D43-44BD-B1F5-157EE2862F1F}"/>
    <cellStyle name="40% - Accent4 3 2 3 6" xfId="10791" xr:uid="{00000000-0005-0000-0000-000075420000}"/>
    <cellStyle name="40% - Accent4 3 2 3 6 2" xfId="34640" xr:uid="{DB431E61-DE3F-4AF0-AD74-138401F4AC64}"/>
    <cellStyle name="40% - Accent4 3 2 3 7" xfId="18746" xr:uid="{00000000-0005-0000-0000-000076420000}"/>
    <cellStyle name="40% - Accent4 3 2 3 7 2" xfId="42578" xr:uid="{57258889-4FE3-46B8-95C5-8FAD2FFCA8B7}"/>
    <cellStyle name="40% - Accent4 3 2 3 8" xfId="26698" xr:uid="{0349E3F8-E68F-4EA0-99C5-030642A7124C}"/>
    <cellStyle name="40% - Accent4 3 2 3_Exh G" xfId="3106" xr:uid="{00000000-0005-0000-0000-000077420000}"/>
    <cellStyle name="40% - Accent4 3 2 4" xfId="1531" xr:uid="{00000000-0005-0000-0000-000078420000}"/>
    <cellStyle name="40% - Accent4 3 2 4 2" xfId="5058" xr:uid="{00000000-0005-0000-0000-000079420000}"/>
    <cellStyle name="40% - Accent4 3 2 4 2 2" xfId="8649" xr:uid="{00000000-0005-0000-0000-00007A420000}"/>
    <cellStyle name="40% - Accent4 3 2 4 2 2 2" xfId="16619" xr:uid="{00000000-0005-0000-0000-00007B420000}"/>
    <cellStyle name="40% - Accent4 3 2 4 2 2 2 2" xfId="40461" xr:uid="{27F9CCD1-B22C-49F8-AC21-2872D95D4586}"/>
    <cellStyle name="40% - Accent4 3 2 4 2 2 3" xfId="24565" xr:uid="{00000000-0005-0000-0000-00007C420000}"/>
    <cellStyle name="40% - Accent4 3 2 4 2 2 3 2" xfId="48397" xr:uid="{73274771-B831-4019-A63C-A550EB8A3441}"/>
    <cellStyle name="40% - Accent4 3 2 4 2 2 4" xfId="32520" xr:uid="{8C05C1A6-1841-4463-AB23-C6987E825393}"/>
    <cellStyle name="40% - Accent4 3 2 4 2 3" xfId="13081" xr:uid="{00000000-0005-0000-0000-00007D420000}"/>
    <cellStyle name="40% - Accent4 3 2 4 2 3 2" xfId="36930" xr:uid="{208EB7D2-6A98-48FD-A36F-C8856F1257B5}"/>
    <cellStyle name="40% - Accent4 3 2 4 2 4" xfId="21036" xr:uid="{00000000-0005-0000-0000-00007E420000}"/>
    <cellStyle name="40% - Accent4 3 2 4 2 4 2" xfId="44868" xr:uid="{9E4470DA-8FDF-4F04-98FF-8AC7AD670188}"/>
    <cellStyle name="40% - Accent4 3 2 4 2 5" xfId="28989" xr:uid="{E0E815E4-7E80-4097-AE45-86C8A34503DA}"/>
    <cellStyle name="40% - Accent4 3 2 4 3" xfId="6890" xr:uid="{00000000-0005-0000-0000-00007F420000}"/>
    <cellStyle name="40% - Accent4 3 2 4 3 2" xfId="14861" xr:uid="{00000000-0005-0000-0000-000080420000}"/>
    <cellStyle name="40% - Accent4 3 2 4 3 2 2" xfId="38703" xr:uid="{86E8FFB2-52F8-461A-8A8F-031D4099961C}"/>
    <cellStyle name="40% - Accent4 3 2 4 3 3" xfId="22808" xr:uid="{00000000-0005-0000-0000-000081420000}"/>
    <cellStyle name="40% - Accent4 3 2 4 3 3 2" xfId="46640" xr:uid="{B405BDEE-97B2-49B2-83F9-F2BD85F8A49A}"/>
    <cellStyle name="40% - Accent4 3 2 4 3 4" xfId="30762" xr:uid="{BFACB55D-CA6E-406A-9A77-5EA5D912621B}"/>
    <cellStyle name="40% - Accent4 3 2 4 4" xfId="11325" xr:uid="{00000000-0005-0000-0000-000082420000}"/>
    <cellStyle name="40% - Accent4 3 2 4 4 2" xfId="35174" xr:uid="{7DE6EA36-AFC4-4903-974E-3C9C323D9764}"/>
    <cellStyle name="40% - Accent4 3 2 4 5" xfId="19280" xr:uid="{00000000-0005-0000-0000-000083420000}"/>
    <cellStyle name="40% - Accent4 3 2 4 5 2" xfId="43112" xr:uid="{669D7D72-9354-4E9D-A150-353F5C9DCA04}"/>
    <cellStyle name="40% - Accent4 3 2 4 6" xfId="27232" xr:uid="{3C6208F0-00FF-4C34-B48F-3F8220301D10}"/>
    <cellStyle name="40% - Accent4 3 2 4_Exh G" xfId="3108" xr:uid="{00000000-0005-0000-0000-000084420000}"/>
    <cellStyle name="40% - Accent4 3 2 5" xfId="4179" xr:uid="{00000000-0005-0000-0000-000085420000}"/>
    <cellStyle name="40% - Accent4 3 2 5 2" xfId="7771" xr:uid="{00000000-0005-0000-0000-000086420000}"/>
    <cellStyle name="40% - Accent4 3 2 5 2 2" xfId="15741" xr:uid="{00000000-0005-0000-0000-000087420000}"/>
    <cellStyle name="40% - Accent4 3 2 5 2 2 2" xfId="39583" xr:uid="{8E6760F7-9AFB-4C7E-BAB0-2EF508955EE4}"/>
    <cellStyle name="40% - Accent4 3 2 5 2 3" xfId="23687" xr:uid="{00000000-0005-0000-0000-000088420000}"/>
    <cellStyle name="40% - Accent4 3 2 5 2 3 2" xfId="47519" xr:uid="{F0450BBF-E0EE-434D-969B-9AF7AB3030A3}"/>
    <cellStyle name="40% - Accent4 3 2 5 2 4" xfId="31642" xr:uid="{918FE828-0ABC-45AE-8AFE-A872EB4CEEA5}"/>
    <cellStyle name="40% - Accent4 3 2 5 3" xfId="12203" xr:uid="{00000000-0005-0000-0000-000089420000}"/>
    <cellStyle name="40% - Accent4 3 2 5 3 2" xfId="36052" xr:uid="{9B7D2F4A-C79C-4159-9D65-003B1CBC429E}"/>
    <cellStyle name="40% - Accent4 3 2 5 4" xfId="20158" xr:uid="{00000000-0005-0000-0000-00008A420000}"/>
    <cellStyle name="40% - Accent4 3 2 5 4 2" xfId="43990" xr:uid="{61A76E26-79E8-477D-9184-9569738810B2}"/>
    <cellStyle name="40% - Accent4 3 2 5 5" xfId="28111" xr:uid="{170CA39E-1D84-43F9-AA26-1AB9366F5465}"/>
    <cellStyle name="40% - Accent4 3 2 6" xfId="5999" xr:uid="{00000000-0005-0000-0000-00008B420000}"/>
    <cellStyle name="40% - Accent4 3 2 6 2" xfId="13982" xr:uid="{00000000-0005-0000-0000-00008C420000}"/>
    <cellStyle name="40% - Accent4 3 2 6 2 2" xfId="37825" xr:uid="{61BB1006-FF72-4DF0-9A3A-9C753BED0165}"/>
    <cellStyle name="40% - Accent4 3 2 6 3" xfId="21930" xr:uid="{00000000-0005-0000-0000-00008D420000}"/>
    <cellStyle name="40% - Accent4 3 2 6 3 2" xfId="45762" xr:uid="{B6A97396-7205-448E-82A3-F8009C8D1A16}"/>
    <cellStyle name="40% - Accent4 3 2 6 4" xfId="29884" xr:uid="{580BE241-31B9-45CC-ABC3-5A1BC1BE6001}"/>
    <cellStyle name="40% - Accent4 3 2 7" xfId="9551" xr:uid="{00000000-0005-0000-0000-00008E420000}"/>
    <cellStyle name="40% - Accent4 3 2 7 2" xfId="17509" xr:uid="{00000000-0005-0000-0000-00008F420000}"/>
    <cellStyle name="40% - Accent4 3 2 7 2 2" xfId="41349" xr:uid="{8E708B9B-E6C0-427F-8644-A2446210D5E8}"/>
    <cellStyle name="40% - Accent4 3 2 7 3" xfId="25453" xr:uid="{00000000-0005-0000-0000-000090420000}"/>
    <cellStyle name="40% - Accent4 3 2 7 3 2" xfId="49285" xr:uid="{E02AA4E5-51DF-4217-86DA-1A5E105484F9}"/>
    <cellStyle name="40% - Accent4 3 2 7 4" xfId="33408" xr:uid="{15FB393E-996C-4687-9DF3-BB1A92D76C57}"/>
    <cellStyle name="40% - Accent4 3 2 8" xfId="10447" xr:uid="{00000000-0005-0000-0000-000091420000}"/>
    <cellStyle name="40% - Accent4 3 2 8 2" xfId="34296" xr:uid="{D82E3D42-E108-4E46-8254-7B65C15797D2}"/>
    <cellStyle name="40% - Accent4 3 2 9" xfId="18402" xr:uid="{00000000-0005-0000-0000-000092420000}"/>
    <cellStyle name="40% - Accent4 3 2 9 2" xfId="42234" xr:uid="{8761760F-6115-459C-868F-C5E2612CC872}"/>
    <cellStyle name="40% - Accent4 3 2_Exh G" xfId="3103" xr:uid="{00000000-0005-0000-0000-000093420000}"/>
    <cellStyle name="40% - Accent4 3 3" xfId="507" xr:uid="{00000000-0005-0000-0000-000094420000}"/>
    <cellStyle name="40% - Accent4 3 3 2" xfId="1533" xr:uid="{00000000-0005-0000-0000-000095420000}"/>
    <cellStyle name="40% - Accent4 3 3 2 2" xfId="5060" xr:uid="{00000000-0005-0000-0000-000096420000}"/>
    <cellStyle name="40% - Accent4 3 3 2 2 2" xfId="8651" xr:uid="{00000000-0005-0000-0000-000097420000}"/>
    <cellStyle name="40% - Accent4 3 3 2 2 2 2" xfId="16621" xr:uid="{00000000-0005-0000-0000-000098420000}"/>
    <cellStyle name="40% - Accent4 3 3 2 2 2 2 2" xfId="40463" xr:uid="{35ED1A03-E224-46A4-938B-8F831B1213CE}"/>
    <cellStyle name="40% - Accent4 3 3 2 2 2 3" xfId="24567" xr:uid="{00000000-0005-0000-0000-000099420000}"/>
    <cellStyle name="40% - Accent4 3 3 2 2 2 3 2" xfId="48399" xr:uid="{A558D5B2-C87F-4F9A-9912-C3F63249B501}"/>
    <cellStyle name="40% - Accent4 3 3 2 2 2 4" xfId="32522" xr:uid="{B2623D0C-C0A5-4714-96AD-A77EDDB2168F}"/>
    <cellStyle name="40% - Accent4 3 3 2 2 3" xfId="13083" xr:uid="{00000000-0005-0000-0000-00009A420000}"/>
    <cellStyle name="40% - Accent4 3 3 2 2 3 2" xfId="36932" xr:uid="{B72EBBB2-D4D8-452A-88CC-330E7F4B1EA2}"/>
    <cellStyle name="40% - Accent4 3 3 2 2 4" xfId="21038" xr:uid="{00000000-0005-0000-0000-00009B420000}"/>
    <cellStyle name="40% - Accent4 3 3 2 2 4 2" xfId="44870" xr:uid="{1322A623-63BB-42EA-9D8F-97EDD7F5203F}"/>
    <cellStyle name="40% - Accent4 3 3 2 2 5" xfId="28991" xr:uid="{50498A66-5C70-4247-8DEA-F3F10310094E}"/>
    <cellStyle name="40% - Accent4 3 3 2 3" xfId="6892" xr:uid="{00000000-0005-0000-0000-00009C420000}"/>
    <cellStyle name="40% - Accent4 3 3 2 3 2" xfId="14863" xr:uid="{00000000-0005-0000-0000-00009D420000}"/>
    <cellStyle name="40% - Accent4 3 3 2 3 2 2" xfId="38705" xr:uid="{BE4D05D0-2844-4438-864A-4D6E5A362D49}"/>
    <cellStyle name="40% - Accent4 3 3 2 3 3" xfId="22810" xr:uid="{00000000-0005-0000-0000-00009E420000}"/>
    <cellStyle name="40% - Accent4 3 3 2 3 3 2" xfId="46642" xr:uid="{A4D0E37F-2F03-4B0A-9B26-2FCE4F148D82}"/>
    <cellStyle name="40% - Accent4 3 3 2 3 4" xfId="30764" xr:uid="{FBB818D9-D82B-424F-9BE8-D31C417409A6}"/>
    <cellStyle name="40% - Accent4 3 3 2 4" xfId="11327" xr:uid="{00000000-0005-0000-0000-00009F420000}"/>
    <cellStyle name="40% - Accent4 3 3 2 4 2" xfId="35176" xr:uid="{2D5AC206-6EEB-48F4-962A-1E3B561FC014}"/>
    <cellStyle name="40% - Accent4 3 3 2 5" xfId="19282" xr:uid="{00000000-0005-0000-0000-0000A0420000}"/>
    <cellStyle name="40% - Accent4 3 3 2 5 2" xfId="43114" xr:uid="{606FF65D-C694-4CB8-ACFB-92BEC51C1A6E}"/>
    <cellStyle name="40% - Accent4 3 3 2 6" xfId="27234" xr:uid="{4899E49C-69AB-4881-9799-F207EF3C3324}"/>
    <cellStyle name="40% - Accent4 3 3 2_Exh G" xfId="3110" xr:uid="{00000000-0005-0000-0000-0000A1420000}"/>
    <cellStyle name="40% - Accent4 3 3 3" xfId="4181" xr:uid="{00000000-0005-0000-0000-0000A2420000}"/>
    <cellStyle name="40% - Accent4 3 3 3 2" xfId="7773" xr:uid="{00000000-0005-0000-0000-0000A3420000}"/>
    <cellStyle name="40% - Accent4 3 3 3 2 2" xfId="15743" xr:uid="{00000000-0005-0000-0000-0000A4420000}"/>
    <cellStyle name="40% - Accent4 3 3 3 2 2 2" xfId="39585" xr:uid="{251A9456-3D47-4195-B0A7-FEE46B912FF9}"/>
    <cellStyle name="40% - Accent4 3 3 3 2 3" xfId="23689" xr:uid="{00000000-0005-0000-0000-0000A5420000}"/>
    <cellStyle name="40% - Accent4 3 3 3 2 3 2" xfId="47521" xr:uid="{71D939B4-1454-47C6-8850-0908E7AD1870}"/>
    <cellStyle name="40% - Accent4 3 3 3 2 4" xfId="31644" xr:uid="{4BE99974-172E-4C4A-AD7A-9E11821D4563}"/>
    <cellStyle name="40% - Accent4 3 3 3 3" xfId="12205" xr:uid="{00000000-0005-0000-0000-0000A6420000}"/>
    <cellStyle name="40% - Accent4 3 3 3 3 2" xfId="36054" xr:uid="{240E3F73-02B2-41FE-9365-C0B76C077E2A}"/>
    <cellStyle name="40% - Accent4 3 3 3 4" xfId="20160" xr:uid="{00000000-0005-0000-0000-0000A7420000}"/>
    <cellStyle name="40% - Accent4 3 3 3 4 2" xfId="43992" xr:uid="{543F9263-22CF-439E-9D73-70EDE2D6857B}"/>
    <cellStyle name="40% - Accent4 3 3 3 5" xfId="28113" xr:uid="{9920FBBF-80E2-4BE2-99F1-07CACB492770}"/>
    <cellStyle name="40% - Accent4 3 3 4" xfId="6001" xr:uid="{00000000-0005-0000-0000-0000A8420000}"/>
    <cellStyle name="40% - Accent4 3 3 4 2" xfId="13984" xr:uid="{00000000-0005-0000-0000-0000A9420000}"/>
    <cellStyle name="40% - Accent4 3 3 4 2 2" xfId="37827" xr:uid="{137755AB-22EC-499E-8EF3-4E271E00CA83}"/>
    <cellStyle name="40% - Accent4 3 3 4 3" xfId="21932" xr:uid="{00000000-0005-0000-0000-0000AA420000}"/>
    <cellStyle name="40% - Accent4 3 3 4 3 2" xfId="45764" xr:uid="{6C0FFFFA-1D7C-4B65-A129-E3EFCDF6612F}"/>
    <cellStyle name="40% - Accent4 3 3 4 4" xfId="29886" xr:uid="{215FFDA2-A462-4F11-B6B1-3D62428B401B}"/>
    <cellStyle name="40% - Accent4 3 3 5" xfId="9553" xr:uid="{00000000-0005-0000-0000-0000AB420000}"/>
    <cellStyle name="40% - Accent4 3 3 5 2" xfId="17511" xr:uid="{00000000-0005-0000-0000-0000AC420000}"/>
    <cellStyle name="40% - Accent4 3 3 5 2 2" xfId="41351" xr:uid="{2B8CD29E-64E6-4425-883C-17FC8D436CF7}"/>
    <cellStyle name="40% - Accent4 3 3 5 3" xfId="25455" xr:uid="{00000000-0005-0000-0000-0000AD420000}"/>
    <cellStyle name="40% - Accent4 3 3 5 3 2" xfId="49287" xr:uid="{2746BA38-69BC-433C-BE2A-7328B93C9D3A}"/>
    <cellStyle name="40% - Accent4 3 3 5 4" xfId="33410" xr:uid="{BBE4DC0B-6072-4CF7-A192-952CB2946912}"/>
    <cellStyle name="40% - Accent4 3 3 6" xfId="10449" xr:uid="{00000000-0005-0000-0000-0000AE420000}"/>
    <cellStyle name="40% - Accent4 3 3 6 2" xfId="34298" xr:uid="{AA695110-CCEF-48E0-9D13-087C6EB0DD64}"/>
    <cellStyle name="40% - Accent4 3 3 7" xfId="18404" xr:uid="{00000000-0005-0000-0000-0000AF420000}"/>
    <cellStyle name="40% - Accent4 3 3 7 2" xfId="42236" xr:uid="{32120AA1-013F-4DDC-A848-5A514FFCE095}"/>
    <cellStyle name="40% - Accent4 3 3 8" xfId="26356" xr:uid="{D09791FF-1DB4-4866-9FD6-F0B81A6F1E67}"/>
    <cellStyle name="40% - Accent4 3 3_Exh G" xfId="3109" xr:uid="{00000000-0005-0000-0000-0000B0420000}"/>
    <cellStyle name="40% - Accent4 3 4" xfId="970" xr:uid="{00000000-0005-0000-0000-0000B1420000}"/>
    <cellStyle name="40% - Accent4 3 4 2" xfId="1884" xr:uid="{00000000-0005-0000-0000-0000B2420000}"/>
    <cellStyle name="40% - Accent4 3 4 2 2" xfId="5401" xr:uid="{00000000-0005-0000-0000-0000B3420000}"/>
    <cellStyle name="40% - Accent4 3 4 2 2 2" xfId="8992" xr:uid="{00000000-0005-0000-0000-0000B4420000}"/>
    <cellStyle name="40% - Accent4 3 4 2 2 2 2" xfId="16962" xr:uid="{00000000-0005-0000-0000-0000B5420000}"/>
    <cellStyle name="40% - Accent4 3 4 2 2 2 2 2" xfId="40804" xr:uid="{C7AC2A04-8DD2-4463-8871-254CD50490C8}"/>
    <cellStyle name="40% - Accent4 3 4 2 2 2 3" xfId="24908" xr:uid="{00000000-0005-0000-0000-0000B6420000}"/>
    <cellStyle name="40% - Accent4 3 4 2 2 2 3 2" xfId="48740" xr:uid="{7BEEE5F8-7848-4DC2-AE51-7AD2665DAEEC}"/>
    <cellStyle name="40% - Accent4 3 4 2 2 2 4" xfId="32863" xr:uid="{EFA28FBE-6B89-493F-9481-940593F6D987}"/>
    <cellStyle name="40% - Accent4 3 4 2 2 3" xfId="13424" xr:uid="{00000000-0005-0000-0000-0000B7420000}"/>
    <cellStyle name="40% - Accent4 3 4 2 2 3 2" xfId="37273" xr:uid="{7A750902-C119-4047-ACD8-1B4CA897739F}"/>
    <cellStyle name="40% - Accent4 3 4 2 2 4" xfId="21379" xr:uid="{00000000-0005-0000-0000-0000B8420000}"/>
    <cellStyle name="40% - Accent4 3 4 2 2 4 2" xfId="45211" xr:uid="{E8D5AD15-2403-41DE-954A-EC34F9CCE902}"/>
    <cellStyle name="40% - Accent4 3 4 2 2 5" xfId="29332" xr:uid="{4D820A08-4877-4007-B343-B64186DA278F}"/>
    <cellStyle name="40% - Accent4 3 4 2 3" xfId="7233" xr:uid="{00000000-0005-0000-0000-0000B9420000}"/>
    <cellStyle name="40% - Accent4 3 4 2 3 2" xfId="15204" xr:uid="{00000000-0005-0000-0000-0000BA420000}"/>
    <cellStyle name="40% - Accent4 3 4 2 3 2 2" xfId="39046" xr:uid="{9AFBA840-1D1E-48B1-AC48-396468826388}"/>
    <cellStyle name="40% - Accent4 3 4 2 3 3" xfId="23151" xr:uid="{00000000-0005-0000-0000-0000BB420000}"/>
    <cellStyle name="40% - Accent4 3 4 2 3 3 2" xfId="46983" xr:uid="{2EDB9720-7761-45BE-BD5A-1B509E261DB4}"/>
    <cellStyle name="40% - Accent4 3 4 2 3 4" xfId="31105" xr:uid="{86F92019-BB8B-4EB9-9A4B-6028DC039E24}"/>
    <cellStyle name="40% - Accent4 3 4 2 4" xfId="11668" xr:uid="{00000000-0005-0000-0000-0000BC420000}"/>
    <cellStyle name="40% - Accent4 3 4 2 4 2" xfId="35517" xr:uid="{E04A7DD2-0F5A-4D42-91A9-11D37ABBF56A}"/>
    <cellStyle name="40% - Accent4 3 4 2 5" xfId="19623" xr:uid="{00000000-0005-0000-0000-0000BD420000}"/>
    <cellStyle name="40% - Accent4 3 4 2 5 2" xfId="43455" xr:uid="{6FB69803-3708-4177-9011-E3C17CCCB5E5}"/>
    <cellStyle name="40% - Accent4 3 4 2 6" xfId="27575" xr:uid="{15C0157E-037E-494F-800B-39CFBAA498C0}"/>
    <cellStyle name="40% - Accent4 3 4 2_Exh G" xfId="3112" xr:uid="{00000000-0005-0000-0000-0000BE420000}"/>
    <cellStyle name="40% - Accent4 3 4 3" xfId="4522" xr:uid="{00000000-0005-0000-0000-0000BF420000}"/>
    <cellStyle name="40% - Accent4 3 4 3 2" xfId="8114" xr:uid="{00000000-0005-0000-0000-0000C0420000}"/>
    <cellStyle name="40% - Accent4 3 4 3 2 2" xfId="16084" xr:uid="{00000000-0005-0000-0000-0000C1420000}"/>
    <cellStyle name="40% - Accent4 3 4 3 2 2 2" xfId="39926" xr:uid="{DE7C41D0-3214-406E-962F-E462BF30A05A}"/>
    <cellStyle name="40% - Accent4 3 4 3 2 3" xfId="24030" xr:uid="{00000000-0005-0000-0000-0000C2420000}"/>
    <cellStyle name="40% - Accent4 3 4 3 2 3 2" xfId="47862" xr:uid="{573D4506-09D3-466E-90E7-A3527194617C}"/>
    <cellStyle name="40% - Accent4 3 4 3 2 4" xfId="31985" xr:uid="{BE94CD56-7526-4961-A888-430EAE97E6A0}"/>
    <cellStyle name="40% - Accent4 3 4 3 3" xfId="12546" xr:uid="{00000000-0005-0000-0000-0000C3420000}"/>
    <cellStyle name="40% - Accent4 3 4 3 3 2" xfId="36395" xr:uid="{C1CE491C-AA91-47A1-B54D-3AEA4D83F11F}"/>
    <cellStyle name="40% - Accent4 3 4 3 4" xfId="20501" xr:uid="{00000000-0005-0000-0000-0000C4420000}"/>
    <cellStyle name="40% - Accent4 3 4 3 4 2" xfId="44333" xr:uid="{DEF854BA-9A6D-4216-BCB7-3C1CCEC3B537}"/>
    <cellStyle name="40% - Accent4 3 4 3 5" xfId="28454" xr:uid="{E39723AB-BA5B-4221-8119-F26AC1B0B752}"/>
    <cellStyle name="40% - Accent4 3 4 4" xfId="6352" xr:uid="{00000000-0005-0000-0000-0000C5420000}"/>
    <cellStyle name="40% - Accent4 3 4 4 2" xfId="14326" xr:uid="{00000000-0005-0000-0000-0000C6420000}"/>
    <cellStyle name="40% - Accent4 3 4 4 2 2" xfId="38168" xr:uid="{CCE05C0F-33AA-4B89-85B1-BFB559F2B8A5}"/>
    <cellStyle name="40% - Accent4 3 4 4 3" xfId="22273" xr:uid="{00000000-0005-0000-0000-0000C7420000}"/>
    <cellStyle name="40% - Accent4 3 4 4 3 2" xfId="46105" xr:uid="{24CAE5A8-8407-4865-BB34-C6BC737EF57C}"/>
    <cellStyle name="40% - Accent4 3 4 4 4" xfId="30227" xr:uid="{16EAC0ED-B5D9-4435-AE95-7F325AF86CB7}"/>
    <cellStyle name="40% - Accent4 3 4 5" xfId="9894" xr:uid="{00000000-0005-0000-0000-0000C8420000}"/>
    <cellStyle name="40% - Accent4 3 4 5 2" xfId="17852" xr:uid="{00000000-0005-0000-0000-0000C9420000}"/>
    <cellStyle name="40% - Accent4 3 4 5 2 2" xfId="41692" xr:uid="{20CE98F9-3316-4C3E-A5DC-24C1A4805EBE}"/>
    <cellStyle name="40% - Accent4 3 4 5 3" xfId="25796" xr:uid="{00000000-0005-0000-0000-0000CA420000}"/>
    <cellStyle name="40% - Accent4 3 4 5 3 2" xfId="49628" xr:uid="{152F0983-E32F-4121-8265-BCBADC71D300}"/>
    <cellStyle name="40% - Accent4 3 4 5 4" xfId="33751" xr:uid="{7D7CEBD2-6104-437D-BB7A-61D706399D36}"/>
    <cellStyle name="40% - Accent4 3 4 6" xfId="10790" xr:uid="{00000000-0005-0000-0000-0000CB420000}"/>
    <cellStyle name="40% - Accent4 3 4 6 2" xfId="34639" xr:uid="{CC39EE34-79B3-4561-93C8-A0F66CB16F15}"/>
    <cellStyle name="40% - Accent4 3 4 7" xfId="18745" xr:uid="{00000000-0005-0000-0000-0000CC420000}"/>
    <cellStyle name="40% - Accent4 3 4 7 2" xfId="42577" xr:uid="{1A7EDD43-D232-423D-8FC6-822BC9FF5724}"/>
    <cellStyle name="40% - Accent4 3 4 8" xfId="26697" xr:uid="{43FE3D6B-C47C-41BD-9C73-45AA56E5E1C1}"/>
    <cellStyle name="40% - Accent4 3 4_Exh G" xfId="3111" xr:uid="{00000000-0005-0000-0000-0000CD420000}"/>
    <cellStyle name="40% - Accent4 3 5" xfId="1530" xr:uid="{00000000-0005-0000-0000-0000CE420000}"/>
    <cellStyle name="40% - Accent4 3 5 2" xfId="5057" xr:uid="{00000000-0005-0000-0000-0000CF420000}"/>
    <cellStyle name="40% - Accent4 3 5 2 2" xfId="8648" xr:uid="{00000000-0005-0000-0000-0000D0420000}"/>
    <cellStyle name="40% - Accent4 3 5 2 2 2" xfId="16618" xr:uid="{00000000-0005-0000-0000-0000D1420000}"/>
    <cellStyle name="40% - Accent4 3 5 2 2 2 2" xfId="40460" xr:uid="{4E84AD0E-DD58-465A-9E78-72B5395D0CD7}"/>
    <cellStyle name="40% - Accent4 3 5 2 2 3" xfId="24564" xr:uid="{00000000-0005-0000-0000-0000D2420000}"/>
    <cellStyle name="40% - Accent4 3 5 2 2 3 2" xfId="48396" xr:uid="{58BCAEEB-7D24-47FB-9230-2162802888C6}"/>
    <cellStyle name="40% - Accent4 3 5 2 2 4" xfId="32519" xr:uid="{EF31644C-3669-433F-AF2F-8159B54E32E2}"/>
    <cellStyle name="40% - Accent4 3 5 2 3" xfId="13080" xr:uid="{00000000-0005-0000-0000-0000D3420000}"/>
    <cellStyle name="40% - Accent4 3 5 2 3 2" xfId="36929" xr:uid="{C398D6F0-3D87-494B-9F8B-9AD640CF01FF}"/>
    <cellStyle name="40% - Accent4 3 5 2 4" xfId="21035" xr:uid="{00000000-0005-0000-0000-0000D4420000}"/>
    <cellStyle name="40% - Accent4 3 5 2 4 2" xfId="44867" xr:uid="{F484B028-393E-4A76-9383-8B901C72BCF1}"/>
    <cellStyle name="40% - Accent4 3 5 2 5" xfId="28988" xr:uid="{630FE6DA-639E-4541-81C2-6B67F7BF51FF}"/>
    <cellStyle name="40% - Accent4 3 5 3" xfId="6889" xr:uid="{00000000-0005-0000-0000-0000D5420000}"/>
    <cellStyle name="40% - Accent4 3 5 3 2" xfId="14860" xr:uid="{00000000-0005-0000-0000-0000D6420000}"/>
    <cellStyle name="40% - Accent4 3 5 3 2 2" xfId="38702" xr:uid="{D75562EB-A0CD-42E5-83D1-54B53AE46BCC}"/>
    <cellStyle name="40% - Accent4 3 5 3 3" xfId="22807" xr:uid="{00000000-0005-0000-0000-0000D7420000}"/>
    <cellStyle name="40% - Accent4 3 5 3 3 2" xfId="46639" xr:uid="{CB0D7B56-593D-4A41-BF58-1400BACD3DAE}"/>
    <cellStyle name="40% - Accent4 3 5 3 4" xfId="30761" xr:uid="{606D61A2-6DE6-4CCD-8F4A-1AA6DD348C9F}"/>
    <cellStyle name="40% - Accent4 3 5 4" xfId="11324" xr:uid="{00000000-0005-0000-0000-0000D8420000}"/>
    <cellStyle name="40% - Accent4 3 5 4 2" xfId="35173" xr:uid="{8CFBB0A6-117A-4D7F-9F94-E7D4C341891C}"/>
    <cellStyle name="40% - Accent4 3 5 5" xfId="19279" xr:uid="{00000000-0005-0000-0000-0000D9420000}"/>
    <cellStyle name="40% - Accent4 3 5 5 2" xfId="43111" xr:uid="{523DE42C-A847-468C-8EC1-D2B2621055CF}"/>
    <cellStyle name="40% - Accent4 3 5 6" xfId="27231" xr:uid="{DC4A2825-3037-409B-9353-D4E38785554B}"/>
    <cellStyle name="40% - Accent4 3 5_Exh G" xfId="3113" xr:uid="{00000000-0005-0000-0000-0000DA420000}"/>
    <cellStyle name="40% - Accent4 3 6" xfId="4178" xr:uid="{00000000-0005-0000-0000-0000DB420000}"/>
    <cellStyle name="40% - Accent4 3 6 2" xfId="7770" xr:uid="{00000000-0005-0000-0000-0000DC420000}"/>
    <cellStyle name="40% - Accent4 3 6 2 2" xfId="15740" xr:uid="{00000000-0005-0000-0000-0000DD420000}"/>
    <cellStyle name="40% - Accent4 3 6 2 2 2" xfId="39582" xr:uid="{F04C63D2-A808-43F2-A0F0-8FF34E6EB7FA}"/>
    <cellStyle name="40% - Accent4 3 6 2 3" xfId="23686" xr:uid="{00000000-0005-0000-0000-0000DE420000}"/>
    <cellStyle name="40% - Accent4 3 6 2 3 2" xfId="47518" xr:uid="{30834049-2691-463D-AF2B-1407DD4EDBBC}"/>
    <cellStyle name="40% - Accent4 3 6 2 4" xfId="31641" xr:uid="{999B39C3-3533-434C-B02E-2DE5E02DEAD9}"/>
    <cellStyle name="40% - Accent4 3 6 3" xfId="12202" xr:uid="{00000000-0005-0000-0000-0000DF420000}"/>
    <cellStyle name="40% - Accent4 3 6 3 2" xfId="36051" xr:uid="{4A98A0C7-BDA5-426F-97B2-D42459DDF897}"/>
    <cellStyle name="40% - Accent4 3 6 4" xfId="20157" xr:uid="{00000000-0005-0000-0000-0000E0420000}"/>
    <cellStyle name="40% - Accent4 3 6 4 2" xfId="43989" xr:uid="{A24D7954-E6FE-4B92-9D6A-535662233E94}"/>
    <cellStyle name="40% - Accent4 3 6 5" xfId="28110" xr:uid="{26B18A09-CC5D-409A-B70B-B3334920A8AD}"/>
    <cellStyle name="40% - Accent4 3 7" xfId="5998" xr:uid="{00000000-0005-0000-0000-0000E1420000}"/>
    <cellStyle name="40% - Accent4 3 7 2" xfId="13981" xr:uid="{00000000-0005-0000-0000-0000E2420000}"/>
    <cellStyle name="40% - Accent4 3 7 2 2" xfId="37824" xr:uid="{2FB2F2C4-1D17-4763-86C7-934FA2F728C0}"/>
    <cellStyle name="40% - Accent4 3 7 3" xfId="21929" xr:uid="{00000000-0005-0000-0000-0000E3420000}"/>
    <cellStyle name="40% - Accent4 3 7 3 2" xfId="45761" xr:uid="{7C1F244D-B806-4F93-91AF-9465DBA07896}"/>
    <cellStyle name="40% - Accent4 3 7 4" xfId="29883" xr:uid="{988E7929-BBB9-4A26-93DC-0EAEDA53CFF4}"/>
    <cellStyle name="40% - Accent4 3 8" xfId="9550" xr:uid="{00000000-0005-0000-0000-0000E4420000}"/>
    <cellStyle name="40% - Accent4 3 8 2" xfId="17508" xr:uid="{00000000-0005-0000-0000-0000E5420000}"/>
    <cellStyle name="40% - Accent4 3 8 2 2" xfId="41348" xr:uid="{11BED97D-6136-4ACF-B129-FEDF875F48FA}"/>
    <cellStyle name="40% - Accent4 3 8 3" xfId="25452" xr:uid="{00000000-0005-0000-0000-0000E6420000}"/>
    <cellStyle name="40% - Accent4 3 8 3 2" xfId="49284" xr:uid="{A9AD87E6-8BD6-4A54-9D9C-BCCA1A43C185}"/>
    <cellStyle name="40% - Accent4 3 8 4" xfId="33407" xr:uid="{E0D032B9-3AAF-4228-8595-007B3B02E378}"/>
    <cellStyle name="40% - Accent4 3 9" xfId="10446" xr:uid="{00000000-0005-0000-0000-0000E7420000}"/>
    <cellStyle name="40% - Accent4 3 9 2" xfId="34295" xr:uid="{32EE4004-5261-4ABC-9FBD-090F51B71838}"/>
    <cellStyle name="40% - Accent4 3_Exh G" xfId="3102" xr:uid="{00000000-0005-0000-0000-0000E8420000}"/>
    <cellStyle name="40% - Accent4 4" xfId="508" xr:uid="{00000000-0005-0000-0000-0000E9420000}"/>
    <cellStyle name="40% - Accent4 4 10" xfId="18405" xr:uid="{00000000-0005-0000-0000-0000EA420000}"/>
    <cellStyle name="40% - Accent4 4 10 2" xfId="42237" xr:uid="{632A42EE-C81E-479F-A0B3-15F332C5E610}"/>
    <cellStyle name="40% - Accent4 4 11" xfId="26357" xr:uid="{24534573-AF5A-4AF7-A21C-97A969C3CA84}"/>
    <cellStyle name="40% - Accent4 4 2" xfId="509" xr:uid="{00000000-0005-0000-0000-0000EB420000}"/>
    <cellStyle name="40% - Accent4 4 2 10" xfId="26358" xr:uid="{9D838E66-EDEC-446F-941C-E45C772F7136}"/>
    <cellStyle name="40% - Accent4 4 2 2" xfId="510" xr:uid="{00000000-0005-0000-0000-0000EC420000}"/>
    <cellStyle name="40% - Accent4 4 2 2 2" xfId="1536" xr:uid="{00000000-0005-0000-0000-0000ED420000}"/>
    <cellStyle name="40% - Accent4 4 2 2 2 2" xfId="5063" xr:uid="{00000000-0005-0000-0000-0000EE420000}"/>
    <cellStyle name="40% - Accent4 4 2 2 2 2 2" xfId="8654" xr:uid="{00000000-0005-0000-0000-0000EF420000}"/>
    <cellStyle name="40% - Accent4 4 2 2 2 2 2 2" xfId="16624" xr:uid="{00000000-0005-0000-0000-0000F0420000}"/>
    <cellStyle name="40% - Accent4 4 2 2 2 2 2 2 2" xfId="40466" xr:uid="{03263D1D-3D9F-4EC8-A437-547673822D81}"/>
    <cellStyle name="40% - Accent4 4 2 2 2 2 2 3" xfId="24570" xr:uid="{00000000-0005-0000-0000-0000F1420000}"/>
    <cellStyle name="40% - Accent4 4 2 2 2 2 2 3 2" xfId="48402" xr:uid="{FE97CCF2-0448-4254-BC25-AE61D81D6136}"/>
    <cellStyle name="40% - Accent4 4 2 2 2 2 2 4" xfId="32525" xr:uid="{B99B8BA8-33C4-4887-A6A1-3FBD9DB731DC}"/>
    <cellStyle name="40% - Accent4 4 2 2 2 2 3" xfId="13086" xr:uid="{00000000-0005-0000-0000-0000F2420000}"/>
    <cellStyle name="40% - Accent4 4 2 2 2 2 3 2" xfId="36935" xr:uid="{50642F53-291E-4DBC-8406-E054960EEB2B}"/>
    <cellStyle name="40% - Accent4 4 2 2 2 2 4" xfId="21041" xr:uid="{00000000-0005-0000-0000-0000F3420000}"/>
    <cellStyle name="40% - Accent4 4 2 2 2 2 4 2" xfId="44873" xr:uid="{E225F7EE-3705-4376-B667-2A0B85FAF5AF}"/>
    <cellStyle name="40% - Accent4 4 2 2 2 2 5" xfId="28994" xr:uid="{C046F657-3383-45D1-B514-92BD9DD573DA}"/>
    <cellStyle name="40% - Accent4 4 2 2 2 3" xfId="6895" xr:uid="{00000000-0005-0000-0000-0000F4420000}"/>
    <cellStyle name="40% - Accent4 4 2 2 2 3 2" xfId="14866" xr:uid="{00000000-0005-0000-0000-0000F5420000}"/>
    <cellStyle name="40% - Accent4 4 2 2 2 3 2 2" xfId="38708" xr:uid="{BF50D321-AF4C-4818-B79A-B5AF846C0528}"/>
    <cellStyle name="40% - Accent4 4 2 2 2 3 3" xfId="22813" xr:uid="{00000000-0005-0000-0000-0000F6420000}"/>
    <cellStyle name="40% - Accent4 4 2 2 2 3 3 2" xfId="46645" xr:uid="{F318B258-3E9B-41DB-822F-7360AD25D4B9}"/>
    <cellStyle name="40% - Accent4 4 2 2 2 3 4" xfId="30767" xr:uid="{6C5E6A5E-5EB4-4F63-BB20-097E94A316FA}"/>
    <cellStyle name="40% - Accent4 4 2 2 2 4" xfId="11330" xr:uid="{00000000-0005-0000-0000-0000F7420000}"/>
    <cellStyle name="40% - Accent4 4 2 2 2 4 2" xfId="35179" xr:uid="{2720ABBF-F126-4ED5-AF64-68B8DEAA5EB3}"/>
    <cellStyle name="40% - Accent4 4 2 2 2 5" xfId="19285" xr:uid="{00000000-0005-0000-0000-0000F8420000}"/>
    <cellStyle name="40% - Accent4 4 2 2 2 5 2" xfId="43117" xr:uid="{D66E7FFC-34B5-4F2F-B884-E26AD7C6F8C7}"/>
    <cellStyle name="40% - Accent4 4 2 2 2 6" xfId="27237" xr:uid="{F16B2073-4AC1-4B6D-82B0-415DD4D570B7}"/>
    <cellStyle name="40% - Accent4 4 2 2 2_Exh G" xfId="3117" xr:uid="{00000000-0005-0000-0000-0000F9420000}"/>
    <cellStyle name="40% - Accent4 4 2 2 3" xfId="4184" xr:uid="{00000000-0005-0000-0000-0000FA420000}"/>
    <cellStyle name="40% - Accent4 4 2 2 3 2" xfId="7776" xr:uid="{00000000-0005-0000-0000-0000FB420000}"/>
    <cellStyle name="40% - Accent4 4 2 2 3 2 2" xfId="15746" xr:uid="{00000000-0005-0000-0000-0000FC420000}"/>
    <cellStyle name="40% - Accent4 4 2 2 3 2 2 2" xfId="39588" xr:uid="{E0EF5402-8C29-4DD2-A8A9-BAE7FFFD6066}"/>
    <cellStyle name="40% - Accent4 4 2 2 3 2 3" xfId="23692" xr:uid="{00000000-0005-0000-0000-0000FD420000}"/>
    <cellStyle name="40% - Accent4 4 2 2 3 2 3 2" xfId="47524" xr:uid="{57724B9F-C2F9-40C6-AB1C-898A7819245B}"/>
    <cellStyle name="40% - Accent4 4 2 2 3 2 4" xfId="31647" xr:uid="{6F74029A-5C03-484B-9CB7-EC682841C8F2}"/>
    <cellStyle name="40% - Accent4 4 2 2 3 3" xfId="12208" xr:uid="{00000000-0005-0000-0000-0000FE420000}"/>
    <cellStyle name="40% - Accent4 4 2 2 3 3 2" xfId="36057" xr:uid="{38C3D1E7-CCE2-4B36-973B-5D8797AAC1C2}"/>
    <cellStyle name="40% - Accent4 4 2 2 3 4" xfId="20163" xr:uid="{00000000-0005-0000-0000-0000FF420000}"/>
    <cellStyle name="40% - Accent4 4 2 2 3 4 2" xfId="43995" xr:uid="{7B325E63-CA49-4A17-A326-06CBEC19908E}"/>
    <cellStyle name="40% - Accent4 4 2 2 3 5" xfId="28116" xr:uid="{20320513-C35E-4469-8B84-0C98286A33CA}"/>
    <cellStyle name="40% - Accent4 4 2 2 4" xfId="6004" xr:uid="{00000000-0005-0000-0000-000000430000}"/>
    <cellStyle name="40% - Accent4 4 2 2 4 2" xfId="13987" xr:uid="{00000000-0005-0000-0000-000001430000}"/>
    <cellStyle name="40% - Accent4 4 2 2 4 2 2" xfId="37830" xr:uid="{9D664A58-25C0-4DFE-A5C0-FEB406C61D48}"/>
    <cellStyle name="40% - Accent4 4 2 2 4 3" xfId="21935" xr:uid="{00000000-0005-0000-0000-000002430000}"/>
    <cellStyle name="40% - Accent4 4 2 2 4 3 2" xfId="45767" xr:uid="{ECC20FDC-2666-4977-ADE0-F25B65C29295}"/>
    <cellStyle name="40% - Accent4 4 2 2 4 4" xfId="29889" xr:uid="{5120AC82-7B9B-481D-A9A0-BC87571CA4B7}"/>
    <cellStyle name="40% - Accent4 4 2 2 5" xfId="9556" xr:uid="{00000000-0005-0000-0000-000003430000}"/>
    <cellStyle name="40% - Accent4 4 2 2 5 2" xfId="17514" xr:uid="{00000000-0005-0000-0000-000004430000}"/>
    <cellStyle name="40% - Accent4 4 2 2 5 2 2" xfId="41354" xr:uid="{DAD5828F-295E-4F78-A455-746ADAF8DBE6}"/>
    <cellStyle name="40% - Accent4 4 2 2 5 3" xfId="25458" xr:uid="{00000000-0005-0000-0000-000005430000}"/>
    <cellStyle name="40% - Accent4 4 2 2 5 3 2" xfId="49290" xr:uid="{3D07B77C-2BAD-48D4-9EEC-2165A448B8FC}"/>
    <cellStyle name="40% - Accent4 4 2 2 5 4" xfId="33413" xr:uid="{5121BB49-BD81-4E44-A38F-E9E937E68DD9}"/>
    <cellStyle name="40% - Accent4 4 2 2 6" xfId="10452" xr:uid="{00000000-0005-0000-0000-000006430000}"/>
    <cellStyle name="40% - Accent4 4 2 2 6 2" xfId="34301" xr:uid="{08EC8E00-2AD2-48D4-9037-1A45A51F330F}"/>
    <cellStyle name="40% - Accent4 4 2 2 7" xfId="18407" xr:uid="{00000000-0005-0000-0000-000007430000}"/>
    <cellStyle name="40% - Accent4 4 2 2 7 2" xfId="42239" xr:uid="{F92B3D76-C3BE-4D0A-B593-F3C2E4F46CFE}"/>
    <cellStyle name="40% - Accent4 4 2 2 8" xfId="26359" xr:uid="{1D926EE3-F124-4771-99C7-E69F9D4F5F4F}"/>
    <cellStyle name="40% - Accent4 4 2 2_Exh G" xfId="3116" xr:uid="{00000000-0005-0000-0000-000008430000}"/>
    <cellStyle name="40% - Accent4 4 2 3" xfId="973" xr:uid="{00000000-0005-0000-0000-000009430000}"/>
    <cellStyle name="40% - Accent4 4 2 3 2" xfId="1887" xr:uid="{00000000-0005-0000-0000-00000A430000}"/>
    <cellStyle name="40% - Accent4 4 2 3 2 2" xfId="5404" xr:uid="{00000000-0005-0000-0000-00000B430000}"/>
    <cellStyle name="40% - Accent4 4 2 3 2 2 2" xfId="8995" xr:uid="{00000000-0005-0000-0000-00000C430000}"/>
    <cellStyle name="40% - Accent4 4 2 3 2 2 2 2" xfId="16965" xr:uid="{00000000-0005-0000-0000-00000D430000}"/>
    <cellStyle name="40% - Accent4 4 2 3 2 2 2 2 2" xfId="40807" xr:uid="{5E1419DF-392A-45EA-A760-15714D08E8BE}"/>
    <cellStyle name="40% - Accent4 4 2 3 2 2 2 3" xfId="24911" xr:uid="{00000000-0005-0000-0000-00000E430000}"/>
    <cellStyle name="40% - Accent4 4 2 3 2 2 2 3 2" xfId="48743" xr:uid="{34E00AF5-66F9-4939-838D-72CE96089B62}"/>
    <cellStyle name="40% - Accent4 4 2 3 2 2 2 4" xfId="32866" xr:uid="{2AB987FF-40C0-4A61-88AA-9609E3CE4BA0}"/>
    <cellStyle name="40% - Accent4 4 2 3 2 2 3" xfId="13427" xr:uid="{00000000-0005-0000-0000-00000F430000}"/>
    <cellStyle name="40% - Accent4 4 2 3 2 2 3 2" xfId="37276" xr:uid="{832B2434-20AB-4ADF-B211-1D99F6E9EA1C}"/>
    <cellStyle name="40% - Accent4 4 2 3 2 2 4" xfId="21382" xr:uid="{00000000-0005-0000-0000-000010430000}"/>
    <cellStyle name="40% - Accent4 4 2 3 2 2 4 2" xfId="45214" xr:uid="{432DB84B-B8AD-4020-A60E-C9D561DC5CEF}"/>
    <cellStyle name="40% - Accent4 4 2 3 2 2 5" xfId="29335" xr:uid="{9B780CF2-F8F5-404B-9DE6-02A3C08B02D1}"/>
    <cellStyle name="40% - Accent4 4 2 3 2 3" xfId="7236" xr:uid="{00000000-0005-0000-0000-000011430000}"/>
    <cellStyle name="40% - Accent4 4 2 3 2 3 2" xfId="15207" xr:uid="{00000000-0005-0000-0000-000012430000}"/>
    <cellStyle name="40% - Accent4 4 2 3 2 3 2 2" xfId="39049" xr:uid="{80F18427-E7CD-42E2-863D-33D34CFB6852}"/>
    <cellStyle name="40% - Accent4 4 2 3 2 3 3" xfId="23154" xr:uid="{00000000-0005-0000-0000-000013430000}"/>
    <cellStyle name="40% - Accent4 4 2 3 2 3 3 2" xfId="46986" xr:uid="{67CB5910-B6D6-4BB3-A2F2-4C65C21A327C}"/>
    <cellStyle name="40% - Accent4 4 2 3 2 3 4" xfId="31108" xr:uid="{F1788394-D3E9-4A26-89D3-4D14F38BE006}"/>
    <cellStyle name="40% - Accent4 4 2 3 2 4" xfId="11671" xr:uid="{00000000-0005-0000-0000-000014430000}"/>
    <cellStyle name="40% - Accent4 4 2 3 2 4 2" xfId="35520" xr:uid="{530B6867-A34E-4763-AE1F-39203AB1E887}"/>
    <cellStyle name="40% - Accent4 4 2 3 2 5" xfId="19626" xr:uid="{00000000-0005-0000-0000-000015430000}"/>
    <cellStyle name="40% - Accent4 4 2 3 2 5 2" xfId="43458" xr:uid="{3E31BCD5-9BE8-4E4F-AF04-502F1919999A}"/>
    <cellStyle name="40% - Accent4 4 2 3 2 6" xfId="27578" xr:uid="{B2B18174-E387-45F3-802E-A9CCAC9448EE}"/>
    <cellStyle name="40% - Accent4 4 2 3 2_Exh G" xfId="3119" xr:uid="{00000000-0005-0000-0000-000016430000}"/>
    <cellStyle name="40% - Accent4 4 2 3 3" xfId="4525" xr:uid="{00000000-0005-0000-0000-000017430000}"/>
    <cellStyle name="40% - Accent4 4 2 3 3 2" xfId="8117" xr:uid="{00000000-0005-0000-0000-000018430000}"/>
    <cellStyle name="40% - Accent4 4 2 3 3 2 2" xfId="16087" xr:uid="{00000000-0005-0000-0000-000019430000}"/>
    <cellStyle name="40% - Accent4 4 2 3 3 2 2 2" xfId="39929" xr:uid="{ED9B34F4-E6AA-4B7C-8D5E-80018C4E3847}"/>
    <cellStyle name="40% - Accent4 4 2 3 3 2 3" xfId="24033" xr:uid="{00000000-0005-0000-0000-00001A430000}"/>
    <cellStyle name="40% - Accent4 4 2 3 3 2 3 2" xfId="47865" xr:uid="{BB3B07B5-CAF3-407A-8943-BF0B05D0522F}"/>
    <cellStyle name="40% - Accent4 4 2 3 3 2 4" xfId="31988" xr:uid="{94A7BCF2-2AB6-4BD8-A302-C8C141ACAD65}"/>
    <cellStyle name="40% - Accent4 4 2 3 3 3" xfId="12549" xr:uid="{00000000-0005-0000-0000-00001B430000}"/>
    <cellStyle name="40% - Accent4 4 2 3 3 3 2" xfId="36398" xr:uid="{9AB7A869-0166-4081-AE7E-FB54D280CCF1}"/>
    <cellStyle name="40% - Accent4 4 2 3 3 4" xfId="20504" xr:uid="{00000000-0005-0000-0000-00001C430000}"/>
    <cellStyle name="40% - Accent4 4 2 3 3 4 2" xfId="44336" xr:uid="{0CEF0139-5E97-4EA4-8778-858122A4BCFC}"/>
    <cellStyle name="40% - Accent4 4 2 3 3 5" xfId="28457" xr:uid="{7697D3E2-EFA9-4DF8-8433-C361522EAAA1}"/>
    <cellStyle name="40% - Accent4 4 2 3 4" xfId="6355" xr:uid="{00000000-0005-0000-0000-00001D430000}"/>
    <cellStyle name="40% - Accent4 4 2 3 4 2" xfId="14329" xr:uid="{00000000-0005-0000-0000-00001E430000}"/>
    <cellStyle name="40% - Accent4 4 2 3 4 2 2" xfId="38171" xr:uid="{1DE76E4D-3988-4A3C-9956-72BC45AA5B71}"/>
    <cellStyle name="40% - Accent4 4 2 3 4 3" xfId="22276" xr:uid="{00000000-0005-0000-0000-00001F430000}"/>
    <cellStyle name="40% - Accent4 4 2 3 4 3 2" xfId="46108" xr:uid="{6708FF72-1076-475A-80DF-505ABD844BE0}"/>
    <cellStyle name="40% - Accent4 4 2 3 4 4" xfId="30230" xr:uid="{FB709C41-7F3D-42EE-9087-06290E49B212}"/>
    <cellStyle name="40% - Accent4 4 2 3 5" xfId="9897" xr:uid="{00000000-0005-0000-0000-000020430000}"/>
    <cellStyle name="40% - Accent4 4 2 3 5 2" xfId="17855" xr:uid="{00000000-0005-0000-0000-000021430000}"/>
    <cellStyle name="40% - Accent4 4 2 3 5 2 2" xfId="41695" xr:uid="{C72FA11A-1F2B-44CC-9917-EF22ABB7846D}"/>
    <cellStyle name="40% - Accent4 4 2 3 5 3" xfId="25799" xr:uid="{00000000-0005-0000-0000-000022430000}"/>
    <cellStyle name="40% - Accent4 4 2 3 5 3 2" xfId="49631" xr:uid="{1818DA87-340B-4864-9A56-C6FD0EDD8984}"/>
    <cellStyle name="40% - Accent4 4 2 3 5 4" xfId="33754" xr:uid="{EE45810F-72CC-4CDC-949B-AC3B04820A45}"/>
    <cellStyle name="40% - Accent4 4 2 3 6" xfId="10793" xr:uid="{00000000-0005-0000-0000-000023430000}"/>
    <cellStyle name="40% - Accent4 4 2 3 6 2" xfId="34642" xr:uid="{B545CE5E-02EA-4063-B714-D737AB3AACBE}"/>
    <cellStyle name="40% - Accent4 4 2 3 7" xfId="18748" xr:uid="{00000000-0005-0000-0000-000024430000}"/>
    <cellStyle name="40% - Accent4 4 2 3 7 2" xfId="42580" xr:uid="{D979B0F9-7EE8-4326-BFF2-DC5E1C64821B}"/>
    <cellStyle name="40% - Accent4 4 2 3 8" xfId="26700" xr:uid="{A13844D7-41ED-4CC9-B9C5-D9CB808FB05D}"/>
    <cellStyle name="40% - Accent4 4 2 3_Exh G" xfId="3118" xr:uid="{00000000-0005-0000-0000-000025430000}"/>
    <cellStyle name="40% - Accent4 4 2 4" xfId="1535" xr:uid="{00000000-0005-0000-0000-000026430000}"/>
    <cellStyle name="40% - Accent4 4 2 4 2" xfId="5062" xr:uid="{00000000-0005-0000-0000-000027430000}"/>
    <cellStyle name="40% - Accent4 4 2 4 2 2" xfId="8653" xr:uid="{00000000-0005-0000-0000-000028430000}"/>
    <cellStyle name="40% - Accent4 4 2 4 2 2 2" xfId="16623" xr:uid="{00000000-0005-0000-0000-000029430000}"/>
    <cellStyle name="40% - Accent4 4 2 4 2 2 2 2" xfId="40465" xr:uid="{E963F103-100D-461C-AA06-A1581217D798}"/>
    <cellStyle name="40% - Accent4 4 2 4 2 2 3" xfId="24569" xr:uid="{00000000-0005-0000-0000-00002A430000}"/>
    <cellStyle name="40% - Accent4 4 2 4 2 2 3 2" xfId="48401" xr:uid="{ED5F477B-0BE5-4DCF-97BF-3978B0491B52}"/>
    <cellStyle name="40% - Accent4 4 2 4 2 2 4" xfId="32524" xr:uid="{33CA7FED-8709-46E1-B1FA-1D1B05AFA90D}"/>
    <cellStyle name="40% - Accent4 4 2 4 2 3" xfId="13085" xr:uid="{00000000-0005-0000-0000-00002B430000}"/>
    <cellStyle name="40% - Accent4 4 2 4 2 3 2" xfId="36934" xr:uid="{832CA3B0-58A5-4264-BDA6-A1434D6ADE94}"/>
    <cellStyle name="40% - Accent4 4 2 4 2 4" xfId="21040" xr:uid="{00000000-0005-0000-0000-00002C430000}"/>
    <cellStyle name="40% - Accent4 4 2 4 2 4 2" xfId="44872" xr:uid="{128222D9-BFCF-4089-A8C5-859063477A70}"/>
    <cellStyle name="40% - Accent4 4 2 4 2 5" xfId="28993" xr:uid="{C8DA9DCB-76E4-4120-8AF9-F8D1FB6CDF1A}"/>
    <cellStyle name="40% - Accent4 4 2 4 3" xfId="6894" xr:uid="{00000000-0005-0000-0000-00002D430000}"/>
    <cellStyle name="40% - Accent4 4 2 4 3 2" xfId="14865" xr:uid="{00000000-0005-0000-0000-00002E430000}"/>
    <cellStyle name="40% - Accent4 4 2 4 3 2 2" xfId="38707" xr:uid="{066B5290-A610-44C8-A570-D0121401EB0F}"/>
    <cellStyle name="40% - Accent4 4 2 4 3 3" xfId="22812" xr:uid="{00000000-0005-0000-0000-00002F430000}"/>
    <cellStyle name="40% - Accent4 4 2 4 3 3 2" xfId="46644" xr:uid="{15B5C3C2-8A0F-49CA-8D62-75DE4AB95C4F}"/>
    <cellStyle name="40% - Accent4 4 2 4 3 4" xfId="30766" xr:uid="{5A3248EC-A6E9-44D6-B3E7-39AC03B657E6}"/>
    <cellStyle name="40% - Accent4 4 2 4 4" xfId="11329" xr:uid="{00000000-0005-0000-0000-000030430000}"/>
    <cellStyle name="40% - Accent4 4 2 4 4 2" xfId="35178" xr:uid="{952060E3-49B5-4242-8B0F-93068C8622DE}"/>
    <cellStyle name="40% - Accent4 4 2 4 5" xfId="19284" xr:uid="{00000000-0005-0000-0000-000031430000}"/>
    <cellStyle name="40% - Accent4 4 2 4 5 2" xfId="43116" xr:uid="{A7BB438C-0273-4BDC-BF3C-CAE455289927}"/>
    <cellStyle name="40% - Accent4 4 2 4 6" xfId="27236" xr:uid="{945EFB84-33F6-4685-BE39-139655543289}"/>
    <cellStyle name="40% - Accent4 4 2 4_Exh G" xfId="3120" xr:uid="{00000000-0005-0000-0000-000032430000}"/>
    <cellStyle name="40% - Accent4 4 2 5" xfId="4183" xr:uid="{00000000-0005-0000-0000-000033430000}"/>
    <cellStyle name="40% - Accent4 4 2 5 2" xfId="7775" xr:uid="{00000000-0005-0000-0000-000034430000}"/>
    <cellStyle name="40% - Accent4 4 2 5 2 2" xfId="15745" xr:uid="{00000000-0005-0000-0000-000035430000}"/>
    <cellStyle name="40% - Accent4 4 2 5 2 2 2" xfId="39587" xr:uid="{ED92AC35-7F58-4D22-8217-87ACB4608679}"/>
    <cellStyle name="40% - Accent4 4 2 5 2 3" xfId="23691" xr:uid="{00000000-0005-0000-0000-000036430000}"/>
    <cellStyle name="40% - Accent4 4 2 5 2 3 2" xfId="47523" xr:uid="{8E7CA8CD-D4FE-46B5-A049-66E9F3867240}"/>
    <cellStyle name="40% - Accent4 4 2 5 2 4" xfId="31646" xr:uid="{F8954320-BEFC-4A61-AA8C-DF47414970E9}"/>
    <cellStyle name="40% - Accent4 4 2 5 3" xfId="12207" xr:uid="{00000000-0005-0000-0000-000037430000}"/>
    <cellStyle name="40% - Accent4 4 2 5 3 2" xfId="36056" xr:uid="{AE9C55FD-0FF3-4E1D-8892-65254C566A9D}"/>
    <cellStyle name="40% - Accent4 4 2 5 4" xfId="20162" xr:uid="{00000000-0005-0000-0000-000038430000}"/>
    <cellStyle name="40% - Accent4 4 2 5 4 2" xfId="43994" xr:uid="{BF7118AA-4390-4DF0-9142-65F6F5868DDC}"/>
    <cellStyle name="40% - Accent4 4 2 5 5" xfId="28115" xr:uid="{8FACBF6D-23CE-479C-8DFA-523E3774FD3F}"/>
    <cellStyle name="40% - Accent4 4 2 6" xfId="6003" xr:uid="{00000000-0005-0000-0000-000039430000}"/>
    <cellStyle name="40% - Accent4 4 2 6 2" xfId="13986" xr:uid="{00000000-0005-0000-0000-00003A430000}"/>
    <cellStyle name="40% - Accent4 4 2 6 2 2" xfId="37829" xr:uid="{773E736A-67E7-48AB-8FB5-4F22778E339A}"/>
    <cellStyle name="40% - Accent4 4 2 6 3" xfId="21934" xr:uid="{00000000-0005-0000-0000-00003B430000}"/>
    <cellStyle name="40% - Accent4 4 2 6 3 2" xfId="45766" xr:uid="{007C6A6C-9DCB-48D5-B9C9-158054410268}"/>
    <cellStyle name="40% - Accent4 4 2 6 4" xfId="29888" xr:uid="{CCD3C1A7-C127-4F9B-9689-E5D93DE36FC3}"/>
    <cellStyle name="40% - Accent4 4 2 7" xfId="9555" xr:uid="{00000000-0005-0000-0000-00003C430000}"/>
    <cellStyle name="40% - Accent4 4 2 7 2" xfId="17513" xr:uid="{00000000-0005-0000-0000-00003D430000}"/>
    <cellStyle name="40% - Accent4 4 2 7 2 2" xfId="41353" xr:uid="{F0CCE1ED-4EC1-44A4-B3AE-67C77768BE1F}"/>
    <cellStyle name="40% - Accent4 4 2 7 3" xfId="25457" xr:uid="{00000000-0005-0000-0000-00003E430000}"/>
    <cellStyle name="40% - Accent4 4 2 7 3 2" xfId="49289" xr:uid="{49A801B6-40D2-4497-A3D5-C56289449DED}"/>
    <cellStyle name="40% - Accent4 4 2 7 4" xfId="33412" xr:uid="{898C76D2-AE0B-4BE5-9029-C994F2DE920A}"/>
    <cellStyle name="40% - Accent4 4 2 8" xfId="10451" xr:uid="{00000000-0005-0000-0000-00003F430000}"/>
    <cellStyle name="40% - Accent4 4 2 8 2" xfId="34300" xr:uid="{3B9E4D37-C7A7-465B-BD45-4896EED40509}"/>
    <cellStyle name="40% - Accent4 4 2 9" xfId="18406" xr:uid="{00000000-0005-0000-0000-000040430000}"/>
    <cellStyle name="40% - Accent4 4 2 9 2" xfId="42238" xr:uid="{28DEAE5D-21B4-45C4-87F0-57623EB333EB}"/>
    <cellStyle name="40% - Accent4 4 2_Exh G" xfId="3115" xr:uid="{00000000-0005-0000-0000-000041430000}"/>
    <cellStyle name="40% - Accent4 4 3" xfId="511" xr:uid="{00000000-0005-0000-0000-000042430000}"/>
    <cellStyle name="40% - Accent4 4 3 2" xfId="1537" xr:uid="{00000000-0005-0000-0000-000043430000}"/>
    <cellStyle name="40% - Accent4 4 3 2 2" xfId="5064" xr:uid="{00000000-0005-0000-0000-000044430000}"/>
    <cellStyle name="40% - Accent4 4 3 2 2 2" xfId="8655" xr:uid="{00000000-0005-0000-0000-000045430000}"/>
    <cellStyle name="40% - Accent4 4 3 2 2 2 2" xfId="16625" xr:uid="{00000000-0005-0000-0000-000046430000}"/>
    <cellStyle name="40% - Accent4 4 3 2 2 2 2 2" xfId="40467" xr:uid="{073A4BCC-6BC2-4226-A2E1-E5DC8AC23553}"/>
    <cellStyle name="40% - Accent4 4 3 2 2 2 3" xfId="24571" xr:uid="{00000000-0005-0000-0000-000047430000}"/>
    <cellStyle name="40% - Accent4 4 3 2 2 2 3 2" xfId="48403" xr:uid="{BC337507-8E9A-4107-AF87-303838D788EC}"/>
    <cellStyle name="40% - Accent4 4 3 2 2 2 4" xfId="32526" xr:uid="{40C160F6-3C51-49EF-AE06-3E118631C9E2}"/>
    <cellStyle name="40% - Accent4 4 3 2 2 3" xfId="13087" xr:uid="{00000000-0005-0000-0000-000048430000}"/>
    <cellStyle name="40% - Accent4 4 3 2 2 3 2" xfId="36936" xr:uid="{A30A20A3-0873-4B3E-8177-9C9960737FF1}"/>
    <cellStyle name="40% - Accent4 4 3 2 2 4" xfId="21042" xr:uid="{00000000-0005-0000-0000-000049430000}"/>
    <cellStyle name="40% - Accent4 4 3 2 2 4 2" xfId="44874" xr:uid="{CA897CB4-CA63-47C2-90A1-394945A4BC25}"/>
    <cellStyle name="40% - Accent4 4 3 2 2 5" xfId="28995" xr:uid="{3BC96E24-AA07-4202-B5DF-9EA69FFCC17D}"/>
    <cellStyle name="40% - Accent4 4 3 2 3" xfId="6896" xr:uid="{00000000-0005-0000-0000-00004A430000}"/>
    <cellStyle name="40% - Accent4 4 3 2 3 2" xfId="14867" xr:uid="{00000000-0005-0000-0000-00004B430000}"/>
    <cellStyle name="40% - Accent4 4 3 2 3 2 2" xfId="38709" xr:uid="{FC0F7E60-181B-4D46-86F4-514015C45714}"/>
    <cellStyle name="40% - Accent4 4 3 2 3 3" xfId="22814" xr:uid="{00000000-0005-0000-0000-00004C430000}"/>
    <cellStyle name="40% - Accent4 4 3 2 3 3 2" xfId="46646" xr:uid="{17BB96B7-E5DA-4661-B29A-1B69328FDFC4}"/>
    <cellStyle name="40% - Accent4 4 3 2 3 4" xfId="30768" xr:uid="{E55E812A-A369-4419-B9AD-E0F05DF03092}"/>
    <cellStyle name="40% - Accent4 4 3 2 4" xfId="11331" xr:uid="{00000000-0005-0000-0000-00004D430000}"/>
    <cellStyle name="40% - Accent4 4 3 2 4 2" xfId="35180" xr:uid="{B0B954E9-F7AD-4BF5-AB73-2CE5A40AA066}"/>
    <cellStyle name="40% - Accent4 4 3 2 5" xfId="19286" xr:uid="{00000000-0005-0000-0000-00004E430000}"/>
    <cellStyle name="40% - Accent4 4 3 2 5 2" xfId="43118" xr:uid="{1B1256D7-B13F-4736-A98A-0DEFE1CE9483}"/>
    <cellStyle name="40% - Accent4 4 3 2 6" xfId="27238" xr:uid="{36E5E701-7C61-480C-A60E-DF877B9977DF}"/>
    <cellStyle name="40% - Accent4 4 3 2_Exh G" xfId="3122" xr:uid="{00000000-0005-0000-0000-00004F430000}"/>
    <cellStyle name="40% - Accent4 4 3 3" xfId="4185" xr:uid="{00000000-0005-0000-0000-000050430000}"/>
    <cellStyle name="40% - Accent4 4 3 3 2" xfId="7777" xr:uid="{00000000-0005-0000-0000-000051430000}"/>
    <cellStyle name="40% - Accent4 4 3 3 2 2" xfId="15747" xr:uid="{00000000-0005-0000-0000-000052430000}"/>
    <cellStyle name="40% - Accent4 4 3 3 2 2 2" xfId="39589" xr:uid="{036D19CD-1CBA-4842-8C13-9EE1C34DFB62}"/>
    <cellStyle name="40% - Accent4 4 3 3 2 3" xfId="23693" xr:uid="{00000000-0005-0000-0000-000053430000}"/>
    <cellStyle name="40% - Accent4 4 3 3 2 3 2" xfId="47525" xr:uid="{AC71452B-C4F1-49F0-AD23-728255E5BDE3}"/>
    <cellStyle name="40% - Accent4 4 3 3 2 4" xfId="31648" xr:uid="{ED47B456-19CD-4022-9E39-5EE6AE058792}"/>
    <cellStyle name="40% - Accent4 4 3 3 3" xfId="12209" xr:uid="{00000000-0005-0000-0000-000054430000}"/>
    <cellStyle name="40% - Accent4 4 3 3 3 2" xfId="36058" xr:uid="{3901452D-3933-4A4E-A07C-AD6AE0DCEDB1}"/>
    <cellStyle name="40% - Accent4 4 3 3 4" xfId="20164" xr:uid="{00000000-0005-0000-0000-000055430000}"/>
    <cellStyle name="40% - Accent4 4 3 3 4 2" xfId="43996" xr:uid="{D0A20728-B7F2-41FD-90CE-5094BC391DDE}"/>
    <cellStyle name="40% - Accent4 4 3 3 5" xfId="28117" xr:uid="{1194464D-8FF0-48B4-9C62-072610CC36D9}"/>
    <cellStyle name="40% - Accent4 4 3 4" xfId="6005" xr:uid="{00000000-0005-0000-0000-000056430000}"/>
    <cellStyle name="40% - Accent4 4 3 4 2" xfId="13988" xr:uid="{00000000-0005-0000-0000-000057430000}"/>
    <cellStyle name="40% - Accent4 4 3 4 2 2" xfId="37831" xr:uid="{CC790D92-A27F-4953-80CD-A415F415E793}"/>
    <cellStyle name="40% - Accent4 4 3 4 3" xfId="21936" xr:uid="{00000000-0005-0000-0000-000058430000}"/>
    <cellStyle name="40% - Accent4 4 3 4 3 2" xfId="45768" xr:uid="{BFE4B4EC-7C99-4907-A1AC-8E974FEF88F1}"/>
    <cellStyle name="40% - Accent4 4 3 4 4" xfId="29890" xr:uid="{FE41C395-DE11-4539-9517-BF688FD39B6A}"/>
    <cellStyle name="40% - Accent4 4 3 5" xfId="9557" xr:uid="{00000000-0005-0000-0000-000059430000}"/>
    <cellStyle name="40% - Accent4 4 3 5 2" xfId="17515" xr:uid="{00000000-0005-0000-0000-00005A430000}"/>
    <cellStyle name="40% - Accent4 4 3 5 2 2" xfId="41355" xr:uid="{DCA53B72-6D7F-49A8-AA9E-37A60D26755D}"/>
    <cellStyle name="40% - Accent4 4 3 5 3" xfId="25459" xr:uid="{00000000-0005-0000-0000-00005B430000}"/>
    <cellStyle name="40% - Accent4 4 3 5 3 2" xfId="49291" xr:uid="{56DE96D6-ACCB-4E34-BC3B-00533F235A00}"/>
    <cellStyle name="40% - Accent4 4 3 5 4" xfId="33414" xr:uid="{F2E373DD-C77A-48FC-BE64-D56D1748A2AB}"/>
    <cellStyle name="40% - Accent4 4 3 6" xfId="10453" xr:uid="{00000000-0005-0000-0000-00005C430000}"/>
    <cellStyle name="40% - Accent4 4 3 6 2" xfId="34302" xr:uid="{A3672DC4-37C3-4E89-8865-E0C4A5230DCC}"/>
    <cellStyle name="40% - Accent4 4 3 7" xfId="18408" xr:uid="{00000000-0005-0000-0000-00005D430000}"/>
    <cellStyle name="40% - Accent4 4 3 7 2" xfId="42240" xr:uid="{F2B44DE8-C8CF-4856-9774-8D4E83508C58}"/>
    <cellStyle name="40% - Accent4 4 3 8" xfId="26360" xr:uid="{6D236BAA-C7DB-40E9-8A20-A4B0FF05FEF7}"/>
    <cellStyle name="40% - Accent4 4 3_Exh G" xfId="3121" xr:uid="{00000000-0005-0000-0000-00005E430000}"/>
    <cellStyle name="40% - Accent4 4 4" xfId="972" xr:uid="{00000000-0005-0000-0000-00005F430000}"/>
    <cellStyle name="40% - Accent4 4 4 2" xfId="1886" xr:uid="{00000000-0005-0000-0000-000060430000}"/>
    <cellStyle name="40% - Accent4 4 4 2 2" xfId="5403" xr:uid="{00000000-0005-0000-0000-000061430000}"/>
    <cellStyle name="40% - Accent4 4 4 2 2 2" xfId="8994" xr:uid="{00000000-0005-0000-0000-000062430000}"/>
    <cellStyle name="40% - Accent4 4 4 2 2 2 2" xfId="16964" xr:uid="{00000000-0005-0000-0000-000063430000}"/>
    <cellStyle name="40% - Accent4 4 4 2 2 2 2 2" xfId="40806" xr:uid="{F87E5F92-11E4-4EF3-995F-73F739C88579}"/>
    <cellStyle name="40% - Accent4 4 4 2 2 2 3" xfId="24910" xr:uid="{00000000-0005-0000-0000-000064430000}"/>
    <cellStyle name="40% - Accent4 4 4 2 2 2 3 2" xfId="48742" xr:uid="{09EAAD9B-5A73-48AA-B33B-96EF2D321AF7}"/>
    <cellStyle name="40% - Accent4 4 4 2 2 2 4" xfId="32865" xr:uid="{F52B4E9C-9587-4456-9CE4-CECEE3281DFC}"/>
    <cellStyle name="40% - Accent4 4 4 2 2 3" xfId="13426" xr:uid="{00000000-0005-0000-0000-000065430000}"/>
    <cellStyle name="40% - Accent4 4 4 2 2 3 2" xfId="37275" xr:uid="{7164CC7A-A62A-4557-B3A6-5702960F7DFF}"/>
    <cellStyle name="40% - Accent4 4 4 2 2 4" xfId="21381" xr:uid="{00000000-0005-0000-0000-000066430000}"/>
    <cellStyle name="40% - Accent4 4 4 2 2 4 2" xfId="45213" xr:uid="{DA7DAD9A-6832-4A9E-9074-AF6151EDBFF4}"/>
    <cellStyle name="40% - Accent4 4 4 2 2 5" xfId="29334" xr:uid="{5D5FC4EC-0DD8-475D-8DC5-DCE888EEF3C3}"/>
    <cellStyle name="40% - Accent4 4 4 2 3" xfId="7235" xr:uid="{00000000-0005-0000-0000-000067430000}"/>
    <cellStyle name="40% - Accent4 4 4 2 3 2" xfId="15206" xr:uid="{00000000-0005-0000-0000-000068430000}"/>
    <cellStyle name="40% - Accent4 4 4 2 3 2 2" xfId="39048" xr:uid="{5E26AE9D-FA48-40F0-9862-A7B5FDF8530F}"/>
    <cellStyle name="40% - Accent4 4 4 2 3 3" xfId="23153" xr:uid="{00000000-0005-0000-0000-000069430000}"/>
    <cellStyle name="40% - Accent4 4 4 2 3 3 2" xfId="46985" xr:uid="{37344C04-3602-43AE-985E-C6DC21D8C6F5}"/>
    <cellStyle name="40% - Accent4 4 4 2 3 4" xfId="31107" xr:uid="{5A302D48-B212-4BA9-8111-9BAAB99841B7}"/>
    <cellStyle name="40% - Accent4 4 4 2 4" xfId="11670" xr:uid="{00000000-0005-0000-0000-00006A430000}"/>
    <cellStyle name="40% - Accent4 4 4 2 4 2" xfId="35519" xr:uid="{9E2FDB0E-256A-42C3-999D-A85DDFDE6E9A}"/>
    <cellStyle name="40% - Accent4 4 4 2 5" xfId="19625" xr:uid="{00000000-0005-0000-0000-00006B430000}"/>
    <cellStyle name="40% - Accent4 4 4 2 5 2" xfId="43457" xr:uid="{7B411342-F410-4AD8-A597-3888AEA340BD}"/>
    <cellStyle name="40% - Accent4 4 4 2 6" xfId="27577" xr:uid="{615E07E1-239C-4899-9A0F-3BAAE64FD725}"/>
    <cellStyle name="40% - Accent4 4 4 2_Exh G" xfId="3124" xr:uid="{00000000-0005-0000-0000-00006C430000}"/>
    <cellStyle name="40% - Accent4 4 4 3" xfId="4524" xr:uid="{00000000-0005-0000-0000-00006D430000}"/>
    <cellStyle name="40% - Accent4 4 4 3 2" xfId="8116" xr:uid="{00000000-0005-0000-0000-00006E430000}"/>
    <cellStyle name="40% - Accent4 4 4 3 2 2" xfId="16086" xr:uid="{00000000-0005-0000-0000-00006F430000}"/>
    <cellStyle name="40% - Accent4 4 4 3 2 2 2" xfId="39928" xr:uid="{974C7BFE-98E8-4EE7-892C-E38330046E4D}"/>
    <cellStyle name="40% - Accent4 4 4 3 2 3" xfId="24032" xr:uid="{00000000-0005-0000-0000-000070430000}"/>
    <cellStyle name="40% - Accent4 4 4 3 2 3 2" xfId="47864" xr:uid="{17C1D3FA-04D4-4BB9-8DEE-3552F58B75F4}"/>
    <cellStyle name="40% - Accent4 4 4 3 2 4" xfId="31987" xr:uid="{02651627-76BE-4F00-90A1-C33463840E3D}"/>
    <cellStyle name="40% - Accent4 4 4 3 3" xfId="12548" xr:uid="{00000000-0005-0000-0000-000071430000}"/>
    <cellStyle name="40% - Accent4 4 4 3 3 2" xfId="36397" xr:uid="{52398E97-5D37-42CE-9E6B-E587798C125B}"/>
    <cellStyle name="40% - Accent4 4 4 3 4" xfId="20503" xr:uid="{00000000-0005-0000-0000-000072430000}"/>
    <cellStyle name="40% - Accent4 4 4 3 4 2" xfId="44335" xr:uid="{18B1F2DE-D0E3-4748-B115-439CA32441C0}"/>
    <cellStyle name="40% - Accent4 4 4 3 5" xfId="28456" xr:uid="{85520F26-EAF6-49F2-92EA-1A1ED095E387}"/>
    <cellStyle name="40% - Accent4 4 4 4" xfId="6354" xr:uid="{00000000-0005-0000-0000-000073430000}"/>
    <cellStyle name="40% - Accent4 4 4 4 2" xfId="14328" xr:uid="{00000000-0005-0000-0000-000074430000}"/>
    <cellStyle name="40% - Accent4 4 4 4 2 2" xfId="38170" xr:uid="{CDC227E3-8DF5-456C-9560-625199BA5BC2}"/>
    <cellStyle name="40% - Accent4 4 4 4 3" xfId="22275" xr:uid="{00000000-0005-0000-0000-000075430000}"/>
    <cellStyle name="40% - Accent4 4 4 4 3 2" xfId="46107" xr:uid="{04790122-33F7-41DD-9C94-E8F355DF5C8D}"/>
    <cellStyle name="40% - Accent4 4 4 4 4" xfId="30229" xr:uid="{CBCA3F3D-EFA0-41AB-A148-4F4859207A26}"/>
    <cellStyle name="40% - Accent4 4 4 5" xfId="9896" xr:uid="{00000000-0005-0000-0000-000076430000}"/>
    <cellStyle name="40% - Accent4 4 4 5 2" xfId="17854" xr:uid="{00000000-0005-0000-0000-000077430000}"/>
    <cellStyle name="40% - Accent4 4 4 5 2 2" xfId="41694" xr:uid="{B5072B4E-BAC3-4759-860B-B75014AAC3C7}"/>
    <cellStyle name="40% - Accent4 4 4 5 3" xfId="25798" xr:uid="{00000000-0005-0000-0000-000078430000}"/>
    <cellStyle name="40% - Accent4 4 4 5 3 2" xfId="49630" xr:uid="{C7579C3F-D791-454F-8A24-42A2C9AD5BCF}"/>
    <cellStyle name="40% - Accent4 4 4 5 4" xfId="33753" xr:uid="{599C771A-BB94-4669-963B-24B5E26C7A69}"/>
    <cellStyle name="40% - Accent4 4 4 6" xfId="10792" xr:uid="{00000000-0005-0000-0000-000079430000}"/>
    <cellStyle name="40% - Accent4 4 4 6 2" xfId="34641" xr:uid="{ADA26ABE-5160-4F48-B557-F3B784745CE9}"/>
    <cellStyle name="40% - Accent4 4 4 7" xfId="18747" xr:uid="{00000000-0005-0000-0000-00007A430000}"/>
    <cellStyle name="40% - Accent4 4 4 7 2" xfId="42579" xr:uid="{715A35C1-10BF-4D6C-909A-ECEA7546D05A}"/>
    <cellStyle name="40% - Accent4 4 4 8" xfId="26699" xr:uid="{C24C1827-34DC-4445-A112-E1661FBC0BC6}"/>
    <cellStyle name="40% - Accent4 4 4_Exh G" xfId="3123" xr:uid="{00000000-0005-0000-0000-00007B430000}"/>
    <cellStyle name="40% - Accent4 4 5" xfId="1534" xr:uid="{00000000-0005-0000-0000-00007C430000}"/>
    <cellStyle name="40% - Accent4 4 5 2" xfId="5061" xr:uid="{00000000-0005-0000-0000-00007D430000}"/>
    <cellStyle name="40% - Accent4 4 5 2 2" xfId="8652" xr:uid="{00000000-0005-0000-0000-00007E430000}"/>
    <cellStyle name="40% - Accent4 4 5 2 2 2" xfId="16622" xr:uid="{00000000-0005-0000-0000-00007F430000}"/>
    <cellStyle name="40% - Accent4 4 5 2 2 2 2" xfId="40464" xr:uid="{59732075-9E01-4C02-89EC-A347C4A1D1C9}"/>
    <cellStyle name="40% - Accent4 4 5 2 2 3" xfId="24568" xr:uid="{00000000-0005-0000-0000-000080430000}"/>
    <cellStyle name="40% - Accent4 4 5 2 2 3 2" xfId="48400" xr:uid="{D6EEC58A-BB43-4B0C-A452-4258B2D8BA7F}"/>
    <cellStyle name="40% - Accent4 4 5 2 2 4" xfId="32523" xr:uid="{660648D5-2FA9-4ED5-9D32-0C5C6D68CF38}"/>
    <cellStyle name="40% - Accent4 4 5 2 3" xfId="13084" xr:uid="{00000000-0005-0000-0000-000081430000}"/>
    <cellStyle name="40% - Accent4 4 5 2 3 2" xfId="36933" xr:uid="{9F2A256A-7711-45D6-8329-CB529A1D25AF}"/>
    <cellStyle name="40% - Accent4 4 5 2 4" xfId="21039" xr:uid="{00000000-0005-0000-0000-000082430000}"/>
    <cellStyle name="40% - Accent4 4 5 2 4 2" xfId="44871" xr:uid="{DDBD42A3-3F26-4ADE-BC74-46EFB7024CB8}"/>
    <cellStyle name="40% - Accent4 4 5 2 5" xfId="28992" xr:uid="{D49A2D43-FBC1-43CA-87F6-1C75D5CBC3A6}"/>
    <cellStyle name="40% - Accent4 4 5 3" xfId="6893" xr:uid="{00000000-0005-0000-0000-000083430000}"/>
    <cellStyle name="40% - Accent4 4 5 3 2" xfId="14864" xr:uid="{00000000-0005-0000-0000-000084430000}"/>
    <cellStyle name="40% - Accent4 4 5 3 2 2" xfId="38706" xr:uid="{8B6EDCFB-0E5F-4628-8A31-7F4CDE7C3E35}"/>
    <cellStyle name="40% - Accent4 4 5 3 3" xfId="22811" xr:uid="{00000000-0005-0000-0000-000085430000}"/>
    <cellStyle name="40% - Accent4 4 5 3 3 2" xfId="46643" xr:uid="{4DA78600-DCEC-47E7-9CF0-AEE910AE30FB}"/>
    <cellStyle name="40% - Accent4 4 5 3 4" xfId="30765" xr:uid="{8B08A570-3EA0-47BF-B39D-B8547DEF65CB}"/>
    <cellStyle name="40% - Accent4 4 5 4" xfId="11328" xr:uid="{00000000-0005-0000-0000-000086430000}"/>
    <cellStyle name="40% - Accent4 4 5 4 2" xfId="35177" xr:uid="{24152146-A8D7-4297-9915-13B305E2FCB6}"/>
    <cellStyle name="40% - Accent4 4 5 5" xfId="19283" xr:uid="{00000000-0005-0000-0000-000087430000}"/>
    <cellStyle name="40% - Accent4 4 5 5 2" xfId="43115" xr:uid="{FC9840C4-F8DC-4DEE-928B-80535E78E8A1}"/>
    <cellStyle name="40% - Accent4 4 5 6" xfId="27235" xr:uid="{69D2340B-06DF-4204-9A9A-F4B3CB1E9A76}"/>
    <cellStyle name="40% - Accent4 4 5_Exh G" xfId="3125" xr:uid="{00000000-0005-0000-0000-000088430000}"/>
    <cellStyle name="40% - Accent4 4 6" xfId="4182" xr:uid="{00000000-0005-0000-0000-000089430000}"/>
    <cellStyle name="40% - Accent4 4 6 2" xfId="7774" xr:uid="{00000000-0005-0000-0000-00008A430000}"/>
    <cellStyle name="40% - Accent4 4 6 2 2" xfId="15744" xr:uid="{00000000-0005-0000-0000-00008B430000}"/>
    <cellStyle name="40% - Accent4 4 6 2 2 2" xfId="39586" xr:uid="{FF199829-BEC7-418D-8682-335636A639A2}"/>
    <cellStyle name="40% - Accent4 4 6 2 3" xfId="23690" xr:uid="{00000000-0005-0000-0000-00008C430000}"/>
    <cellStyle name="40% - Accent4 4 6 2 3 2" xfId="47522" xr:uid="{EFB5BAEA-61F9-4328-9A4A-96646802DD5B}"/>
    <cellStyle name="40% - Accent4 4 6 2 4" xfId="31645" xr:uid="{7FB0B6E2-44A0-4D04-8013-249A8071ADE9}"/>
    <cellStyle name="40% - Accent4 4 6 3" xfId="12206" xr:uid="{00000000-0005-0000-0000-00008D430000}"/>
    <cellStyle name="40% - Accent4 4 6 3 2" xfId="36055" xr:uid="{5A0C2591-CA36-4CF2-90D0-86C560E3A83A}"/>
    <cellStyle name="40% - Accent4 4 6 4" xfId="20161" xr:uid="{00000000-0005-0000-0000-00008E430000}"/>
    <cellStyle name="40% - Accent4 4 6 4 2" xfId="43993" xr:uid="{B2F5D345-E78B-40EB-94B3-1D266944305B}"/>
    <cellStyle name="40% - Accent4 4 6 5" xfId="28114" xr:uid="{4B43F683-5B91-4987-9998-7F4D49422889}"/>
    <cellStyle name="40% - Accent4 4 7" xfId="6002" xr:uid="{00000000-0005-0000-0000-00008F430000}"/>
    <cellStyle name="40% - Accent4 4 7 2" xfId="13985" xr:uid="{00000000-0005-0000-0000-000090430000}"/>
    <cellStyle name="40% - Accent4 4 7 2 2" xfId="37828" xr:uid="{BE895380-E86D-4C60-B979-395B6F8E5471}"/>
    <cellStyle name="40% - Accent4 4 7 3" xfId="21933" xr:uid="{00000000-0005-0000-0000-000091430000}"/>
    <cellStyle name="40% - Accent4 4 7 3 2" xfId="45765" xr:uid="{09BFA047-E13A-4B00-B4A2-EF69B1B40E7B}"/>
    <cellStyle name="40% - Accent4 4 7 4" xfId="29887" xr:uid="{79CBAEC0-D3F6-4CA3-94E2-DFB3C2EC1BF4}"/>
    <cellStyle name="40% - Accent4 4 8" xfId="9554" xr:uid="{00000000-0005-0000-0000-000092430000}"/>
    <cellStyle name="40% - Accent4 4 8 2" xfId="17512" xr:uid="{00000000-0005-0000-0000-000093430000}"/>
    <cellStyle name="40% - Accent4 4 8 2 2" xfId="41352" xr:uid="{531F5B57-163D-4229-89FA-F859CE4525F5}"/>
    <cellStyle name="40% - Accent4 4 8 3" xfId="25456" xr:uid="{00000000-0005-0000-0000-000094430000}"/>
    <cellStyle name="40% - Accent4 4 8 3 2" xfId="49288" xr:uid="{A2E6666D-B3AB-4959-A6C7-A3065801F4C5}"/>
    <cellStyle name="40% - Accent4 4 8 4" xfId="33411" xr:uid="{FC20C28A-8B6E-482F-B72C-C60D2F5B02C7}"/>
    <cellStyle name="40% - Accent4 4 9" xfId="10450" xr:uid="{00000000-0005-0000-0000-000095430000}"/>
    <cellStyle name="40% - Accent4 4 9 2" xfId="34299" xr:uid="{A68FDC22-01C1-4519-9A08-56D40095BF2A}"/>
    <cellStyle name="40% - Accent4 4_Exh G" xfId="3114" xr:uid="{00000000-0005-0000-0000-000096430000}"/>
    <cellStyle name="40% - Accent4 5" xfId="512" xr:uid="{00000000-0005-0000-0000-000097430000}"/>
    <cellStyle name="40% - Accent4 5 10" xfId="18409" xr:uid="{00000000-0005-0000-0000-000098430000}"/>
    <cellStyle name="40% - Accent4 5 10 2" xfId="42241" xr:uid="{51D00649-327F-4BB3-9F38-F0F764FF1424}"/>
    <cellStyle name="40% - Accent4 5 11" xfId="26361" xr:uid="{A6A8CC89-9B4A-4AD6-AF37-825A6BA8D3FE}"/>
    <cellStyle name="40% - Accent4 5 2" xfId="513" xr:uid="{00000000-0005-0000-0000-000099430000}"/>
    <cellStyle name="40% - Accent4 5 2 2" xfId="514" xr:uid="{00000000-0005-0000-0000-00009A430000}"/>
    <cellStyle name="40% - Accent4 5 2 2 2" xfId="1540" xr:uid="{00000000-0005-0000-0000-00009B430000}"/>
    <cellStyle name="40% - Accent4 5 2 2 2 2" xfId="5067" xr:uid="{00000000-0005-0000-0000-00009C430000}"/>
    <cellStyle name="40% - Accent4 5 2 2 2 2 2" xfId="8658" xr:uid="{00000000-0005-0000-0000-00009D430000}"/>
    <cellStyle name="40% - Accent4 5 2 2 2 2 2 2" xfId="16628" xr:uid="{00000000-0005-0000-0000-00009E430000}"/>
    <cellStyle name="40% - Accent4 5 2 2 2 2 2 2 2" xfId="40470" xr:uid="{6F9ABDF6-96D0-485B-96D9-FD90F44E7E51}"/>
    <cellStyle name="40% - Accent4 5 2 2 2 2 2 3" xfId="24574" xr:uid="{00000000-0005-0000-0000-00009F430000}"/>
    <cellStyle name="40% - Accent4 5 2 2 2 2 2 3 2" xfId="48406" xr:uid="{5EF5D02F-8301-4262-9DC9-B60F3879236A}"/>
    <cellStyle name="40% - Accent4 5 2 2 2 2 2 4" xfId="32529" xr:uid="{357B8DE0-593B-4036-B74D-5579C389CDF1}"/>
    <cellStyle name="40% - Accent4 5 2 2 2 2 3" xfId="13090" xr:uid="{00000000-0005-0000-0000-0000A0430000}"/>
    <cellStyle name="40% - Accent4 5 2 2 2 2 3 2" xfId="36939" xr:uid="{7EB3022A-ECE0-4059-8CE9-909EC93F49A3}"/>
    <cellStyle name="40% - Accent4 5 2 2 2 2 4" xfId="21045" xr:uid="{00000000-0005-0000-0000-0000A1430000}"/>
    <cellStyle name="40% - Accent4 5 2 2 2 2 4 2" xfId="44877" xr:uid="{57596FD9-72EB-4D1C-B974-2F9E1B07C3A9}"/>
    <cellStyle name="40% - Accent4 5 2 2 2 2 5" xfId="28998" xr:uid="{30B3D384-A13A-4AD6-A0CC-BE84037D32F7}"/>
    <cellStyle name="40% - Accent4 5 2 2 2 3" xfId="6899" xr:uid="{00000000-0005-0000-0000-0000A2430000}"/>
    <cellStyle name="40% - Accent4 5 2 2 2 3 2" xfId="14870" xr:uid="{00000000-0005-0000-0000-0000A3430000}"/>
    <cellStyle name="40% - Accent4 5 2 2 2 3 2 2" xfId="38712" xr:uid="{43727A52-1C35-4C6B-95D7-13BF9BC63723}"/>
    <cellStyle name="40% - Accent4 5 2 2 2 3 3" xfId="22817" xr:uid="{00000000-0005-0000-0000-0000A4430000}"/>
    <cellStyle name="40% - Accent4 5 2 2 2 3 3 2" xfId="46649" xr:uid="{8E1819E7-FCA6-41A1-A33C-70D8C736D95E}"/>
    <cellStyle name="40% - Accent4 5 2 2 2 3 4" xfId="30771" xr:uid="{0DBED7DE-773D-430A-858C-301A1F2FCE4E}"/>
    <cellStyle name="40% - Accent4 5 2 2 2 4" xfId="11334" xr:uid="{00000000-0005-0000-0000-0000A5430000}"/>
    <cellStyle name="40% - Accent4 5 2 2 2 4 2" xfId="35183" xr:uid="{A0C88A35-89D8-4E3F-BD46-06945B18155D}"/>
    <cellStyle name="40% - Accent4 5 2 2 2 5" xfId="19289" xr:uid="{00000000-0005-0000-0000-0000A6430000}"/>
    <cellStyle name="40% - Accent4 5 2 2 2 5 2" xfId="43121" xr:uid="{1BE36FA3-4D12-47DC-B3DB-E9ACEE5941D5}"/>
    <cellStyle name="40% - Accent4 5 2 2 2 6" xfId="27241" xr:uid="{4194EEC7-5C51-4C14-9AD5-C42942B8653A}"/>
    <cellStyle name="40% - Accent4 5 2 2 2_Exh G" xfId="3129" xr:uid="{00000000-0005-0000-0000-0000A7430000}"/>
    <cellStyle name="40% - Accent4 5 2 2 3" xfId="4188" xr:uid="{00000000-0005-0000-0000-0000A8430000}"/>
    <cellStyle name="40% - Accent4 5 2 2 3 2" xfId="7780" xr:uid="{00000000-0005-0000-0000-0000A9430000}"/>
    <cellStyle name="40% - Accent4 5 2 2 3 2 2" xfId="15750" xr:uid="{00000000-0005-0000-0000-0000AA430000}"/>
    <cellStyle name="40% - Accent4 5 2 2 3 2 2 2" xfId="39592" xr:uid="{1387D85E-CFEF-4CAE-93C4-22882311AEBE}"/>
    <cellStyle name="40% - Accent4 5 2 2 3 2 3" xfId="23696" xr:uid="{00000000-0005-0000-0000-0000AB430000}"/>
    <cellStyle name="40% - Accent4 5 2 2 3 2 3 2" xfId="47528" xr:uid="{4235C8A7-1DC5-47CF-8302-57713F18C6C5}"/>
    <cellStyle name="40% - Accent4 5 2 2 3 2 4" xfId="31651" xr:uid="{4B294F42-1ADA-4C38-8ABF-DF9A47BD20D8}"/>
    <cellStyle name="40% - Accent4 5 2 2 3 3" xfId="12212" xr:uid="{00000000-0005-0000-0000-0000AC430000}"/>
    <cellStyle name="40% - Accent4 5 2 2 3 3 2" xfId="36061" xr:uid="{DDC77752-5AC1-48B1-B5A6-DD1CF523D0C3}"/>
    <cellStyle name="40% - Accent4 5 2 2 3 4" xfId="20167" xr:uid="{00000000-0005-0000-0000-0000AD430000}"/>
    <cellStyle name="40% - Accent4 5 2 2 3 4 2" xfId="43999" xr:uid="{1F332F48-D31B-428B-A6D5-E4287BE275EF}"/>
    <cellStyle name="40% - Accent4 5 2 2 3 5" xfId="28120" xr:uid="{671EFA2B-A44E-4B34-BDFB-A0CCD28ACE34}"/>
    <cellStyle name="40% - Accent4 5 2 2 4" xfId="6008" xr:uid="{00000000-0005-0000-0000-0000AE430000}"/>
    <cellStyle name="40% - Accent4 5 2 2 4 2" xfId="13991" xr:uid="{00000000-0005-0000-0000-0000AF430000}"/>
    <cellStyle name="40% - Accent4 5 2 2 4 2 2" xfId="37834" xr:uid="{86F3A11A-5688-4699-8EB3-210847E594F8}"/>
    <cellStyle name="40% - Accent4 5 2 2 4 3" xfId="21939" xr:uid="{00000000-0005-0000-0000-0000B0430000}"/>
    <cellStyle name="40% - Accent4 5 2 2 4 3 2" xfId="45771" xr:uid="{960DF57C-EEF5-488B-9AC5-5B69E80C8B49}"/>
    <cellStyle name="40% - Accent4 5 2 2 4 4" xfId="29893" xr:uid="{1DF9F97E-81F8-44E1-BDB5-3BE2EBD6F8CC}"/>
    <cellStyle name="40% - Accent4 5 2 2 5" xfId="9560" xr:uid="{00000000-0005-0000-0000-0000B1430000}"/>
    <cellStyle name="40% - Accent4 5 2 2 5 2" xfId="17518" xr:uid="{00000000-0005-0000-0000-0000B2430000}"/>
    <cellStyle name="40% - Accent4 5 2 2 5 2 2" xfId="41358" xr:uid="{0652AD67-7D74-43E3-8345-4811F323D033}"/>
    <cellStyle name="40% - Accent4 5 2 2 5 3" xfId="25462" xr:uid="{00000000-0005-0000-0000-0000B3430000}"/>
    <cellStyle name="40% - Accent4 5 2 2 5 3 2" xfId="49294" xr:uid="{0F57F259-50D4-45BB-8741-35E888AF2604}"/>
    <cellStyle name="40% - Accent4 5 2 2 5 4" xfId="33417" xr:uid="{2200C0A8-724E-47F8-8578-0C69526B8BFE}"/>
    <cellStyle name="40% - Accent4 5 2 2 6" xfId="10456" xr:uid="{00000000-0005-0000-0000-0000B4430000}"/>
    <cellStyle name="40% - Accent4 5 2 2 6 2" xfId="34305" xr:uid="{95EED8F2-6ACA-40D7-911C-A26D4BCAB477}"/>
    <cellStyle name="40% - Accent4 5 2 2 7" xfId="18411" xr:uid="{00000000-0005-0000-0000-0000B5430000}"/>
    <cellStyle name="40% - Accent4 5 2 2 7 2" xfId="42243" xr:uid="{09346E9F-60B8-4146-899B-54350401D814}"/>
    <cellStyle name="40% - Accent4 5 2 2 8" xfId="26363" xr:uid="{2359A658-5EA8-456E-87F6-EC7D838AC595}"/>
    <cellStyle name="40% - Accent4 5 2 2_Exh G" xfId="3128" xr:uid="{00000000-0005-0000-0000-0000B6430000}"/>
    <cellStyle name="40% - Accent4 5 2 3" xfId="1539" xr:uid="{00000000-0005-0000-0000-0000B7430000}"/>
    <cellStyle name="40% - Accent4 5 2 3 2" xfId="5066" xr:uid="{00000000-0005-0000-0000-0000B8430000}"/>
    <cellStyle name="40% - Accent4 5 2 3 2 2" xfId="8657" xr:uid="{00000000-0005-0000-0000-0000B9430000}"/>
    <cellStyle name="40% - Accent4 5 2 3 2 2 2" xfId="16627" xr:uid="{00000000-0005-0000-0000-0000BA430000}"/>
    <cellStyle name="40% - Accent4 5 2 3 2 2 2 2" xfId="40469" xr:uid="{366C0484-7AD0-41AD-8896-AABF8659B403}"/>
    <cellStyle name="40% - Accent4 5 2 3 2 2 3" xfId="24573" xr:uid="{00000000-0005-0000-0000-0000BB430000}"/>
    <cellStyle name="40% - Accent4 5 2 3 2 2 3 2" xfId="48405" xr:uid="{B81948E0-0430-41EB-80C0-1060F787C388}"/>
    <cellStyle name="40% - Accent4 5 2 3 2 2 4" xfId="32528" xr:uid="{26A9E966-652C-473A-80A5-B1B4A8827F54}"/>
    <cellStyle name="40% - Accent4 5 2 3 2 3" xfId="13089" xr:uid="{00000000-0005-0000-0000-0000BC430000}"/>
    <cellStyle name="40% - Accent4 5 2 3 2 3 2" xfId="36938" xr:uid="{7DA4C76F-AE3F-4E0F-8655-4F89F6BCEE69}"/>
    <cellStyle name="40% - Accent4 5 2 3 2 4" xfId="21044" xr:uid="{00000000-0005-0000-0000-0000BD430000}"/>
    <cellStyle name="40% - Accent4 5 2 3 2 4 2" xfId="44876" xr:uid="{87FC1A2D-EE5D-4097-8C5E-0019D64F59D2}"/>
    <cellStyle name="40% - Accent4 5 2 3 2 5" xfId="28997" xr:uid="{F736DA2D-84BB-4AA8-A42E-74A874DEF544}"/>
    <cellStyle name="40% - Accent4 5 2 3 3" xfId="6898" xr:uid="{00000000-0005-0000-0000-0000BE430000}"/>
    <cellStyle name="40% - Accent4 5 2 3 3 2" xfId="14869" xr:uid="{00000000-0005-0000-0000-0000BF430000}"/>
    <cellStyle name="40% - Accent4 5 2 3 3 2 2" xfId="38711" xr:uid="{2D7B43B5-EAB9-4655-B764-812F49E46188}"/>
    <cellStyle name="40% - Accent4 5 2 3 3 3" xfId="22816" xr:uid="{00000000-0005-0000-0000-0000C0430000}"/>
    <cellStyle name="40% - Accent4 5 2 3 3 3 2" xfId="46648" xr:uid="{A000AAFA-30FB-46C0-B619-7ECBACF4167C}"/>
    <cellStyle name="40% - Accent4 5 2 3 3 4" xfId="30770" xr:uid="{E6F0ABDC-B5AD-4CE9-AA02-E7F3751027F3}"/>
    <cellStyle name="40% - Accent4 5 2 3 4" xfId="11333" xr:uid="{00000000-0005-0000-0000-0000C1430000}"/>
    <cellStyle name="40% - Accent4 5 2 3 4 2" xfId="35182" xr:uid="{5F701DA5-F05E-4BD2-B078-CCE595BEE870}"/>
    <cellStyle name="40% - Accent4 5 2 3 5" xfId="19288" xr:uid="{00000000-0005-0000-0000-0000C2430000}"/>
    <cellStyle name="40% - Accent4 5 2 3 5 2" xfId="43120" xr:uid="{11C0E031-C2B8-47EC-85D6-323B06D9EC87}"/>
    <cellStyle name="40% - Accent4 5 2 3 6" xfId="27240" xr:uid="{2B75F477-B372-4BA2-9A4D-99047010E8DA}"/>
    <cellStyle name="40% - Accent4 5 2 3_Exh G" xfId="3130" xr:uid="{00000000-0005-0000-0000-0000C3430000}"/>
    <cellStyle name="40% - Accent4 5 2 4" xfId="4187" xr:uid="{00000000-0005-0000-0000-0000C4430000}"/>
    <cellStyle name="40% - Accent4 5 2 4 2" xfId="7779" xr:uid="{00000000-0005-0000-0000-0000C5430000}"/>
    <cellStyle name="40% - Accent4 5 2 4 2 2" xfId="15749" xr:uid="{00000000-0005-0000-0000-0000C6430000}"/>
    <cellStyle name="40% - Accent4 5 2 4 2 2 2" xfId="39591" xr:uid="{D99DB429-6E8F-4F76-9A9A-D159CE645FD4}"/>
    <cellStyle name="40% - Accent4 5 2 4 2 3" xfId="23695" xr:uid="{00000000-0005-0000-0000-0000C7430000}"/>
    <cellStyle name="40% - Accent4 5 2 4 2 3 2" xfId="47527" xr:uid="{BF205A9F-4C8E-4505-88E6-042E046737FA}"/>
    <cellStyle name="40% - Accent4 5 2 4 2 4" xfId="31650" xr:uid="{7EE452ED-89D1-4363-9E0F-3C1CACCD91B2}"/>
    <cellStyle name="40% - Accent4 5 2 4 3" xfId="12211" xr:uid="{00000000-0005-0000-0000-0000C8430000}"/>
    <cellStyle name="40% - Accent4 5 2 4 3 2" xfId="36060" xr:uid="{7CFBDB1D-0588-46EC-BF17-7482A39188B9}"/>
    <cellStyle name="40% - Accent4 5 2 4 4" xfId="20166" xr:uid="{00000000-0005-0000-0000-0000C9430000}"/>
    <cellStyle name="40% - Accent4 5 2 4 4 2" xfId="43998" xr:uid="{42C2D527-BE20-4B21-8406-B4608E4C8BCD}"/>
    <cellStyle name="40% - Accent4 5 2 4 5" xfId="28119" xr:uid="{12E32CC6-D015-4955-948D-6FF406EAA7E0}"/>
    <cellStyle name="40% - Accent4 5 2 5" xfId="6007" xr:uid="{00000000-0005-0000-0000-0000CA430000}"/>
    <cellStyle name="40% - Accent4 5 2 5 2" xfId="13990" xr:uid="{00000000-0005-0000-0000-0000CB430000}"/>
    <cellStyle name="40% - Accent4 5 2 5 2 2" xfId="37833" xr:uid="{1733AA71-F2B4-40AB-9FF7-BD09F1C19F94}"/>
    <cellStyle name="40% - Accent4 5 2 5 3" xfId="21938" xr:uid="{00000000-0005-0000-0000-0000CC430000}"/>
    <cellStyle name="40% - Accent4 5 2 5 3 2" xfId="45770" xr:uid="{68B02DB7-1733-4CC5-96E2-E0EAD2AD4F16}"/>
    <cellStyle name="40% - Accent4 5 2 5 4" xfId="29892" xr:uid="{9E469063-6829-496A-A68C-D336BC4C5369}"/>
    <cellStyle name="40% - Accent4 5 2 6" xfId="9559" xr:uid="{00000000-0005-0000-0000-0000CD430000}"/>
    <cellStyle name="40% - Accent4 5 2 6 2" xfId="17517" xr:uid="{00000000-0005-0000-0000-0000CE430000}"/>
    <cellStyle name="40% - Accent4 5 2 6 2 2" xfId="41357" xr:uid="{4CDFA218-8402-42A8-B575-77CB580D14A5}"/>
    <cellStyle name="40% - Accent4 5 2 6 3" xfId="25461" xr:uid="{00000000-0005-0000-0000-0000CF430000}"/>
    <cellStyle name="40% - Accent4 5 2 6 3 2" xfId="49293" xr:uid="{8D18BBAD-C4C6-401C-8C50-5BFF7EFE4E66}"/>
    <cellStyle name="40% - Accent4 5 2 6 4" xfId="33416" xr:uid="{B275E251-CF04-4C94-A502-E257A99C6901}"/>
    <cellStyle name="40% - Accent4 5 2 7" xfId="10455" xr:uid="{00000000-0005-0000-0000-0000D0430000}"/>
    <cellStyle name="40% - Accent4 5 2 7 2" xfId="34304" xr:uid="{2417F9CF-4B76-46A6-BC16-016CC3FF94D2}"/>
    <cellStyle name="40% - Accent4 5 2 8" xfId="18410" xr:uid="{00000000-0005-0000-0000-0000D1430000}"/>
    <cellStyle name="40% - Accent4 5 2 8 2" xfId="42242" xr:uid="{4026BCF2-C958-40BE-8CF1-BF3FACB2D20E}"/>
    <cellStyle name="40% - Accent4 5 2 9" xfId="26362" xr:uid="{F7F6495A-028E-4D49-8C4E-7A4674048A10}"/>
    <cellStyle name="40% - Accent4 5 2_Exh G" xfId="3127" xr:uid="{00000000-0005-0000-0000-0000D2430000}"/>
    <cellStyle name="40% - Accent4 5 3" xfId="515" xr:uid="{00000000-0005-0000-0000-0000D3430000}"/>
    <cellStyle name="40% - Accent4 5 3 2" xfId="1541" xr:uid="{00000000-0005-0000-0000-0000D4430000}"/>
    <cellStyle name="40% - Accent4 5 3 2 2" xfId="5068" xr:uid="{00000000-0005-0000-0000-0000D5430000}"/>
    <cellStyle name="40% - Accent4 5 3 2 2 2" xfId="8659" xr:uid="{00000000-0005-0000-0000-0000D6430000}"/>
    <cellStyle name="40% - Accent4 5 3 2 2 2 2" xfId="16629" xr:uid="{00000000-0005-0000-0000-0000D7430000}"/>
    <cellStyle name="40% - Accent4 5 3 2 2 2 2 2" xfId="40471" xr:uid="{016AD8A3-D28B-41D6-8F47-2C96767A7F10}"/>
    <cellStyle name="40% - Accent4 5 3 2 2 2 3" xfId="24575" xr:uid="{00000000-0005-0000-0000-0000D8430000}"/>
    <cellStyle name="40% - Accent4 5 3 2 2 2 3 2" xfId="48407" xr:uid="{B3AC8E0B-FDC8-47F3-892F-20D4AF7F6E46}"/>
    <cellStyle name="40% - Accent4 5 3 2 2 2 4" xfId="32530" xr:uid="{9548C680-9B17-4E18-A88E-E60302F32034}"/>
    <cellStyle name="40% - Accent4 5 3 2 2 3" xfId="13091" xr:uid="{00000000-0005-0000-0000-0000D9430000}"/>
    <cellStyle name="40% - Accent4 5 3 2 2 3 2" xfId="36940" xr:uid="{6B91F2CC-6EC8-493F-935E-748F499BCBCC}"/>
    <cellStyle name="40% - Accent4 5 3 2 2 4" xfId="21046" xr:uid="{00000000-0005-0000-0000-0000DA430000}"/>
    <cellStyle name="40% - Accent4 5 3 2 2 4 2" xfId="44878" xr:uid="{138D1A57-6F45-49D3-ABE4-B6440666EBE5}"/>
    <cellStyle name="40% - Accent4 5 3 2 2 5" xfId="28999" xr:uid="{7CC5EFA9-CE3B-43B9-A8DD-9C670E52E62C}"/>
    <cellStyle name="40% - Accent4 5 3 2 3" xfId="6900" xr:uid="{00000000-0005-0000-0000-0000DB430000}"/>
    <cellStyle name="40% - Accent4 5 3 2 3 2" xfId="14871" xr:uid="{00000000-0005-0000-0000-0000DC430000}"/>
    <cellStyle name="40% - Accent4 5 3 2 3 2 2" xfId="38713" xr:uid="{DD307113-F336-4334-A0FA-2DBAA56D1A9D}"/>
    <cellStyle name="40% - Accent4 5 3 2 3 3" xfId="22818" xr:uid="{00000000-0005-0000-0000-0000DD430000}"/>
    <cellStyle name="40% - Accent4 5 3 2 3 3 2" xfId="46650" xr:uid="{C1F4D3B0-7748-4CB8-A24B-3A26792EB85B}"/>
    <cellStyle name="40% - Accent4 5 3 2 3 4" xfId="30772" xr:uid="{AD24DB93-A281-4DC4-A2A8-59CB25E6B9E6}"/>
    <cellStyle name="40% - Accent4 5 3 2 4" xfId="11335" xr:uid="{00000000-0005-0000-0000-0000DE430000}"/>
    <cellStyle name="40% - Accent4 5 3 2 4 2" xfId="35184" xr:uid="{14F8A69D-45E0-4B57-BEA0-F23E5944B2D4}"/>
    <cellStyle name="40% - Accent4 5 3 2 5" xfId="19290" xr:uid="{00000000-0005-0000-0000-0000DF430000}"/>
    <cellStyle name="40% - Accent4 5 3 2 5 2" xfId="43122" xr:uid="{8108251F-F119-413F-B8D1-71238D1FE923}"/>
    <cellStyle name="40% - Accent4 5 3 2 6" xfId="27242" xr:uid="{95F3FA36-6506-4A55-877F-C5CD1B2529D3}"/>
    <cellStyle name="40% - Accent4 5 3 2_Exh G" xfId="3132" xr:uid="{00000000-0005-0000-0000-0000E0430000}"/>
    <cellStyle name="40% - Accent4 5 3 3" xfId="4189" xr:uid="{00000000-0005-0000-0000-0000E1430000}"/>
    <cellStyle name="40% - Accent4 5 3 3 2" xfId="7781" xr:uid="{00000000-0005-0000-0000-0000E2430000}"/>
    <cellStyle name="40% - Accent4 5 3 3 2 2" xfId="15751" xr:uid="{00000000-0005-0000-0000-0000E3430000}"/>
    <cellStyle name="40% - Accent4 5 3 3 2 2 2" xfId="39593" xr:uid="{C2BE2395-72E8-4E5B-A691-AFE08422119F}"/>
    <cellStyle name="40% - Accent4 5 3 3 2 3" xfId="23697" xr:uid="{00000000-0005-0000-0000-0000E4430000}"/>
    <cellStyle name="40% - Accent4 5 3 3 2 3 2" xfId="47529" xr:uid="{7B33B3C4-F6C3-415B-8D67-E41AD174EDEC}"/>
    <cellStyle name="40% - Accent4 5 3 3 2 4" xfId="31652" xr:uid="{B5A3D209-E1C9-4ADC-8C4A-A44471DE505A}"/>
    <cellStyle name="40% - Accent4 5 3 3 3" xfId="12213" xr:uid="{00000000-0005-0000-0000-0000E5430000}"/>
    <cellStyle name="40% - Accent4 5 3 3 3 2" xfId="36062" xr:uid="{32E3F9B4-554E-4566-8FCD-C43181639881}"/>
    <cellStyle name="40% - Accent4 5 3 3 4" xfId="20168" xr:uid="{00000000-0005-0000-0000-0000E6430000}"/>
    <cellStyle name="40% - Accent4 5 3 3 4 2" xfId="44000" xr:uid="{BC7034D1-321C-4B29-B962-F478C5B68121}"/>
    <cellStyle name="40% - Accent4 5 3 3 5" xfId="28121" xr:uid="{446F288A-73C8-4202-B8FE-A07A69907953}"/>
    <cellStyle name="40% - Accent4 5 3 4" xfId="6009" xr:uid="{00000000-0005-0000-0000-0000E7430000}"/>
    <cellStyle name="40% - Accent4 5 3 4 2" xfId="13992" xr:uid="{00000000-0005-0000-0000-0000E8430000}"/>
    <cellStyle name="40% - Accent4 5 3 4 2 2" xfId="37835" xr:uid="{C23ABD26-3420-44FA-AD83-A74986BBF623}"/>
    <cellStyle name="40% - Accent4 5 3 4 3" xfId="21940" xr:uid="{00000000-0005-0000-0000-0000E9430000}"/>
    <cellStyle name="40% - Accent4 5 3 4 3 2" xfId="45772" xr:uid="{2DE10990-247C-46B7-B690-92C0715B6F2E}"/>
    <cellStyle name="40% - Accent4 5 3 4 4" xfId="29894" xr:uid="{976B1C17-6881-40B5-B343-E88C453AD149}"/>
    <cellStyle name="40% - Accent4 5 3 5" xfId="9561" xr:uid="{00000000-0005-0000-0000-0000EA430000}"/>
    <cellStyle name="40% - Accent4 5 3 5 2" xfId="17519" xr:uid="{00000000-0005-0000-0000-0000EB430000}"/>
    <cellStyle name="40% - Accent4 5 3 5 2 2" xfId="41359" xr:uid="{41B3CA5D-8BC4-4252-8780-3501D3A21F8D}"/>
    <cellStyle name="40% - Accent4 5 3 5 3" xfId="25463" xr:uid="{00000000-0005-0000-0000-0000EC430000}"/>
    <cellStyle name="40% - Accent4 5 3 5 3 2" xfId="49295" xr:uid="{FBDC073E-BE45-4AED-BD86-A4058C6E5223}"/>
    <cellStyle name="40% - Accent4 5 3 5 4" xfId="33418" xr:uid="{13B9F04C-DBC5-486E-883B-D5FAB47F7185}"/>
    <cellStyle name="40% - Accent4 5 3 6" xfId="10457" xr:uid="{00000000-0005-0000-0000-0000ED430000}"/>
    <cellStyle name="40% - Accent4 5 3 6 2" xfId="34306" xr:uid="{5CA07A1B-4150-4AFB-B0A5-CC9CD151CE40}"/>
    <cellStyle name="40% - Accent4 5 3 7" xfId="18412" xr:uid="{00000000-0005-0000-0000-0000EE430000}"/>
    <cellStyle name="40% - Accent4 5 3 7 2" xfId="42244" xr:uid="{A52079A5-B731-46CE-9EE6-3A03C195C096}"/>
    <cellStyle name="40% - Accent4 5 3 8" xfId="26364" xr:uid="{52EFC276-2834-4800-BA2D-5719F0E5D5B8}"/>
    <cellStyle name="40% - Accent4 5 3_Exh G" xfId="3131" xr:uid="{00000000-0005-0000-0000-0000EF430000}"/>
    <cellStyle name="40% - Accent4 5 4" xfId="974" xr:uid="{00000000-0005-0000-0000-0000F0430000}"/>
    <cellStyle name="40% - Accent4 5 5" xfId="1538" xr:uid="{00000000-0005-0000-0000-0000F1430000}"/>
    <cellStyle name="40% - Accent4 5 5 2" xfId="5065" xr:uid="{00000000-0005-0000-0000-0000F2430000}"/>
    <cellStyle name="40% - Accent4 5 5 2 2" xfId="8656" xr:uid="{00000000-0005-0000-0000-0000F3430000}"/>
    <cellStyle name="40% - Accent4 5 5 2 2 2" xfId="16626" xr:uid="{00000000-0005-0000-0000-0000F4430000}"/>
    <cellStyle name="40% - Accent4 5 5 2 2 2 2" xfId="40468" xr:uid="{D739D11D-3E58-46E2-8D4A-D4386DC03D17}"/>
    <cellStyle name="40% - Accent4 5 5 2 2 3" xfId="24572" xr:uid="{00000000-0005-0000-0000-0000F5430000}"/>
    <cellStyle name="40% - Accent4 5 5 2 2 3 2" xfId="48404" xr:uid="{A6B1A34F-155F-4230-A426-8B8E8AECE176}"/>
    <cellStyle name="40% - Accent4 5 5 2 2 4" xfId="32527" xr:uid="{C4C0C5F5-99BD-467F-ABE6-FEE486DD3C76}"/>
    <cellStyle name="40% - Accent4 5 5 2 3" xfId="13088" xr:uid="{00000000-0005-0000-0000-0000F6430000}"/>
    <cellStyle name="40% - Accent4 5 5 2 3 2" xfId="36937" xr:uid="{49D4B5CF-23DA-4136-BF82-021089A57981}"/>
    <cellStyle name="40% - Accent4 5 5 2 4" xfId="21043" xr:uid="{00000000-0005-0000-0000-0000F7430000}"/>
    <cellStyle name="40% - Accent4 5 5 2 4 2" xfId="44875" xr:uid="{750A29DB-D666-4C95-A705-F48C2510A235}"/>
    <cellStyle name="40% - Accent4 5 5 2 5" xfId="28996" xr:uid="{748F9732-796C-4632-9D48-D2F644AFE32C}"/>
    <cellStyle name="40% - Accent4 5 5 3" xfId="6897" xr:uid="{00000000-0005-0000-0000-0000F8430000}"/>
    <cellStyle name="40% - Accent4 5 5 3 2" xfId="14868" xr:uid="{00000000-0005-0000-0000-0000F9430000}"/>
    <cellStyle name="40% - Accent4 5 5 3 2 2" xfId="38710" xr:uid="{C93A1728-5528-4B03-8E64-899E6536CD0F}"/>
    <cellStyle name="40% - Accent4 5 5 3 3" xfId="22815" xr:uid="{00000000-0005-0000-0000-0000FA430000}"/>
    <cellStyle name="40% - Accent4 5 5 3 3 2" xfId="46647" xr:uid="{D82AC054-22AC-46AB-8E0C-455ADFFE263E}"/>
    <cellStyle name="40% - Accent4 5 5 3 4" xfId="30769" xr:uid="{7AA26CBC-CCC1-4529-A3D9-78ACCB984EA9}"/>
    <cellStyle name="40% - Accent4 5 5 4" xfId="11332" xr:uid="{00000000-0005-0000-0000-0000FB430000}"/>
    <cellStyle name="40% - Accent4 5 5 4 2" xfId="35181" xr:uid="{8C628DF8-5976-41CE-AAE7-DEE8C5C2E617}"/>
    <cellStyle name="40% - Accent4 5 5 5" xfId="19287" xr:uid="{00000000-0005-0000-0000-0000FC430000}"/>
    <cellStyle name="40% - Accent4 5 5 5 2" xfId="43119" xr:uid="{D8E671A6-9E95-45D8-9D95-4C853AE9AB5F}"/>
    <cellStyle name="40% - Accent4 5 5 6" xfId="27239" xr:uid="{57CA02EB-61B7-4364-97DA-DFC45003BF6F}"/>
    <cellStyle name="40% - Accent4 5 5_Exh G" xfId="3133" xr:uid="{00000000-0005-0000-0000-0000FD430000}"/>
    <cellStyle name="40% - Accent4 5 6" xfId="4186" xr:uid="{00000000-0005-0000-0000-0000FE430000}"/>
    <cellStyle name="40% - Accent4 5 6 2" xfId="7778" xr:uid="{00000000-0005-0000-0000-0000FF430000}"/>
    <cellStyle name="40% - Accent4 5 6 2 2" xfId="15748" xr:uid="{00000000-0005-0000-0000-000000440000}"/>
    <cellStyle name="40% - Accent4 5 6 2 2 2" xfId="39590" xr:uid="{64163782-DBA3-4E5E-9F49-AD81565064BB}"/>
    <cellStyle name="40% - Accent4 5 6 2 3" xfId="23694" xr:uid="{00000000-0005-0000-0000-000001440000}"/>
    <cellStyle name="40% - Accent4 5 6 2 3 2" xfId="47526" xr:uid="{F311DF7A-F4DB-46D8-BE33-D9D91B117BA5}"/>
    <cellStyle name="40% - Accent4 5 6 2 4" xfId="31649" xr:uid="{96CEA652-354D-4F6E-9774-75E07B34DEB8}"/>
    <cellStyle name="40% - Accent4 5 6 3" xfId="12210" xr:uid="{00000000-0005-0000-0000-000002440000}"/>
    <cellStyle name="40% - Accent4 5 6 3 2" xfId="36059" xr:uid="{6B47EB5C-72DF-45D4-A6F1-04D37C0D1705}"/>
    <cellStyle name="40% - Accent4 5 6 4" xfId="20165" xr:uid="{00000000-0005-0000-0000-000003440000}"/>
    <cellStyle name="40% - Accent4 5 6 4 2" xfId="43997" xr:uid="{FCCF9856-6347-488B-B572-E5EEF97E8C7E}"/>
    <cellStyle name="40% - Accent4 5 6 5" xfId="28118" xr:uid="{FD13C5D7-03BB-411D-A2DE-D9C4E627ED1D}"/>
    <cellStyle name="40% - Accent4 5 7" xfId="6006" xr:uid="{00000000-0005-0000-0000-000004440000}"/>
    <cellStyle name="40% - Accent4 5 7 2" xfId="13989" xr:uid="{00000000-0005-0000-0000-000005440000}"/>
    <cellStyle name="40% - Accent4 5 7 2 2" xfId="37832" xr:uid="{509632C0-1ECC-43FA-BB12-B9BA5ED30E35}"/>
    <cellStyle name="40% - Accent4 5 7 3" xfId="21937" xr:uid="{00000000-0005-0000-0000-000006440000}"/>
    <cellStyle name="40% - Accent4 5 7 3 2" xfId="45769" xr:uid="{9425075A-1390-40A3-B8B3-9085933AE1F8}"/>
    <cellStyle name="40% - Accent4 5 7 4" xfId="29891" xr:uid="{4B8560B0-25F5-4CB9-BE72-744E193A6CE1}"/>
    <cellStyle name="40% - Accent4 5 8" xfId="9558" xr:uid="{00000000-0005-0000-0000-000007440000}"/>
    <cellStyle name="40% - Accent4 5 8 2" xfId="17516" xr:uid="{00000000-0005-0000-0000-000008440000}"/>
    <cellStyle name="40% - Accent4 5 8 2 2" xfId="41356" xr:uid="{FDF79948-AFC2-4A50-B333-3D720D98C26A}"/>
    <cellStyle name="40% - Accent4 5 8 3" xfId="25460" xr:uid="{00000000-0005-0000-0000-000009440000}"/>
    <cellStyle name="40% - Accent4 5 8 3 2" xfId="49292" xr:uid="{62DDAE1C-9A6B-4B38-8A50-F13DB4640FD4}"/>
    <cellStyle name="40% - Accent4 5 8 4" xfId="33415" xr:uid="{09876AB9-D3DE-4AB6-A543-34CA38CB332E}"/>
    <cellStyle name="40% - Accent4 5 9" xfId="10454" xr:uid="{00000000-0005-0000-0000-00000A440000}"/>
    <cellStyle name="40% - Accent4 5 9 2" xfId="34303" xr:uid="{3D40DC91-EE6E-481D-BE83-138CE9E3C009}"/>
    <cellStyle name="40% - Accent4 5_Exh G" xfId="3126" xr:uid="{00000000-0005-0000-0000-00000B440000}"/>
    <cellStyle name="40% - Accent4 6" xfId="516" xr:uid="{00000000-0005-0000-0000-00000C440000}"/>
    <cellStyle name="40% - Accent4 6 10" xfId="18413" xr:uid="{00000000-0005-0000-0000-00000D440000}"/>
    <cellStyle name="40% - Accent4 6 10 2" xfId="42245" xr:uid="{36896209-307F-41A3-A8D8-37D8D6041F37}"/>
    <cellStyle name="40% - Accent4 6 11" xfId="26365" xr:uid="{F94A08EE-26B3-476F-A26B-5BDD189927DA}"/>
    <cellStyle name="40% - Accent4 6 2" xfId="517" xr:uid="{00000000-0005-0000-0000-00000E440000}"/>
    <cellStyle name="40% - Accent4 6 2 2" xfId="518" xr:uid="{00000000-0005-0000-0000-00000F440000}"/>
    <cellStyle name="40% - Accent4 6 2 2 2" xfId="1544" xr:uid="{00000000-0005-0000-0000-000010440000}"/>
    <cellStyle name="40% - Accent4 6 2 2 2 2" xfId="5071" xr:uid="{00000000-0005-0000-0000-000011440000}"/>
    <cellStyle name="40% - Accent4 6 2 2 2 2 2" xfId="8662" xr:uid="{00000000-0005-0000-0000-000012440000}"/>
    <cellStyle name="40% - Accent4 6 2 2 2 2 2 2" xfId="16632" xr:uid="{00000000-0005-0000-0000-000013440000}"/>
    <cellStyle name="40% - Accent4 6 2 2 2 2 2 2 2" xfId="40474" xr:uid="{335AC1AA-6EC9-45FB-8CC2-55107701D950}"/>
    <cellStyle name="40% - Accent4 6 2 2 2 2 2 3" xfId="24578" xr:uid="{00000000-0005-0000-0000-000014440000}"/>
    <cellStyle name="40% - Accent4 6 2 2 2 2 2 3 2" xfId="48410" xr:uid="{6DD36B7F-53FA-444E-88C8-F5D0D329F81C}"/>
    <cellStyle name="40% - Accent4 6 2 2 2 2 2 4" xfId="32533" xr:uid="{E79C8354-8D6D-4897-8EBB-1DC0484313B5}"/>
    <cellStyle name="40% - Accent4 6 2 2 2 2 3" xfId="13094" xr:uid="{00000000-0005-0000-0000-000015440000}"/>
    <cellStyle name="40% - Accent4 6 2 2 2 2 3 2" xfId="36943" xr:uid="{8694BD90-6428-4ACE-81D4-6E53422269D4}"/>
    <cellStyle name="40% - Accent4 6 2 2 2 2 4" xfId="21049" xr:uid="{00000000-0005-0000-0000-000016440000}"/>
    <cellStyle name="40% - Accent4 6 2 2 2 2 4 2" xfId="44881" xr:uid="{7F658B65-5D94-4AA7-B198-7379537036A1}"/>
    <cellStyle name="40% - Accent4 6 2 2 2 2 5" xfId="29002" xr:uid="{AF4969E2-768F-4671-BB95-9CD6970A24B2}"/>
    <cellStyle name="40% - Accent4 6 2 2 2 3" xfId="6903" xr:uid="{00000000-0005-0000-0000-000017440000}"/>
    <cellStyle name="40% - Accent4 6 2 2 2 3 2" xfId="14874" xr:uid="{00000000-0005-0000-0000-000018440000}"/>
    <cellStyle name="40% - Accent4 6 2 2 2 3 2 2" xfId="38716" xr:uid="{E127F8E3-6053-40E7-93F7-99830FEE5103}"/>
    <cellStyle name="40% - Accent4 6 2 2 2 3 3" xfId="22821" xr:uid="{00000000-0005-0000-0000-000019440000}"/>
    <cellStyle name="40% - Accent4 6 2 2 2 3 3 2" xfId="46653" xr:uid="{D15EF857-9A32-4428-8FE9-B0A87A919C72}"/>
    <cellStyle name="40% - Accent4 6 2 2 2 3 4" xfId="30775" xr:uid="{FDFC0990-4809-4045-AC96-C75E9D724297}"/>
    <cellStyle name="40% - Accent4 6 2 2 2 4" xfId="11338" xr:uid="{00000000-0005-0000-0000-00001A440000}"/>
    <cellStyle name="40% - Accent4 6 2 2 2 4 2" xfId="35187" xr:uid="{5E48E342-3D8F-44F3-9C10-C97671142618}"/>
    <cellStyle name="40% - Accent4 6 2 2 2 5" xfId="19293" xr:uid="{00000000-0005-0000-0000-00001B440000}"/>
    <cellStyle name="40% - Accent4 6 2 2 2 5 2" xfId="43125" xr:uid="{0897C516-C91C-4B1E-88F0-0CCEBE16843B}"/>
    <cellStyle name="40% - Accent4 6 2 2 2 6" xfId="27245" xr:uid="{941A14C8-9D8A-4629-953A-63DCF930D06A}"/>
    <cellStyle name="40% - Accent4 6 2 2 2_Exh G" xfId="3137" xr:uid="{00000000-0005-0000-0000-00001C440000}"/>
    <cellStyle name="40% - Accent4 6 2 2 3" xfId="4192" xr:uid="{00000000-0005-0000-0000-00001D440000}"/>
    <cellStyle name="40% - Accent4 6 2 2 3 2" xfId="7784" xr:uid="{00000000-0005-0000-0000-00001E440000}"/>
    <cellStyle name="40% - Accent4 6 2 2 3 2 2" xfId="15754" xr:uid="{00000000-0005-0000-0000-00001F440000}"/>
    <cellStyle name="40% - Accent4 6 2 2 3 2 2 2" xfId="39596" xr:uid="{26CBD372-0B37-44A6-B2C3-5A6B24E46F22}"/>
    <cellStyle name="40% - Accent4 6 2 2 3 2 3" xfId="23700" xr:uid="{00000000-0005-0000-0000-000020440000}"/>
    <cellStyle name="40% - Accent4 6 2 2 3 2 3 2" xfId="47532" xr:uid="{B1078D16-90FE-46C2-A50C-CC0CC06B7EE8}"/>
    <cellStyle name="40% - Accent4 6 2 2 3 2 4" xfId="31655" xr:uid="{EC80333E-B229-494B-B903-ED8D2224E909}"/>
    <cellStyle name="40% - Accent4 6 2 2 3 3" xfId="12216" xr:uid="{00000000-0005-0000-0000-000021440000}"/>
    <cellStyle name="40% - Accent4 6 2 2 3 3 2" xfId="36065" xr:uid="{F1D37ACA-7212-4A1D-B903-8A4A596A640A}"/>
    <cellStyle name="40% - Accent4 6 2 2 3 4" xfId="20171" xr:uid="{00000000-0005-0000-0000-000022440000}"/>
    <cellStyle name="40% - Accent4 6 2 2 3 4 2" xfId="44003" xr:uid="{CF0C1153-F8D7-4455-8A16-408280430D46}"/>
    <cellStyle name="40% - Accent4 6 2 2 3 5" xfId="28124" xr:uid="{BAAA2BAE-ACF8-4A28-BBD6-CAB2848C932E}"/>
    <cellStyle name="40% - Accent4 6 2 2 4" xfId="6012" xr:uid="{00000000-0005-0000-0000-000023440000}"/>
    <cellStyle name="40% - Accent4 6 2 2 4 2" xfId="13995" xr:uid="{00000000-0005-0000-0000-000024440000}"/>
    <cellStyle name="40% - Accent4 6 2 2 4 2 2" xfId="37838" xr:uid="{8B5FCEB8-C501-47A6-BF68-85EF4FF6ACA1}"/>
    <cellStyle name="40% - Accent4 6 2 2 4 3" xfId="21943" xr:uid="{00000000-0005-0000-0000-000025440000}"/>
    <cellStyle name="40% - Accent4 6 2 2 4 3 2" xfId="45775" xr:uid="{AFD010E5-80C0-4C47-BD27-5DEE565A4993}"/>
    <cellStyle name="40% - Accent4 6 2 2 4 4" xfId="29897" xr:uid="{D27564A0-9853-4A0F-88C1-3B7D01CCD801}"/>
    <cellStyle name="40% - Accent4 6 2 2 5" xfId="9564" xr:uid="{00000000-0005-0000-0000-000026440000}"/>
    <cellStyle name="40% - Accent4 6 2 2 5 2" xfId="17522" xr:uid="{00000000-0005-0000-0000-000027440000}"/>
    <cellStyle name="40% - Accent4 6 2 2 5 2 2" xfId="41362" xr:uid="{F5232822-77E1-4B61-AB18-86C33A04BCFC}"/>
    <cellStyle name="40% - Accent4 6 2 2 5 3" xfId="25466" xr:uid="{00000000-0005-0000-0000-000028440000}"/>
    <cellStyle name="40% - Accent4 6 2 2 5 3 2" xfId="49298" xr:uid="{AA62FB88-F604-470B-9FE4-CFA9F037A718}"/>
    <cellStyle name="40% - Accent4 6 2 2 5 4" xfId="33421" xr:uid="{B934F80C-6CE8-460C-BBE8-196E01522BFB}"/>
    <cellStyle name="40% - Accent4 6 2 2 6" xfId="10460" xr:uid="{00000000-0005-0000-0000-000029440000}"/>
    <cellStyle name="40% - Accent4 6 2 2 6 2" xfId="34309" xr:uid="{71D30F94-20E2-45D4-B969-9BBE8599D3D8}"/>
    <cellStyle name="40% - Accent4 6 2 2 7" xfId="18415" xr:uid="{00000000-0005-0000-0000-00002A440000}"/>
    <cellStyle name="40% - Accent4 6 2 2 7 2" xfId="42247" xr:uid="{8FFF0B0D-BFE9-40B1-AF3A-A679B32462BE}"/>
    <cellStyle name="40% - Accent4 6 2 2 8" xfId="26367" xr:uid="{3627350C-95C5-47DE-B3E5-32002B6AA95A}"/>
    <cellStyle name="40% - Accent4 6 2 2_Exh G" xfId="3136" xr:uid="{00000000-0005-0000-0000-00002B440000}"/>
    <cellStyle name="40% - Accent4 6 2 3" xfId="1543" xr:uid="{00000000-0005-0000-0000-00002C440000}"/>
    <cellStyle name="40% - Accent4 6 2 3 2" xfId="5070" xr:uid="{00000000-0005-0000-0000-00002D440000}"/>
    <cellStyle name="40% - Accent4 6 2 3 2 2" xfId="8661" xr:uid="{00000000-0005-0000-0000-00002E440000}"/>
    <cellStyle name="40% - Accent4 6 2 3 2 2 2" xfId="16631" xr:uid="{00000000-0005-0000-0000-00002F440000}"/>
    <cellStyle name="40% - Accent4 6 2 3 2 2 2 2" xfId="40473" xr:uid="{C81338E3-B386-4D55-8C3F-CFCEC7E9A025}"/>
    <cellStyle name="40% - Accent4 6 2 3 2 2 3" xfId="24577" xr:uid="{00000000-0005-0000-0000-000030440000}"/>
    <cellStyle name="40% - Accent4 6 2 3 2 2 3 2" xfId="48409" xr:uid="{3D2FCCB4-FC42-4DC1-92E7-2390A0BC3835}"/>
    <cellStyle name="40% - Accent4 6 2 3 2 2 4" xfId="32532" xr:uid="{9C65C242-B057-45F9-9834-0D49474E2CFD}"/>
    <cellStyle name="40% - Accent4 6 2 3 2 3" xfId="13093" xr:uid="{00000000-0005-0000-0000-000031440000}"/>
    <cellStyle name="40% - Accent4 6 2 3 2 3 2" xfId="36942" xr:uid="{AE43EF56-F88F-4455-9C75-57BB0DF937EF}"/>
    <cellStyle name="40% - Accent4 6 2 3 2 4" xfId="21048" xr:uid="{00000000-0005-0000-0000-000032440000}"/>
    <cellStyle name="40% - Accent4 6 2 3 2 4 2" xfId="44880" xr:uid="{978B9730-96E6-455A-AE63-3A3930FA275D}"/>
    <cellStyle name="40% - Accent4 6 2 3 2 5" xfId="29001" xr:uid="{BB1FD1AB-5442-4DB5-9D7D-EC96479D5C8F}"/>
    <cellStyle name="40% - Accent4 6 2 3 3" xfId="6902" xr:uid="{00000000-0005-0000-0000-000033440000}"/>
    <cellStyle name="40% - Accent4 6 2 3 3 2" xfId="14873" xr:uid="{00000000-0005-0000-0000-000034440000}"/>
    <cellStyle name="40% - Accent4 6 2 3 3 2 2" xfId="38715" xr:uid="{7ABBD1C9-D754-45DA-B7A0-728131E04237}"/>
    <cellStyle name="40% - Accent4 6 2 3 3 3" xfId="22820" xr:uid="{00000000-0005-0000-0000-000035440000}"/>
    <cellStyle name="40% - Accent4 6 2 3 3 3 2" xfId="46652" xr:uid="{250AB40B-5507-4FB7-A7FE-26E7877C9F9C}"/>
    <cellStyle name="40% - Accent4 6 2 3 3 4" xfId="30774" xr:uid="{4E26E436-0F7E-4379-978C-B41696877040}"/>
    <cellStyle name="40% - Accent4 6 2 3 4" xfId="11337" xr:uid="{00000000-0005-0000-0000-000036440000}"/>
    <cellStyle name="40% - Accent4 6 2 3 4 2" xfId="35186" xr:uid="{976038F2-CBB7-45C7-AA6F-2A008A08B3B2}"/>
    <cellStyle name="40% - Accent4 6 2 3 5" xfId="19292" xr:uid="{00000000-0005-0000-0000-000037440000}"/>
    <cellStyle name="40% - Accent4 6 2 3 5 2" xfId="43124" xr:uid="{D78D4AE6-5AAA-4C0A-8E1A-AA776A4C773F}"/>
    <cellStyle name="40% - Accent4 6 2 3 6" xfId="27244" xr:uid="{D11CBAF3-BF45-4A15-BFD8-680AC3EC414C}"/>
    <cellStyle name="40% - Accent4 6 2 3_Exh G" xfId="3138" xr:uid="{00000000-0005-0000-0000-000038440000}"/>
    <cellStyle name="40% - Accent4 6 2 4" xfId="4191" xr:uid="{00000000-0005-0000-0000-000039440000}"/>
    <cellStyle name="40% - Accent4 6 2 4 2" xfId="7783" xr:uid="{00000000-0005-0000-0000-00003A440000}"/>
    <cellStyle name="40% - Accent4 6 2 4 2 2" xfId="15753" xr:uid="{00000000-0005-0000-0000-00003B440000}"/>
    <cellStyle name="40% - Accent4 6 2 4 2 2 2" xfId="39595" xr:uid="{8E3FA1AF-C2CA-4FD6-B6EF-5A5AE9C920DB}"/>
    <cellStyle name="40% - Accent4 6 2 4 2 3" xfId="23699" xr:uid="{00000000-0005-0000-0000-00003C440000}"/>
    <cellStyle name="40% - Accent4 6 2 4 2 3 2" xfId="47531" xr:uid="{37B65D50-8859-429C-B445-5A0E4D7BCE00}"/>
    <cellStyle name="40% - Accent4 6 2 4 2 4" xfId="31654" xr:uid="{7A0D4C8A-DFAC-4284-9E01-F4CA55910B05}"/>
    <cellStyle name="40% - Accent4 6 2 4 3" xfId="12215" xr:uid="{00000000-0005-0000-0000-00003D440000}"/>
    <cellStyle name="40% - Accent4 6 2 4 3 2" xfId="36064" xr:uid="{E74678AB-C20E-4FF5-B26A-4FA23B88D64D}"/>
    <cellStyle name="40% - Accent4 6 2 4 4" xfId="20170" xr:uid="{00000000-0005-0000-0000-00003E440000}"/>
    <cellStyle name="40% - Accent4 6 2 4 4 2" xfId="44002" xr:uid="{C0F75FF2-57D6-4C23-820A-7467B08B604A}"/>
    <cellStyle name="40% - Accent4 6 2 4 5" xfId="28123" xr:uid="{6FE68E6E-F92D-4E73-8A80-291693B2FE4D}"/>
    <cellStyle name="40% - Accent4 6 2 5" xfId="6011" xr:uid="{00000000-0005-0000-0000-00003F440000}"/>
    <cellStyle name="40% - Accent4 6 2 5 2" xfId="13994" xr:uid="{00000000-0005-0000-0000-000040440000}"/>
    <cellStyle name="40% - Accent4 6 2 5 2 2" xfId="37837" xr:uid="{EA3BE73D-2FD7-46E1-AEB2-A941AFC130C9}"/>
    <cellStyle name="40% - Accent4 6 2 5 3" xfId="21942" xr:uid="{00000000-0005-0000-0000-000041440000}"/>
    <cellStyle name="40% - Accent4 6 2 5 3 2" xfId="45774" xr:uid="{A92B7A11-A827-412D-AAD6-D6AFCC6E4359}"/>
    <cellStyle name="40% - Accent4 6 2 5 4" xfId="29896" xr:uid="{75EA3434-3EA1-477D-A179-3848ECAAAF5F}"/>
    <cellStyle name="40% - Accent4 6 2 6" xfId="9563" xr:uid="{00000000-0005-0000-0000-000042440000}"/>
    <cellStyle name="40% - Accent4 6 2 6 2" xfId="17521" xr:uid="{00000000-0005-0000-0000-000043440000}"/>
    <cellStyle name="40% - Accent4 6 2 6 2 2" xfId="41361" xr:uid="{15A30379-502D-40D4-956D-DD83F1ADF502}"/>
    <cellStyle name="40% - Accent4 6 2 6 3" xfId="25465" xr:uid="{00000000-0005-0000-0000-000044440000}"/>
    <cellStyle name="40% - Accent4 6 2 6 3 2" xfId="49297" xr:uid="{3621FA04-CC3D-46D6-9A7C-A1F2309BD7CE}"/>
    <cellStyle name="40% - Accent4 6 2 6 4" xfId="33420" xr:uid="{5F50FF8A-5320-42B3-8AAA-18AAE1FDCF03}"/>
    <cellStyle name="40% - Accent4 6 2 7" xfId="10459" xr:uid="{00000000-0005-0000-0000-000045440000}"/>
    <cellStyle name="40% - Accent4 6 2 7 2" xfId="34308" xr:uid="{85EFB796-53D8-40FC-BAFC-29A64961F3B5}"/>
    <cellStyle name="40% - Accent4 6 2 8" xfId="18414" xr:uid="{00000000-0005-0000-0000-000046440000}"/>
    <cellStyle name="40% - Accent4 6 2 8 2" xfId="42246" xr:uid="{8D3303B2-6F44-4113-AACD-8BAFC142EC0D}"/>
    <cellStyle name="40% - Accent4 6 2 9" xfId="26366" xr:uid="{91883701-A989-4ADC-8C90-DEDF29E6A884}"/>
    <cellStyle name="40% - Accent4 6 2_Exh G" xfId="3135" xr:uid="{00000000-0005-0000-0000-000047440000}"/>
    <cellStyle name="40% - Accent4 6 3" xfId="519" xr:uid="{00000000-0005-0000-0000-000048440000}"/>
    <cellStyle name="40% - Accent4 6 3 2" xfId="1545" xr:uid="{00000000-0005-0000-0000-000049440000}"/>
    <cellStyle name="40% - Accent4 6 3 2 2" xfId="5072" xr:uid="{00000000-0005-0000-0000-00004A440000}"/>
    <cellStyle name="40% - Accent4 6 3 2 2 2" xfId="8663" xr:uid="{00000000-0005-0000-0000-00004B440000}"/>
    <cellStyle name="40% - Accent4 6 3 2 2 2 2" xfId="16633" xr:uid="{00000000-0005-0000-0000-00004C440000}"/>
    <cellStyle name="40% - Accent4 6 3 2 2 2 2 2" xfId="40475" xr:uid="{3C464F1C-BEFD-4B37-88BD-2D53EE18B46D}"/>
    <cellStyle name="40% - Accent4 6 3 2 2 2 3" xfId="24579" xr:uid="{00000000-0005-0000-0000-00004D440000}"/>
    <cellStyle name="40% - Accent4 6 3 2 2 2 3 2" xfId="48411" xr:uid="{8FCF2804-63BB-4FC7-8DD6-FC116DC0D278}"/>
    <cellStyle name="40% - Accent4 6 3 2 2 2 4" xfId="32534" xr:uid="{D7C7432C-2BDA-4879-8749-E6918D46BEF3}"/>
    <cellStyle name="40% - Accent4 6 3 2 2 3" xfId="13095" xr:uid="{00000000-0005-0000-0000-00004E440000}"/>
    <cellStyle name="40% - Accent4 6 3 2 2 3 2" xfId="36944" xr:uid="{A6937A29-F9C7-447B-9BC7-0BBAC7D0B5F8}"/>
    <cellStyle name="40% - Accent4 6 3 2 2 4" xfId="21050" xr:uid="{00000000-0005-0000-0000-00004F440000}"/>
    <cellStyle name="40% - Accent4 6 3 2 2 4 2" xfId="44882" xr:uid="{9AD0C85A-D017-4E41-B35C-3F8ADE9B7FB2}"/>
    <cellStyle name="40% - Accent4 6 3 2 2 5" xfId="29003" xr:uid="{61BDA20E-7D8F-4C8C-B492-5AA1FAA778E4}"/>
    <cellStyle name="40% - Accent4 6 3 2 3" xfId="6904" xr:uid="{00000000-0005-0000-0000-000050440000}"/>
    <cellStyle name="40% - Accent4 6 3 2 3 2" xfId="14875" xr:uid="{00000000-0005-0000-0000-000051440000}"/>
    <cellStyle name="40% - Accent4 6 3 2 3 2 2" xfId="38717" xr:uid="{91554448-CEEA-4A6F-91AF-08CA68B94F91}"/>
    <cellStyle name="40% - Accent4 6 3 2 3 3" xfId="22822" xr:uid="{00000000-0005-0000-0000-000052440000}"/>
    <cellStyle name="40% - Accent4 6 3 2 3 3 2" xfId="46654" xr:uid="{F6104E2E-9162-4CAC-8B76-648C34C85EF4}"/>
    <cellStyle name="40% - Accent4 6 3 2 3 4" xfId="30776" xr:uid="{F90ED860-61FE-49F3-9CB2-5606E91B4D01}"/>
    <cellStyle name="40% - Accent4 6 3 2 4" xfId="11339" xr:uid="{00000000-0005-0000-0000-000053440000}"/>
    <cellStyle name="40% - Accent4 6 3 2 4 2" xfId="35188" xr:uid="{848DEEBC-11CE-4A38-9CE6-62245642CEE1}"/>
    <cellStyle name="40% - Accent4 6 3 2 5" xfId="19294" xr:uid="{00000000-0005-0000-0000-000054440000}"/>
    <cellStyle name="40% - Accent4 6 3 2 5 2" xfId="43126" xr:uid="{F45C579D-B7BE-4926-B566-70FFA1A894DA}"/>
    <cellStyle name="40% - Accent4 6 3 2 6" xfId="27246" xr:uid="{7D0AF433-0EB5-4898-A32A-FB56CC4EBA19}"/>
    <cellStyle name="40% - Accent4 6 3 2_Exh G" xfId="3140" xr:uid="{00000000-0005-0000-0000-000055440000}"/>
    <cellStyle name="40% - Accent4 6 3 3" xfId="4193" xr:uid="{00000000-0005-0000-0000-000056440000}"/>
    <cellStyle name="40% - Accent4 6 3 3 2" xfId="7785" xr:uid="{00000000-0005-0000-0000-000057440000}"/>
    <cellStyle name="40% - Accent4 6 3 3 2 2" xfId="15755" xr:uid="{00000000-0005-0000-0000-000058440000}"/>
    <cellStyle name="40% - Accent4 6 3 3 2 2 2" xfId="39597" xr:uid="{FB072F8A-1BC8-4E5A-8D8F-AD267056B7A6}"/>
    <cellStyle name="40% - Accent4 6 3 3 2 3" xfId="23701" xr:uid="{00000000-0005-0000-0000-000059440000}"/>
    <cellStyle name="40% - Accent4 6 3 3 2 3 2" xfId="47533" xr:uid="{19515DF9-9DF0-4049-9F83-2C46B7F4A6FA}"/>
    <cellStyle name="40% - Accent4 6 3 3 2 4" xfId="31656" xr:uid="{72EB74A6-37F4-4D4D-916F-7EC5E2986E40}"/>
    <cellStyle name="40% - Accent4 6 3 3 3" xfId="12217" xr:uid="{00000000-0005-0000-0000-00005A440000}"/>
    <cellStyle name="40% - Accent4 6 3 3 3 2" xfId="36066" xr:uid="{59380E2F-50F5-4623-B62E-1DD60BD40733}"/>
    <cellStyle name="40% - Accent4 6 3 3 4" xfId="20172" xr:uid="{00000000-0005-0000-0000-00005B440000}"/>
    <cellStyle name="40% - Accent4 6 3 3 4 2" xfId="44004" xr:uid="{76682BB6-4A8D-419C-B2E9-EB4E5FCD0218}"/>
    <cellStyle name="40% - Accent4 6 3 3 5" xfId="28125" xr:uid="{0337BA4A-FAEB-431F-A076-9A2813589AFA}"/>
    <cellStyle name="40% - Accent4 6 3 4" xfId="6013" xr:uid="{00000000-0005-0000-0000-00005C440000}"/>
    <cellStyle name="40% - Accent4 6 3 4 2" xfId="13996" xr:uid="{00000000-0005-0000-0000-00005D440000}"/>
    <cellStyle name="40% - Accent4 6 3 4 2 2" xfId="37839" xr:uid="{A7EAD118-6E75-4C47-BA0C-84CA3AD96E60}"/>
    <cellStyle name="40% - Accent4 6 3 4 3" xfId="21944" xr:uid="{00000000-0005-0000-0000-00005E440000}"/>
    <cellStyle name="40% - Accent4 6 3 4 3 2" xfId="45776" xr:uid="{340A6D39-DE72-46F0-91DF-253B6C3D8E22}"/>
    <cellStyle name="40% - Accent4 6 3 4 4" xfId="29898" xr:uid="{0816E6AC-E640-4BED-99B1-89675442A21C}"/>
    <cellStyle name="40% - Accent4 6 3 5" xfId="9565" xr:uid="{00000000-0005-0000-0000-00005F440000}"/>
    <cellStyle name="40% - Accent4 6 3 5 2" xfId="17523" xr:uid="{00000000-0005-0000-0000-000060440000}"/>
    <cellStyle name="40% - Accent4 6 3 5 2 2" xfId="41363" xr:uid="{28940197-81CC-421B-9AFF-E9B54C219070}"/>
    <cellStyle name="40% - Accent4 6 3 5 3" xfId="25467" xr:uid="{00000000-0005-0000-0000-000061440000}"/>
    <cellStyle name="40% - Accent4 6 3 5 3 2" xfId="49299" xr:uid="{3063DCC6-CD82-4C3A-8C4A-7AE854413BEA}"/>
    <cellStyle name="40% - Accent4 6 3 5 4" xfId="33422" xr:uid="{9CEF7156-AAFB-46C7-A66E-5F55EFF509B1}"/>
    <cellStyle name="40% - Accent4 6 3 6" xfId="10461" xr:uid="{00000000-0005-0000-0000-000062440000}"/>
    <cellStyle name="40% - Accent4 6 3 6 2" xfId="34310" xr:uid="{FC8EF790-8605-4A2A-B2AE-3494CB654D2A}"/>
    <cellStyle name="40% - Accent4 6 3 7" xfId="18416" xr:uid="{00000000-0005-0000-0000-000063440000}"/>
    <cellStyle name="40% - Accent4 6 3 7 2" xfId="42248" xr:uid="{9E8F5136-69BD-4FB9-AEC4-788D80FE6322}"/>
    <cellStyle name="40% - Accent4 6 3 8" xfId="26368" xr:uid="{6D242AE4-815E-4A06-A19E-15A4F7F6E63E}"/>
    <cellStyle name="40% - Accent4 6 3_Exh G" xfId="3139" xr:uid="{00000000-0005-0000-0000-000064440000}"/>
    <cellStyle name="40% - Accent4 6 4" xfId="975" xr:uid="{00000000-0005-0000-0000-000065440000}"/>
    <cellStyle name="40% - Accent4 6 4 2" xfId="1888" xr:uid="{00000000-0005-0000-0000-000066440000}"/>
    <cellStyle name="40% - Accent4 6 4 2 2" xfId="5405" xr:uid="{00000000-0005-0000-0000-000067440000}"/>
    <cellStyle name="40% - Accent4 6 4 2 2 2" xfId="8996" xr:uid="{00000000-0005-0000-0000-000068440000}"/>
    <cellStyle name="40% - Accent4 6 4 2 2 2 2" xfId="16966" xr:uid="{00000000-0005-0000-0000-000069440000}"/>
    <cellStyle name="40% - Accent4 6 4 2 2 2 2 2" xfId="40808" xr:uid="{1FA67933-1BF3-43C7-B2B7-D62C11068451}"/>
    <cellStyle name="40% - Accent4 6 4 2 2 2 3" xfId="24912" xr:uid="{00000000-0005-0000-0000-00006A440000}"/>
    <cellStyle name="40% - Accent4 6 4 2 2 2 3 2" xfId="48744" xr:uid="{D0D2B7C8-EB81-440C-921F-7EE7443E9FFA}"/>
    <cellStyle name="40% - Accent4 6 4 2 2 2 4" xfId="32867" xr:uid="{071E32CB-99C5-4FCD-A044-0A62CFD97707}"/>
    <cellStyle name="40% - Accent4 6 4 2 2 3" xfId="13428" xr:uid="{00000000-0005-0000-0000-00006B440000}"/>
    <cellStyle name="40% - Accent4 6 4 2 2 3 2" xfId="37277" xr:uid="{813DD8A5-7436-4457-BBCB-F52EB7EA3A4D}"/>
    <cellStyle name="40% - Accent4 6 4 2 2 4" xfId="21383" xr:uid="{00000000-0005-0000-0000-00006C440000}"/>
    <cellStyle name="40% - Accent4 6 4 2 2 4 2" xfId="45215" xr:uid="{5336BE54-CB39-4C94-9A2D-A1CCA9F267FB}"/>
    <cellStyle name="40% - Accent4 6 4 2 2 5" xfId="29336" xr:uid="{215BBC47-2545-4576-ADC5-A89FE784B431}"/>
    <cellStyle name="40% - Accent4 6 4 2 3" xfId="7237" xr:uid="{00000000-0005-0000-0000-00006D440000}"/>
    <cellStyle name="40% - Accent4 6 4 2 3 2" xfId="15208" xr:uid="{00000000-0005-0000-0000-00006E440000}"/>
    <cellStyle name="40% - Accent4 6 4 2 3 2 2" xfId="39050" xr:uid="{6E766A23-2334-49B2-A133-53B8673B5DF7}"/>
    <cellStyle name="40% - Accent4 6 4 2 3 3" xfId="23155" xr:uid="{00000000-0005-0000-0000-00006F440000}"/>
    <cellStyle name="40% - Accent4 6 4 2 3 3 2" xfId="46987" xr:uid="{7A268F09-B42A-43D1-B742-573F5C3D6247}"/>
    <cellStyle name="40% - Accent4 6 4 2 3 4" xfId="31109" xr:uid="{DA05723D-A198-48CE-A9CB-858A07C8759F}"/>
    <cellStyle name="40% - Accent4 6 4 2 4" xfId="11672" xr:uid="{00000000-0005-0000-0000-000070440000}"/>
    <cellStyle name="40% - Accent4 6 4 2 4 2" xfId="35521" xr:uid="{C9888AE9-AAAC-4892-B7E3-4B81E6380711}"/>
    <cellStyle name="40% - Accent4 6 4 2 5" xfId="19627" xr:uid="{00000000-0005-0000-0000-000071440000}"/>
    <cellStyle name="40% - Accent4 6 4 2 5 2" xfId="43459" xr:uid="{93937DC8-D04F-4B3D-9476-CB19583BFBC7}"/>
    <cellStyle name="40% - Accent4 6 4 2 6" xfId="27579" xr:uid="{3ED2A1CB-23ED-4018-967F-195889C62BDE}"/>
    <cellStyle name="40% - Accent4 6 4 2_Exh G" xfId="3142" xr:uid="{00000000-0005-0000-0000-000072440000}"/>
    <cellStyle name="40% - Accent4 6 4 3" xfId="4526" xr:uid="{00000000-0005-0000-0000-000073440000}"/>
    <cellStyle name="40% - Accent4 6 4 3 2" xfId="8118" xr:uid="{00000000-0005-0000-0000-000074440000}"/>
    <cellStyle name="40% - Accent4 6 4 3 2 2" xfId="16088" xr:uid="{00000000-0005-0000-0000-000075440000}"/>
    <cellStyle name="40% - Accent4 6 4 3 2 2 2" xfId="39930" xr:uid="{3A95E963-C3E0-46C7-9AA6-192DAC11CB86}"/>
    <cellStyle name="40% - Accent4 6 4 3 2 3" xfId="24034" xr:uid="{00000000-0005-0000-0000-000076440000}"/>
    <cellStyle name="40% - Accent4 6 4 3 2 3 2" xfId="47866" xr:uid="{6911D841-C38F-4029-8312-FC74F5C86A10}"/>
    <cellStyle name="40% - Accent4 6 4 3 2 4" xfId="31989" xr:uid="{F27D14ED-BF58-45E0-A0AE-93440EBC666E}"/>
    <cellStyle name="40% - Accent4 6 4 3 3" xfId="12550" xr:uid="{00000000-0005-0000-0000-000077440000}"/>
    <cellStyle name="40% - Accent4 6 4 3 3 2" xfId="36399" xr:uid="{32D61DA6-E5EC-42D4-A2CD-F3FB03DC3B09}"/>
    <cellStyle name="40% - Accent4 6 4 3 4" xfId="20505" xr:uid="{00000000-0005-0000-0000-000078440000}"/>
    <cellStyle name="40% - Accent4 6 4 3 4 2" xfId="44337" xr:uid="{DBF104E2-21AD-4BCA-A884-5C71EE06CFB6}"/>
    <cellStyle name="40% - Accent4 6 4 3 5" xfId="28458" xr:uid="{D2827329-4B80-46BF-AEB7-332D961A3DD9}"/>
    <cellStyle name="40% - Accent4 6 4 4" xfId="6356" xr:uid="{00000000-0005-0000-0000-000079440000}"/>
    <cellStyle name="40% - Accent4 6 4 4 2" xfId="14330" xr:uid="{00000000-0005-0000-0000-00007A440000}"/>
    <cellStyle name="40% - Accent4 6 4 4 2 2" xfId="38172" xr:uid="{E05B3BC8-BC03-49AB-BD74-76C48CCE88D5}"/>
    <cellStyle name="40% - Accent4 6 4 4 3" xfId="22277" xr:uid="{00000000-0005-0000-0000-00007B440000}"/>
    <cellStyle name="40% - Accent4 6 4 4 3 2" xfId="46109" xr:uid="{787B3824-72B4-48D4-B7D1-4BFD8E62B0E3}"/>
    <cellStyle name="40% - Accent4 6 4 4 4" xfId="30231" xr:uid="{3CB6EC13-7F48-43C3-A22A-DEC23E81B31C}"/>
    <cellStyle name="40% - Accent4 6 4 5" xfId="9898" xr:uid="{00000000-0005-0000-0000-00007C440000}"/>
    <cellStyle name="40% - Accent4 6 4 5 2" xfId="17856" xr:uid="{00000000-0005-0000-0000-00007D440000}"/>
    <cellStyle name="40% - Accent4 6 4 5 2 2" xfId="41696" xr:uid="{4B583BFD-8792-4908-8B15-4708320CB623}"/>
    <cellStyle name="40% - Accent4 6 4 5 3" xfId="25800" xr:uid="{00000000-0005-0000-0000-00007E440000}"/>
    <cellStyle name="40% - Accent4 6 4 5 3 2" xfId="49632" xr:uid="{7CE6D335-FF77-4A29-916C-05D180EAED0C}"/>
    <cellStyle name="40% - Accent4 6 4 5 4" xfId="33755" xr:uid="{DCA46960-35C1-4378-BAB2-57F303BD9DFC}"/>
    <cellStyle name="40% - Accent4 6 4 6" xfId="10794" xr:uid="{00000000-0005-0000-0000-00007F440000}"/>
    <cellStyle name="40% - Accent4 6 4 6 2" xfId="34643" xr:uid="{7F1E2787-B598-4DC5-BAFA-2324DCF3B485}"/>
    <cellStyle name="40% - Accent4 6 4 7" xfId="18749" xr:uid="{00000000-0005-0000-0000-000080440000}"/>
    <cellStyle name="40% - Accent4 6 4 7 2" xfId="42581" xr:uid="{3A6F6349-B75C-4866-A2AB-A5C261FF70E1}"/>
    <cellStyle name="40% - Accent4 6 4 8" xfId="26701" xr:uid="{7AEC7C84-88E9-4CA1-9570-B850FA10E8EB}"/>
    <cellStyle name="40% - Accent4 6 4_Exh G" xfId="3141" xr:uid="{00000000-0005-0000-0000-000081440000}"/>
    <cellStyle name="40% - Accent4 6 5" xfId="1542" xr:uid="{00000000-0005-0000-0000-000082440000}"/>
    <cellStyle name="40% - Accent4 6 5 2" xfId="5069" xr:uid="{00000000-0005-0000-0000-000083440000}"/>
    <cellStyle name="40% - Accent4 6 5 2 2" xfId="8660" xr:uid="{00000000-0005-0000-0000-000084440000}"/>
    <cellStyle name="40% - Accent4 6 5 2 2 2" xfId="16630" xr:uid="{00000000-0005-0000-0000-000085440000}"/>
    <cellStyle name="40% - Accent4 6 5 2 2 2 2" xfId="40472" xr:uid="{8068635C-FE17-4E10-9F87-B61730FDCAC7}"/>
    <cellStyle name="40% - Accent4 6 5 2 2 3" xfId="24576" xr:uid="{00000000-0005-0000-0000-000086440000}"/>
    <cellStyle name="40% - Accent4 6 5 2 2 3 2" xfId="48408" xr:uid="{672E24E6-F559-48D3-B62A-CECFEEC5DD73}"/>
    <cellStyle name="40% - Accent4 6 5 2 2 4" xfId="32531" xr:uid="{37A2E1A4-9FA7-4006-A71D-C46E0B78E8BF}"/>
    <cellStyle name="40% - Accent4 6 5 2 3" xfId="13092" xr:uid="{00000000-0005-0000-0000-000087440000}"/>
    <cellStyle name="40% - Accent4 6 5 2 3 2" xfId="36941" xr:uid="{C5C5285C-A0A3-44ED-BF5B-96B43E808ADB}"/>
    <cellStyle name="40% - Accent4 6 5 2 4" xfId="21047" xr:uid="{00000000-0005-0000-0000-000088440000}"/>
    <cellStyle name="40% - Accent4 6 5 2 4 2" xfId="44879" xr:uid="{AA9F2A50-232C-415A-82BD-C539885E306A}"/>
    <cellStyle name="40% - Accent4 6 5 2 5" xfId="29000" xr:uid="{EE41775E-9E3C-4423-BD06-0245736611C6}"/>
    <cellStyle name="40% - Accent4 6 5 3" xfId="6901" xr:uid="{00000000-0005-0000-0000-000089440000}"/>
    <cellStyle name="40% - Accent4 6 5 3 2" xfId="14872" xr:uid="{00000000-0005-0000-0000-00008A440000}"/>
    <cellStyle name="40% - Accent4 6 5 3 2 2" xfId="38714" xr:uid="{CBD063E1-F903-44DC-A047-21A34D4D6347}"/>
    <cellStyle name="40% - Accent4 6 5 3 3" xfId="22819" xr:uid="{00000000-0005-0000-0000-00008B440000}"/>
    <cellStyle name="40% - Accent4 6 5 3 3 2" xfId="46651" xr:uid="{32EECC12-6F84-4684-862A-ADEDBE5628EC}"/>
    <cellStyle name="40% - Accent4 6 5 3 4" xfId="30773" xr:uid="{C3B4B747-0F23-43C9-BB74-92FE4F226D71}"/>
    <cellStyle name="40% - Accent4 6 5 4" xfId="11336" xr:uid="{00000000-0005-0000-0000-00008C440000}"/>
    <cellStyle name="40% - Accent4 6 5 4 2" xfId="35185" xr:uid="{8102BADF-49DA-4270-91D1-EA045C864ABE}"/>
    <cellStyle name="40% - Accent4 6 5 5" xfId="19291" xr:uid="{00000000-0005-0000-0000-00008D440000}"/>
    <cellStyle name="40% - Accent4 6 5 5 2" xfId="43123" xr:uid="{95C80E9B-5BD2-4753-91AD-F6CC23832B30}"/>
    <cellStyle name="40% - Accent4 6 5 6" xfId="27243" xr:uid="{2B24E22D-5595-4AB3-9FB4-D0272599873A}"/>
    <cellStyle name="40% - Accent4 6 5_Exh G" xfId="3143" xr:uid="{00000000-0005-0000-0000-00008E440000}"/>
    <cellStyle name="40% - Accent4 6 6" xfId="4190" xr:uid="{00000000-0005-0000-0000-00008F440000}"/>
    <cellStyle name="40% - Accent4 6 6 2" xfId="7782" xr:uid="{00000000-0005-0000-0000-000090440000}"/>
    <cellStyle name="40% - Accent4 6 6 2 2" xfId="15752" xr:uid="{00000000-0005-0000-0000-000091440000}"/>
    <cellStyle name="40% - Accent4 6 6 2 2 2" xfId="39594" xr:uid="{6B28AD83-10AF-43CA-95AC-30C1DD189953}"/>
    <cellStyle name="40% - Accent4 6 6 2 3" xfId="23698" xr:uid="{00000000-0005-0000-0000-000092440000}"/>
    <cellStyle name="40% - Accent4 6 6 2 3 2" xfId="47530" xr:uid="{B5590BC1-F74C-4017-B3C6-FCDCE8C5F511}"/>
    <cellStyle name="40% - Accent4 6 6 2 4" xfId="31653" xr:uid="{78D6F4D9-F0F0-41E4-B66D-5A1DC5EA1B40}"/>
    <cellStyle name="40% - Accent4 6 6 3" xfId="12214" xr:uid="{00000000-0005-0000-0000-000093440000}"/>
    <cellStyle name="40% - Accent4 6 6 3 2" xfId="36063" xr:uid="{1F03F50C-7D9F-400F-ACEE-826AE0416436}"/>
    <cellStyle name="40% - Accent4 6 6 4" xfId="20169" xr:uid="{00000000-0005-0000-0000-000094440000}"/>
    <cellStyle name="40% - Accent4 6 6 4 2" xfId="44001" xr:uid="{97285A1E-6DC4-4ACF-BB2E-9785D3DBAAEF}"/>
    <cellStyle name="40% - Accent4 6 6 5" xfId="28122" xr:uid="{C29583EB-48B4-4E4E-8A8C-59267EBA9FC3}"/>
    <cellStyle name="40% - Accent4 6 7" xfId="6010" xr:uid="{00000000-0005-0000-0000-000095440000}"/>
    <cellStyle name="40% - Accent4 6 7 2" xfId="13993" xr:uid="{00000000-0005-0000-0000-000096440000}"/>
    <cellStyle name="40% - Accent4 6 7 2 2" xfId="37836" xr:uid="{03A17957-E599-4AC2-953E-D08912565D99}"/>
    <cellStyle name="40% - Accent4 6 7 3" xfId="21941" xr:uid="{00000000-0005-0000-0000-000097440000}"/>
    <cellStyle name="40% - Accent4 6 7 3 2" xfId="45773" xr:uid="{301C95DA-7FFA-4C33-B8CE-F25360B24A7F}"/>
    <cellStyle name="40% - Accent4 6 7 4" xfId="29895" xr:uid="{A11D6AD1-3446-4AD5-BB5C-946C7EA65F5D}"/>
    <cellStyle name="40% - Accent4 6 8" xfId="9562" xr:uid="{00000000-0005-0000-0000-000098440000}"/>
    <cellStyle name="40% - Accent4 6 8 2" xfId="17520" xr:uid="{00000000-0005-0000-0000-000099440000}"/>
    <cellStyle name="40% - Accent4 6 8 2 2" xfId="41360" xr:uid="{FD17B9FE-88AC-4FA4-802A-AF44BB618BD9}"/>
    <cellStyle name="40% - Accent4 6 8 3" xfId="25464" xr:uid="{00000000-0005-0000-0000-00009A440000}"/>
    <cellStyle name="40% - Accent4 6 8 3 2" xfId="49296" xr:uid="{F2CBAE79-AE65-4C43-AD70-B6F9097CC6A5}"/>
    <cellStyle name="40% - Accent4 6 8 4" xfId="33419" xr:uid="{D16216FB-5703-48AF-B497-DF94442F5D63}"/>
    <cellStyle name="40% - Accent4 6 9" xfId="10458" xr:uid="{00000000-0005-0000-0000-00009B440000}"/>
    <cellStyle name="40% - Accent4 6 9 2" xfId="34307" xr:uid="{E11CE9D1-96BC-4547-AADB-FD0E760E29E1}"/>
    <cellStyle name="40% - Accent4 6_Exh G" xfId="3134" xr:uid="{00000000-0005-0000-0000-00009C440000}"/>
    <cellStyle name="40% - Accent4 7" xfId="520" xr:uid="{00000000-0005-0000-0000-00009D440000}"/>
    <cellStyle name="40% - Accent4 7 10" xfId="18417" xr:uid="{00000000-0005-0000-0000-00009E440000}"/>
    <cellStyle name="40% - Accent4 7 10 2" xfId="42249" xr:uid="{181186F7-E648-46DC-85E0-259B05BEF7F4}"/>
    <cellStyle name="40% - Accent4 7 11" xfId="26369" xr:uid="{10669349-AD5E-46C9-A5CC-ADC3EE0A20E8}"/>
    <cellStyle name="40% - Accent4 7 2" xfId="521" xr:uid="{00000000-0005-0000-0000-00009F440000}"/>
    <cellStyle name="40% - Accent4 7 2 2" xfId="522" xr:uid="{00000000-0005-0000-0000-0000A0440000}"/>
    <cellStyle name="40% - Accent4 7 2 2 2" xfId="1548" xr:uid="{00000000-0005-0000-0000-0000A1440000}"/>
    <cellStyle name="40% - Accent4 7 2 2 2 2" xfId="5075" xr:uid="{00000000-0005-0000-0000-0000A2440000}"/>
    <cellStyle name="40% - Accent4 7 2 2 2 2 2" xfId="8666" xr:uid="{00000000-0005-0000-0000-0000A3440000}"/>
    <cellStyle name="40% - Accent4 7 2 2 2 2 2 2" xfId="16636" xr:uid="{00000000-0005-0000-0000-0000A4440000}"/>
    <cellStyle name="40% - Accent4 7 2 2 2 2 2 2 2" xfId="40478" xr:uid="{78738BF2-1B27-41C9-9628-51F76E746863}"/>
    <cellStyle name="40% - Accent4 7 2 2 2 2 2 3" xfId="24582" xr:uid="{00000000-0005-0000-0000-0000A5440000}"/>
    <cellStyle name="40% - Accent4 7 2 2 2 2 2 3 2" xfId="48414" xr:uid="{C121BF44-1D94-4013-90A1-5385C5D05CD2}"/>
    <cellStyle name="40% - Accent4 7 2 2 2 2 2 4" xfId="32537" xr:uid="{5E83D68C-0E9E-4ED9-930C-666B9873CA75}"/>
    <cellStyle name="40% - Accent4 7 2 2 2 2 3" xfId="13098" xr:uid="{00000000-0005-0000-0000-0000A6440000}"/>
    <cellStyle name="40% - Accent4 7 2 2 2 2 3 2" xfId="36947" xr:uid="{22A243A6-1B64-4017-8622-E5D9C0CB6B16}"/>
    <cellStyle name="40% - Accent4 7 2 2 2 2 4" xfId="21053" xr:uid="{00000000-0005-0000-0000-0000A7440000}"/>
    <cellStyle name="40% - Accent4 7 2 2 2 2 4 2" xfId="44885" xr:uid="{9AEB9F3B-AC97-4977-97D6-EB00EBB97864}"/>
    <cellStyle name="40% - Accent4 7 2 2 2 2 5" xfId="29006" xr:uid="{9006BF6D-FD8D-408B-8D21-F2334F809E80}"/>
    <cellStyle name="40% - Accent4 7 2 2 2 3" xfId="6907" xr:uid="{00000000-0005-0000-0000-0000A8440000}"/>
    <cellStyle name="40% - Accent4 7 2 2 2 3 2" xfId="14878" xr:uid="{00000000-0005-0000-0000-0000A9440000}"/>
    <cellStyle name="40% - Accent4 7 2 2 2 3 2 2" xfId="38720" xr:uid="{8216530F-FAEC-4315-BFEF-653B7F9E202B}"/>
    <cellStyle name="40% - Accent4 7 2 2 2 3 3" xfId="22825" xr:uid="{00000000-0005-0000-0000-0000AA440000}"/>
    <cellStyle name="40% - Accent4 7 2 2 2 3 3 2" xfId="46657" xr:uid="{BCD248E0-E311-4968-B699-269836332230}"/>
    <cellStyle name="40% - Accent4 7 2 2 2 3 4" xfId="30779" xr:uid="{1CD46203-7B3D-440C-A2D1-3C5C067AA87D}"/>
    <cellStyle name="40% - Accent4 7 2 2 2 4" xfId="11342" xr:uid="{00000000-0005-0000-0000-0000AB440000}"/>
    <cellStyle name="40% - Accent4 7 2 2 2 4 2" xfId="35191" xr:uid="{936013C7-19CB-4524-9387-D5E8C39D7824}"/>
    <cellStyle name="40% - Accent4 7 2 2 2 5" xfId="19297" xr:uid="{00000000-0005-0000-0000-0000AC440000}"/>
    <cellStyle name="40% - Accent4 7 2 2 2 5 2" xfId="43129" xr:uid="{9D5609DC-C1C0-4D5A-B23D-FFAFF07FCB5F}"/>
    <cellStyle name="40% - Accent4 7 2 2 2 6" xfId="27249" xr:uid="{C21A1C2A-16B1-4AE2-8FD8-447F3A835581}"/>
    <cellStyle name="40% - Accent4 7 2 2 2_Exh G" xfId="3147" xr:uid="{00000000-0005-0000-0000-0000AD440000}"/>
    <cellStyle name="40% - Accent4 7 2 2 3" xfId="4196" xr:uid="{00000000-0005-0000-0000-0000AE440000}"/>
    <cellStyle name="40% - Accent4 7 2 2 3 2" xfId="7788" xr:uid="{00000000-0005-0000-0000-0000AF440000}"/>
    <cellStyle name="40% - Accent4 7 2 2 3 2 2" xfId="15758" xr:uid="{00000000-0005-0000-0000-0000B0440000}"/>
    <cellStyle name="40% - Accent4 7 2 2 3 2 2 2" xfId="39600" xr:uid="{B7F92FB2-083B-4F6D-9AD7-25EA85D3F56C}"/>
    <cellStyle name="40% - Accent4 7 2 2 3 2 3" xfId="23704" xr:uid="{00000000-0005-0000-0000-0000B1440000}"/>
    <cellStyle name="40% - Accent4 7 2 2 3 2 3 2" xfId="47536" xr:uid="{B185625E-2B99-4FC5-A5BF-6A1AF013D516}"/>
    <cellStyle name="40% - Accent4 7 2 2 3 2 4" xfId="31659" xr:uid="{3ACDF731-E077-426D-908A-2F6072802DFE}"/>
    <cellStyle name="40% - Accent4 7 2 2 3 3" xfId="12220" xr:uid="{00000000-0005-0000-0000-0000B2440000}"/>
    <cellStyle name="40% - Accent4 7 2 2 3 3 2" xfId="36069" xr:uid="{94884705-5578-436A-97C6-EA692FEA54A4}"/>
    <cellStyle name="40% - Accent4 7 2 2 3 4" xfId="20175" xr:uid="{00000000-0005-0000-0000-0000B3440000}"/>
    <cellStyle name="40% - Accent4 7 2 2 3 4 2" xfId="44007" xr:uid="{77A709A9-75FC-4AE6-A69E-C3650902965C}"/>
    <cellStyle name="40% - Accent4 7 2 2 3 5" xfId="28128" xr:uid="{1CD4C898-B9B3-4FFD-8AB3-4EADCC12950B}"/>
    <cellStyle name="40% - Accent4 7 2 2 4" xfId="6016" xr:uid="{00000000-0005-0000-0000-0000B4440000}"/>
    <cellStyle name="40% - Accent4 7 2 2 4 2" xfId="13999" xr:uid="{00000000-0005-0000-0000-0000B5440000}"/>
    <cellStyle name="40% - Accent4 7 2 2 4 2 2" xfId="37842" xr:uid="{ACAE7F40-657A-48AB-A153-752772A82B70}"/>
    <cellStyle name="40% - Accent4 7 2 2 4 3" xfId="21947" xr:uid="{00000000-0005-0000-0000-0000B6440000}"/>
    <cellStyle name="40% - Accent4 7 2 2 4 3 2" xfId="45779" xr:uid="{F69EC1D3-CEC1-4B63-9E2A-07E378AC2A91}"/>
    <cellStyle name="40% - Accent4 7 2 2 4 4" xfId="29901" xr:uid="{7B897C17-BA12-4D1D-9878-2724CC1177FA}"/>
    <cellStyle name="40% - Accent4 7 2 2 5" xfId="9568" xr:uid="{00000000-0005-0000-0000-0000B7440000}"/>
    <cellStyle name="40% - Accent4 7 2 2 5 2" xfId="17526" xr:uid="{00000000-0005-0000-0000-0000B8440000}"/>
    <cellStyle name="40% - Accent4 7 2 2 5 2 2" xfId="41366" xr:uid="{FF894BDF-5689-4F94-BB3A-E9E1C11B5B91}"/>
    <cellStyle name="40% - Accent4 7 2 2 5 3" xfId="25470" xr:uid="{00000000-0005-0000-0000-0000B9440000}"/>
    <cellStyle name="40% - Accent4 7 2 2 5 3 2" xfId="49302" xr:uid="{499E9E72-96C0-43E6-A213-1B9C15CE1A43}"/>
    <cellStyle name="40% - Accent4 7 2 2 5 4" xfId="33425" xr:uid="{515CBBB5-D416-42E0-9244-932D6433A2B9}"/>
    <cellStyle name="40% - Accent4 7 2 2 6" xfId="10464" xr:uid="{00000000-0005-0000-0000-0000BA440000}"/>
    <cellStyle name="40% - Accent4 7 2 2 6 2" xfId="34313" xr:uid="{43F28E8B-A267-457B-8624-1B80FFA53B03}"/>
    <cellStyle name="40% - Accent4 7 2 2 7" xfId="18419" xr:uid="{00000000-0005-0000-0000-0000BB440000}"/>
    <cellStyle name="40% - Accent4 7 2 2 7 2" xfId="42251" xr:uid="{8CB33AC3-DC56-4A52-8810-CC09BE9BB35E}"/>
    <cellStyle name="40% - Accent4 7 2 2 8" xfId="26371" xr:uid="{03963233-A642-4DE7-90A5-41BD9432796C}"/>
    <cellStyle name="40% - Accent4 7 2 2_Exh G" xfId="3146" xr:uid="{00000000-0005-0000-0000-0000BC440000}"/>
    <cellStyle name="40% - Accent4 7 2 3" xfId="1547" xr:uid="{00000000-0005-0000-0000-0000BD440000}"/>
    <cellStyle name="40% - Accent4 7 2 3 2" xfId="5074" xr:uid="{00000000-0005-0000-0000-0000BE440000}"/>
    <cellStyle name="40% - Accent4 7 2 3 2 2" xfId="8665" xr:uid="{00000000-0005-0000-0000-0000BF440000}"/>
    <cellStyle name="40% - Accent4 7 2 3 2 2 2" xfId="16635" xr:uid="{00000000-0005-0000-0000-0000C0440000}"/>
    <cellStyle name="40% - Accent4 7 2 3 2 2 2 2" xfId="40477" xr:uid="{3F32B61C-17D1-4FBF-B497-E735D2AAA629}"/>
    <cellStyle name="40% - Accent4 7 2 3 2 2 3" xfId="24581" xr:uid="{00000000-0005-0000-0000-0000C1440000}"/>
    <cellStyle name="40% - Accent4 7 2 3 2 2 3 2" xfId="48413" xr:uid="{A2C2FB47-D82E-4655-8276-1212EDAAC96B}"/>
    <cellStyle name="40% - Accent4 7 2 3 2 2 4" xfId="32536" xr:uid="{B964622D-072E-446F-BA28-8C3CC116D399}"/>
    <cellStyle name="40% - Accent4 7 2 3 2 3" xfId="13097" xr:uid="{00000000-0005-0000-0000-0000C2440000}"/>
    <cellStyle name="40% - Accent4 7 2 3 2 3 2" xfId="36946" xr:uid="{637E810F-5033-41FA-B3A3-35EE1FAD3606}"/>
    <cellStyle name="40% - Accent4 7 2 3 2 4" xfId="21052" xr:uid="{00000000-0005-0000-0000-0000C3440000}"/>
    <cellStyle name="40% - Accent4 7 2 3 2 4 2" xfId="44884" xr:uid="{1B753AD3-000F-4D63-A395-F2B4F9A37435}"/>
    <cellStyle name="40% - Accent4 7 2 3 2 5" xfId="29005" xr:uid="{72BDFD43-CE64-4AEF-BB84-A5B057840182}"/>
    <cellStyle name="40% - Accent4 7 2 3 3" xfId="6906" xr:uid="{00000000-0005-0000-0000-0000C4440000}"/>
    <cellStyle name="40% - Accent4 7 2 3 3 2" xfId="14877" xr:uid="{00000000-0005-0000-0000-0000C5440000}"/>
    <cellStyle name="40% - Accent4 7 2 3 3 2 2" xfId="38719" xr:uid="{324BECD4-DEC6-41BE-8D75-88B926E96B78}"/>
    <cellStyle name="40% - Accent4 7 2 3 3 3" xfId="22824" xr:uid="{00000000-0005-0000-0000-0000C6440000}"/>
    <cellStyle name="40% - Accent4 7 2 3 3 3 2" xfId="46656" xr:uid="{306E66C2-8EF9-4EB7-8290-DC408CC5D7B9}"/>
    <cellStyle name="40% - Accent4 7 2 3 3 4" xfId="30778" xr:uid="{1E0145CF-E636-42A8-99EA-A8D793FB60EB}"/>
    <cellStyle name="40% - Accent4 7 2 3 4" xfId="11341" xr:uid="{00000000-0005-0000-0000-0000C7440000}"/>
    <cellStyle name="40% - Accent4 7 2 3 4 2" xfId="35190" xr:uid="{14EBA090-8830-429D-A5FF-DFB866E9989B}"/>
    <cellStyle name="40% - Accent4 7 2 3 5" xfId="19296" xr:uid="{00000000-0005-0000-0000-0000C8440000}"/>
    <cellStyle name="40% - Accent4 7 2 3 5 2" xfId="43128" xr:uid="{C9F424DE-D4E4-4218-86F9-C56CF9A7DB01}"/>
    <cellStyle name="40% - Accent4 7 2 3 6" xfId="27248" xr:uid="{81A605D2-0804-4EE7-8218-C8933CDB7B23}"/>
    <cellStyle name="40% - Accent4 7 2 3_Exh G" xfId="3148" xr:uid="{00000000-0005-0000-0000-0000C9440000}"/>
    <cellStyle name="40% - Accent4 7 2 4" xfId="4195" xr:uid="{00000000-0005-0000-0000-0000CA440000}"/>
    <cellStyle name="40% - Accent4 7 2 4 2" xfId="7787" xr:uid="{00000000-0005-0000-0000-0000CB440000}"/>
    <cellStyle name="40% - Accent4 7 2 4 2 2" xfId="15757" xr:uid="{00000000-0005-0000-0000-0000CC440000}"/>
    <cellStyle name="40% - Accent4 7 2 4 2 2 2" xfId="39599" xr:uid="{05F71F83-924C-4E59-9CD0-451025EEB3BD}"/>
    <cellStyle name="40% - Accent4 7 2 4 2 3" xfId="23703" xr:uid="{00000000-0005-0000-0000-0000CD440000}"/>
    <cellStyle name="40% - Accent4 7 2 4 2 3 2" xfId="47535" xr:uid="{630E54EE-AA3D-4030-892E-756D3BA001AA}"/>
    <cellStyle name="40% - Accent4 7 2 4 2 4" xfId="31658" xr:uid="{2A588F2E-5A68-4359-A8F9-530652AAB0E9}"/>
    <cellStyle name="40% - Accent4 7 2 4 3" xfId="12219" xr:uid="{00000000-0005-0000-0000-0000CE440000}"/>
    <cellStyle name="40% - Accent4 7 2 4 3 2" xfId="36068" xr:uid="{8B93EAC8-A90E-4739-8629-3A87B816957E}"/>
    <cellStyle name="40% - Accent4 7 2 4 4" xfId="20174" xr:uid="{00000000-0005-0000-0000-0000CF440000}"/>
    <cellStyle name="40% - Accent4 7 2 4 4 2" xfId="44006" xr:uid="{48818BC7-16F5-4817-B786-D5405526A0DA}"/>
    <cellStyle name="40% - Accent4 7 2 4 5" xfId="28127" xr:uid="{5918F359-B727-47D3-BE99-AAC026941815}"/>
    <cellStyle name="40% - Accent4 7 2 5" xfId="6015" xr:uid="{00000000-0005-0000-0000-0000D0440000}"/>
    <cellStyle name="40% - Accent4 7 2 5 2" xfId="13998" xr:uid="{00000000-0005-0000-0000-0000D1440000}"/>
    <cellStyle name="40% - Accent4 7 2 5 2 2" xfId="37841" xr:uid="{903B78B8-FA4F-401B-ABA3-6A8B42BEF6DB}"/>
    <cellStyle name="40% - Accent4 7 2 5 3" xfId="21946" xr:uid="{00000000-0005-0000-0000-0000D2440000}"/>
    <cellStyle name="40% - Accent4 7 2 5 3 2" xfId="45778" xr:uid="{1CEA2657-DCF9-4E62-AB15-921A336F14F8}"/>
    <cellStyle name="40% - Accent4 7 2 5 4" xfId="29900" xr:uid="{C6D742C7-E6DE-4778-AEF2-6F57CB786A8C}"/>
    <cellStyle name="40% - Accent4 7 2 6" xfId="9567" xr:uid="{00000000-0005-0000-0000-0000D3440000}"/>
    <cellStyle name="40% - Accent4 7 2 6 2" xfId="17525" xr:uid="{00000000-0005-0000-0000-0000D4440000}"/>
    <cellStyle name="40% - Accent4 7 2 6 2 2" xfId="41365" xr:uid="{535BF431-AAFE-45BB-98DA-42CBD86BF9CB}"/>
    <cellStyle name="40% - Accent4 7 2 6 3" xfId="25469" xr:uid="{00000000-0005-0000-0000-0000D5440000}"/>
    <cellStyle name="40% - Accent4 7 2 6 3 2" xfId="49301" xr:uid="{8B7A1552-355B-4086-AF26-69D47CC92E72}"/>
    <cellStyle name="40% - Accent4 7 2 6 4" xfId="33424" xr:uid="{B7A2BC2D-B926-4543-83D4-D486866E4E3A}"/>
    <cellStyle name="40% - Accent4 7 2 7" xfId="10463" xr:uid="{00000000-0005-0000-0000-0000D6440000}"/>
    <cellStyle name="40% - Accent4 7 2 7 2" xfId="34312" xr:uid="{DD88411C-457E-4F01-BB69-F0EB269FB51B}"/>
    <cellStyle name="40% - Accent4 7 2 8" xfId="18418" xr:uid="{00000000-0005-0000-0000-0000D7440000}"/>
    <cellStyle name="40% - Accent4 7 2 8 2" xfId="42250" xr:uid="{7257FBAA-9084-4553-9513-2D0B05CDEA4B}"/>
    <cellStyle name="40% - Accent4 7 2 9" xfId="26370" xr:uid="{E6B4615F-E057-45C9-8077-1A3F5FA756F4}"/>
    <cellStyle name="40% - Accent4 7 2_Exh G" xfId="3145" xr:uid="{00000000-0005-0000-0000-0000D8440000}"/>
    <cellStyle name="40% - Accent4 7 3" xfId="523" xr:uid="{00000000-0005-0000-0000-0000D9440000}"/>
    <cellStyle name="40% - Accent4 7 3 2" xfId="1549" xr:uid="{00000000-0005-0000-0000-0000DA440000}"/>
    <cellStyle name="40% - Accent4 7 3 2 2" xfId="5076" xr:uid="{00000000-0005-0000-0000-0000DB440000}"/>
    <cellStyle name="40% - Accent4 7 3 2 2 2" xfId="8667" xr:uid="{00000000-0005-0000-0000-0000DC440000}"/>
    <cellStyle name="40% - Accent4 7 3 2 2 2 2" xfId="16637" xr:uid="{00000000-0005-0000-0000-0000DD440000}"/>
    <cellStyle name="40% - Accent4 7 3 2 2 2 2 2" xfId="40479" xr:uid="{1F34163A-7370-4A5B-8294-C51698B619DF}"/>
    <cellStyle name="40% - Accent4 7 3 2 2 2 3" xfId="24583" xr:uid="{00000000-0005-0000-0000-0000DE440000}"/>
    <cellStyle name="40% - Accent4 7 3 2 2 2 3 2" xfId="48415" xr:uid="{A7076570-44EA-4FB2-9494-6164B6893591}"/>
    <cellStyle name="40% - Accent4 7 3 2 2 2 4" xfId="32538" xr:uid="{BCA16429-1905-4D71-90E9-86EC02A20A38}"/>
    <cellStyle name="40% - Accent4 7 3 2 2 3" xfId="13099" xr:uid="{00000000-0005-0000-0000-0000DF440000}"/>
    <cellStyle name="40% - Accent4 7 3 2 2 3 2" xfId="36948" xr:uid="{F56B142E-F404-4117-9FFF-B52CB577E45B}"/>
    <cellStyle name="40% - Accent4 7 3 2 2 4" xfId="21054" xr:uid="{00000000-0005-0000-0000-0000E0440000}"/>
    <cellStyle name="40% - Accent4 7 3 2 2 4 2" xfId="44886" xr:uid="{45850ABA-EC3B-427D-BEC9-2C4E77CDF082}"/>
    <cellStyle name="40% - Accent4 7 3 2 2 5" xfId="29007" xr:uid="{A20634D2-4989-4704-95D8-B8D7D418806E}"/>
    <cellStyle name="40% - Accent4 7 3 2 3" xfId="6908" xr:uid="{00000000-0005-0000-0000-0000E1440000}"/>
    <cellStyle name="40% - Accent4 7 3 2 3 2" xfId="14879" xr:uid="{00000000-0005-0000-0000-0000E2440000}"/>
    <cellStyle name="40% - Accent4 7 3 2 3 2 2" xfId="38721" xr:uid="{ACF99A37-19E4-4EEC-A82A-89BD0466D69E}"/>
    <cellStyle name="40% - Accent4 7 3 2 3 3" xfId="22826" xr:uid="{00000000-0005-0000-0000-0000E3440000}"/>
    <cellStyle name="40% - Accent4 7 3 2 3 3 2" xfId="46658" xr:uid="{FEEA1DB9-CA10-4533-88FE-0F7137BB19B3}"/>
    <cellStyle name="40% - Accent4 7 3 2 3 4" xfId="30780" xr:uid="{F57AFD0D-610E-44FA-B16F-EA4A571A8F8E}"/>
    <cellStyle name="40% - Accent4 7 3 2 4" xfId="11343" xr:uid="{00000000-0005-0000-0000-0000E4440000}"/>
    <cellStyle name="40% - Accent4 7 3 2 4 2" xfId="35192" xr:uid="{B775BA84-BB2D-4C28-B3D6-3D9FADB6A910}"/>
    <cellStyle name="40% - Accent4 7 3 2 5" xfId="19298" xr:uid="{00000000-0005-0000-0000-0000E5440000}"/>
    <cellStyle name="40% - Accent4 7 3 2 5 2" xfId="43130" xr:uid="{6A9133DA-34A9-4087-8E76-B60075038A9C}"/>
    <cellStyle name="40% - Accent4 7 3 2 6" xfId="27250" xr:uid="{AFD9FCCA-3930-4290-A66D-05756600E8EF}"/>
    <cellStyle name="40% - Accent4 7 3 2_Exh G" xfId="3150" xr:uid="{00000000-0005-0000-0000-0000E6440000}"/>
    <cellStyle name="40% - Accent4 7 3 3" xfId="4197" xr:uid="{00000000-0005-0000-0000-0000E7440000}"/>
    <cellStyle name="40% - Accent4 7 3 3 2" xfId="7789" xr:uid="{00000000-0005-0000-0000-0000E8440000}"/>
    <cellStyle name="40% - Accent4 7 3 3 2 2" xfId="15759" xr:uid="{00000000-0005-0000-0000-0000E9440000}"/>
    <cellStyle name="40% - Accent4 7 3 3 2 2 2" xfId="39601" xr:uid="{CCEF495C-DB60-478D-98DA-6F537D687C09}"/>
    <cellStyle name="40% - Accent4 7 3 3 2 3" xfId="23705" xr:uid="{00000000-0005-0000-0000-0000EA440000}"/>
    <cellStyle name="40% - Accent4 7 3 3 2 3 2" xfId="47537" xr:uid="{1ACB04E3-8D88-497A-8602-8BB0856449F1}"/>
    <cellStyle name="40% - Accent4 7 3 3 2 4" xfId="31660" xr:uid="{E2E25DBB-571A-4534-9CDD-3574B0C2558C}"/>
    <cellStyle name="40% - Accent4 7 3 3 3" xfId="12221" xr:uid="{00000000-0005-0000-0000-0000EB440000}"/>
    <cellStyle name="40% - Accent4 7 3 3 3 2" xfId="36070" xr:uid="{3C18EE62-A4CC-4BDA-86F7-27CAD9BA774D}"/>
    <cellStyle name="40% - Accent4 7 3 3 4" xfId="20176" xr:uid="{00000000-0005-0000-0000-0000EC440000}"/>
    <cellStyle name="40% - Accent4 7 3 3 4 2" xfId="44008" xr:uid="{BA1E3C00-8CBD-429D-9DAE-0F5AA358A2F1}"/>
    <cellStyle name="40% - Accent4 7 3 3 5" xfId="28129" xr:uid="{5B8481C0-5A76-454F-992F-689D984A1F39}"/>
    <cellStyle name="40% - Accent4 7 3 4" xfId="6017" xr:uid="{00000000-0005-0000-0000-0000ED440000}"/>
    <cellStyle name="40% - Accent4 7 3 4 2" xfId="14000" xr:uid="{00000000-0005-0000-0000-0000EE440000}"/>
    <cellStyle name="40% - Accent4 7 3 4 2 2" xfId="37843" xr:uid="{16C05B18-9655-41BA-95E3-643292A8CC12}"/>
    <cellStyle name="40% - Accent4 7 3 4 3" xfId="21948" xr:uid="{00000000-0005-0000-0000-0000EF440000}"/>
    <cellStyle name="40% - Accent4 7 3 4 3 2" xfId="45780" xr:uid="{F26BC79F-5FFA-4AB0-8221-EE717A5BA7E4}"/>
    <cellStyle name="40% - Accent4 7 3 4 4" xfId="29902" xr:uid="{47F4CA82-A38E-4D62-A7BF-17C08C91890B}"/>
    <cellStyle name="40% - Accent4 7 3 5" xfId="9569" xr:uid="{00000000-0005-0000-0000-0000F0440000}"/>
    <cellStyle name="40% - Accent4 7 3 5 2" xfId="17527" xr:uid="{00000000-0005-0000-0000-0000F1440000}"/>
    <cellStyle name="40% - Accent4 7 3 5 2 2" xfId="41367" xr:uid="{39F115F2-D5D2-4AAA-A822-334319096515}"/>
    <cellStyle name="40% - Accent4 7 3 5 3" xfId="25471" xr:uid="{00000000-0005-0000-0000-0000F2440000}"/>
    <cellStyle name="40% - Accent4 7 3 5 3 2" xfId="49303" xr:uid="{FCB68351-3D45-4E6B-ACAB-BB385A5B7C6A}"/>
    <cellStyle name="40% - Accent4 7 3 5 4" xfId="33426" xr:uid="{CCFCC340-CECC-430F-9384-437DFF95D791}"/>
    <cellStyle name="40% - Accent4 7 3 6" xfId="10465" xr:uid="{00000000-0005-0000-0000-0000F3440000}"/>
    <cellStyle name="40% - Accent4 7 3 6 2" xfId="34314" xr:uid="{F9F0C394-E283-4E8A-B7BD-BB63DA844CB6}"/>
    <cellStyle name="40% - Accent4 7 3 7" xfId="18420" xr:uid="{00000000-0005-0000-0000-0000F4440000}"/>
    <cellStyle name="40% - Accent4 7 3 7 2" xfId="42252" xr:uid="{BDA34652-F32B-4624-810A-269ACA66F893}"/>
    <cellStyle name="40% - Accent4 7 3 8" xfId="26372" xr:uid="{1F1153D6-9119-4821-9B3B-D8E7B552A763}"/>
    <cellStyle name="40% - Accent4 7 3_Exh G" xfId="3149" xr:uid="{00000000-0005-0000-0000-0000F5440000}"/>
    <cellStyle name="40% - Accent4 7 4" xfId="976" xr:uid="{00000000-0005-0000-0000-0000F6440000}"/>
    <cellStyle name="40% - Accent4 7 4 2" xfId="1889" xr:uid="{00000000-0005-0000-0000-0000F7440000}"/>
    <cellStyle name="40% - Accent4 7 4 2 2" xfId="5406" xr:uid="{00000000-0005-0000-0000-0000F8440000}"/>
    <cellStyle name="40% - Accent4 7 4 2 2 2" xfId="8997" xr:uid="{00000000-0005-0000-0000-0000F9440000}"/>
    <cellStyle name="40% - Accent4 7 4 2 2 2 2" xfId="16967" xr:uid="{00000000-0005-0000-0000-0000FA440000}"/>
    <cellStyle name="40% - Accent4 7 4 2 2 2 2 2" xfId="40809" xr:uid="{30E25EF6-A0B1-4E91-8D08-C5B2FA315925}"/>
    <cellStyle name="40% - Accent4 7 4 2 2 2 3" xfId="24913" xr:uid="{00000000-0005-0000-0000-0000FB440000}"/>
    <cellStyle name="40% - Accent4 7 4 2 2 2 3 2" xfId="48745" xr:uid="{9EAA10DA-2CCA-454D-A043-BE1EE48942B0}"/>
    <cellStyle name="40% - Accent4 7 4 2 2 2 4" xfId="32868" xr:uid="{D73B834E-F621-4D81-9850-ED02FC940A17}"/>
    <cellStyle name="40% - Accent4 7 4 2 2 3" xfId="13429" xr:uid="{00000000-0005-0000-0000-0000FC440000}"/>
    <cellStyle name="40% - Accent4 7 4 2 2 3 2" xfId="37278" xr:uid="{A7A37F58-945E-4D83-AC25-94076F1AEDFC}"/>
    <cellStyle name="40% - Accent4 7 4 2 2 4" xfId="21384" xr:uid="{00000000-0005-0000-0000-0000FD440000}"/>
    <cellStyle name="40% - Accent4 7 4 2 2 4 2" xfId="45216" xr:uid="{621163F7-36FD-4446-A96C-BD8EFF6B7CF6}"/>
    <cellStyle name="40% - Accent4 7 4 2 2 5" xfId="29337" xr:uid="{F1FF9D4B-7BA2-4ABC-8F92-831E860FA6F7}"/>
    <cellStyle name="40% - Accent4 7 4 2 3" xfId="7238" xr:uid="{00000000-0005-0000-0000-0000FE440000}"/>
    <cellStyle name="40% - Accent4 7 4 2 3 2" xfId="15209" xr:uid="{00000000-0005-0000-0000-0000FF440000}"/>
    <cellStyle name="40% - Accent4 7 4 2 3 2 2" xfId="39051" xr:uid="{F6A7AC5C-03D8-4573-804D-276FD1FD7152}"/>
    <cellStyle name="40% - Accent4 7 4 2 3 3" xfId="23156" xr:uid="{00000000-0005-0000-0000-000000450000}"/>
    <cellStyle name="40% - Accent4 7 4 2 3 3 2" xfId="46988" xr:uid="{AB391F9E-429E-45C3-8F7B-D8B609357ADD}"/>
    <cellStyle name="40% - Accent4 7 4 2 3 4" xfId="31110" xr:uid="{6ED25A3D-944F-4D8F-A5FC-6487BCBE04AE}"/>
    <cellStyle name="40% - Accent4 7 4 2 4" xfId="11673" xr:uid="{00000000-0005-0000-0000-000001450000}"/>
    <cellStyle name="40% - Accent4 7 4 2 4 2" xfId="35522" xr:uid="{8AE8824D-AE1E-4755-8DD7-C6ED4FA9AA5D}"/>
    <cellStyle name="40% - Accent4 7 4 2 5" xfId="19628" xr:uid="{00000000-0005-0000-0000-000002450000}"/>
    <cellStyle name="40% - Accent4 7 4 2 5 2" xfId="43460" xr:uid="{6825D47B-6BB6-4A85-8D09-DF30D2CB6996}"/>
    <cellStyle name="40% - Accent4 7 4 2 6" xfId="27580" xr:uid="{5DD7DB6D-7AC1-44A1-928C-E3A1D024DE2C}"/>
    <cellStyle name="40% - Accent4 7 4 2_Exh G" xfId="3152" xr:uid="{00000000-0005-0000-0000-000003450000}"/>
    <cellStyle name="40% - Accent4 7 4 3" xfId="4527" xr:uid="{00000000-0005-0000-0000-000004450000}"/>
    <cellStyle name="40% - Accent4 7 4 3 2" xfId="8119" xr:uid="{00000000-0005-0000-0000-000005450000}"/>
    <cellStyle name="40% - Accent4 7 4 3 2 2" xfId="16089" xr:uid="{00000000-0005-0000-0000-000006450000}"/>
    <cellStyle name="40% - Accent4 7 4 3 2 2 2" xfId="39931" xr:uid="{57897011-4DD4-4921-83E0-13748C922595}"/>
    <cellStyle name="40% - Accent4 7 4 3 2 3" xfId="24035" xr:uid="{00000000-0005-0000-0000-000007450000}"/>
    <cellStyle name="40% - Accent4 7 4 3 2 3 2" xfId="47867" xr:uid="{B237659C-FB24-4F90-B653-27314D279D6F}"/>
    <cellStyle name="40% - Accent4 7 4 3 2 4" xfId="31990" xr:uid="{0CBCA2F0-5D6F-446A-AFC6-345AA20AA474}"/>
    <cellStyle name="40% - Accent4 7 4 3 3" xfId="12551" xr:uid="{00000000-0005-0000-0000-000008450000}"/>
    <cellStyle name="40% - Accent4 7 4 3 3 2" xfId="36400" xr:uid="{F9160AF7-C297-4B93-8B2C-B3436B48A478}"/>
    <cellStyle name="40% - Accent4 7 4 3 4" xfId="20506" xr:uid="{00000000-0005-0000-0000-000009450000}"/>
    <cellStyle name="40% - Accent4 7 4 3 4 2" xfId="44338" xr:uid="{DDD78EEF-B2CF-4B0E-9C89-56AF6F3AC198}"/>
    <cellStyle name="40% - Accent4 7 4 3 5" xfId="28459" xr:uid="{1B6EE19F-9CFE-43E6-9803-3942004EF687}"/>
    <cellStyle name="40% - Accent4 7 4 4" xfId="6357" xr:uid="{00000000-0005-0000-0000-00000A450000}"/>
    <cellStyle name="40% - Accent4 7 4 4 2" xfId="14331" xr:uid="{00000000-0005-0000-0000-00000B450000}"/>
    <cellStyle name="40% - Accent4 7 4 4 2 2" xfId="38173" xr:uid="{93BC73D6-CE7A-4DDE-A74F-A2BB7A6F1710}"/>
    <cellStyle name="40% - Accent4 7 4 4 3" xfId="22278" xr:uid="{00000000-0005-0000-0000-00000C450000}"/>
    <cellStyle name="40% - Accent4 7 4 4 3 2" xfId="46110" xr:uid="{F43EDE7E-5390-4413-A4C9-3BB856195153}"/>
    <cellStyle name="40% - Accent4 7 4 4 4" xfId="30232" xr:uid="{E2C84244-1277-40DD-9E7A-F4E90B043C4B}"/>
    <cellStyle name="40% - Accent4 7 4 5" xfId="9899" xr:uid="{00000000-0005-0000-0000-00000D450000}"/>
    <cellStyle name="40% - Accent4 7 4 5 2" xfId="17857" xr:uid="{00000000-0005-0000-0000-00000E450000}"/>
    <cellStyle name="40% - Accent4 7 4 5 2 2" xfId="41697" xr:uid="{FBBE29A1-C9E2-4D23-AE07-C0FB32E6FEDF}"/>
    <cellStyle name="40% - Accent4 7 4 5 3" xfId="25801" xr:uid="{00000000-0005-0000-0000-00000F450000}"/>
    <cellStyle name="40% - Accent4 7 4 5 3 2" xfId="49633" xr:uid="{893A8FC1-6D66-4EC2-9DAE-C3418FC7C5F8}"/>
    <cellStyle name="40% - Accent4 7 4 5 4" xfId="33756" xr:uid="{0C8ABF42-D439-4D14-B74D-200BEFE1FB8E}"/>
    <cellStyle name="40% - Accent4 7 4 6" xfId="10795" xr:uid="{00000000-0005-0000-0000-000010450000}"/>
    <cellStyle name="40% - Accent4 7 4 6 2" xfId="34644" xr:uid="{CE71DFCC-636C-4C01-B422-09509E0CAB47}"/>
    <cellStyle name="40% - Accent4 7 4 7" xfId="18750" xr:uid="{00000000-0005-0000-0000-000011450000}"/>
    <cellStyle name="40% - Accent4 7 4 7 2" xfId="42582" xr:uid="{2F765B7D-01D5-46C6-8BB7-C4FC890A1D0B}"/>
    <cellStyle name="40% - Accent4 7 4 8" xfId="26702" xr:uid="{C4334632-9242-422C-A4B2-C290D4F56A19}"/>
    <cellStyle name="40% - Accent4 7 4_Exh G" xfId="3151" xr:uid="{00000000-0005-0000-0000-000012450000}"/>
    <cellStyle name="40% - Accent4 7 5" xfId="1546" xr:uid="{00000000-0005-0000-0000-000013450000}"/>
    <cellStyle name="40% - Accent4 7 5 2" xfId="5073" xr:uid="{00000000-0005-0000-0000-000014450000}"/>
    <cellStyle name="40% - Accent4 7 5 2 2" xfId="8664" xr:uid="{00000000-0005-0000-0000-000015450000}"/>
    <cellStyle name="40% - Accent4 7 5 2 2 2" xfId="16634" xr:uid="{00000000-0005-0000-0000-000016450000}"/>
    <cellStyle name="40% - Accent4 7 5 2 2 2 2" xfId="40476" xr:uid="{A7EA6E84-B5E9-49F7-B4A9-56DF1979EF56}"/>
    <cellStyle name="40% - Accent4 7 5 2 2 3" xfId="24580" xr:uid="{00000000-0005-0000-0000-000017450000}"/>
    <cellStyle name="40% - Accent4 7 5 2 2 3 2" xfId="48412" xr:uid="{53242AE7-1A0D-49A7-9FA0-876B1FC7E638}"/>
    <cellStyle name="40% - Accent4 7 5 2 2 4" xfId="32535" xr:uid="{88321372-6621-426D-BCE3-13F84E74737F}"/>
    <cellStyle name="40% - Accent4 7 5 2 3" xfId="13096" xr:uid="{00000000-0005-0000-0000-000018450000}"/>
    <cellStyle name="40% - Accent4 7 5 2 3 2" xfId="36945" xr:uid="{77C05630-F43A-496A-9785-3BAACF2785E6}"/>
    <cellStyle name="40% - Accent4 7 5 2 4" xfId="21051" xr:uid="{00000000-0005-0000-0000-000019450000}"/>
    <cellStyle name="40% - Accent4 7 5 2 4 2" xfId="44883" xr:uid="{10840705-489B-49B8-A8F3-63EDE4AF11EA}"/>
    <cellStyle name="40% - Accent4 7 5 2 5" xfId="29004" xr:uid="{E1BB7656-539B-41FD-A621-649D9CC4B03F}"/>
    <cellStyle name="40% - Accent4 7 5 3" xfId="6905" xr:uid="{00000000-0005-0000-0000-00001A450000}"/>
    <cellStyle name="40% - Accent4 7 5 3 2" xfId="14876" xr:uid="{00000000-0005-0000-0000-00001B450000}"/>
    <cellStyle name="40% - Accent4 7 5 3 2 2" xfId="38718" xr:uid="{CD76E7D6-8F08-480A-9F7D-6EED3D0A24E3}"/>
    <cellStyle name="40% - Accent4 7 5 3 3" xfId="22823" xr:uid="{00000000-0005-0000-0000-00001C450000}"/>
    <cellStyle name="40% - Accent4 7 5 3 3 2" xfId="46655" xr:uid="{4ACFFD89-AFE6-4207-8B66-7B690E7519A0}"/>
    <cellStyle name="40% - Accent4 7 5 3 4" xfId="30777" xr:uid="{C3CA6B56-A5C6-48CC-AAC8-A749ACFF0CE8}"/>
    <cellStyle name="40% - Accent4 7 5 4" xfId="11340" xr:uid="{00000000-0005-0000-0000-00001D450000}"/>
    <cellStyle name="40% - Accent4 7 5 4 2" xfId="35189" xr:uid="{6F9BD711-5616-454A-B1EB-C39C90D29610}"/>
    <cellStyle name="40% - Accent4 7 5 5" xfId="19295" xr:uid="{00000000-0005-0000-0000-00001E450000}"/>
    <cellStyle name="40% - Accent4 7 5 5 2" xfId="43127" xr:uid="{8CBD8CA1-509C-455B-9131-2B51456B05E7}"/>
    <cellStyle name="40% - Accent4 7 5 6" xfId="27247" xr:uid="{DEB8A4F2-4B19-4700-A989-FA6AB4A4FFCE}"/>
    <cellStyle name="40% - Accent4 7 5_Exh G" xfId="3153" xr:uid="{00000000-0005-0000-0000-00001F450000}"/>
    <cellStyle name="40% - Accent4 7 6" xfId="4194" xr:uid="{00000000-0005-0000-0000-000020450000}"/>
    <cellStyle name="40% - Accent4 7 6 2" xfId="7786" xr:uid="{00000000-0005-0000-0000-000021450000}"/>
    <cellStyle name="40% - Accent4 7 6 2 2" xfId="15756" xr:uid="{00000000-0005-0000-0000-000022450000}"/>
    <cellStyle name="40% - Accent4 7 6 2 2 2" xfId="39598" xr:uid="{44235C29-CE16-40A6-88AC-E407660902DF}"/>
    <cellStyle name="40% - Accent4 7 6 2 3" xfId="23702" xr:uid="{00000000-0005-0000-0000-000023450000}"/>
    <cellStyle name="40% - Accent4 7 6 2 3 2" xfId="47534" xr:uid="{9E752D64-C301-448C-8587-90129DE25056}"/>
    <cellStyle name="40% - Accent4 7 6 2 4" xfId="31657" xr:uid="{64057A58-9B61-4BBA-922E-C889EAE282C6}"/>
    <cellStyle name="40% - Accent4 7 6 3" xfId="12218" xr:uid="{00000000-0005-0000-0000-000024450000}"/>
    <cellStyle name="40% - Accent4 7 6 3 2" xfId="36067" xr:uid="{3B4CB3BB-5F86-40BF-B590-96C7BF040C32}"/>
    <cellStyle name="40% - Accent4 7 6 4" xfId="20173" xr:uid="{00000000-0005-0000-0000-000025450000}"/>
    <cellStyle name="40% - Accent4 7 6 4 2" xfId="44005" xr:uid="{B6F9A740-8EA7-4FD5-A2F6-CFB094D51302}"/>
    <cellStyle name="40% - Accent4 7 6 5" xfId="28126" xr:uid="{64D9D2C4-A207-41DA-904B-2B05DC770974}"/>
    <cellStyle name="40% - Accent4 7 7" xfId="6014" xr:uid="{00000000-0005-0000-0000-000026450000}"/>
    <cellStyle name="40% - Accent4 7 7 2" xfId="13997" xr:uid="{00000000-0005-0000-0000-000027450000}"/>
    <cellStyle name="40% - Accent4 7 7 2 2" xfId="37840" xr:uid="{484C6968-FC62-479A-925A-1F193FF6A68F}"/>
    <cellStyle name="40% - Accent4 7 7 3" xfId="21945" xr:uid="{00000000-0005-0000-0000-000028450000}"/>
    <cellStyle name="40% - Accent4 7 7 3 2" xfId="45777" xr:uid="{8BFD0CAF-2B08-4A3E-B9A7-F9A3F888F04D}"/>
    <cellStyle name="40% - Accent4 7 7 4" xfId="29899" xr:uid="{42D20EA9-9B18-4618-B460-40F7E34AE74A}"/>
    <cellStyle name="40% - Accent4 7 8" xfId="9566" xr:uid="{00000000-0005-0000-0000-000029450000}"/>
    <cellStyle name="40% - Accent4 7 8 2" xfId="17524" xr:uid="{00000000-0005-0000-0000-00002A450000}"/>
    <cellStyle name="40% - Accent4 7 8 2 2" xfId="41364" xr:uid="{C3ACF85E-41A7-4944-86CA-16D7BE001BB0}"/>
    <cellStyle name="40% - Accent4 7 8 3" xfId="25468" xr:uid="{00000000-0005-0000-0000-00002B450000}"/>
    <cellStyle name="40% - Accent4 7 8 3 2" xfId="49300" xr:uid="{DD484BF3-C2A2-4064-A45B-024DE2CBC62B}"/>
    <cellStyle name="40% - Accent4 7 8 4" xfId="33423" xr:uid="{1D047588-EDD5-4A29-A9C9-BC35FF828E72}"/>
    <cellStyle name="40% - Accent4 7 9" xfId="10462" xr:uid="{00000000-0005-0000-0000-00002C450000}"/>
    <cellStyle name="40% - Accent4 7 9 2" xfId="34311" xr:uid="{BD9AD9C5-764E-4202-9817-B98B744282BE}"/>
    <cellStyle name="40% - Accent4 7_Exh G" xfId="3144" xr:uid="{00000000-0005-0000-0000-00002D450000}"/>
    <cellStyle name="40% - Accent4 8" xfId="524" xr:uid="{00000000-0005-0000-0000-00002E450000}"/>
    <cellStyle name="40% - Accent4 8 10" xfId="18421" xr:uid="{00000000-0005-0000-0000-00002F450000}"/>
    <cellStyle name="40% - Accent4 8 10 2" xfId="42253" xr:uid="{8803EBE9-7491-4789-92FF-F25409032808}"/>
    <cellStyle name="40% - Accent4 8 11" xfId="26373" xr:uid="{A60B7714-AE75-4620-AE51-07611C201507}"/>
    <cellStyle name="40% - Accent4 8 2" xfId="525" xr:uid="{00000000-0005-0000-0000-000030450000}"/>
    <cellStyle name="40% - Accent4 8 2 2" xfId="526" xr:uid="{00000000-0005-0000-0000-000031450000}"/>
    <cellStyle name="40% - Accent4 8 2 2 2" xfId="1552" xr:uid="{00000000-0005-0000-0000-000032450000}"/>
    <cellStyle name="40% - Accent4 8 2 2 2 2" xfId="5079" xr:uid="{00000000-0005-0000-0000-000033450000}"/>
    <cellStyle name="40% - Accent4 8 2 2 2 2 2" xfId="8670" xr:uid="{00000000-0005-0000-0000-000034450000}"/>
    <cellStyle name="40% - Accent4 8 2 2 2 2 2 2" xfId="16640" xr:uid="{00000000-0005-0000-0000-000035450000}"/>
    <cellStyle name="40% - Accent4 8 2 2 2 2 2 2 2" xfId="40482" xr:uid="{4D78317C-D643-4144-A0EA-ABF866485817}"/>
    <cellStyle name="40% - Accent4 8 2 2 2 2 2 3" xfId="24586" xr:uid="{00000000-0005-0000-0000-000036450000}"/>
    <cellStyle name="40% - Accent4 8 2 2 2 2 2 3 2" xfId="48418" xr:uid="{D7FDBEFC-BE20-4E6F-BC2E-7402C82961F7}"/>
    <cellStyle name="40% - Accent4 8 2 2 2 2 2 4" xfId="32541" xr:uid="{D1E97EFD-EC3F-4A81-89A4-5488847D4076}"/>
    <cellStyle name="40% - Accent4 8 2 2 2 2 3" xfId="13102" xr:uid="{00000000-0005-0000-0000-000037450000}"/>
    <cellStyle name="40% - Accent4 8 2 2 2 2 3 2" xfId="36951" xr:uid="{8357202C-ADF5-4051-8463-100C93E12571}"/>
    <cellStyle name="40% - Accent4 8 2 2 2 2 4" xfId="21057" xr:uid="{00000000-0005-0000-0000-000038450000}"/>
    <cellStyle name="40% - Accent4 8 2 2 2 2 4 2" xfId="44889" xr:uid="{5D2C6E07-D0C6-49FB-9C92-2BCA85368BBC}"/>
    <cellStyle name="40% - Accent4 8 2 2 2 2 5" xfId="29010" xr:uid="{5AAD2F1A-06CC-4B1C-B131-6D908F71788D}"/>
    <cellStyle name="40% - Accent4 8 2 2 2 3" xfId="6911" xr:uid="{00000000-0005-0000-0000-000039450000}"/>
    <cellStyle name="40% - Accent4 8 2 2 2 3 2" xfId="14882" xr:uid="{00000000-0005-0000-0000-00003A450000}"/>
    <cellStyle name="40% - Accent4 8 2 2 2 3 2 2" xfId="38724" xr:uid="{0216D527-F387-462E-BDEB-1F6088F9935C}"/>
    <cellStyle name="40% - Accent4 8 2 2 2 3 3" xfId="22829" xr:uid="{00000000-0005-0000-0000-00003B450000}"/>
    <cellStyle name="40% - Accent4 8 2 2 2 3 3 2" xfId="46661" xr:uid="{8C8FAEF4-70A0-4141-93EB-D1B123125257}"/>
    <cellStyle name="40% - Accent4 8 2 2 2 3 4" xfId="30783" xr:uid="{034392ED-B537-45AE-9862-FDAC44442647}"/>
    <cellStyle name="40% - Accent4 8 2 2 2 4" xfId="11346" xr:uid="{00000000-0005-0000-0000-00003C450000}"/>
    <cellStyle name="40% - Accent4 8 2 2 2 4 2" xfId="35195" xr:uid="{96EC0BCF-0AE4-4366-94B0-9CF2068EDBAB}"/>
    <cellStyle name="40% - Accent4 8 2 2 2 5" xfId="19301" xr:uid="{00000000-0005-0000-0000-00003D450000}"/>
    <cellStyle name="40% - Accent4 8 2 2 2 5 2" xfId="43133" xr:uid="{8A673428-B6A0-430B-9928-E0EE4C079F41}"/>
    <cellStyle name="40% - Accent4 8 2 2 2 6" xfId="27253" xr:uid="{0C869BDB-03B5-4D66-9990-747210FD744B}"/>
    <cellStyle name="40% - Accent4 8 2 2 2_Exh G" xfId="3157" xr:uid="{00000000-0005-0000-0000-00003E450000}"/>
    <cellStyle name="40% - Accent4 8 2 2 3" xfId="4200" xr:uid="{00000000-0005-0000-0000-00003F450000}"/>
    <cellStyle name="40% - Accent4 8 2 2 3 2" xfId="7792" xr:uid="{00000000-0005-0000-0000-000040450000}"/>
    <cellStyle name="40% - Accent4 8 2 2 3 2 2" xfId="15762" xr:uid="{00000000-0005-0000-0000-000041450000}"/>
    <cellStyle name="40% - Accent4 8 2 2 3 2 2 2" xfId="39604" xr:uid="{B81AB00A-29B9-40AD-B6EC-D005EBA3D2E6}"/>
    <cellStyle name="40% - Accent4 8 2 2 3 2 3" xfId="23708" xr:uid="{00000000-0005-0000-0000-000042450000}"/>
    <cellStyle name="40% - Accent4 8 2 2 3 2 3 2" xfId="47540" xr:uid="{A6626A31-58EA-4717-BF82-1B46ECC563E1}"/>
    <cellStyle name="40% - Accent4 8 2 2 3 2 4" xfId="31663" xr:uid="{96CB422E-7A79-489F-A3D4-AFC04B024C5B}"/>
    <cellStyle name="40% - Accent4 8 2 2 3 3" xfId="12224" xr:uid="{00000000-0005-0000-0000-000043450000}"/>
    <cellStyle name="40% - Accent4 8 2 2 3 3 2" xfId="36073" xr:uid="{13BAC058-5257-4C84-AD73-D326015E6E47}"/>
    <cellStyle name="40% - Accent4 8 2 2 3 4" xfId="20179" xr:uid="{00000000-0005-0000-0000-000044450000}"/>
    <cellStyle name="40% - Accent4 8 2 2 3 4 2" xfId="44011" xr:uid="{F50AC872-A1D4-4648-9723-6FC5A14FA68E}"/>
    <cellStyle name="40% - Accent4 8 2 2 3 5" xfId="28132" xr:uid="{701EB015-BA10-4046-A388-DAE2561D0CCF}"/>
    <cellStyle name="40% - Accent4 8 2 2 4" xfId="6020" xr:uid="{00000000-0005-0000-0000-000045450000}"/>
    <cellStyle name="40% - Accent4 8 2 2 4 2" xfId="14003" xr:uid="{00000000-0005-0000-0000-000046450000}"/>
    <cellStyle name="40% - Accent4 8 2 2 4 2 2" xfId="37846" xr:uid="{6388F98F-B305-4125-AFA0-2692934EC610}"/>
    <cellStyle name="40% - Accent4 8 2 2 4 3" xfId="21951" xr:uid="{00000000-0005-0000-0000-000047450000}"/>
    <cellStyle name="40% - Accent4 8 2 2 4 3 2" xfId="45783" xr:uid="{27888740-CA7E-4865-97B2-06D3B90F8179}"/>
    <cellStyle name="40% - Accent4 8 2 2 4 4" xfId="29905" xr:uid="{55E08951-9050-4EA5-8793-9DF22FC8133F}"/>
    <cellStyle name="40% - Accent4 8 2 2 5" xfId="9572" xr:uid="{00000000-0005-0000-0000-000048450000}"/>
    <cellStyle name="40% - Accent4 8 2 2 5 2" xfId="17530" xr:uid="{00000000-0005-0000-0000-000049450000}"/>
    <cellStyle name="40% - Accent4 8 2 2 5 2 2" xfId="41370" xr:uid="{9550600E-AF88-4840-A424-BABA5B568A98}"/>
    <cellStyle name="40% - Accent4 8 2 2 5 3" xfId="25474" xr:uid="{00000000-0005-0000-0000-00004A450000}"/>
    <cellStyle name="40% - Accent4 8 2 2 5 3 2" xfId="49306" xr:uid="{F1732DD0-603B-4849-8CB3-510EBFE587F7}"/>
    <cellStyle name="40% - Accent4 8 2 2 5 4" xfId="33429" xr:uid="{FB727978-6D2A-4ADF-8440-F9B4A6EC3972}"/>
    <cellStyle name="40% - Accent4 8 2 2 6" xfId="10468" xr:uid="{00000000-0005-0000-0000-00004B450000}"/>
    <cellStyle name="40% - Accent4 8 2 2 6 2" xfId="34317" xr:uid="{9DBDBF71-7FD1-4680-8A22-8DE537B34267}"/>
    <cellStyle name="40% - Accent4 8 2 2 7" xfId="18423" xr:uid="{00000000-0005-0000-0000-00004C450000}"/>
    <cellStyle name="40% - Accent4 8 2 2 7 2" xfId="42255" xr:uid="{BBD24A1F-4983-4597-82BB-DA72A07CABFD}"/>
    <cellStyle name="40% - Accent4 8 2 2 8" xfId="26375" xr:uid="{BE9353DE-FAE6-4852-B451-76D6EB2F716E}"/>
    <cellStyle name="40% - Accent4 8 2 2_Exh G" xfId="3156" xr:uid="{00000000-0005-0000-0000-00004D450000}"/>
    <cellStyle name="40% - Accent4 8 2 3" xfId="1551" xr:uid="{00000000-0005-0000-0000-00004E450000}"/>
    <cellStyle name="40% - Accent4 8 2 3 2" xfId="5078" xr:uid="{00000000-0005-0000-0000-00004F450000}"/>
    <cellStyle name="40% - Accent4 8 2 3 2 2" xfId="8669" xr:uid="{00000000-0005-0000-0000-000050450000}"/>
    <cellStyle name="40% - Accent4 8 2 3 2 2 2" xfId="16639" xr:uid="{00000000-0005-0000-0000-000051450000}"/>
    <cellStyle name="40% - Accent4 8 2 3 2 2 2 2" xfId="40481" xr:uid="{399012DB-A097-426E-8744-E81968FDFA3A}"/>
    <cellStyle name="40% - Accent4 8 2 3 2 2 3" xfId="24585" xr:uid="{00000000-0005-0000-0000-000052450000}"/>
    <cellStyle name="40% - Accent4 8 2 3 2 2 3 2" xfId="48417" xr:uid="{8F934FC3-8103-4FB5-A028-96517112D793}"/>
    <cellStyle name="40% - Accent4 8 2 3 2 2 4" xfId="32540" xr:uid="{9C4589EF-2166-4731-8031-5FA8B7686797}"/>
    <cellStyle name="40% - Accent4 8 2 3 2 3" xfId="13101" xr:uid="{00000000-0005-0000-0000-000053450000}"/>
    <cellStyle name="40% - Accent4 8 2 3 2 3 2" xfId="36950" xr:uid="{329A1390-AAE0-4AEF-9135-369277307E21}"/>
    <cellStyle name="40% - Accent4 8 2 3 2 4" xfId="21056" xr:uid="{00000000-0005-0000-0000-000054450000}"/>
    <cellStyle name="40% - Accent4 8 2 3 2 4 2" xfId="44888" xr:uid="{DA172A7E-ECDF-4CEF-BC4F-746604229D9F}"/>
    <cellStyle name="40% - Accent4 8 2 3 2 5" xfId="29009" xr:uid="{72F0DB2E-0DB1-4DC7-BB8F-46DAE0AAEB4B}"/>
    <cellStyle name="40% - Accent4 8 2 3 3" xfId="6910" xr:uid="{00000000-0005-0000-0000-000055450000}"/>
    <cellStyle name="40% - Accent4 8 2 3 3 2" xfId="14881" xr:uid="{00000000-0005-0000-0000-000056450000}"/>
    <cellStyle name="40% - Accent4 8 2 3 3 2 2" xfId="38723" xr:uid="{829D2012-0CF2-45FF-952B-D6550F9A9BF6}"/>
    <cellStyle name="40% - Accent4 8 2 3 3 3" xfId="22828" xr:uid="{00000000-0005-0000-0000-000057450000}"/>
    <cellStyle name="40% - Accent4 8 2 3 3 3 2" xfId="46660" xr:uid="{C35D2DC6-7255-4600-BF6B-F1BFB3072320}"/>
    <cellStyle name="40% - Accent4 8 2 3 3 4" xfId="30782" xr:uid="{2B4CD907-0103-4ECB-95A9-870A72B1FDC4}"/>
    <cellStyle name="40% - Accent4 8 2 3 4" xfId="11345" xr:uid="{00000000-0005-0000-0000-000058450000}"/>
    <cellStyle name="40% - Accent4 8 2 3 4 2" xfId="35194" xr:uid="{46F891A6-EE04-409B-8C6F-24883517FF20}"/>
    <cellStyle name="40% - Accent4 8 2 3 5" xfId="19300" xr:uid="{00000000-0005-0000-0000-000059450000}"/>
    <cellStyle name="40% - Accent4 8 2 3 5 2" xfId="43132" xr:uid="{7DF1225E-86B9-4028-A82D-7C432E938F0F}"/>
    <cellStyle name="40% - Accent4 8 2 3 6" xfId="27252" xr:uid="{A1A0F2A3-E4E2-432A-B060-549726544829}"/>
    <cellStyle name="40% - Accent4 8 2 3_Exh G" xfId="3158" xr:uid="{00000000-0005-0000-0000-00005A450000}"/>
    <cellStyle name="40% - Accent4 8 2 4" xfId="4199" xr:uid="{00000000-0005-0000-0000-00005B450000}"/>
    <cellStyle name="40% - Accent4 8 2 4 2" xfId="7791" xr:uid="{00000000-0005-0000-0000-00005C450000}"/>
    <cellStyle name="40% - Accent4 8 2 4 2 2" xfId="15761" xr:uid="{00000000-0005-0000-0000-00005D450000}"/>
    <cellStyle name="40% - Accent4 8 2 4 2 2 2" xfId="39603" xr:uid="{88CF437D-E0A4-42AC-9DA5-3A15C69244AA}"/>
    <cellStyle name="40% - Accent4 8 2 4 2 3" xfId="23707" xr:uid="{00000000-0005-0000-0000-00005E450000}"/>
    <cellStyle name="40% - Accent4 8 2 4 2 3 2" xfId="47539" xr:uid="{9B6E1727-0708-4954-9A62-89DCB09F63D1}"/>
    <cellStyle name="40% - Accent4 8 2 4 2 4" xfId="31662" xr:uid="{C4199A37-1C8C-43CA-A370-131984CD6441}"/>
    <cellStyle name="40% - Accent4 8 2 4 3" xfId="12223" xr:uid="{00000000-0005-0000-0000-00005F450000}"/>
    <cellStyle name="40% - Accent4 8 2 4 3 2" xfId="36072" xr:uid="{4AA5766C-ABDE-4670-ACB9-D84275C541EB}"/>
    <cellStyle name="40% - Accent4 8 2 4 4" xfId="20178" xr:uid="{00000000-0005-0000-0000-000060450000}"/>
    <cellStyle name="40% - Accent4 8 2 4 4 2" xfId="44010" xr:uid="{583CAB19-09E6-4D95-A65A-F9A7D1BD5F35}"/>
    <cellStyle name="40% - Accent4 8 2 4 5" xfId="28131" xr:uid="{18DB7927-E3DC-4125-8E07-2407BD283054}"/>
    <cellStyle name="40% - Accent4 8 2 5" xfId="6019" xr:uid="{00000000-0005-0000-0000-000061450000}"/>
    <cellStyle name="40% - Accent4 8 2 5 2" xfId="14002" xr:uid="{00000000-0005-0000-0000-000062450000}"/>
    <cellStyle name="40% - Accent4 8 2 5 2 2" xfId="37845" xr:uid="{EA74B6A7-0895-4E60-981F-E058A91452B4}"/>
    <cellStyle name="40% - Accent4 8 2 5 3" xfId="21950" xr:uid="{00000000-0005-0000-0000-000063450000}"/>
    <cellStyle name="40% - Accent4 8 2 5 3 2" xfId="45782" xr:uid="{33216E81-C266-4FBC-99A5-3D7D3528F47F}"/>
    <cellStyle name="40% - Accent4 8 2 5 4" xfId="29904" xr:uid="{313AD963-8AD8-48BF-AC93-E9545EEA492C}"/>
    <cellStyle name="40% - Accent4 8 2 6" xfId="9571" xr:uid="{00000000-0005-0000-0000-000064450000}"/>
    <cellStyle name="40% - Accent4 8 2 6 2" xfId="17529" xr:uid="{00000000-0005-0000-0000-000065450000}"/>
    <cellStyle name="40% - Accent4 8 2 6 2 2" xfId="41369" xr:uid="{F1AB66BA-674D-423D-AA3B-1FC7D78021A4}"/>
    <cellStyle name="40% - Accent4 8 2 6 3" xfId="25473" xr:uid="{00000000-0005-0000-0000-000066450000}"/>
    <cellStyle name="40% - Accent4 8 2 6 3 2" xfId="49305" xr:uid="{B83E857F-E98C-4817-95D9-2071449913EB}"/>
    <cellStyle name="40% - Accent4 8 2 6 4" xfId="33428" xr:uid="{AA571A04-63CA-4796-89A1-E8AC73EF7E3E}"/>
    <cellStyle name="40% - Accent4 8 2 7" xfId="10467" xr:uid="{00000000-0005-0000-0000-000067450000}"/>
    <cellStyle name="40% - Accent4 8 2 7 2" xfId="34316" xr:uid="{8B83EC6B-04B9-4D81-8482-556417904E54}"/>
    <cellStyle name="40% - Accent4 8 2 8" xfId="18422" xr:uid="{00000000-0005-0000-0000-000068450000}"/>
    <cellStyle name="40% - Accent4 8 2 8 2" xfId="42254" xr:uid="{796D857C-1C1E-4477-A4D7-6AD8AA77D73D}"/>
    <cellStyle name="40% - Accent4 8 2 9" xfId="26374" xr:uid="{7326000A-2C70-4960-97CF-8B2C65F85286}"/>
    <cellStyle name="40% - Accent4 8 2_Exh G" xfId="3155" xr:uid="{00000000-0005-0000-0000-000069450000}"/>
    <cellStyle name="40% - Accent4 8 3" xfId="527" xr:uid="{00000000-0005-0000-0000-00006A450000}"/>
    <cellStyle name="40% - Accent4 8 3 2" xfId="1553" xr:uid="{00000000-0005-0000-0000-00006B450000}"/>
    <cellStyle name="40% - Accent4 8 3 2 2" xfId="5080" xr:uid="{00000000-0005-0000-0000-00006C450000}"/>
    <cellStyle name="40% - Accent4 8 3 2 2 2" xfId="8671" xr:uid="{00000000-0005-0000-0000-00006D450000}"/>
    <cellStyle name="40% - Accent4 8 3 2 2 2 2" xfId="16641" xr:uid="{00000000-0005-0000-0000-00006E450000}"/>
    <cellStyle name="40% - Accent4 8 3 2 2 2 2 2" xfId="40483" xr:uid="{FBD69633-2C10-4495-8D80-8A0B3DBDFDFD}"/>
    <cellStyle name="40% - Accent4 8 3 2 2 2 3" xfId="24587" xr:uid="{00000000-0005-0000-0000-00006F450000}"/>
    <cellStyle name="40% - Accent4 8 3 2 2 2 3 2" xfId="48419" xr:uid="{95649342-0427-4E28-AE58-D2A9E034FB1B}"/>
    <cellStyle name="40% - Accent4 8 3 2 2 2 4" xfId="32542" xr:uid="{868B0A72-4A81-4900-9520-B615258B81FC}"/>
    <cellStyle name="40% - Accent4 8 3 2 2 3" xfId="13103" xr:uid="{00000000-0005-0000-0000-000070450000}"/>
    <cellStyle name="40% - Accent4 8 3 2 2 3 2" xfId="36952" xr:uid="{C67B5DEF-E348-4A41-8BBE-8F7D3E83DD6A}"/>
    <cellStyle name="40% - Accent4 8 3 2 2 4" xfId="21058" xr:uid="{00000000-0005-0000-0000-000071450000}"/>
    <cellStyle name="40% - Accent4 8 3 2 2 4 2" xfId="44890" xr:uid="{1690399B-B7FA-4FA0-A341-83332F530A59}"/>
    <cellStyle name="40% - Accent4 8 3 2 2 5" xfId="29011" xr:uid="{57D815CB-9446-4F1B-A802-071F7022752D}"/>
    <cellStyle name="40% - Accent4 8 3 2 3" xfId="6912" xr:uid="{00000000-0005-0000-0000-000072450000}"/>
    <cellStyle name="40% - Accent4 8 3 2 3 2" xfId="14883" xr:uid="{00000000-0005-0000-0000-000073450000}"/>
    <cellStyle name="40% - Accent4 8 3 2 3 2 2" xfId="38725" xr:uid="{9B50040F-ADC0-4836-9789-063A5ABD90F5}"/>
    <cellStyle name="40% - Accent4 8 3 2 3 3" xfId="22830" xr:uid="{00000000-0005-0000-0000-000074450000}"/>
    <cellStyle name="40% - Accent4 8 3 2 3 3 2" xfId="46662" xr:uid="{3FB33248-A9EC-4663-B6C0-1E225B2D4FD0}"/>
    <cellStyle name="40% - Accent4 8 3 2 3 4" xfId="30784" xr:uid="{F9071BD6-0949-4336-A270-809824B514BD}"/>
    <cellStyle name="40% - Accent4 8 3 2 4" xfId="11347" xr:uid="{00000000-0005-0000-0000-000075450000}"/>
    <cellStyle name="40% - Accent4 8 3 2 4 2" xfId="35196" xr:uid="{B51E7D07-8C18-42A6-BA86-B8C3446605BB}"/>
    <cellStyle name="40% - Accent4 8 3 2 5" xfId="19302" xr:uid="{00000000-0005-0000-0000-000076450000}"/>
    <cellStyle name="40% - Accent4 8 3 2 5 2" xfId="43134" xr:uid="{86E730A0-6BA5-41D7-A7A9-0BAB8C3FD96A}"/>
    <cellStyle name="40% - Accent4 8 3 2 6" xfId="27254" xr:uid="{092CF5E0-136B-4AA7-8F7D-7DFCB491C82C}"/>
    <cellStyle name="40% - Accent4 8 3 2_Exh G" xfId="3160" xr:uid="{00000000-0005-0000-0000-000077450000}"/>
    <cellStyle name="40% - Accent4 8 3 3" xfId="4201" xr:uid="{00000000-0005-0000-0000-000078450000}"/>
    <cellStyle name="40% - Accent4 8 3 3 2" xfId="7793" xr:uid="{00000000-0005-0000-0000-000079450000}"/>
    <cellStyle name="40% - Accent4 8 3 3 2 2" xfId="15763" xr:uid="{00000000-0005-0000-0000-00007A450000}"/>
    <cellStyle name="40% - Accent4 8 3 3 2 2 2" xfId="39605" xr:uid="{CEB54ED2-42F4-4F52-83D5-7CE50EEADBCB}"/>
    <cellStyle name="40% - Accent4 8 3 3 2 3" xfId="23709" xr:uid="{00000000-0005-0000-0000-00007B450000}"/>
    <cellStyle name="40% - Accent4 8 3 3 2 3 2" xfId="47541" xr:uid="{BD45AAB1-3030-4A7C-B24D-77B12C6E62E1}"/>
    <cellStyle name="40% - Accent4 8 3 3 2 4" xfId="31664" xr:uid="{FDC6ACFC-82F1-4BF4-9B1E-E5BBC79FDE5F}"/>
    <cellStyle name="40% - Accent4 8 3 3 3" xfId="12225" xr:uid="{00000000-0005-0000-0000-00007C450000}"/>
    <cellStyle name="40% - Accent4 8 3 3 3 2" xfId="36074" xr:uid="{8DDC9AB6-543A-466B-BD04-F299477DE516}"/>
    <cellStyle name="40% - Accent4 8 3 3 4" xfId="20180" xr:uid="{00000000-0005-0000-0000-00007D450000}"/>
    <cellStyle name="40% - Accent4 8 3 3 4 2" xfId="44012" xr:uid="{10F396F8-08D2-4E2C-AAF6-EA2A3F465C16}"/>
    <cellStyle name="40% - Accent4 8 3 3 5" xfId="28133" xr:uid="{5161F491-0A22-42FF-AAD9-DCE54661E633}"/>
    <cellStyle name="40% - Accent4 8 3 4" xfId="6021" xr:uid="{00000000-0005-0000-0000-00007E450000}"/>
    <cellStyle name="40% - Accent4 8 3 4 2" xfId="14004" xr:uid="{00000000-0005-0000-0000-00007F450000}"/>
    <cellStyle name="40% - Accent4 8 3 4 2 2" xfId="37847" xr:uid="{4F4E9D0F-88FC-4067-B043-FFC6A6E11DD9}"/>
    <cellStyle name="40% - Accent4 8 3 4 3" xfId="21952" xr:uid="{00000000-0005-0000-0000-000080450000}"/>
    <cellStyle name="40% - Accent4 8 3 4 3 2" xfId="45784" xr:uid="{10506705-B473-4B00-BF15-2D47B05144B2}"/>
    <cellStyle name="40% - Accent4 8 3 4 4" xfId="29906" xr:uid="{38DAA50E-47F7-439E-9F4E-E431312B5E20}"/>
    <cellStyle name="40% - Accent4 8 3 5" xfId="9573" xr:uid="{00000000-0005-0000-0000-000081450000}"/>
    <cellStyle name="40% - Accent4 8 3 5 2" xfId="17531" xr:uid="{00000000-0005-0000-0000-000082450000}"/>
    <cellStyle name="40% - Accent4 8 3 5 2 2" xfId="41371" xr:uid="{A002BB49-949D-455B-814D-C02F879E5899}"/>
    <cellStyle name="40% - Accent4 8 3 5 3" xfId="25475" xr:uid="{00000000-0005-0000-0000-000083450000}"/>
    <cellStyle name="40% - Accent4 8 3 5 3 2" xfId="49307" xr:uid="{852FF7F3-9651-43E7-BAF4-731DDBDD14A6}"/>
    <cellStyle name="40% - Accent4 8 3 5 4" xfId="33430" xr:uid="{A9B5DEF9-7656-4022-80DC-48769DD9DED0}"/>
    <cellStyle name="40% - Accent4 8 3 6" xfId="10469" xr:uid="{00000000-0005-0000-0000-000084450000}"/>
    <cellStyle name="40% - Accent4 8 3 6 2" xfId="34318" xr:uid="{E35AEEF3-57A7-4CE3-B6D7-CAF32C07244F}"/>
    <cellStyle name="40% - Accent4 8 3 7" xfId="18424" xr:uid="{00000000-0005-0000-0000-000085450000}"/>
    <cellStyle name="40% - Accent4 8 3 7 2" xfId="42256" xr:uid="{0A277DDF-5AC8-4342-92AF-4B01AED67FD8}"/>
    <cellStyle name="40% - Accent4 8 3 8" xfId="26376" xr:uid="{17462490-49E1-424E-B5C4-076DDB7B289B}"/>
    <cellStyle name="40% - Accent4 8 3_Exh G" xfId="3159" xr:uid="{00000000-0005-0000-0000-000086450000}"/>
    <cellStyle name="40% - Accent4 8 4" xfId="977" xr:uid="{00000000-0005-0000-0000-000087450000}"/>
    <cellStyle name="40% - Accent4 8 4 2" xfId="1890" xr:uid="{00000000-0005-0000-0000-000088450000}"/>
    <cellStyle name="40% - Accent4 8 4 2 2" xfId="5407" xr:uid="{00000000-0005-0000-0000-000089450000}"/>
    <cellStyle name="40% - Accent4 8 4 2 2 2" xfId="8998" xr:uid="{00000000-0005-0000-0000-00008A450000}"/>
    <cellStyle name="40% - Accent4 8 4 2 2 2 2" xfId="16968" xr:uid="{00000000-0005-0000-0000-00008B450000}"/>
    <cellStyle name="40% - Accent4 8 4 2 2 2 2 2" xfId="40810" xr:uid="{717C31E8-56C2-4BDA-A6B6-10C10638F355}"/>
    <cellStyle name="40% - Accent4 8 4 2 2 2 3" xfId="24914" xr:uid="{00000000-0005-0000-0000-00008C450000}"/>
    <cellStyle name="40% - Accent4 8 4 2 2 2 3 2" xfId="48746" xr:uid="{478037FB-AD5A-4DFF-AF82-B3495010F48A}"/>
    <cellStyle name="40% - Accent4 8 4 2 2 2 4" xfId="32869" xr:uid="{16F42D22-0F60-411D-87F0-02A7775CC6F3}"/>
    <cellStyle name="40% - Accent4 8 4 2 2 3" xfId="13430" xr:uid="{00000000-0005-0000-0000-00008D450000}"/>
    <cellStyle name="40% - Accent4 8 4 2 2 3 2" xfId="37279" xr:uid="{1DBC161B-1599-4F38-AC8A-03C98F77BDC7}"/>
    <cellStyle name="40% - Accent4 8 4 2 2 4" xfId="21385" xr:uid="{00000000-0005-0000-0000-00008E450000}"/>
    <cellStyle name="40% - Accent4 8 4 2 2 4 2" xfId="45217" xr:uid="{4B2C2F58-9044-4AE7-8980-55814E3279AE}"/>
    <cellStyle name="40% - Accent4 8 4 2 2 5" xfId="29338" xr:uid="{B527B74C-F0D5-4F57-81EC-2D8FB50A2224}"/>
    <cellStyle name="40% - Accent4 8 4 2 3" xfId="7239" xr:uid="{00000000-0005-0000-0000-00008F450000}"/>
    <cellStyle name="40% - Accent4 8 4 2 3 2" xfId="15210" xr:uid="{00000000-0005-0000-0000-000090450000}"/>
    <cellStyle name="40% - Accent4 8 4 2 3 2 2" xfId="39052" xr:uid="{4AC0C00E-5E63-4701-8098-012CD119DDDD}"/>
    <cellStyle name="40% - Accent4 8 4 2 3 3" xfId="23157" xr:uid="{00000000-0005-0000-0000-000091450000}"/>
    <cellStyle name="40% - Accent4 8 4 2 3 3 2" xfId="46989" xr:uid="{0DD164EA-9B04-4769-BD07-3464405D83CE}"/>
    <cellStyle name="40% - Accent4 8 4 2 3 4" xfId="31111" xr:uid="{F23AAD85-2AAB-4EA5-B372-75BD0F18D89A}"/>
    <cellStyle name="40% - Accent4 8 4 2 4" xfId="11674" xr:uid="{00000000-0005-0000-0000-000092450000}"/>
    <cellStyle name="40% - Accent4 8 4 2 4 2" xfId="35523" xr:uid="{8537C769-65BC-4D2F-BBF1-2754222D8600}"/>
    <cellStyle name="40% - Accent4 8 4 2 5" xfId="19629" xr:uid="{00000000-0005-0000-0000-000093450000}"/>
    <cellStyle name="40% - Accent4 8 4 2 5 2" xfId="43461" xr:uid="{3F7A2DE1-03C6-4A99-8E42-9AD9C06115E4}"/>
    <cellStyle name="40% - Accent4 8 4 2 6" xfId="27581" xr:uid="{1D8CC4AF-95CF-443A-8BC8-E4BCE95ECF95}"/>
    <cellStyle name="40% - Accent4 8 4 2_Exh G" xfId="3162" xr:uid="{00000000-0005-0000-0000-000094450000}"/>
    <cellStyle name="40% - Accent4 8 4 3" xfId="4528" xr:uid="{00000000-0005-0000-0000-000095450000}"/>
    <cellStyle name="40% - Accent4 8 4 3 2" xfId="8120" xr:uid="{00000000-0005-0000-0000-000096450000}"/>
    <cellStyle name="40% - Accent4 8 4 3 2 2" xfId="16090" xr:uid="{00000000-0005-0000-0000-000097450000}"/>
    <cellStyle name="40% - Accent4 8 4 3 2 2 2" xfId="39932" xr:uid="{3AE964E8-2C59-4C82-8B43-601E086D82BB}"/>
    <cellStyle name="40% - Accent4 8 4 3 2 3" xfId="24036" xr:uid="{00000000-0005-0000-0000-000098450000}"/>
    <cellStyle name="40% - Accent4 8 4 3 2 3 2" xfId="47868" xr:uid="{4DB4C03B-1E1B-4617-8136-C02D971EC6A7}"/>
    <cellStyle name="40% - Accent4 8 4 3 2 4" xfId="31991" xr:uid="{3CF140E9-0615-4179-924A-16AB2C7265A4}"/>
    <cellStyle name="40% - Accent4 8 4 3 3" xfId="12552" xr:uid="{00000000-0005-0000-0000-000099450000}"/>
    <cellStyle name="40% - Accent4 8 4 3 3 2" xfId="36401" xr:uid="{5DB9A37C-A8D8-4A70-B0DC-57DCE843C990}"/>
    <cellStyle name="40% - Accent4 8 4 3 4" xfId="20507" xr:uid="{00000000-0005-0000-0000-00009A450000}"/>
    <cellStyle name="40% - Accent4 8 4 3 4 2" xfId="44339" xr:uid="{71D29605-2E73-4844-8F09-D9C08F226AAE}"/>
    <cellStyle name="40% - Accent4 8 4 3 5" xfId="28460" xr:uid="{87F8708E-3A8D-4DCD-A34F-A3FF40D96169}"/>
    <cellStyle name="40% - Accent4 8 4 4" xfId="6358" xr:uid="{00000000-0005-0000-0000-00009B450000}"/>
    <cellStyle name="40% - Accent4 8 4 4 2" xfId="14332" xr:uid="{00000000-0005-0000-0000-00009C450000}"/>
    <cellStyle name="40% - Accent4 8 4 4 2 2" xfId="38174" xr:uid="{12184297-C4CD-4CF7-94A3-E29863D8A886}"/>
    <cellStyle name="40% - Accent4 8 4 4 3" xfId="22279" xr:uid="{00000000-0005-0000-0000-00009D450000}"/>
    <cellStyle name="40% - Accent4 8 4 4 3 2" xfId="46111" xr:uid="{D1354448-F2F9-4404-82FA-A64EFA6EAF9F}"/>
    <cellStyle name="40% - Accent4 8 4 4 4" xfId="30233" xr:uid="{0471B6B9-C9E1-4F5D-B349-21E85429D15D}"/>
    <cellStyle name="40% - Accent4 8 4 5" xfId="9900" xr:uid="{00000000-0005-0000-0000-00009E450000}"/>
    <cellStyle name="40% - Accent4 8 4 5 2" xfId="17858" xr:uid="{00000000-0005-0000-0000-00009F450000}"/>
    <cellStyle name="40% - Accent4 8 4 5 2 2" xfId="41698" xr:uid="{0A563557-A0D5-45D4-A95B-98094EC13E99}"/>
    <cellStyle name="40% - Accent4 8 4 5 3" xfId="25802" xr:uid="{00000000-0005-0000-0000-0000A0450000}"/>
    <cellStyle name="40% - Accent4 8 4 5 3 2" xfId="49634" xr:uid="{1DF0B3A2-1B14-4E35-9D6F-6C2E2A1DA8D5}"/>
    <cellStyle name="40% - Accent4 8 4 5 4" xfId="33757" xr:uid="{49DAAB0E-258C-4972-A78B-41A6C404CA9C}"/>
    <cellStyle name="40% - Accent4 8 4 6" xfId="10796" xr:uid="{00000000-0005-0000-0000-0000A1450000}"/>
    <cellStyle name="40% - Accent4 8 4 6 2" xfId="34645" xr:uid="{6DDD8FF0-0226-49C3-8290-C7F4CEEE8CA3}"/>
    <cellStyle name="40% - Accent4 8 4 7" xfId="18751" xr:uid="{00000000-0005-0000-0000-0000A2450000}"/>
    <cellStyle name="40% - Accent4 8 4 7 2" xfId="42583" xr:uid="{73AD43FA-C832-450E-972B-93B34192D2CE}"/>
    <cellStyle name="40% - Accent4 8 4 8" xfId="26703" xr:uid="{CCB9DFF0-4A98-4A8F-A3CA-E89094D93AAA}"/>
    <cellStyle name="40% - Accent4 8 4_Exh G" xfId="3161" xr:uid="{00000000-0005-0000-0000-0000A3450000}"/>
    <cellStyle name="40% - Accent4 8 5" xfId="1550" xr:uid="{00000000-0005-0000-0000-0000A4450000}"/>
    <cellStyle name="40% - Accent4 8 5 2" xfId="5077" xr:uid="{00000000-0005-0000-0000-0000A5450000}"/>
    <cellStyle name="40% - Accent4 8 5 2 2" xfId="8668" xr:uid="{00000000-0005-0000-0000-0000A6450000}"/>
    <cellStyle name="40% - Accent4 8 5 2 2 2" xfId="16638" xr:uid="{00000000-0005-0000-0000-0000A7450000}"/>
    <cellStyle name="40% - Accent4 8 5 2 2 2 2" xfId="40480" xr:uid="{A1B8E0C8-8CC5-43B4-9069-B45DCF13C5A1}"/>
    <cellStyle name="40% - Accent4 8 5 2 2 3" xfId="24584" xr:uid="{00000000-0005-0000-0000-0000A8450000}"/>
    <cellStyle name="40% - Accent4 8 5 2 2 3 2" xfId="48416" xr:uid="{3463EAAF-E29D-4517-AD74-E316184BF2B0}"/>
    <cellStyle name="40% - Accent4 8 5 2 2 4" xfId="32539" xr:uid="{8360C986-F3E3-4EFD-8E59-60B60CF50BD4}"/>
    <cellStyle name="40% - Accent4 8 5 2 3" xfId="13100" xr:uid="{00000000-0005-0000-0000-0000A9450000}"/>
    <cellStyle name="40% - Accent4 8 5 2 3 2" xfId="36949" xr:uid="{686A9B9A-4B3A-4B6B-A90B-7F8164F64009}"/>
    <cellStyle name="40% - Accent4 8 5 2 4" xfId="21055" xr:uid="{00000000-0005-0000-0000-0000AA450000}"/>
    <cellStyle name="40% - Accent4 8 5 2 4 2" xfId="44887" xr:uid="{7B1EFDCE-0DB0-46D8-BC8A-4F523DCCE1B3}"/>
    <cellStyle name="40% - Accent4 8 5 2 5" xfId="29008" xr:uid="{DE134D48-DCA3-43D4-B7AB-373DE87A07B2}"/>
    <cellStyle name="40% - Accent4 8 5 3" xfId="6909" xr:uid="{00000000-0005-0000-0000-0000AB450000}"/>
    <cellStyle name="40% - Accent4 8 5 3 2" xfId="14880" xr:uid="{00000000-0005-0000-0000-0000AC450000}"/>
    <cellStyle name="40% - Accent4 8 5 3 2 2" xfId="38722" xr:uid="{1E0EECB8-4C40-4CE8-BFE6-6DF92B5A7D7F}"/>
    <cellStyle name="40% - Accent4 8 5 3 3" xfId="22827" xr:uid="{00000000-0005-0000-0000-0000AD450000}"/>
    <cellStyle name="40% - Accent4 8 5 3 3 2" xfId="46659" xr:uid="{72CC70BF-2D38-418B-8201-140C2AE2FAAF}"/>
    <cellStyle name="40% - Accent4 8 5 3 4" xfId="30781" xr:uid="{C83D2A2B-653E-4689-BC00-2E48D80B3A05}"/>
    <cellStyle name="40% - Accent4 8 5 4" xfId="11344" xr:uid="{00000000-0005-0000-0000-0000AE450000}"/>
    <cellStyle name="40% - Accent4 8 5 4 2" xfId="35193" xr:uid="{436FDCAD-BB36-466B-BACA-0ECB13961DE7}"/>
    <cellStyle name="40% - Accent4 8 5 5" xfId="19299" xr:uid="{00000000-0005-0000-0000-0000AF450000}"/>
    <cellStyle name="40% - Accent4 8 5 5 2" xfId="43131" xr:uid="{603C77B6-DC2E-4258-9376-66CB9A175A29}"/>
    <cellStyle name="40% - Accent4 8 5 6" xfId="27251" xr:uid="{F70A87E6-2CAB-47DA-AC36-EF687F3F6D3D}"/>
    <cellStyle name="40% - Accent4 8 5_Exh G" xfId="3163" xr:uid="{00000000-0005-0000-0000-0000B0450000}"/>
    <cellStyle name="40% - Accent4 8 6" xfId="4198" xr:uid="{00000000-0005-0000-0000-0000B1450000}"/>
    <cellStyle name="40% - Accent4 8 6 2" xfId="7790" xr:uid="{00000000-0005-0000-0000-0000B2450000}"/>
    <cellStyle name="40% - Accent4 8 6 2 2" xfId="15760" xr:uid="{00000000-0005-0000-0000-0000B3450000}"/>
    <cellStyle name="40% - Accent4 8 6 2 2 2" xfId="39602" xr:uid="{312D6232-C1CA-4489-A180-22B549BECFE8}"/>
    <cellStyle name="40% - Accent4 8 6 2 3" xfId="23706" xr:uid="{00000000-0005-0000-0000-0000B4450000}"/>
    <cellStyle name="40% - Accent4 8 6 2 3 2" xfId="47538" xr:uid="{3A805146-F215-4DC1-842D-FF01F43C0230}"/>
    <cellStyle name="40% - Accent4 8 6 2 4" xfId="31661" xr:uid="{422D4F9A-7301-4B46-8039-2DBE4C7FA040}"/>
    <cellStyle name="40% - Accent4 8 6 3" xfId="12222" xr:uid="{00000000-0005-0000-0000-0000B5450000}"/>
    <cellStyle name="40% - Accent4 8 6 3 2" xfId="36071" xr:uid="{C3CDF426-5DBE-4075-AC3D-63D4B28A3A54}"/>
    <cellStyle name="40% - Accent4 8 6 4" xfId="20177" xr:uid="{00000000-0005-0000-0000-0000B6450000}"/>
    <cellStyle name="40% - Accent4 8 6 4 2" xfId="44009" xr:uid="{43B86B56-AFFF-4F07-A00D-898C6FCAB479}"/>
    <cellStyle name="40% - Accent4 8 6 5" xfId="28130" xr:uid="{D867B786-3D88-41EB-AEA7-C5B005B0830E}"/>
    <cellStyle name="40% - Accent4 8 7" xfId="6018" xr:uid="{00000000-0005-0000-0000-0000B7450000}"/>
    <cellStyle name="40% - Accent4 8 7 2" xfId="14001" xr:uid="{00000000-0005-0000-0000-0000B8450000}"/>
    <cellStyle name="40% - Accent4 8 7 2 2" xfId="37844" xr:uid="{B5530241-9564-4ECE-B2F3-E6FC82E62733}"/>
    <cellStyle name="40% - Accent4 8 7 3" xfId="21949" xr:uid="{00000000-0005-0000-0000-0000B9450000}"/>
    <cellStyle name="40% - Accent4 8 7 3 2" xfId="45781" xr:uid="{C6D96F88-1CA3-4D41-816E-63CE7E6AD5D8}"/>
    <cellStyle name="40% - Accent4 8 7 4" xfId="29903" xr:uid="{EADB8E71-3D98-4C51-80DD-FABDFF776313}"/>
    <cellStyle name="40% - Accent4 8 8" xfId="9570" xr:uid="{00000000-0005-0000-0000-0000BA450000}"/>
    <cellStyle name="40% - Accent4 8 8 2" xfId="17528" xr:uid="{00000000-0005-0000-0000-0000BB450000}"/>
    <cellStyle name="40% - Accent4 8 8 2 2" xfId="41368" xr:uid="{9462839D-8033-4B69-9C8B-9C14DA0C3757}"/>
    <cellStyle name="40% - Accent4 8 8 3" xfId="25472" xr:uid="{00000000-0005-0000-0000-0000BC450000}"/>
    <cellStyle name="40% - Accent4 8 8 3 2" xfId="49304" xr:uid="{C12869DE-B763-48CE-9DB3-3A41A3E6E104}"/>
    <cellStyle name="40% - Accent4 8 8 4" xfId="33427" xr:uid="{CEB03480-1497-469B-963A-E6E29B893B24}"/>
    <cellStyle name="40% - Accent4 8 9" xfId="10466" xr:uid="{00000000-0005-0000-0000-0000BD450000}"/>
    <cellStyle name="40% - Accent4 8 9 2" xfId="34315" xr:uid="{EDBB1430-1C79-4D12-B18E-9293A1B57366}"/>
    <cellStyle name="40% - Accent4 8_Exh G" xfId="3154" xr:uid="{00000000-0005-0000-0000-0000BE450000}"/>
    <cellStyle name="40% - Accent4 9" xfId="528" xr:uid="{00000000-0005-0000-0000-0000BF450000}"/>
    <cellStyle name="40% - Accent4 9 10" xfId="18425" xr:uid="{00000000-0005-0000-0000-0000C0450000}"/>
    <cellStyle name="40% - Accent4 9 10 2" xfId="42257" xr:uid="{F9ACD835-D801-4C53-87B9-F08240D108D1}"/>
    <cellStyle name="40% - Accent4 9 11" xfId="26377" xr:uid="{A16D65C6-DFDF-40AA-8DB8-CE9284A2FCAC}"/>
    <cellStyle name="40% - Accent4 9 2" xfId="529" xr:uid="{00000000-0005-0000-0000-0000C1450000}"/>
    <cellStyle name="40% - Accent4 9 2 2" xfId="530" xr:uid="{00000000-0005-0000-0000-0000C2450000}"/>
    <cellStyle name="40% - Accent4 9 2 2 2" xfId="1556" xr:uid="{00000000-0005-0000-0000-0000C3450000}"/>
    <cellStyle name="40% - Accent4 9 2 2 2 2" xfId="5083" xr:uid="{00000000-0005-0000-0000-0000C4450000}"/>
    <cellStyle name="40% - Accent4 9 2 2 2 2 2" xfId="8674" xr:uid="{00000000-0005-0000-0000-0000C5450000}"/>
    <cellStyle name="40% - Accent4 9 2 2 2 2 2 2" xfId="16644" xr:uid="{00000000-0005-0000-0000-0000C6450000}"/>
    <cellStyle name="40% - Accent4 9 2 2 2 2 2 2 2" xfId="40486" xr:uid="{F3DC5868-1C23-42B6-9682-ED69D4D10B13}"/>
    <cellStyle name="40% - Accent4 9 2 2 2 2 2 3" xfId="24590" xr:uid="{00000000-0005-0000-0000-0000C7450000}"/>
    <cellStyle name="40% - Accent4 9 2 2 2 2 2 3 2" xfId="48422" xr:uid="{52057548-0C53-4B87-A3E3-9ECA5E5628A7}"/>
    <cellStyle name="40% - Accent4 9 2 2 2 2 2 4" xfId="32545" xr:uid="{1364FCB9-C5F7-426B-B206-9F38AA33C240}"/>
    <cellStyle name="40% - Accent4 9 2 2 2 2 3" xfId="13106" xr:uid="{00000000-0005-0000-0000-0000C8450000}"/>
    <cellStyle name="40% - Accent4 9 2 2 2 2 3 2" xfId="36955" xr:uid="{7E515DAF-CEDE-45FD-BDC3-91F0CC768528}"/>
    <cellStyle name="40% - Accent4 9 2 2 2 2 4" xfId="21061" xr:uid="{00000000-0005-0000-0000-0000C9450000}"/>
    <cellStyle name="40% - Accent4 9 2 2 2 2 4 2" xfId="44893" xr:uid="{03149A34-15B5-46BF-A313-4CE2B6444D07}"/>
    <cellStyle name="40% - Accent4 9 2 2 2 2 5" xfId="29014" xr:uid="{32A0C035-C4AA-48B9-8DAB-04EDAB8E622E}"/>
    <cellStyle name="40% - Accent4 9 2 2 2 3" xfId="6915" xr:uid="{00000000-0005-0000-0000-0000CA450000}"/>
    <cellStyle name="40% - Accent4 9 2 2 2 3 2" xfId="14886" xr:uid="{00000000-0005-0000-0000-0000CB450000}"/>
    <cellStyle name="40% - Accent4 9 2 2 2 3 2 2" xfId="38728" xr:uid="{51A118D4-4173-43FC-97AA-83AD2D128BB1}"/>
    <cellStyle name="40% - Accent4 9 2 2 2 3 3" xfId="22833" xr:uid="{00000000-0005-0000-0000-0000CC450000}"/>
    <cellStyle name="40% - Accent4 9 2 2 2 3 3 2" xfId="46665" xr:uid="{3EB6F56B-D8EB-410D-A681-996D52942B52}"/>
    <cellStyle name="40% - Accent4 9 2 2 2 3 4" xfId="30787" xr:uid="{4D27049E-179E-4F6E-A9EC-FD5CE457FCD4}"/>
    <cellStyle name="40% - Accent4 9 2 2 2 4" xfId="11350" xr:uid="{00000000-0005-0000-0000-0000CD450000}"/>
    <cellStyle name="40% - Accent4 9 2 2 2 4 2" xfId="35199" xr:uid="{686BD776-C2AF-4E01-95B2-D95868CFC264}"/>
    <cellStyle name="40% - Accent4 9 2 2 2 5" xfId="19305" xr:uid="{00000000-0005-0000-0000-0000CE450000}"/>
    <cellStyle name="40% - Accent4 9 2 2 2 5 2" xfId="43137" xr:uid="{9D2D9A84-39D1-4F0F-859F-3BB631554739}"/>
    <cellStyle name="40% - Accent4 9 2 2 2 6" xfId="27257" xr:uid="{A459E301-9D59-406D-ADB0-664DE46B415C}"/>
    <cellStyle name="40% - Accent4 9 2 2 2_Exh G" xfId="3167" xr:uid="{00000000-0005-0000-0000-0000CF450000}"/>
    <cellStyle name="40% - Accent4 9 2 2 3" xfId="4204" xr:uid="{00000000-0005-0000-0000-0000D0450000}"/>
    <cellStyle name="40% - Accent4 9 2 2 3 2" xfId="7796" xr:uid="{00000000-0005-0000-0000-0000D1450000}"/>
    <cellStyle name="40% - Accent4 9 2 2 3 2 2" xfId="15766" xr:uid="{00000000-0005-0000-0000-0000D2450000}"/>
    <cellStyle name="40% - Accent4 9 2 2 3 2 2 2" xfId="39608" xr:uid="{6B25C532-23F5-4DA4-BF84-A2CEB10F19C5}"/>
    <cellStyle name="40% - Accent4 9 2 2 3 2 3" xfId="23712" xr:uid="{00000000-0005-0000-0000-0000D3450000}"/>
    <cellStyle name="40% - Accent4 9 2 2 3 2 3 2" xfId="47544" xr:uid="{E50F7716-BF59-4155-B724-9E23E8853293}"/>
    <cellStyle name="40% - Accent4 9 2 2 3 2 4" xfId="31667" xr:uid="{68857DD4-63CC-4A57-B4E9-FD02DC8DBF07}"/>
    <cellStyle name="40% - Accent4 9 2 2 3 3" xfId="12228" xr:uid="{00000000-0005-0000-0000-0000D4450000}"/>
    <cellStyle name="40% - Accent4 9 2 2 3 3 2" xfId="36077" xr:uid="{C4566F31-EE48-4F16-8D70-7B9087052BBE}"/>
    <cellStyle name="40% - Accent4 9 2 2 3 4" xfId="20183" xr:uid="{00000000-0005-0000-0000-0000D5450000}"/>
    <cellStyle name="40% - Accent4 9 2 2 3 4 2" xfId="44015" xr:uid="{DAFDE464-F1D1-4392-98E1-BF42128C0B83}"/>
    <cellStyle name="40% - Accent4 9 2 2 3 5" xfId="28136" xr:uid="{7728DDE6-4467-47A7-BB78-8126880B66DA}"/>
    <cellStyle name="40% - Accent4 9 2 2 4" xfId="6024" xr:uid="{00000000-0005-0000-0000-0000D6450000}"/>
    <cellStyle name="40% - Accent4 9 2 2 4 2" xfId="14007" xr:uid="{00000000-0005-0000-0000-0000D7450000}"/>
    <cellStyle name="40% - Accent4 9 2 2 4 2 2" xfId="37850" xr:uid="{EB1B98A8-4F4F-480B-A801-551A5782762C}"/>
    <cellStyle name="40% - Accent4 9 2 2 4 3" xfId="21955" xr:uid="{00000000-0005-0000-0000-0000D8450000}"/>
    <cellStyle name="40% - Accent4 9 2 2 4 3 2" xfId="45787" xr:uid="{391EEBF4-B1F3-430E-B788-CF311F304DEA}"/>
    <cellStyle name="40% - Accent4 9 2 2 4 4" xfId="29909" xr:uid="{ED86455C-EAE4-4E42-9881-7031E74C1CBC}"/>
    <cellStyle name="40% - Accent4 9 2 2 5" xfId="9576" xr:uid="{00000000-0005-0000-0000-0000D9450000}"/>
    <cellStyle name="40% - Accent4 9 2 2 5 2" xfId="17534" xr:uid="{00000000-0005-0000-0000-0000DA450000}"/>
    <cellStyle name="40% - Accent4 9 2 2 5 2 2" xfId="41374" xr:uid="{AE2B174A-1528-4AA2-A6A8-417BBA36A2D9}"/>
    <cellStyle name="40% - Accent4 9 2 2 5 3" xfId="25478" xr:uid="{00000000-0005-0000-0000-0000DB450000}"/>
    <cellStyle name="40% - Accent4 9 2 2 5 3 2" xfId="49310" xr:uid="{BECC102F-9B34-4184-957F-18586887D3FA}"/>
    <cellStyle name="40% - Accent4 9 2 2 5 4" xfId="33433" xr:uid="{6E195903-3C59-4B93-A7FD-B4F6E9791AB5}"/>
    <cellStyle name="40% - Accent4 9 2 2 6" xfId="10472" xr:uid="{00000000-0005-0000-0000-0000DC450000}"/>
    <cellStyle name="40% - Accent4 9 2 2 6 2" xfId="34321" xr:uid="{B69A2EB7-1812-496F-AC42-6ADBBEFFA713}"/>
    <cellStyle name="40% - Accent4 9 2 2 7" xfId="18427" xr:uid="{00000000-0005-0000-0000-0000DD450000}"/>
    <cellStyle name="40% - Accent4 9 2 2 7 2" xfId="42259" xr:uid="{A5F23778-3DA0-4FFE-8A83-FB80EF596FFF}"/>
    <cellStyle name="40% - Accent4 9 2 2 8" xfId="26379" xr:uid="{205551B2-8674-4AAB-9B7A-CD7FCABBC13B}"/>
    <cellStyle name="40% - Accent4 9 2 2_Exh G" xfId="3166" xr:uid="{00000000-0005-0000-0000-0000DE450000}"/>
    <cellStyle name="40% - Accent4 9 2 3" xfId="1555" xr:uid="{00000000-0005-0000-0000-0000DF450000}"/>
    <cellStyle name="40% - Accent4 9 2 3 2" xfId="5082" xr:uid="{00000000-0005-0000-0000-0000E0450000}"/>
    <cellStyle name="40% - Accent4 9 2 3 2 2" xfId="8673" xr:uid="{00000000-0005-0000-0000-0000E1450000}"/>
    <cellStyle name="40% - Accent4 9 2 3 2 2 2" xfId="16643" xr:uid="{00000000-0005-0000-0000-0000E2450000}"/>
    <cellStyle name="40% - Accent4 9 2 3 2 2 2 2" xfId="40485" xr:uid="{A49AD422-00EE-478C-A68C-E296C11A90E6}"/>
    <cellStyle name="40% - Accent4 9 2 3 2 2 3" xfId="24589" xr:uid="{00000000-0005-0000-0000-0000E3450000}"/>
    <cellStyle name="40% - Accent4 9 2 3 2 2 3 2" xfId="48421" xr:uid="{8A54A110-DE04-4D5C-A9EA-6F261BABA999}"/>
    <cellStyle name="40% - Accent4 9 2 3 2 2 4" xfId="32544" xr:uid="{977B4B48-C20C-418C-BE92-0FA68C5A1289}"/>
    <cellStyle name="40% - Accent4 9 2 3 2 3" xfId="13105" xr:uid="{00000000-0005-0000-0000-0000E4450000}"/>
    <cellStyle name="40% - Accent4 9 2 3 2 3 2" xfId="36954" xr:uid="{A0854B80-B779-463D-9DC5-0E630C4578DC}"/>
    <cellStyle name="40% - Accent4 9 2 3 2 4" xfId="21060" xr:uid="{00000000-0005-0000-0000-0000E5450000}"/>
    <cellStyle name="40% - Accent4 9 2 3 2 4 2" xfId="44892" xr:uid="{A1A56C77-9205-4496-9A1A-3127469602ED}"/>
    <cellStyle name="40% - Accent4 9 2 3 2 5" xfId="29013" xr:uid="{7F84FB0C-4F9D-4284-85A1-DEF84A50A853}"/>
    <cellStyle name="40% - Accent4 9 2 3 3" xfId="6914" xr:uid="{00000000-0005-0000-0000-0000E6450000}"/>
    <cellStyle name="40% - Accent4 9 2 3 3 2" xfId="14885" xr:uid="{00000000-0005-0000-0000-0000E7450000}"/>
    <cellStyle name="40% - Accent4 9 2 3 3 2 2" xfId="38727" xr:uid="{908829F0-DD82-44BE-9C6C-1A4E80EE612F}"/>
    <cellStyle name="40% - Accent4 9 2 3 3 3" xfId="22832" xr:uid="{00000000-0005-0000-0000-0000E8450000}"/>
    <cellStyle name="40% - Accent4 9 2 3 3 3 2" xfId="46664" xr:uid="{4877084F-7078-40A0-A0F2-6748439BB995}"/>
    <cellStyle name="40% - Accent4 9 2 3 3 4" xfId="30786" xr:uid="{6BCE5470-8855-4413-9596-934E771F5CC1}"/>
    <cellStyle name="40% - Accent4 9 2 3 4" xfId="11349" xr:uid="{00000000-0005-0000-0000-0000E9450000}"/>
    <cellStyle name="40% - Accent4 9 2 3 4 2" xfId="35198" xr:uid="{ED5B5398-5364-4540-8BFE-5337FED02C16}"/>
    <cellStyle name="40% - Accent4 9 2 3 5" xfId="19304" xr:uid="{00000000-0005-0000-0000-0000EA450000}"/>
    <cellStyle name="40% - Accent4 9 2 3 5 2" xfId="43136" xr:uid="{DDE14DB2-2FA1-46CF-A4BD-B894EDFE6B81}"/>
    <cellStyle name="40% - Accent4 9 2 3 6" xfId="27256" xr:uid="{9C78C028-D751-425B-81CE-2D13704CC7B7}"/>
    <cellStyle name="40% - Accent4 9 2 3_Exh G" xfId="3168" xr:uid="{00000000-0005-0000-0000-0000EB450000}"/>
    <cellStyle name="40% - Accent4 9 2 4" xfId="4203" xr:uid="{00000000-0005-0000-0000-0000EC450000}"/>
    <cellStyle name="40% - Accent4 9 2 4 2" xfId="7795" xr:uid="{00000000-0005-0000-0000-0000ED450000}"/>
    <cellStyle name="40% - Accent4 9 2 4 2 2" xfId="15765" xr:uid="{00000000-0005-0000-0000-0000EE450000}"/>
    <cellStyle name="40% - Accent4 9 2 4 2 2 2" xfId="39607" xr:uid="{7A27B800-8F7C-4E2B-A8F0-8A808825038B}"/>
    <cellStyle name="40% - Accent4 9 2 4 2 3" xfId="23711" xr:uid="{00000000-0005-0000-0000-0000EF450000}"/>
    <cellStyle name="40% - Accent4 9 2 4 2 3 2" xfId="47543" xr:uid="{CC43ACAA-4F62-4CA4-8E63-55530E320B56}"/>
    <cellStyle name="40% - Accent4 9 2 4 2 4" xfId="31666" xr:uid="{511E5712-C39B-4870-9FF6-F35F4651419E}"/>
    <cellStyle name="40% - Accent4 9 2 4 3" xfId="12227" xr:uid="{00000000-0005-0000-0000-0000F0450000}"/>
    <cellStyle name="40% - Accent4 9 2 4 3 2" xfId="36076" xr:uid="{1EE9D85B-924D-435A-A4BE-CDBFFC2C4610}"/>
    <cellStyle name="40% - Accent4 9 2 4 4" xfId="20182" xr:uid="{00000000-0005-0000-0000-0000F1450000}"/>
    <cellStyle name="40% - Accent4 9 2 4 4 2" xfId="44014" xr:uid="{C8CB06CE-3B1F-4FB9-8244-CCB377231304}"/>
    <cellStyle name="40% - Accent4 9 2 4 5" xfId="28135" xr:uid="{7EAF76C0-1F7F-4EF3-B90B-F4C047D35A19}"/>
    <cellStyle name="40% - Accent4 9 2 5" xfId="6023" xr:uid="{00000000-0005-0000-0000-0000F2450000}"/>
    <cellStyle name="40% - Accent4 9 2 5 2" xfId="14006" xr:uid="{00000000-0005-0000-0000-0000F3450000}"/>
    <cellStyle name="40% - Accent4 9 2 5 2 2" xfId="37849" xr:uid="{95F68D56-A4A0-459E-B0B7-DE38B6908D34}"/>
    <cellStyle name="40% - Accent4 9 2 5 3" xfId="21954" xr:uid="{00000000-0005-0000-0000-0000F4450000}"/>
    <cellStyle name="40% - Accent4 9 2 5 3 2" xfId="45786" xr:uid="{5B97E927-4635-41E8-B803-6F9303FF4193}"/>
    <cellStyle name="40% - Accent4 9 2 5 4" xfId="29908" xr:uid="{256331E3-BB61-4E1A-A963-F3D40C7DFD3C}"/>
    <cellStyle name="40% - Accent4 9 2 6" xfId="9575" xr:uid="{00000000-0005-0000-0000-0000F5450000}"/>
    <cellStyle name="40% - Accent4 9 2 6 2" xfId="17533" xr:uid="{00000000-0005-0000-0000-0000F6450000}"/>
    <cellStyle name="40% - Accent4 9 2 6 2 2" xfId="41373" xr:uid="{DCEDD45B-6F05-4F6B-B486-483765B7FD24}"/>
    <cellStyle name="40% - Accent4 9 2 6 3" xfId="25477" xr:uid="{00000000-0005-0000-0000-0000F7450000}"/>
    <cellStyle name="40% - Accent4 9 2 6 3 2" xfId="49309" xr:uid="{AE6986C2-41DE-4DC0-9E87-F04DCBB3FD7A}"/>
    <cellStyle name="40% - Accent4 9 2 6 4" xfId="33432" xr:uid="{4C95A074-5CE8-4683-8CCF-DE3901133EBD}"/>
    <cellStyle name="40% - Accent4 9 2 7" xfId="10471" xr:uid="{00000000-0005-0000-0000-0000F8450000}"/>
    <cellStyle name="40% - Accent4 9 2 7 2" xfId="34320" xr:uid="{00D14DF5-FEDB-466C-BCF5-1B778578BCC7}"/>
    <cellStyle name="40% - Accent4 9 2 8" xfId="18426" xr:uid="{00000000-0005-0000-0000-0000F9450000}"/>
    <cellStyle name="40% - Accent4 9 2 8 2" xfId="42258" xr:uid="{24AFB4DD-AC10-431F-BB5D-9F3AB254B093}"/>
    <cellStyle name="40% - Accent4 9 2 9" xfId="26378" xr:uid="{55D12E52-096E-46A7-9C0A-5E31A5FADFBA}"/>
    <cellStyle name="40% - Accent4 9 2_Exh G" xfId="3165" xr:uid="{00000000-0005-0000-0000-0000FA450000}"/>
    <cellStyle name="40% - Accent4 9 3" xfId="531" xr:uid="{00000000-0005-0000-0000-0000FB450000}"/>
    <cellStyle name="40% - Accent4 9 3 2" xfId="1557" xr:uid="{00000000-0005-0000-0000-0000FC450000}"/>
    <cellStyle name="40% - Accent4 9 3 2 2" xfId="5084" xr:uid="{00000000-0005-0000-0000-0000FD450000}"/>
    <cellStyle name="40% - Accent4 9 3 2 2 2" xfId="8675" xr:uid="{00000000-0005-0000-0000-0000FE450000}"/>
    <cellStyle name="40% - Accent4 9 3 2 2 2 2" xfId="16645" xr:uid="{00000000-0005-0000-0000-0000FF450000}"/>
    <cellStyle name="40% - Accent4 9 3 2 2 2 2 2" xfId="40487" xr:uid="{F6E4C7D8-2CBB-4D33-9FEF-2B7404F177AC}"/>
    <cellStyle name="40% - Accent4 9 3 2 2 2 3" xfId="24591" xr:uid="{00000000-0005-0000-0000-000000460000}"/>
    <cellStyle name="40% - Accent4 9 3 2 2 2 3 2" xfId="48423" xr:uid="{863C73CB-E910-4E3B-8D10-E0F65C278726}"/>
    <cellStyle name="40% - Accent4 9 3 2 2 2 4" xfId="32546" xr:uid="{4A93B51B-CB82-474D-95E9-FE1FB5BDC67D}"/>
    <cellStyle name="40% - Accent4 9 3 2 2 3" xfId="13107" xr:uid="{00000000-0005-0000-0000-000001460000}"/>
    <cellStyle name="40% - Accent4 9 3 2 2 3 2" xfId="36956" xr:uid="{BE7A8458-C342-4EB6-94FC-779891703E6A}"/>
    <cellStyle name="40% - Accent4 9 3 2 2 4" xfId="21062" xr:uid="{00000000-0005-0000-0000-000002460000}"/>
    <cellStyle name="40% - Accent4 9 3 2 2 4 2" xfId="44894" xr:uid="{6E588575-2405-4962-BF5C-F4AA972F596E}"/>
    <cellStyle name="40% - Accent4 9 3 2 2 5" xfId="29015" xr:uid="{477D7B3C-0944-425C-85F3-144CBF6A4904}"/>
    <cellStyle name="40% - Accent4 9 3 2 3" xfId="6916" xr:uid="{00000000-0005-0000-0000-000003460000}"/>
    <cellStyle name="40% - Accent4 9 3 2 3 2" xfId="14887" xr:uid="{00000000-0005-0000-0000-000004460000}"/>
    <cellStyle name="40% - Accent4 9 3 2 3 2 2" xfId="38729" xr:uid="{5CE99865-F603-47F5-9F04-0BBFDF457E1F}"/>
    <cellStyle name="40% - Accent4 9 3 2 3 3" xfId="22834" xr:uid="{00000000-0005-0000-0000-000005460000}"/>
    <cellStyle name="40% - Accent4 9 3 2 3 3 2" xfId="46666" xr:uid="{1901E70E-4C49-4F54-A3C5-1B202527A810}"/>
    <cellStyle name="40% - Accent4 9 3 2 3 4" xfId="30788" xr:uid="{7B38994B-0706-4170-AD24-157D3BC2D2EB}"/>
    <cellStyle name="40% - Accent4 9 3 2 4" xfId="11351" xr:uid="{00000000-0005-0000-0000-000006460000}"/>
    <cellStyle name="40% - Accent4 9 3 2 4 2" xfId="35200" xr:uid="{DAD9C4FD-F23F-44A1-A904-F7E8B462D76B}"/>
    <cellStyle name="40% - Accent4 9 3 2 5" xfId="19306" xr:uid="{00000000-0005-0000-0000-000007460000}"/>
    <cellStyle name="40% - Accent4 9 3 2 5 2" xfId="43138" xr:uid="{38C33DC3-0D46-4036-81A7-D231FFB43D20}"/>
    <cellStyle name="40% - Accent4 9 3 2 6" xfId="27258" xr:uid="{4E343AC9-0ACC-48DE-A4C8-75B23663D857}"/>
    <cellStyle name="40% - Accent4 9 3 2_Exh G" xfId="3170" xr:uid="{00000000-0005-0000-0000-000008460000}"/>
    <cellStyle name="40% - Accent4 9 3 3" xfId="4205" xr:uid="{00000000-0005-0000-0000-000009460000}"/>
    <cellStyle name="40% - Accent4 9 3 3 2" xfId="7797" xr:uid="{00000000-0005-0000-0000-00000A460000}"/>
    <cellStyle name="40% - Accent4 9 3 3 2 2" xfId="15767" xr:uid="{00000000-0005-0000-0000-00000B460000}"/>
    <cellStyle name="40% - Accent4 9 3 3 2 2 2" xfId="39609" xr:uid="{CEFBEC0F-D27F-44D3-8438-E560D7BE948C}"/>
    <cellStyle name="40% - Accent4 9 3 3 2 3" xfId="23713" xr:uid="{00000000-0005-0000-0000-00000C460000}"/>
    <cellStyle name="40% - Accent4 9 3 3 2 3 2" xfId="47545" xr:uid="{4C37F22F-A508-4904-B4CB-6AA25844B7F3}"/>
    <cellStyle name="40% - Accent4 9 3 3 2 4" xfId="31668" xr:uid="{2DE8BC41-605C-4C51-910C-34A46536A8C8}"/>
    <cellStyle name="40% - Accent4 9 3 3 3" xfId="12229" xr:uid="{00000000-0005-0000-0000-00000D460000}"/>
    <cellStyle name="40% - Accent4 9 3 3 3 2" xfId="36078" xr:uid="{40C1D963-23C8-4C13-B5DD-36864A11450E}"/>
    <cellStyle name="40% - Accent4 9 3 3 4" xfId="20184" xr:uid="{00000000-0005-0000-0000-00000E460000}"/>
    <cellStyle name="40% - Accent4 9 3 3 4 2" xfId="44016" xr:uid="{0E3946AD-65D3-4672-8108-E16EC935FC39}"/>
    <cellStyle name="40% - Accent4 9 3 3 5" xfId="28137" xr:uid="{2A0D454D-2E66-4137-A644-8A644D55F203}"/>
    <cellStyle name="40% - Accent4 9 3 4" xfId="6025" xr:uid="{00000000-0005-0000-0000-00000F460000}"/>
    <cellStyle name="40% - Accent4 9 3 4 2" xfId="14008" xr:uid="{00000000-0005-0000-0000-000010460000}"/>
    <cellStyle name="40% - Accent4 9 3 4 2 2" xfId="37851" xr:uid="{39EDEAB2-4EE3-4A27-B80D-F8B111262EC0}"/>
    <cellStyle name="40% - Accent4 9 3 4 3" xfId="21956" xr:uid="{00000000-0005-0000-0000-000011460000}"/>
    <cellStyle name="40% - Accent4 9 3 4 3 2" xfId="45788" xr:uid="{368BCEE7-96AB-4012-B095-F07E15CA1846}"/>
    <cellStyle name="40% - Accent4 9 3 4 4" xfId="29910" xr:uid="{76DAF6B3-9478-4B51-8523-8123B19C4A8D}"/>
    <cellStyle name="40% - Accent4 9 3 5" xfId="9577" xr:uid="{00000000-0005-0000-0000-000012460000}"/>
    <cellStyle name="40% - Accent4 9 3 5 2" xfId="17535" xr:uid="{00000000-0005-0000-0000-000013460000}"/>
    <cellStyle name="40% - Accent4 9 3 5 2 2" xfId="41375" xr:uid="{40558A74-8AA2-497D-AF60-5062F1161762}"/>
    <cellStyle name="40% - Accent4 9 3 5 3" xfId="25479" xr:uid="{00000000-0005-0000-0000-000014460000}"/>
    <cellStyle name="40% - Accent4 9 3 5 3 2" xfId="49311" xr:uid="{B9F39794-189F-4214-B509-6B7B7E8F4EBD}"/>
    <cellStyle name="40% - Accent4 9 3 5 4" xfId="33434" xr:uid="{30A4F888-7C78-4D75-819E-F030D6737B99}"/>
    <cellStyle name="40% - Accent4 9 3 6" xfId="10473" xr:uid="{00000000-0005-0000-0000-000015460000}"/>
    <cellStyle name="40% - Accent4 9 3 6 2" xfId="34322" xr:uid="{41EA65EB-6715-4AB1-8C86-E4D85596E042}"/>
    <cellStyle name="40% - Accent4 9 3 7" xfId="18428" xr:uid="{00000000-0005-0000-0000-000016460000}"/>
    <cellStyle name="40% - Accent4 9 3 7 2" xfId="42260" xr:uid="{66B7F4B1-481C-4D45-95F1-55D7B9E1096F}"/>
    <cellStyle name="40% - Accent4 9 3 8" xfId="26380" xr:uid="{B4F57FD9-0E3E-4A09-A52E-3C6571B06F8E}"/>
    <cellStyle name="40% - Accent4 9 3_Exh G" xfId="3169" xr:uid="{00000000-0005-0000-0000-000017460000}"/>
    <cellStyle name="40% - Accent4 9 4" xfId="978" xr:uid="{00000000-0005-0000-0000-000018460000}"/>
    <cellStyle name="40% - Accent4 9 4 2" xfId="1891" xr:uid="{00000000-0005-0000-0000-000019460000}"/>
    <cellStyle name="40% - Accent4 9 4 2 2" xfId="5408" xr:uid="{00000000-0005-0000-0000-00001A460000}"/>
    <cellStyle name="40% - Accent4 9 4 2 2 2" xfId="8999" xr:uid="{00000000-0005-0000-0000-00001B460000}"/>
    <cellStyle name="40% - Accent4 9 4 2 2 2 2" xfId="16969" xr:uid="{00000000-0005-0000-0000-00001C460000}"/>
    <cellStyle name="40% - Accent4 9 4 2 2 2 2 2" xfId="40811" xr:uid="{F81B094A-70C0-408E-8CD1-E04FE93121AF}"/>
    <cellStyle name="40% - Accent4 9 4 2 2 2 3" xfId="24915" xr:uid="{00000000-0005-0000-0000-00001D460000}"/>
    <cellStyle name="40% - Accent4 9 4 2 2 2 3 2" xfId="48747" xr:uid="{51261670-318B-4150-9446-0A44DCBC96AB}"/>
    <cellStyle name="40% - Accent4 9 4 2 2 2 4" xfId="32870" xr:uid="{498E7726-EA7A-431E-8873-624E7B660C23}"/>
    <cellStyle name="40% - Accent4 9 4 2 2 3" xfId="13431" xr:uid="{00000000-0005-0000-0000-00001E460000}"/>
    <cellStyle name="40% - Accent4 9 4 2 2 3 2" xfId="37280" xr:uid="{96F42CF8-05BD-4B39-8C11-32B933866BC2}"/>
    <cellStyle name="40% - Accent4 9 4 2 2 4" xfId="21386" xr:uid="{00000000-0005-0000-0000-00001F460000}"/>
    <cellStyle name="40% - Accent4 9 4 2 2 4 2" xfId="45218" xr:uid="{511C3B9A-8CE4-468D-A684-6DB1FA9C7E97}"/>
    <cellStyle name="40% - Accent4 9 4 2 2 5" xfId="29339" xr:uid="{269409D8-BB32-485C-BE1C-32B75A49E04F}"/>
    <cellStyle name="40% - Accent4 9 4 2 3" xfId="7240" xr:uid="{00000000-0005-0000-0000-000020460000}"/>
    <cellStyle name="40% - Accent4 9 4 2 3 2" xfId="15211" xr:uid="{00000000-0005-0000-0000-000021460000}"/>
    <cellStyle name="40% - Accent4 9 4 2 3 2 2" xfId="39053" xr:uid="{31D35961-80B7-4B59-865F-292728A9C336}"/>
    <cellStyle name="40% - Accent4 9 4 2 3 3" xfId="23158" xr:uid="{00000000-0005-0000-0000-000022460000}"/>
    <cellStyle name="40% - Accent4 9 4 2 3 3 2" xfId="46990" xr:uid="{A98414D3-D47F-4679-A2C5-FFC4B9959BD4}"/>
    <cellStyle name="40% - Accent4 9 4 2 3 4" xfId="31112" xr:uid="{3958832A-DBA6-43AC-BDCB-9359A4C72518}"/>
    <cellStyle name="40% - Accent4 9 4 2 4" xfId="11675" xr:uid="{00000000-0005-0000-0000-000023460000}"/>
    <cellStyle name="40% - Accent4 9 4 2 4 2" xfId="35524" xr:uid="{DF75770D-2E1C-48ED-B251-45FE34BB0292}"/>
    <cellStyle name="40% - Accent4 9 4 2 5" xfId="19630" xr:uid="{00000000-0005-0000-0000-000024460000}"/>
    <cellStyle name="40% - Accent4 9 4 2 5 2" xfId="43462" xr:uid="{7C0CC221-4A37-42BE-A8D2-4FC822465B79}"/>
    <cellStyle name="40% - Accent4 9 4 2 6" xfId="27582" xr:uid="{69EBCF3A-9BCA-46D8-9012-FB88B07D5D98}"/>
    <cellStyle name="40% - Accent4 9 4 2_Exh G" xfId="3172" xr:uid="{00000000-0005-0000-0000-000025460000}"/>
    <cellStyle name="40% - Accent4 9 4 3" xfId="4529" xr:uid="{00000000-0005-0000-0000-000026460000}"/>
    <cellStyle name="40% - Accent4 9 4 3 2" xfId="8121" xr:uid="{00000000-0005-0000-0000-000027460000}"/>
    <cellStyle name="40% - Accent4 9 4 3 2 2" xfId="16091" xr:uid="{00000000-0005-0000-0000-000028460000}"/>
    <cellStyle name="40% - Accent4 9 4 3 2 2 2" xfId="39933" xr:uid="{414EB6E4-7C42-48D2-B811-87E6CE1CF8ED}"/>
    <cellStyle name="40% - Accent4 9 4 3 2 3" xfId="24037" xr:uid="{00000000-0005-0000-0000-000029460000}"/>
    <cellStyle name="40% - Accent4 9 4 3 2 3 2" xfId="47869" xr:uid="{3A12DC10-6AC7-45DE-876A-5A32421415BF}"/>
    <cellStyle name="40% - Accent4 9 4 3 2 4" xfId="31992" xr:uid="{CCDFB54F-D3E7-4B27-BBD5-54A2E6CFFA97}"/>
    <cellStyle name="40% - Accent4 9 4 3 3" xfId="12553" xr:uid="{00000000-0005-0000-0000-00002A460000}"/>
    <cellStyle name="40% - Accent4 9 4 3 3 2" xfId="36402" xr:uid="{C9918D3A-F789-4E98-B69A-0FBC4EA6A9BF}"/>
    <cellStyle name="40% - Accent4 9 4 3 4" xfId="20508" xr:uid="{00000000-0005-0000-0000-00002B460000}"/>
    <cellStyle name="40% - Accent4 9 4 3 4 2" xfId="44340" xr:uid="{209B5AB2-C186-4C15-840C-B86D77089BF9}"/>
    <cellStyle name="40% - Accent4 9 4 3 5" xfId="28461" xr:uid="{A5C09C57-1655-49EF-9A0E-FC60373F89C6}"/>
    <cellStyle name="40% - Accent4 9 4 4" xfId="6359" xr:uid="{00000000-0005-0000-0000-00002C460000}"/>
    <cellStyle name="40% - Accent4 9 4 4 2" xfId="14333" xr:uid="{00000000-0005-0000-0000-00002D460000}"/>
    <cellStyle name="40% - Accent4 9 4 4 2 2" xfId="38175" xr:uid="{223A9117-62A0-46D5-9D0F-751C7DDA89C7}"/>
    <cellStyle name="40% - Accent4 9 4 4 3" xfId="22280" xr:uid="{00000000-0005-0000-0000-00002E460000}"/>
    <cellStyle name="40% - Accent4 9 4 4 3 2" xfId="46112" xr:uid="{0625CD5A-47FD-44AB-9EB2-B799544354C8}"/>
    <cellStyle name="40% - Accent4 9 4 4 4" xfId="30234" xr:uid="{CB3924FE-18BD-4CE3-A54D-D4F00E1D618F}"/>
    <cellStyle name="40% - Accent4 9 4 5" xfId="9901" xr:uid="{00000000-0005-0000-0000-00002F460000}"/>
    <cellStyle name="40% - Accent4 9 4 5 2" xfId="17859" xr:uid="{00000000-0005-0000-0000-000030460000}"/>
    <cellStyle name="40% - Accent4 9 4 5 2 2" xfId="41699" xr:uid="{DD16FFCA-E63D-4525-9536-3F8A1B8D10F5}"/>
    <cellStyle name="40% - Accent4 9 4 5 3" xfId="25803" xr:uid="{00000000-0005-0000-0000-000031460000}"/>
    <cellStyle name="40% - Accent4 9 4 5 3 2" xfId="49635" xr:uid="{7C4FFC26-064F-4497-9F6D-9DBE59643D56}"/>
    <cellStyle name="40% - Accent4 9 4 5 4" xfId="33758" xr:uid="{639A7245-AA5E-4765-BB9D-076B6FE61C5D}"/>
    <cellStyle name="40% - Accent4 9 4 6" xfId="10797" xr:uid="{00000000-0005-0000-0000-000032460000}"/>
    <cellStyle name="40% - Accent4 9 4 6 2" xfId="34646" xr:uid="{1A0D6687-95DB-4AA5-9DEA-C57CFE01B107}"/>
    <cellStyle name="40% - Accent4 9 4 7" xfId="18752" xr:uid="{00000000-0005-0000-0000-000033460000}"/>
    <cellStyle name="40% - Accent4 9 4 7 2" xfId="42584" xr:uid="{D39A76B0-8916-458B-BA3E-32C5D9762B75}"/>
    <cellStyle name="40% - Accent4 9 4 8" xfId="26704" xr:uid="{A84994A0-C489-4E3B-9F04-0D203F350F85}"/>
    <cellStyle name="40% - Accent4 9 4_Exh G" xfId="3171" xr:uid="{00000000-0005-0000-0000-000034460000}"/>
    <cellStyle name="40% - Accent4 9 5" xfId="1554" xr:uid="{00000000-0005-0000-0000-000035460000}"/>
    <cellStyle name="40% - Accent4 9 5 2" xfId="5081" xr:uid="{00000000-0005-0000-0000-000036460000}"/>
    <cellStyle name="40% - Accent4 9 5 2 2" xfId="8672" xr:uid="{00000000-0005-0000-0000-000037460000}"/>
    <cellStyle name="40% - Accent4 9 5 2 2 2" xfId="16642" xr:uid="{00000000-0005-0000-0000-000038460000}"/>
    <cellStyle name="40% - Accent4 9 5 2 2 2 2" xfId="40484" xr:uid="{52BB24A3-B974-4B75-8C7D-C5D47EC2F9ED}"/>
    <cellStyle name="40% - Accent4 9 5 2 2 3" xfId="24588" xr:uid="{00000000-0005-0000-0000-000039460000}"/>
    <cellStyle name="40% - Accent4 9 5 2 2 3 2" xfId="48420" xr:uid="{93A2858F-1EEB-4A35-9B57-CDD6B5456170}"/>
    <cellStyle name="40% - Accent4 9 5 2 2 4" xfId="32543" xr:uid="{3BF8DF36-8B1C-47D3-84EB-EA44BFF99163}"/>
    <cellStyle name="40% - Accent4 9 5 2 3" xfId="13104" xr:uid="{00000000-0005-0000-0000-00003A460000}"/>
    <cellStyle name="40% - Accent4 9 5 2 3 2" xfId="36953" xr:uid="{77AC53C1-D322-467A-91C6-70E8FA806471}"/>
    <cellStyle name="40% - Accent4 9 5 2 4" xfId="21059" xr:uid="{00000000-0005-0000-0000-00003B460000}"/>
    <cellStyle name="40% - Accent4 9 5 2 4 2" xfId="44891" xr:uid="{31FC8647-11F3-4CE2-A682-3C9DCE441B88}"/>
    <cellStyle name="40% - Accent4 9 5 2 5" xfId="29012" xr:uid="{B2BB409C-095C-48B9-AE80-AF7164EFEEC9}"/>
    <cellStyle name="40% - Accent4 9 5 3" xfId="6913" xr:uid="{00000000-0005-0000-0000-00003C460000}"/>
    <cellStyle name="40% - Accent4 9 5 3 2" xfId="14884" xr:uid="{00000000-0005-0000-0000-00003D460000}"/>
    <cellStyle name="40% - Accent4 9 5 3 2 2" xfId="38726" xr:uid="{0149FB87-530C-40D3-9A9F-5EA6E308AEB9}"/>
    <cellStyle name="40% - Accent4 9 5 3 3" xfId="22831" xr:uid="{00000000-0005-0000-0000-00003E460000}"/>
    <cellStyle name="40% - Accent4 9 5 3 3 2" xfId="46663" xr:uid="{B11B660D-E09A-4A99-B998-FEDCD110C2F8}"/>
    <cellStyle name="40% - Accent4 9 5 3 4" xfId="30785" xr:uid="{255613A0-7271-46D5-A266-81095E8152B8}"/>
    <cellStyle name="40% - Accent4 9 5 4" xfId="11348" xr:uid="{00000000-0005-0000-0000-00003F460000}"/>
    <cellStyle name="40% - Accent4 9 5 4 2" xfId="35197" xr:uid="{D5EA5B03-3246-43E4-8D47-FBB04846CF55}"/>
    <cellStyle name="40% - Accent4 9 5 5" xfId="19303" xr:uid="{00000000-0005-0000-0000-000040460000}"/>
    <cellStyle name="40% - Accent4 9 5 5 2" xfId="43135" xr:uid="{C5F31A89-899C-4058-8FD5-E8D044028165}"/>
    <cellStyle name="40% - Accent4 9 5 6" xfId="27255" xr:uid="{11022CE6-E959-44EF-8161-041FACBBE109}"/>
    <cellStyle name="40% - Accent4 9 5_Exh G" xfId="3173" xr:uid="{00000000-0005-0000-0000-000041460000}"/>
    <cellStyle name="40% - Accent4 9 6" xfId="4202" xr:uid="{00000000-0005-0000-0000-000042460000}"/>
    <cellStyle name="40% - Accent4 9 6 2" xfId="7794" xr:uid="{00000000-0005-0000-0000-000043460000}"/>
    <cellStyle name="40% - Accent4 9 6 2 2" xfId="15764" xr:uid="{00000000-0005-0000-0000-000044460000}"/>
    <cellStyle name="40% - Accent4 9 6 2 2 2" xfId="39606" xr:uid="{CC919A9E-1C0A-4B1C-BF44-54966C82564D}"/>
    <cellStyle name="40% - Accent4 9 6 2 3" xfId="23710" xr:uid="{00000000-0005-0000-0000-000045460000}"/>
    <cellStyle name="40% - Accent4 9 6 2 3 2" xfId="47542" xr:uid="{45ED0D18-8C1B-4E6C-8E1B-C63BAD19D1A0}"/>
    <cellStyle name="40% - Accent4 9 6 2 4" xfId="31665" xr:uid="{BE292ADE-9E94-4B0C-9236-E3A9E0D0F949}"/>
    <cellStyle name="40% - Accent4 9 6 3" xfId="12226" xr:uid="{00000000-0005-0000-0000-000046460000}"/>
    <cellStyle name="40% - Accent4 9 6 3 2" xfId="36075" xr:uid="{62FA1F96-C0E7-4765-B06E-F0A979A871EE}"/>
    <cellStyle name="40% - Accent4 9 6 4" xfId="20181" xr:uid="{00000000-0005-0000-0000-000047460000}"/>
    <cellStyle name="40% - Accent4 9 6 4 2" xfId="44013" xr:uid="{194F3556-24EE-46D3-A73C-EB6375303C3D}"/>
    <cellStyle name="40% - Accent4 9 6 5" xfId="28134" xr:uid="{CEDD5FB6-5F41-4BF4-964E-B64FB21F4F9D}"/>
    <cellStyle name="40% - Accent4 9 7" xfId="6022" xr:uid="{00000000-0005-0000-0000-000048460000}"/>
    <cellStyle name="40% - Accent4 9 7 2" xfId="14005" xr:uid="{00000000-0005-0000-0000-000049460000}"/>
    <cellStyle name="40% - Accent4 9 7 2 2" xfId="37848" xr:uid="{888F3AD7-7E9E-4BAC-AA52-371274A3B331}"/>
    <cellStyle name="40% - Accent4 9 7 3" xfId="21953" xr:uid="{00000000-0005-0000-0000-00004A460000}"/>
    <cellStyle name="40% - Accent4 9 7 3 2" xfId="45785" xr:uid="{51AC3365-1F57-4159-8DE0-83077351E805}"/>
    <cellStyle name="40% - Accent4 9 7 4" xfId="29907" xr:uid="{0E6F5862-ACBC-4AEB-9B90-629FEA8A9B53}"/>
    <cellStyle name="40% - Accent4 9 8" xfId="9574" xr:uid="{00000000-0005-0000-0000-00004B460000}"/>
    <cellStyle name="40% - Accent4 9 8 2" xfId="17532" xr:uid="{00000000-0005-0000-0000-00004C460000}"/>
    <cellStyle name="40% - Accent4 9 8 2 2" xfId="41372" xr:uid="{436FFC10-9E6D-4E45-9A22-F50FF86B4799}"/>
    <cellStyle name="40% - Accent4 9 8 3" xfId="25476" xr:uid="{00000000-0005-0000-0000-00004D460000}"/>
    <cellStyle name="40% - Accent4 9 8 3 2" xfId="49308" xr:uid="{07755CC3-872D-4CB8-9AF9-9B811D326683}"/>
    <cellStyle name="40% - Accent4 9 8 4" xfId="33431" xr:uid="{7B23DCC4-74BC-4651-9BF5-823E15048983}"/>
    <cellStyle name="40% - Accent4 9 9" xfId="10470" xr:uid="{00000000-0005-0000-0000-00004E460000}"/>
    <cellStyle name="40% - Accent4 9 9 2" xfId="34319" xr:uid="{9E6F37D5-133C-46E1-9926-52BC327410BD}"/>
    <cellStyle name="40% - Accent4 9_Exh G" xfId="3164" xr:uid="{00000000-0005-0000-0000-00004F460000}"/>
    <cellStyle name="40% - Accent5" xfId="49694" builtinId="47" customBuiltin="1"/>
    <cellStyle name="40% - Accent5 10" xfId="532" xr:uid="{00000000-0005-0000-0000-000050460000}"/>
    <cellStyle name="40% - Accent5 10 10" xfId="18429" xr:uid="{00000000-0005-0000-0000-000051460000}"/>
    <cellStyle name="40% - Accent5 10 10 2" xfId="42261" xr:uid="{BA838A2C-3A47-45FC-8E91-6A49EA69538C}"/>
    <cellStyle name="40% - Accent5 10 11" xfId="26381" xr:uid="{73FE6463-66FE-4152-9FD2-4A24BBAE8FD7}"/>
    <cellStyle name="40% - Accent5 10 2" xfId="533" xr:uid="{00000000-0005-0000-0000-000052460000}"/>
    <cellStyle name="40% - Accent5 10 2 2" xfId="534" xr:uid="{00000000-0005-0000-0000-000053460000}"/>
    <cellStyle name="40% - Accent5 10 2 2 2" xfId="1560" xr:uid="{00000000-0005-0000-0000-000054460000}"/>
    <cellStyle name="40% - Accent5 10 2 2 2 2" xfId="5087" xr:uid="{00000000-0005-0000-0000-000055460000}"/>
    <cellStyle name="40% - Accent5 10 2 2 2 2 2" xfId="8678" xr:uid="{00000000-0005-0000-0000-000056460000}"/>
    <cellStyle name="40% - Accent5 10 2 2 2 2 2 2" xfId="16648" xr:uid="{00000000-0005-0000-0000-000057460000}"/>
    <cellStyle name="40% - Accent5 10 2 2 2 2 2 2 2" xfId="40490" xr:uid="{2B5B945D-FEA2-4271-AF05-3C3FD823E52E}"/>
    <cellStyle name="40% - Accent5 10 2 2 2 2 2 3" xfId="24594" xr:uid="{00000000-0005-0000-0000-000058460000}"/>
    <cellStyle name="40% - Accent5 10 2 2 2 2 2 3 2" xfId="48426" xr:uid="{3C360ACF-92DE-4804-BBB2-8FA898E22783}"/>
    <cellStyle name="40% - Accent5 10 2 2 2 2 2 4" xfId="32549" xr:uid="{D06E4815-4457-4580-B4FA-45F2219D7B8D}"/>
    <cellStyle name="40% - Accent5 10 2 2 2 2 3" xfId="13110" xr:uid="{00000000-0005-0000-0000-000059460000}"/>
    <cellStyle name="40% - Accent5 10 2 2 2 2 3 2" xfId="36959" xr:uid="{A70F78BE-516E-442F-8DC3-4CDC51572ADD}"/>
    <cellStyle name="40% - Accent5 10 2 2 2 2 4" xfId="21065" xr:uid="{00000000-0005-0000-0000-00005A460000}"/>
    <cellStyle name="40% - Accent5 10 2 2 2 2 4 2" xfId="44897" xr:uid="{11A941E8-63F1-4F2B-8D9C-1EA6CD44CA23}"/>
    <cellStyle name="40% - Accent5 10 2 2 2 2 5" xfId="29018" xr:uid="{EB11D66F-4B29-48EF-AC9E-F680A853C9C8}"/>
    <cellStyle name="40% - Accent5 10 2 2 2 3" xfId="6919" xr:uid="{00000000-0005-0000-0000-00005B460000}"/>
    <cellStyle name="40% - Accent5 10 2 2 2 3 2" xfId="14890" xr:uid="{00000000-0005-0000-0000-00005C460000}"/>
    <cellStyle name="40% - Accent5 10 2 2 2 3 2 2" xfId="38732" xr:uid="{14030607-2415-442F-9F11-F97B19B1D306}"/>
    <cellStyle name="40% - Accent5 10 2 2 2 3 3" xfId="22837" xr:uid="{00000000-0005-0000-0000-00005D460000}"/>
    <cellStyle name="40% - Accent5 10 2 2 2 3 3 2" xfId="46669" xr:uid="{DE941C70-2761-456E-94E3-5617190E2DF3}"/>
    <cellStyle name="40% - Accent5 10 2 2 2 3 4" xfId="30791" xr:uid="{9D24A180-E443-41F5-9619-74A96E1C42A2}"/>
    <cellStyle name="40% - Accent5 10 2 2 2 4" xfId="11354" xr:uid="{00000000-0005-0000-0000-00005E460000}"/>
    <cellStyle name="40% - Accent5 10 2 2 2 4 2" xfId="35203" xr:uid="{C279D018-2D61-43F9-8AA8-DC216CDBEB8E}"/>
    <cellStyle name="40% - Accent5 10 2 2 2 5" xfId="19309" xr:uid="{00000000-0005-0000-0000-00005F460000}"/>
    <cellStyle name="40% - Accent5 10 2 2 2 5 2" xfId="43141" xr:uid="{D9F225BB-C2C5-49F5-98F2-C2C87093CA9B}"/>
    <cellStyle name="40% - Accent5 10 2 2 2 6" xfId="27261" xr:uid="{9B426F5A-F36C-4994-AC2B-A28A796880E8}"/>
    <cellStyle name="40% - Accent5 10 2 2 2_Exh G" xfId="3177" xr:uid="{00000000-0005-0000-0000-000060460000}"/>
    <cellStyle name="40% - Accent5 10 2 2 3" xfId="4208" xr:uid="{00000000-0005-0000-0000-000061460000}"/>
    <cellStyle name="40% - Accent5 10 2 2 3 2" xfId="7800" xr:uid="{00000000-0005-0000-0000-000062460000}"/>
    <cellStyle name="40% - Accent5 10 2 2 3 2 2" xfId="15770" xr:uid="{00000000-0005-0000-0000-000063460000}"/>
    <cellStyle name="40% - Accent5 10 2 2 3 2 2 2" xfId="39612" xr:uid="{E5B86D96-D93A-4CA8-AE1D-4106634D39F8}"/>
    <cellStyle name="40% - Accent5 10 2 2 3 2 3" xfId="23716" xr:uid="{00000000-0005-0000-0000-000064460000}"/>
    <cellStyle name="40% - Accent5 10 2 2 3 2 3 2" xfId="47548" xr:uid="{02B699E1-738F-4B46-BE17-AD6630F9470D}"/>
    <cellStyle name="40% - Accent5 10 2 2 3 2 4" xfId="31671" xr:uid="{A2B108D4-2C0D-496D-9316-E46C22A5D667}"/>
    <cellStyle name="40% - Accent5 10 2 2 3 3" xfId="12232" xr:uid="{00000000-0005-0000-0000-000065460000}"/>
    <cellStyle name="40% - Accent5 10 2 2 3 3 2" xfId="36081" xr:uid="{CD7B06D8-EB80-43AD-BB13-00081F6BE2D8}"/>
    <cellStyle name="40% - Accent5 10 2 2 3 4" xfId="20187" xr:uid="{00000000-0005-0000-0000-000066460000}"/>
    <cellStyle name="40% - Accent5 10 2 2 3 4 2" xfId="44019" xr:uid="{09BCD9B9-4CCF-4865-85CE-D65A3FD58576}"/>
    <cellStyle name="40% - Accent5 10 2 2 3 5" xfId="28140" xr:uid="{C87D8B93-BB0D-458C-99D6-E83FC021E72E}"/>
    <cellStyle name="40% - Accent5 10 2 2 4" xfId="6028" xr:uid="{00000000-0005-0000-0000-000067460000}"/>
    <cellStyle name="40% - Accent5 10 2 2 4 2" xfId="14011" xr:uid="{00000000-0005-0000-0000-000068460000}"/>
    <cellStyle name="40% - Accent5 10 2 2 4 2 2" xfId="37854" xr:uid="{2B5B717D-2E10-49FF-B706-26DD1566CA4C}"/>
    <cellStyle name="40% - Accent5 10 2 2 4 3" xfId="21959" xr:uid="{00000000-0005-0000-0000-000069460000}"/>
    <cellStyle name="40% - Accent5 10 2 2 4 3 2" xfId="45791" xr:uid="{9BE3C27A-DAA2-42AE-A31B-3AA4D194B651}"/>
    <cellStyle name="40% - Accent5 10 2 2 4 4" xfId="29913" xr:uid="{C021681E-C251-4170-B622-2C0C0F29EC7D}"/>
    <cellStyle name="40% - Accent5 10 2 2 5" xfId="9580" xr:uid="{00000000-0005-0000-0000-00006A460000}"/>
    <cellStyle name="40% - Accent5 10 2 2 5 2" xfId="17538" xr:uid="{00000000-0005-0000-0000-00006B460000}"/>
    <cellStyle name="40% - Accent5 10 2 2 5 2 2" xfId="41378" xr:uid="{25246432-D4BF-4526-9FE7-1E0646D31FC1}"/>
    <cellStyle name="40% - Accent5 10 2 2 5 3" xfId="25482" xr:uid="{00000000-0005-0000-0000-00006C460000}"/>
    <cellStyle name="40% - Accent5 10 2 2 5 3 2" xfId="49314" xr:uid="{218DED90-ADC5-4E82-B1E2-DB589A0A0289}"/>
    <cellStyle name="40% - Accent5 10 2 2 5 4" xfId="33437" xr:uid="{3352E44C-2B2D-42A0-9D5E-4AA703721BE6}"/>
    <cellStyle name="40% - Accent5 10 2 2 6" xfId="10476" xr:uid="{00000000-0005-0000-0000-00006D460000}"/>
    <cellStyle name="40% - Accent5 10 2 2 6 2" xfId="34325" xr:uid="{8FD1C79F-7942-4268-94C3-E0B7B5A21981}"/>
    <cellStyle name="40% - Accent5 10 2 2 7" xfId="18431" xr:uid="{00000000-0005-0000-0000-00006E460000}"/>
    <cellStyle name="40% - Accent5 10 2 2 7 2" xfId="42263" xr:uid="{0780C1B1-6D64-40A8-A46A-72B9E6285B83}"/>
    <cellStyle name="40% - Accent5 10 2 2 8" xfId="26383" xr:uid="{D84CAC2A-32A2-4470-965A-8AF115911B8E}"/>
    <cellStyle name="40% - Accent5 10 2 2_Exh G" xfId="3176" xr:uid="{00000000-0005-0000-0000-00006F460000}"/>
    <cellStyle name="40% - Accent5 10 2 3" xfId="1559" xr:uid="{00000000-0005-0000-0000-000070460000}"/>
    <cellStyle name="40% - Accent5 10 2 3 2" xfId="5086" xr:uid="{00000000-0005-0000-0000-000071460000}"/>
    <cellStyle name="40% - Accent5 10 2 3 2 2" xfId="8677" xr:uid="{00000000-0005-0000-0000-000072460000}"/>
    <cellStyle name="40% - Accent5 10 2 3 2 2 2" xfId="16647" xr:uid="{00000000-0005-0000-0000-000073460000}"/>
    <cellStyle name="40% - Accent5 10 2 3 2 2 2 2" xfId="40489" xr:uid="{9339E809-AD63-45EF-895C-BD7CDBBEA3A0}"/>
    <cellStyle name="40% - Accent5 10 2 3 2 2 3" xfId="24593" xr:uid="{00000000-0005-0000-0000-000074460000}"/>
    <cellStyle name="40% - Accent5 10 2 3 2 2 3 2" xfId="48425" xr:uid="{2DE2AD5F-0EA5-41A3-A978-4C8616025F47}"/>
    <cellStyle name="40% - Accent5 10 2 3 2 2 4" xfId="32548" xr:uid="{09891999-69DB-47A1-95EF-735621D56383}"/>
    <cellStyle name="40% - Accent5 10 2 3 2 3" xfId="13109" xr:uid="{00000000-0005-0000-0000-000075460000}"/>
    <cellStyle name="40% - Accent5 10 2 3 2 3 2" xfId="36958" xr:uid="{D34DFB48-A558-47B2-B2E5-E327459E99B0}"/>
    <cellStyle name="40% - Accent5 10 2 3 2 4" xfId="21064" xr:uid="{00000000-0005-0000-0000-000076460000}"/>
    <cellStyle name="40% - Accent5 10 2 3 2 4 2" xfId="44896" xr:uid="{2AC6A5D2-813A-4F6D-B726-83123AE787EF}"/>
    <cellStyle name="40% - Accent5 10 2 3 2 5" xfId="29017" xr:uid="{52F1263E-F4A6-475D-9EE5-1375FFC83263}"/>
    <cellStyle name="40% - Accent5 10 2 3 3" xfId="6918" xr:uid="{00000000-0005-0000-0000-000077460000}"/>
    <cellStyle name="40% - Accent5 10 2 3 3 2" xfId="14889" xr:uid="{00000000-0005-0000-0000-000078460000}"/>
    <cellStyle name="40% - Accent5 10 2 3 3 2 2" xfId="38731" xr:uid="{BAA072FF-9F1F-47F4-9094-FD9114C6FB33}"/>
    <cellStyle name="40% - Accent5 10 2 3 3 3" xfId="22836" xr:uid="{00000000-0005-0000-0000-000079460000}"/>
    <cellStyle name="40% - Accent5 10 2 3 3 3 2" xfId="46668" xr:uid="{565292EB-7E61-411C-AD86-D0ECCE99A9BE}"/>
    <cellStyle name="40% - Accent5 10 2 3 3 4" xfId="30790" xr:uid="{90ED16CA-5C58-4DB2-8359-898B65F0EFCA}"/>
    <cellStyle name="40% - Accent5 10 2 3 4" xfId="11353" xr:uid="{00000000-0005-0000-0000-00007A460000}"/>
    <cellStyle name="40% - Accent5 10 2 3 4 2" xfId="35202" xr:uid="{B2AB67C0-430D-4945-9798-B0B2FD177DC2}"/>
    <cellStyle name="40% - Accent5 10 2 3 5" xfId="19308" xr:uid="{00000000-0005-0000-0000-00007B460000}"/>
    <cellStyle name="40% - Accent5 10 2 3 5 2" xfId="43140" xr:uid="{8844FCFA-D8FD-4D58-A871-0A0880C3A494}"/>
    <cellStyle name="40% - Accent5 10 2 3 6" xfId="27260" xr:uid="{834EC497-4C61-47E8-98A2-9252D40A7527}"/>
    <cellStyle name="40% - Accent5 10 2 3_Exh G" xfId="3178" xr:uid="{00000000-0005-0000-0000-00007C460000}"/>
    <cellStyle name="40% - Accent5 10 2 4" xfId="4207" xr:uid="{00000000-0005-0000-0000-00007D460000}"/>
    <cellStyle name="40% - Accent5 10 2 4 2" xfId="7799" xr:uid="{00000000-0005-0000-0000-00007E460000}"/>
    <cellStyle name="40% - Accent5 10 2 4 2 2" xfId="15769" xr:uid="{00000000-0005-0000-0000-00007F460000}"/>
    <cellStyle name="40% - Accent5 10 2 4 2 2 2" xfId="39611" xr:uid="{1D2235C8-7FEE-4764-8E84-66C6E5A1F60E}"/>
    <cellStyle name="40% - Accent5 10 2 4 2 3" xfId="23715" xr:uid="{00000000-0005-0000-0000-000080460000}"/>
    <cellStyle name="40% - Accent5 10 2 4 2 3 2" xfId="47547" xr:uid="{AFEA1545-4886-4129-94C9-2CFAE8DA4196}"/>
    <cellStyle name="40% - Accent5 10 2 4 2 4" xfId="31670" xr:uid="{D7F3B4AC-53E2-4E15-9A5B-5D5BBF2FD5D2}"/>
    <cellStyle name="40% - Accent5 10 2 4 3" xfId="12231" xr:uid="{00000000-0005-0000-0000-000081460000}"/>
    <cellStyle name="40% - Accent5 10 2 4 3 2" xfId="36080" xr:uid="{6FD98329-BD3F-4FFB-8EE8-B83C5DD6EFC5}"/>
    <cellStyle name="40% - Accent5 10 2 4 4" xfId="20186" xr:uid="{00000000-0005-0000-0000-000082460000}"/>
    <cellStyle name="40% - Accent5 10 2 4 4 2" xfId="44018" xr:uid="{1BCECD69-F670-4F8A-9FC8-70325866AF11}"/>
    <cellStyle name="40% - Accent5 10 2 4 5" xfId="28139" xr:uid="{BC305112-D90C-489C-97BD-9ECA78B26042}"/>
    <cellStyle name="40% - Accent5 10 2 5" xfId="6027" xr:uid="{00000000-0005-0000-0000-000083460000}"/>
    <cellStyle name="40% - Accent5 10 2 5 2" xfId="14010" xr:uid="{00000000-0005-0000-0000-000084460000}"/>
    <cellStyle name="40% - Accent5 10 2 5 2 2" xfId="37853" xr:uid="{C338F710-DFC3-4BCA-8368-9EABE2C8BBE3}"/>
    <cellStyle name="40% - Accent5 10 2 5 3" xfId="21958" xr:uid="{00000000-0005-0000-0000-000085460000}"/>
    <cellStyle name="40% - Accent5 10 2 5 3 2" xfId="45790" xr:uid="{A7FD4110-292F-4757-8793-861949B1911C}"/>
    <cellStyle name="40% - Accent5 10 2 5 4" xfId="29912" xr:uid="{D57A0726-6C06-4681-A335-7F9171E8594A}"/>
    <cellStyle name="40% - Accent5 10 2 6" xfId="9579" xr:uid="{00000000-0005-0000-0000-000086460000}"/>
    <cellStyle name="40% - Accent5 10 2 6 2" xfId="17537" xr:uid="{00000000-0005-0000-0000-000087460000}"/>
    <cellStyle name="40% - Accent5 10 2 6 2 2" xfId="41377" xr:uid="{B4ACC24A-43E2-477E-AD14-CD08BE63D643}"/>
    <cellStyle name="40% - Accent5 10 2 6 3" xfId="25481" xr:uid="{00000000-0005-0000-0000-000088460000}"/>
    <cellStyle name="40% - Accent5 10 2 6 3 2" xfId="49313" xr:uid="{A23ED8BA-D4FE-4605-B61B-D330AD5311FA}"/>
    <cellStyle name="40% - Accent5 10 2 6 4" xfId="33436" xr:uid="{CE0294F0-5934-4170-A522-86FE90D353A6}"/>
    <cellStyle name="40% - Accent5 10 2 7" xfId="10475" xr:uid="{00000000-0005-0000-0000-000089460000}"/>
    <cellStyle name="40% - Accent5 10 2 7 2" xfId="34324" xr:uid="{5E0EE47C-CE96-433E-84F0-A01427813F48}"/>
    <cellStyle name="40% - Accent5 10 2 8" xfId="18430" xr:uid="{00000000-0005-0000-0000-00008A460000}"/>
    <cellStyle name="40% - Accent5 10 2 8 2" xfId="42262" xr:uid="{99AA2FF6-E2BF-4B7C-B2C9-D5B3006E3E39}"/>
    <cellStyle name="40% - Accent5 10 2 9" xfId="26382" xr:uid="{69188F28-5D65-4B37-A2A3-E09ED6B92AF8}"/>
    <cellStyle name="40% - Accent5 10 2_Exh G" xfId="3175" xr:uid="{00000000-0005-0000-0000-00008B460000}"/>
    <cellStyle name="40% - Accent5 10 3" xfId="535" xr:uid="{00000000-0005-0000-0000-00008C460000}"/>
    <cellStyle name="40% - Accent5 10 3 2" xfId="1561" xr:uid="{00000000-0005-0000-0000-00008D460000}"/>
    <cellStyle name="40% - Accent5 10 3 2 2" xfId="5088" xr:uid="{00000000-0005-0000-0000-00008E460000}"/>
    <cellStyle name="40% - Accent5 10 3 2 2 2" xfId="8679" xr:uid="{00000000-0005-0000-0000-00008F460000}"/>
    <cellStyle name="40% - Accent5 10 3 2 2 2 2" xfId="16649" xr:uid="{00000000-0005-0000-0000-000090460000}"/>
    <cellStyle name="40% - Accent5 10 3 2 2 2 2 2" xfId="40491" xr:uid="{EF3492DE-3B22-4944-B1CA-B814984DF19D}"/>
    <cellStyle name="40% - Accent5 10 3 2 2 2 3" xfId="24595" xr:uid="{00000000-0005-0000-0000-000091460000}"/>
    <cellStyle name="40% - Accent5 10 3 2 2 2 3 2" xfId="48427" xr:uid="{0EA950FE-FC2D-4122-B077-E14F20E0B2D9}"/>
    <cellStyle name="40% - Accent5 10 3 2 2 2 4" xfId="32550" xr:uid="{1E148BE1-CCAB-43F1-AAC7-2AC75A7CE7B0}"/>
    <cellStyle name="40% - Accent5 10 3 2 2 3" xfId="13111" xr:uid="{00000000-0005-0000-0000-000092460000}"/>
    <cellStyle name="40% - Accent5 10 3 2 2 3 2" xfId="36960" xr:uid="{B6EEF9C6-E881-4CB6-A892-B1ED5AFBBBCE}"/>
    <cellStyle name="40% - Accent5 10 3 2 2 4" xfId="21066" xr:uid="{00000000-0005-0000-0000-000093460000}"/>
    <cellStyle name="40% - Accent5 10 3 2 2 4 2" xfId="44898" xr:uid="{1A9842AF-F26D-4170-8175-B77D0C18913E}"/>
    <cellStyle name="40% - Accent5 10 3 2 2 5" xfId="29019" xr:uid="{6ED64B40-529F-4933-93AA-9748C37A7632}"/>
    <cellStyle name="40% - Accent5 10 3 2 3" xfId="6920" xr:uid="{00000000-0005-0000-0000-000094460000}"/>
    <cellStyle name="40% - Accent5 10 3 2 3 2" xfId="14891" xr:uid="{00000000-0005-0000-0000-000095460000}"/>
    <cellStyle name="40% - Accent5 10 3 2 3 2 2" xfId="38733" xr:uid="{F049826F-DBAC-46FD-96CD-F75972AA564A}"/>
    <cellStyle name="40% - Accent5 10 3 2 3 3" xfId="22838" xr:uid="{00000000-0005-0000-0000-000096460000}"/>
    <cellStyle name="40% - Accent5 10 3 2 3 3 2" xfId="46670" xr:uid="{54E908C8-7D2C-4A63-BF81-900D697CEF17}"/>
    <cellStyle name="40% - Accent5 10 3 2 3 4" xfId="30792" xr:uid="{4DE98BC5-EF48-46B1-BB39-7B3992386A3B}"/>
    <cellStyle name="40% - Accent5 10 3 2 4" xfId="11355" xr:uid="{00000000-0005-0000-0000-000097460000}"/>
    <cellStyle name="40% - Accent5 10 3 2 4 2" xfId="35204" xr:uid="{33658157-A43B-4C42-B9BE-F54BDA2D9CA6}"/>
    <cellStyle name="40% - Accent5 10 3 2 5" xfId="19310" xr:uid="{00000000-0005-0000-0000-000098460000}"/>
    <cellStyle name="40% - Accent5 10 3 2 5 2" xfId="43142" xr:uid="{7C5F9323-2F47-4D2B-AB8A-6A9FD1A2CACB}"/>
    <cellStyle name="40% - Accent5 10 3 2 6" xfId="27262" xr:uid="{11CF74C3-6BBD-4CC1-89EE-B246250505F6}"/>
    <cellStyle name="40% - Accent5 10 3 2_Exh G" xfId="3180" xr:uid="{00000000-0005-0000-0000-000099460000}"/>
    <cellStyle name="40% - Accent5 10 3 3" xfId="4209" xr:uid="{00000000-0005-0000-0000-00009A460000}"/>
    <cellStyle name="40% - Accent5 10 3 3 2" xfId="7801" xr:uid="{00000000-0005-0000-0000-00009B460000}"/>
    <cellStyle name="40% - Accent5 10 3 3 2 2" xfId="15771" xr:uid="{00000000-0005-0000-0000-00009C460000}"/>
    <cellStyle name="40% - Accent5 10 3 3 2 2 2" xfId="39613" xr:uid="{7F2B577C-2FC5-4C8C-A20C-1CF2495D485B}"/>
    <cellStyle name="40% - Accent5 10 3 3 2 3" xfId="23717" xr:uid="{00000000-0005-0000-0000-00009D460000}"/>
    <cellStyle name="40% - Accent5 10 3 3 2 3 2" xfId="47549" xr:uid="{E597007B-B62C-445F-8FD6-20B9C0CFCAD6}"/>
    <cellStyle name="40% - Accent5 10 3 3 2 4" xfId="31672" xr:uid="{224F9587-2AF8-4055-BDA4-26F514BE3703}"/>
    <cellStyle name="40% - Accent5 10 3 3 3" xfId="12233" xr:uid="{00000000-0005-0000-0000-00009E460000}"/>
    <cellStyle name="40% - Accent5 10 3 3 3 2" xfId="36082" xr:uid="{9F560C71-739C-414A-8946-E4A4D33968CC}"/>
    <cellStyle name="40% - Accent5 10 3 3 4" xfId="20188" xr:uid="{00000000-0005-0000-0000-00009F460000}"/>
    <cellStyle name="40% - Accent5 10 3 3 4 2" xfId="44020" xr:uid="{C3006F5C-7CA3-4D38-B390-E0ABCFE500D3}"/>
    <cellStyle name="40% - Accent5 10 3 3 5" xfId="28141" xr:uid="{072A9843-8F2F-424B-AB78-2717DDB48E7B}"/>
    <cellStyle name="40% - Accent5 10 3 4" xfId="6029" xr:uid="{00000000-0005-0000-0000-0000A0460000}"/>
    <cellStyle name="40% - Accent5 10 3 4 2" xfId="14012" xr:uid="{00000000-0005-0000-0000-0000A1460000}"/>
    <cellStyle name="40% - Accent5 10 3 4 2 2" xfId="37855" xr:uid="{AAD08CB7-0BEB-49BA-828B-2D6A567DB5AA}"/>
    <cellStyle name="40% - Accent5 10 3 4 3" xfId="21960" xr:uid="{00000000-0005-0000-0000-0000A2460000}"/>
    <cellStyle name="40% - Accent5 10 3 4 3 2" xfId="45792" xr:uid="{4C07C249-DE65-497D-8DED-409979596251}"/>
    <cellStyle name="40% - Accent5 10 3 4 4" xfId="29914" xr:uid="{CF9E6994-2EFB-4309-8BA4-CE49D7165896}"/>
    <cellStyle name="40% - Accent5 10 3 5" xfId="9581" xr:uid="{00000000-0005-0000-0000-0000A3460000}"/>
    <cellStyle name="40% - Accent5 10 3 5 2" xfId="17539" xr:uid="{00000000-0005-0000-0000-0000A4460000}"/>
    <cellStyle name="40% - Accent5 10 3 5 2 2" xfId="41379" xr:uid="{50232A1A-C5CE-40F0-9050-6B1FB73475C9}"/>
    <cellStyle name="40% - Accent5 10 3 5 3" xfId="25483" xr:uid="{00000000-0005-0000-0000-0000A5460000}"/>
    <cellStyle name="40% - Accent5 10 3 5 3 2" xfId="49315" xr:uid="{6915C1F4-F563-42EA-B64D-54CE6E718713}"/>
    <cellStyle name="40% - Accent5 10 3 5 4" xfId="33438" xr:uid="{0E916411-CF80-49BA-848F-74A79BB59315}"/>
    <cellStyle name="40% - Accent5 10 3 6" xfId="10477" xr:uid="{00000000-0005-0000-0000-0000A6460000}"/>
    <cellStyle name="40% - Accent5 10 3 6 2" xfId="34326" xr:uid="{E107B0AC-EFBB-48EF-8231-7819F50F305E}"/>
    <cellStyle name="40% - Accent5 10 3 7" xfId="18432" xr:uid="{00000000-0005-0000-0000-0000A7460000}"/>
    <cellStyle name="40% - Accent5 10 3 7 2" xfId="42264" xr:uid="{115A5D1C-75E5-4BA2-A438-9A2FAF6EC537}"/>
    <cellStyle name="40% - Accent5 10 3 8" xfId="26384" xr:uid="{87F37DDF-A042-4B70-8660-EBF117CF7BD6}"/>
    <cellStyle name="40% - Accent5 10 3_Exh G" xfId="3179" xr:uid="{00000000-0005-0000-0000-0000A8460000}"/>
    <cellStyle name="40% - Accent5 10 4" xfId="979" xr:uid="{00000000-0005-0000-0000-0000A9460000}"/>
    <cellStyle name="40% - Accent5 10 5" xfId="1558" xr:uid="{00000000-0005-0000-0000-0000AA460000}"/>
    <cellStyle name="40% - Accent5 10 5 2" xfId="5085" xr:uid="{00000000-0005-0000-0000-0000AB460000}"/>
    <cellStyle name="40% - Accent5 10 5 2 2" xfId="8676" xr:uid="{00000000-0005-0000-0000-0000AC460000}"/>
    <cellStyle name="40% - Accent5 10 5 2 2 2" xfId="16646" xr:uid="{00000000-0005-0000-0000-0000AD460000}"/>
    <cellStyle name="40% - Accent5 10 5 2 2 2 2" xfId="40488" xr:uid="{8965E675-5737-491B-8B5E-6633F2F40D2F}"/>
    <cellStyle name="40% - Accent5 10 5 2 2 3" xfId="24592" xr:uid="{00000000-0005-0000-0000-0000AE460000}"/>
    <cellStyle name="40% - Accent5 10 5 2 2 3 2" xfId="48424" xr:uid="{FCCCA224-7842-463D-895C-6BA08194F7A4}"/>
    <cellStyle name="40% - Accent5 10 5 2 2 4" xfId="32547" xr:uid="{54F3D839-6C14-4FD4-84BC-AAF40A88F2EA}"/>
    <cellStyle name="40% - Accent5 10 5 2 3" xfId="13108" xr:uid="{00000000-0005-0000-0000-0000AF460000}"/>
    <cellStyle name="40% - Accent5 10 5 2 3 2" xfId="36957" xr:uid="{F29F429C-EDB3-4DC1-A63B-48CA34CFB3DA}"/>
    <cellStyle name="40% - Accent5 10 5 2 4" xfId="21063" xr:uid="{00000000-0005-0000-0000-0000B0460000}"/>
    <cellStyle name="40% - Accent5 10 5 2 4 2" xfId="44895" xr:uid="{A8DD2A40-C222-45A0-B25D-9ABC2A79E946}"/>
    <cellStyle name="40% - Accent5 10 5 2 5" xfId="29016" xr:uid="{806F582C-14B5-4C23-B397-11BEA6C5B29A}"/>
    <cellStyle name="40% - Accent5 10 5 3" xfId="6917" xr:uid="{00000000-0005-0000-0000-0000B1460000}"/>
    <cellStyle name="40% - Accent5 10 5 3 2" xfId="14888" xr:uid="{00000000-0005-0000-0000-0000B2460000}"/>
    <cellStyle name="40% - Accent5 10 5 3 2 2" xfId="38730" xr:uid="{DF16DDDD-143E-421C-A19B-FB0A6E867583}"/>
    <cellStyle name="40% - Accent5 10 5 3 3" xfId="22835" xr:uid="{00000000-0005-0000-0000-0000B3460000}"/>
    <cellStyle name="40% - Accent5 10 5 3 3 2" xfId="46667" xr:uid="{E730B923-9EF1-49D9-8BB0-61CAD7CDFBBC}"/>
    <cellStyle name="40% - Accent5 10 5 3 4" xfId="30789" xr:uid="{F69B21A4-E215-4826-98D8-1706FC3DB5D0}"/>
    <cellStyle name="40% - Accent5 10 5 4" xfId="11352" xr:uid="{00000000-0005-0000-0000-0000B4460000}"/>
    <cellStyle name="40% - Accent5 10 5 4 2" xfId="35201" xr:uid="{5EA02C89-7107-4250-9C14-EEB1C503559D}"/>
    <cellStyle name="40% - Accent5 10 5 5" xfId="19307" xr:uid="{00000000-0005-0000-0000-0000B5460000}"/>
    <cellStyle name="40% - Accent5 10 5 5 2" xfId="43139" xr:uid="{D8043410-E94D-407B-90B1-1B075EAF18E7}"/>
    <cellStyle name="40% - Accent5 10 5 6" xfId="27259" xr:uid="{370A09A1-1D7A-4511-8112-5A3267C493D8}"/>
    <cellStyle name="40% - Accent5 10 5_Exh G" xfId="3181" xr:uid="{00000000-0005-0000-0000-0000B6460000}"/>
    <cellStyle name="40% - Accent5 10 6" xfId="4206" xr:uid="{00000000-0005-0000-0000-0000B7460000}"/>
    <cellStyle name="40% - Accent5 10 6 2" xfId="7798" xr:uid="{00000000-0005-0000-0000-0000B8460000}"/>
    <cellStyle name="40% - Accent5 10 6 2 2" xfId="15768" xr:uid="{00000000-0005-0000-0000-0000B9460000}"/>
    <cellStyle name="40% - Accent5 10 6 2 2 2" xfId="39610" xr:uid="{F0611331-89FB-4D0B-BA6C-909FD7E7FA26}"/>
    <cellStyle name="40% - Accent5 10 6 2 3" xfId="23714" xr:uid="{00000000-0005-0000-0000-0000BA460000}"/>
    <cellStyle name="40% - Accent5 10 6 2 3 2" xfId="47546" xr:uid="{501E14EE-E67B-4BC8-A884-28A8F1D94BAB}"/>
    <cellStyle name="40% - Accent5 10 6 2 4" xfId="31669" xr:uid="{86E5002C-4339-4E80-A8ED-18C365C312E1}"/>
    <cellStyle name="40% - Accent5 10 6 3" xfId="12230" xr:uid="{00000000-0005-0000-0000-0000BB460000}"/>
    <cellStyle name="40% - Accent5 10 6 3 2" xfId="36079" xr:uid="{059518C5-798B-49A1-AA06-4A3576DCD9C1}"/>
    <cellStyle name="40% - Accent5 10 6 4" xfId="20185" xr:uid="{00000000-0005-0000-0000-0000BC460000}"/>
    <cellStyle name="40% - Accent5 10 6 4 2" xfId="44017" xr:uid="{69773F4C-5618-4F0E-905D-FD4C8F17109D}"/>
    <cellStyle name="40% - Accent5 10 6 5" xfId="28138" xr:uid="{6B9F65A9-70E7-453C-AA6F-9551352FAD1E}"/>
    <cellStyle name="40% - Accent5 10 7" xfId="6026" xr:uid="{00000000-0005-0000-0000-0000BD460000}"/>
    <cellStyle name="40% - Accent5 10 7 2" xfId="14009" xr:uid="{00000000-0005-0000-0000-0000BE460000}"/>
    <cellStyle name="40% - Accent5 10 7 2 2" xfId="37852" xr:uid="{7BD1709C-5B24-40FA-B15F-E40870C84250}"/>
    <cellStyle name="40% - Accent5 10 7 3" xfId="21957" xr:uid="{00000000-0005-0000-0000-0000BF460000}"/>
    <cellStyle name="40% - Accent5 10 7 3 2" xfId="45789" xr:uid="{7D8B9CAB-E9BF-4F0D-AD99-AB76B4F6B7B3}"/>
    <cellStyle name="40% - Accent5 10 7 4" xfId="29911" xr:uid="{C75B79A4-9753-4E86-830C-D49BA8FDF4B2}"/>
    <cellStyle name="40% - Accent5 10 8" xfId="9578" xr:uid="{00000000-0005-0000-0000-0000C0460000}"/>
    <cellStyle name="40% - Accent5 10 8 2" xfId="17536" xr:uid="{00000000-0005-0000-0000-0000C1460000}"/>
    <cellStyle name="40% - Accent5 10 8 2 2" xfId="41376" xr:uid="{C5365C85-39E5-4EDD-A383-1059369D4506}"/>
    <cellStyle name="40% - Accent5 10 8 3" xfId="25480" xr:uid="{00000000-0005-0000-0000-0000C2460000}"/>
    <cellStyle name="40% - Accent5 10 8 3 2" xfId="49312" xr:uid="{14A9E215-D527-42EF-8D3B-80067AD16A61}"/>
    <cellStyle name="40% - Accent5 10 8 4" xfId="33435" xr:uid="{4D443645-C5A6-4FE6-BA53-F0DE3397AF13}"/>
    <cellStyle name="40% - Accent5 10 9" xfId="10474" xr:uid="{00000000-0005-0000-0000-0000C3460000}"/>
    <cellStyle name="40% - Accent5 10 9 2" xfId="34323" xr:uid="{46CF48D4-1599-400B-B815-75F45E31A9F1}"/>
    <cellStyle name="40% - Accent5 10_Exh G" xfId="3174" xr:uid="{00000000-0005-0000-0000-0000C4460000}"/>
    <cellStyle name="40% - Accent5 11" xfId="536" xr:uid="{00000000-0005-0000-0000-0000C5460000}"/>
    <cellStyle name="40% - Accent5 11 10" xfId="26385" xr:uid="{DF0395CA-27A9-4744-87FA-66BD3374EE84}"/>
    <cellStyle name="40% - Accent5 11 2" xfId="537" xr:uid="{00000000-0005-0000-0000-0000C6460000}"/>
    <cellStyle name="40% - Accent5 11 2 2" xfId="538" xr:uid="{00000000-0005-0000-0000-0000C7460000}"/>
    <cellStyle name="40% - Accent5 11 2 2 2" xfId="1564" xr:uid="{00000000-0005-0000-0000-0000C8460000}"/>
    <cellStyle name="40% - Accent5 11 2 2 2 2" xfId="5091" xr:uid="{00000000-0005-0000-0000-0000C9460000}"/>
    <cellStyle name="40% - Accent5 11 2 2 2 2 2" xfId="8682" xr:uid="{00000000-0005-0000-0000-0000CA460000}"/>
    <cellStyle name="40% - Accent5 11 2 2 2 2 2 2" xfId="16652" xr:uid="{00000000-0005-0000-0000-0000CB460000}"/>
    <cellStyle name="40% - Accent5 11 2 2 2 2 2 2 2" xfId="40494" xr:uid="{87D70DD4-CF8E-4CD1-BC29-67747864FC32}"/>
    <cellStyle name="40% - Accent5 11 2 2 2 2 2 3" xfId="24598" xr:uid="{00000000-0005-0000-0000-0000CC460000}"/>
    <cellStyle name="40% - Accent5 11 2 2 2 2 2 3 2" xfId="48430" xr:uid="{B3EEF002-F345-480E-AA12-2F4A109D12D8}"/>
    <cellStyle name="40% - Accent5 11 2 2 2 2 2 4" xfId="32553" xr:uid="{62932B58-9BC0-4E9A-8E2C-33F4DF4D412D}"/>
    <cellStyle name="40% - Accent5 11 2 2 2 2 3" xfId="13114" xr:uid="{00000000-0005-0000-0000-0000CD460000}"/>
    <cellStyle name="40% - Accent5 11 2 2 2 2 3 2" xfId="36963" xr:uid="{C084B9E3-8613-4396-837F-932EB443619C}"/>
    <cellStyle name="40% - Accent5 11 2 2 2 2 4" xfId="21069" xr:uid="{00000000-0005-0000-0000-0000CE460000}"/>
    <cellStyle name="40% - Accent5 11 2 2 2 2 4 2" xfId="44901" xr:uid="{C1CE1B98-1E4C-413E-AAFB-02AAF9547038}"/>
    <cellStyle name="40% - Accent5 11 2 2 2 2 5" xfId="29022" xr:uid="{94C7EAE2-32B5-4658-A1C5-F807EDDBBE4B}"/>
    <cellStyle name="40% - Accent5 11 2 2 2 3" xfId="6923" xr:uid="{00000000-0005-0000-0000-0000CF460000}"/>
    <cellStyle name="40% - Accent5 11 2 2 2 3 2" xfId="14894" xr:uid="{00000000-0005-0000-0000-0000D0460000}"/>
    <cellStyle name="40% - Accent5 11 2 2 2 3 2 2" xfId="38736" xr:uid="{D492234A-9D6C-4EE8-9B62-0345E292A516}"/>
    <cellStyle name="40% - Accent5 11 2 2 2 3 3" xfId="22841" xr:uid="{00000000-0005-0000-0000-0000D1460000}"/>
    <cellStyle name="40% - Accent5 11 2 2 2 3 3 2" xfId="46673" xr:uid="{5E516FDE-C89F-46A3-8B63-7BECCC5CEE20}"/>
    <cellStyle name="40% - Accent5 11 2 2 2 3 4" xfId="30795" xr:uid="{DC032245-38DE-45CA-8430-C7CEF9395633}"/>
    <cellStyle name="40% - Accent5 11 2 2 2 4" xfId="11358" xr:uid="{00000000-0005-0000-0000-0000D2460000}"/>
    <cellStyle name="40% - Accent5 11 2 2 2 4 2" xfId="35207" xr:uid="{A612D27F-60C6-4FEE-B366-2FCA83FF6814}"/>
    <cellStyle name="40% - Accent5 11 2 2 2 5" xfId="19313" xr:uid="{00000000-0005-0000-0000-0000D3460000}"/>
    <cellStyle name="40% - Accent5 11 2 2 2 5 2" xfId="43145" xr:uid="{6F411D75-924C-4235-A3E9-753B065BC727}"/>
    <cellStyle name="40% - Accent5 11 2 2 2 6" xfId="27265" xr:uid="{F2195153-21B2-4AC2-A8C0-9403462D1880}"/>
    <cellStyle name="40% - Accent5 11 2 2 2_Exh G" xfId="3185" xr:uid="{00000000-0005-0000-0000-0000D4460000}"/>
    <cellStyle name="40% - Accent5 11 2 2 3" xfId="4212" xr:uid="{00000000-0005-0000-0000-0000D5460000}"/>
    <cellStyle name="40% - Accent5 11 2 2 3 2" xfId="7804" xr:uid="{00000000-0005-0000-0000-0000D6460000}"/>
    <cellStyle name="40% - Accent5 11 2 2 3 2 2" xfId="15774" xr:uid="{00000000-0005-0000-0000-0000D7460000}"/>
    <cellStyle name="40% - Accent5 11 2 2 3 2 2 2" xfId="39616" xr:uid="{CDCA0FAB-F840-4379-A344-2332AE102C6B}"/>
    <cellStyle name="40% - Accent5 11 2 2 3 2 3" xfId="23720" xr:uid="{00000000-0005-0000-0000-0000D8460000}"/>
    <cellStyle name="40% - Accent5 11 2 2 3 2 3 2" xfId="47552" xr:uid="{9DD1DF54-C7C3-48E6-8404-36C227256ED8}"/>
    <cellStyle name="40% - Accent5 11 2 2 3 2 4" xfId="31675" xr:uid="{30BC121C-91D2-4422-A45A-A6FE8EB2438A}"/>
    <cellStyle name="40% - Accent5 11 2 2 3 3" xfId="12236" xr:uid="{00000000-0005-0000-0000-0000D9460000}"/>
    <cellStyle name="40% - Accent5 11 2 2 3 3 2" xfId="36085" xr:uid="{B9FAE286-30D0-4C91-96A3-94F2D71D2BB2}"/>
    <cellStyle name="40% - Accent5 11 2 2 3 4" xfId="20191" xr:uid="{00000000-0005-0000-0000-0000DA460000}"/>
    <cellStyle name="40% - Accent5 11 2 2 3 4 2" xfId="44023" xr:uid="{C38890E0-0CD1-4291-9886-57C19CD8F2F3}"/>
    <cellStyle name="40% - Accent5 11 2 2 3 5" xfId="28144" xr:uid="{67CB94F2-E27E-49F7-95C3-5CC40C2AEBC2}"/>
    <cellStyle name="40% - Accent5 11 2 2 4" xfId="6032" xr:uid="{00000000-0005-0000-0000-0000DB460000}"/>
    <cellStyle name="40% - Accent5 11 2 2 4 2" xfId="14015" xr:uid="{00000000-0005-0000-0000-0000DC460000}"/>
    <cellStyle name="40% - Accent5 11 2 2 4 2 2" xfId="37858" xr:uid="{7CAE8FC4-5323-45F7-900C-66CAFAF3B233}"/>
    <cellStyle name="40% - Accent5 11 2 2 4 3" xfId="21963" xr:uid="{00000000-0005-0000-0000-0000DD460000}"/>
    <cellStyle name="40% - Accent5 11 2 2 4 3 2" xfId="45795" xr:uid="{AE5EF0BF-7745-4219-BB68-C0648A1DE3CF}"/>
    <cellStyle name="40% - Accent5 11 2 2 4 4" xfId="29917" xr:uid="{2EE6D550-EBCB-4D54-9718-E503DB38F805}"/>
    <cellStyle name="40% - Accent5 11 2 2 5" xfId="9584" xr:uid="{00000000-0005-0000-0000-0000DE460000}"/>
    <cellStyle name="40% - Accent5 11 2 2 5 2" xfId="17542" xr:uid="{00000000-0005-0000-0000-0000DF460000}"/>
    <cellStyle name="40% - Accent5 11 2 2 5 2 2" xfId="41382" xr:uid="{4380FAB0-878C-421B-9929-2DCADA7B6DAD}"/>
    <cellStyle name="40% - Accent5 11 2 2 5 3" xfId="25486" xr:uid="{00000000-0005-0000-0000-0000E0460000}"/>
    <cellStyle name="40% - Accent5 11 2 2 5 3 2" xfId="49318" xr:uid="{0B766BED-4C8E-44A9-864A-377FA340C4B7}"/>
    <cellStyle name="40% - Accent5 11 2 2 5 4" xfId="33441" xr:uid="{503DBFCD-2B9D-4A2C-A88E-F6E983CE992C}"/>
    <cellStyle name="40% - Accent5 11 2 2 6" xfId="10480" xr:uid="{00000000-0005-0000-0000-0000E1460000}"/>
    <cellStyle name="40% - Accent5 11 2 2 6 2" xfId="34329" xr:uid="{FEFCB2AD-2174-4D58-B889-2C3B39244DAB}"/>
    <cellStyle name="40% - Accent5 11 2 2 7" xfId="18435" xr:uid="{00000000-0005-0000-0000-0000E2460000}"/>
    <cellStyle name="40% - Accent5 11 2 2 7 2" xfId="42267" xr:uid="{3E2C0B87-C366-4C61-B32A-FDBD12FEE886}"/>
    <cellStyle name="40% - Accent5 11 2 2 8" xfId="26387" xr:uid="{8155BA91-47F9-487E-A66A-08551E0EE97A}"/>
    <cellStyle name="40% - Accent5 11 2 2_Exh G" xfId="3184" xr:uid="{00000000-0005-0000-0000-0000E3460000}"/>
    <cellStyle name="40% - Accent5 11 2 3" xfId="1563" xr:uid="{00000000-0005-0000-0000-0000E4460000}"/>
    <cellStyle name="40% - Accent5 11 2 3 2" xfId="5090" xr:uid="{00000000-0005-0000-0000-0000E5460000}"/>
    <cellStyle name="40% - Accent5 11 2 3 2 2" xfId="8681" xr:uid="{00000000-0005-0000-0000-0000E6460000}"/>
    <cellStyle name="40% - Accent5 11 2 3 2 2 2" xfId="16651" xr:uid="{00000000-0005-0000-0000-0000E7460000}"/>
    <cellStyle name="40% - Accent5 11 2 3 2 2 2 2" xfId="40493" xr:uid="{5F122AFC-4CDA-4FE9-9E85-2D51BF765BA5}"/>
    <cellStyle name="40% - Accent5 11 2 3 2 2 3" xfId="24597" xr:uid="{00000000-0005-0000-0000-0000E8460000}"/>
    <cellStyle name="40% - Accent5 11 2 3 2 2 3 2" xfId="48429" xr:uid="{C027FDA2-6255-473E-92CC-1A45F960BF2C}"/>
    <cellStyle name="40% - Accent5 11 2 3 2 2 4" xfId="32552" xr:uid="{B3933FDE-31A6-4BA0-BAAD-57E9E74875E0}"/>
    <cellStyle name="40% - Accent5 11 2 3 2 3" xfId="13113" xr:uid="{00000000-0005-0000-0000-0000E9460000}"/>
    <cellStyle name="40% - Accent5 11 2 3 2 3 2" xfId="36962" xr:uid="{02D0E5FD-21E5-46F3-B58B-46D077950F7F}"/>
    <cellStyle name="40% - Accent5 11 2 3 2 4" xfId="21068" xr:uid="{00000000-0005-0000-0000-0000EA460000}"/>
    <cellStyle name="40% - Accent5 11 2 3 2 4 2" xfId="44900" xr:uid="{566DDE19-3828-4D17-8F86-09177B56A556}"/>
    <cellStyle name="40% - Accent5 11 2 3 2 5" xfId="29021" xr:uid="{17175C61-3416-43CB-8EB4-A7F73B38FCD4}"/>
    <cellStyle name="40% - Accent5 11 2 3 3" xfId="6922" xr:uid="{00000000-0005-0000-0000-0000EB460000}"/>
    <cellStyle name="40% - Accent5 11 2 3 3 2" xfId="14893" xr:uid="{00000000-0005-0000-0000-0000EC460000}"/>
    <cellStyle name="40% - Accent5 11 2 3 3 2 2" xfId="38735" xr:uid="{323A1E43-A662-4D6B-8875-E3F6388F9798}"/>
    <cellStyle name="40% - Accent5 11 2 3 3 3" xfId="22840" xr:uid="{00000000-0005-0000-0000-0000ED460000}"/>
    <cellStyle name="40% - Accent5 11 2 3 3 3 2" xfId="46672" xr:uid="{D08816BE-CAEB-4A6C-B56F-35AF69B9615F}"/>
    <cellStyle name="40% - Accent5 11 2 3 3 4" xfId="30794" xr:uid="{CAB80A9F-4EEC-46DD-BB77-801B09CD4F5E}"/>
    <cellStyle name="40% - Accent5 11 2 3 4" xfId="11357" xr:uid="{00000000-0005-0000-0000-0000EE460000}"/>
    <cellStyle name="40% - Accent5 11 2 3 4 2" xfId="35206" xr:uid="{76552331-98D7-4DFD-BD65-90098247E955}"/>
    <cellStyle name="40% - Accent5 11 2 3 5" xfId="19312" xr:uid="{00000000-0005-0000-0000-0000EF460000}"/>
    <cellStyle name="40% - Accent5 11 2 3 5 2" xfId="43144" xr:uid="{E678FE18-22CD-400B-8F2E-9F37CFC68260}"/>
    <cellStyle name="40% - Accent5 11 2 3 6" xfId="27264" xr:uid="{8CC546D6-C8AE-468C-900E-0484E55B959E}"/>
    <cellStyle name="40% - Accent5 11 2 3_Exh G" xfId="3186" xr:uid="{00000000-0005-0000-0000-0000F0460000}"/>
    <cellStyle name="40% - Accent5 11 2 4" xfId="4211" xr:uid="{00000000-0005-0000-0000-0000F1460000}"/>
    <cellStyle name="40% - Accent5 11 2 4 2" xfId="7803" xr:uid="{00000000-0005-0000-0000-0000F2460000}"/>
    <cellStyle name="40% - Accent5 11 2 4 2 2" xfId="15773" xr:uid="{00000000-0005-0000-0000-0000F3460000}"/>
    <cellStyle name="40% - Accent5 11 2 4 2 2 2" xfId="39615" xr:uid="{B4883671-DFA5-44DC-9890-8E198245C2AA}"/>
    <cellStyle name="40% - Accent5 11 2 4 2 3" xfId="23719" xr:uid="{00000000-0005-0000-0000-0000F4460000}"/>
    <cellStyle name="40% - Accent5 11 2 4 2 3 2" xfId="47551" xr:uid="{2FE12DA0-7F13-4BCD-AB2B-B0A3378686D5}"/>
    <cellStyle name="40% - Accent5 11 2 4 2 4" xfId="31674" xr:uid="{FAE8357F-C612-4745-B91F-9A686F9247D2}"/>
    <cellStyle name="40% - Accent5 11 2 4 3" xfId="12235" xr:uid="{00000000-0005-0000-0000-0000F5460000}"/>
    <cellStyle name="40% - Accent5 11 2 4 3 2" xfId="36084" xr:uid="{A4650AFA-B32E-4C88-B9D2-CEDD983F1282}"/>
    <cellStyle name="40% - Accent5 11 2 4 4" xfId="20190" xr:uid="{00000000-0005-0000-0000-0000F6460000}"/>
    <cellStyle name="40% - Accent5 11 2 4 4 2" xfId="44022" xr:uid="{1E6F66BB-E112-4810-9950-B512FCF2D968}"/>
    <cellStyle name="40% - Accent5 11 2 4 5" xfId="28143" xr:uid="{6A0C8578-A5FB-452B-AEFF-5A7A819504D6}"/>
    <cellStyle name="40% - Accent5 11 2 5" xfId="6031" xr:uid="{00000000-0005-0000-0000-0000F7460000}"/>
    <cellStyle name="40% - Accent5 11 2 5 2" xfId="14014" xr:uid="{00000000-0005-0000-0000-0000F8460000}"/>
    <cellStyle name="40% - Accent5 11 2 5 2 2" xfId="37857" xr:uid="{AA8A4B1F-21BF-4648-9AC9-70C9090AFC17}"/>
    <cellStyle name="40% - Accent5 11 2 5 3" xfId="21962" xr:uid="{00000000-0005-0000-0000-0000F9460000}"/>
    <cellStyle name="40% - Accent5 11 2 5 3 2" xfId="45794" xr:uid="{FA0DC221-21FB-4EA6-8041-1A3696A2D33D}"/>
    <cellStyle name="40% - Accent5 11 2 5 4" xfId="29916" xr:uid="{AD9DB1B1-514E-4E3A-B395-5B6E3DE9672A}"/>
    <cellStyle name="40% - Accent5 11 2 6" xfId="9583" xr:uid="{00000000-0005-0000-0000-0000FA460000}"/>
    <cellStyle name="40% - Accent5 11 2 6 2" xfId="17541" xr:uid="{00000000-0005-0000-0000-0000FB460000}"/>
    <cellStyle name="40% - Accent5 11 2 6 2 2" xfId="41381" xr:uid="{570377AE-8226-40EC-9515-1C4020699C68}"/>
    <cellStyle name="40% - Accent5 11 2 6 3" xfId="25485" xr:uid="{00000000-0005-0000-0000-0000FC460000}"/>
    <cellStyle name="40% - Accent5 11 2 6 3 2" xfId="49317" xr:uid="{DE49C795-817B-4A20-9DFA-A2BC69A5FDAB}"/>
    <cellStyle name="40% - Accent5 11 2 6 4" xfId="33440" xr:uid="{156011E4-8E41-4598-8EDC-6F1D61CCCF94}"/>
    <cellStyle name="40% - Accent5 11 2 7" xfId="10479" xr:uid="{00000000-0005-0000-0000-0000FD460000}"/>
    <cellStyle name="40% - Accent5 11 2 7 2" xfId="34328" xr:uid="{B75B79CE-0548-4827-B6E0-414CD8BD627C}"/>
    <cellStyle name="40% - Accent5 11 2 8" xfId="18434" xr:uid="{00000000-0005-0000-0000-0000FE460000}"/>
    <cellStyle name="40% - Accent5 11 2 8 2" xfId="42266" xr:uid="{8E81B319-04CB-4404-8282-58A5875F9E12}"/>
    <cellStyle name="40% - Accent5 11 2 9" xfId="26386" xr:uid="{DAC74C23-8153-49DA-A27E-485380919981}"/>
    <cellStyle name="40% - Accent5 11 2_Exh G" xfId="3183" xr:uid="{00000000-0005-0000-0000-0000FF460000}"/>
    <cellStyle name="40% - Accent5 11 3" xfId="539" xr:uid="{00000000-0005-0000-0000-000000470000}"/>
    <cellStyle name="40% - Accent5 11 3 2" xfId="1565" xr:uid="{00000000-0005-0000-0000-000001470000}"/>
    <cellStyle name="40% - Accent5 11 3 2 2" xfId="5092" xr:uid="{00000000-0005-0000-0000-000002470000}"/>
    <cellStyle name="40% - Accent5 11 3 2 2 2" xfId="8683" xr:uid="{00000000-0005-0000-0000-000003470000}"/>
    <cellStyle name="40% - Accent5 11 3 2 2 2 2" xfId="16653" xr:uid="{00000000-0005-0000-0000-000004470000}"/>
    <cellStyle name="40% - Accent5 11 3 2 2 2 2 2" xfId="40495" xr:uid="{FDEDE2AA-D4AD-41CB-80E9-6DF03ECEB170}"/>
    <cellStyle name="40% - Accent5 11 3 2 2 2 3" xfId="24599" xr:uid="{00000000-0005-0000-0000-000005470000}"/>
    <cellStyle name="40% - Accent5 11 3 2 2 2 3 2" xfId="48431" xr:uid="{C5770127-66C6-4AAC-9AF1-917F585C2139}"/>
    <cellStyle name="40% - Accent5 11 3 2 2 2 4" xfId="32554" xr:uid="{34BCFAD0-4DA7-40B4-8B5B-891065B9AF0F}"/>
    <cellStyle name="40% - Accent5 11 3 2 2 3" xfId="13115" xr:uid="{00000000-0005-0000-0000-000006470000}"/>
    <cellStyle name="40% - Accent5 11 3 2 2 3 2" xfId="36964" xr:uid="{1145F904-EAEE-407E-B2BC-4619DFCC83F3}"/>
    <cellStyle name="40% - Accent5 11 3 2 2 4" xfId="21070" xr:uid="{00000000-0005-0000-0000-000007470000}"/>
    <cellStyle name="40% - Accent5 11 3 2 2 4 2" xfId="44902" xr:uid="{5FFB294B-2028-491C-B3FF-F36178B2F569}"/>
    <cellStyle name="40% - Accent5 11 3 2 2 5" xfId="29023" xr:uid="{76DEDFA0-ECCE-4DB7-BF15-7E689C24D9E0}"/>
    <cellStyle name="40% - Accent5 11 3 2 3" xfId="6924" xr:uid="{00000000-0005-0000-0000-000008470000}"/>
    <cellStyle name="40% - Accent5 11 3 2 3 2" xfId="14895" xr:uid="{00000000-0005-0000-0000-000009470000}"/>
    <cellStyle name="40% - Accent5 11 3 2 3 2 2" xfId="38737" xr:uid="{B0C88987-3C30-499F-9370-2550E2536A63}"/>
    <cellStyle name="40% - Accent5 11 3 2 3 3" xfId="22842" xr:uid="{00000000-0005-0000-0000-00000A470000}"/>
    <cellStyle name="40% - Accent5 11 3 2 3 3 2" xfId="46674" xr:uid="{F2BEA498-A5FA-43E1-8F01-4F41D0785FBF}"/>
    <cellStyle name="40% - Accent5 11 3 2 3 4" xfId="30796" xr:uid="{4CA4FED5-AE92-4872-B455-6F43D81E8024}"/>
    <cellStyle name="40% - Accent5 11 3 2 4" xfId="11359" xr:uid="{00000000-0005-0000-0000-00000B470000}"/>
    <cellStyle name="40% - Accent5 11 3 2 4 2" xfId="35208" xr:uid="{833F77DA-1F4A-4276-A41C-F58D10FF7161}"/>
    <cellStyle name="40% - Accent5 11 3 2 5" xfId="19314" xr:uid="{00000000-0005-0000-0000-00000C470000}"/>
    <cellStyle name="40% - Accent5 11 3 2 5 2" xfId="43146" xr:uid="{5F2B6E82-F2D6-4B73-9C35-79882D9C2E5D}"/>
    <cellStyle name="40% - Accent5 11 3 2 6" xfId="27266" xr:uid="{3CC240E7-D9C6-4135-9C5C-A3FD28DF9C37}"/>
    <cellStyle name="40% - Accent5 11 3 2_Exh G" xfId="3188" xr:uid="{00000000-0005-0000-0000-00000D470000}"/>
    <cellStyle name="40% - Accent5 11 3 3" xfId="4213" xr:uid="{00000000-0005-0000-0000-00000E470000}"/>
    <cellStyle name="40% - Accent5 11 3 3 2" xfId="7805" xr:uid="{00000000-0005-0000-0000-00000F470000}"/>
    <cellStyle name="40% - Accent5 11 3 3 2 2" xfId="15775" xr:uid="{00000000-0005-0000-0000-000010470000}"/>
    <cellStyle name="40% - Accent5 11 3 3 2 2 2" xfId="39617" xr:uid="{3741CAA8-B161-4472-B915-2BC0E3928ED9}"/>
    <cellStyle name="40% - Accent5 11 3 3 2 3" xfId="23721" xr:uid="{00000000-0005-0000-0000-000011470000}"/>
    <cellStyle name="40% - Accent5 11 3 3 2 3 2" xfId="47553" xr:uid="{31E7207F-B9AB-4EDC-85A1-99DBAD5F913F}"/>
    <cellStyle name="40% - Accent5 11 3 3 2 4" xfId="31676" xr:uid="{E867CDCD-7E1E-4B6E-9C12-F3ED3BE73BEB}"/>
    <cellStyle name="40% - Accent5 11 3 3 3" xfId="12237" xr:uid="{00000000-0005-0000-0000-000012470000}"/>
    <cellStyle name="40% - Accent5 11 3 3 3 2" xfId="36086" xr:uid="{1B479749-DA7E-4473-AEC5-7022B43787A3}"/>
    <cellStyle name="40% - Accent5 11 3 3 4" xfId="20192" xr:uid="{00000000-0005-0000-0000-000013470000}"/>
    <cellStyle name="40% - Accent5 11 3 3 4 2" xfId="44024" xr:uid="{64606208-17EA-4015-A10E-2A59673BFDFC}"/>
    <cellStyle name="40% - Accent5 11 3 3 5" xfId="28145" xr:uid="{C85C0EF6-5208-4E07-9EF1-ED3FEB67DB66}"/>
    <cellStyle name="40% - Accent5 11 3 4" xfId="6033" xr:uid="{00000000-0005-0000-0000-000014470000}"/>
    <cellStyle name="40% - Accent5 11 3 4 2" xfId="14016" xr:uid="{00000000-0005-0000-0000-000015470000}"/>
    <cellStyle name="40% - Accent5 11 3 4 2 2" xfId="37859" xr:uid="{88393049-0F45-4D58-AB9E-4E50EFD4259F}"/>
    <cellStyle name="40% - Accent5 11 3 4 3" xfId="21964" xr:uid="{00000000-0005-0000-0000-000016470000}"/>
    <cellStyle name="40% - Accent5 11 3 4 3 2" xfId="45796" xr:uid="{AEE2259A-3995-4F26-A843-29093D4EF273}"/>
    <cellStyle name="40% - Accent5 11 3 4 4" xfId="29918" xr:uid="{1A1B2956-C148-4B0A-8667-4FCA3DF586CD}"/>
    <cellStyle name="40% - Accent5 11 3 5" xfId="9585" xr:uid="{00000000-0005-0000-0000-000017470000}"/>
    <cellStyle name="40% - Accent5 11 3 5 2" xfId="17543" xr:uid="{00000000-0005-0000-0000-000018470000}"/>
    <cellStyle name="40% - Accent5 11 3 5 2 2" xfId="41383" xr:uid="{9B87F03D-CA61-45EA-AC3F-5FFFEC39CE1C}"/>
    <cellStyle name="40% - Accent5 11 3 5 3" xfId="25487" xr:uid="{00000000-0005-0000-0000-000019470000}"/>
    <cellStyle name="40% - Accent5 11 3 5 3 2" xfId="49319" xr:uid="{98F270F3-CA36-4B27-A5D2-B3FFC2B77C52}"/>
    <cellStyle name="40% - Accent5 11 3 5 4" xfId="33442" xr:uid="{182D263A-1D9E-49AC-A446-201D34971779}"/>
    <cellStyle name="40% - Accent5 11 3 6" xfId="10481" xr:uid="{00000000-0005-0000-0000-00001A470000}"/>
    <cellStyle name="40% - Accent5 11 3 6 2" xfId="34330" xr:uid="{6B25B131-5281-428C-85F1-4C333711A2F9}"/>
    <cellStyle name="40% - Accent5 11 3 7" xfId="18436" xr:uid="{00000000-0005-0000-0000-00001B470000}"/>
    <cellStyle name="40% - Accent5 11 3 7 2" xfId="42268" xr:uid="{F391BCFF-240C-4887-8381-531D464DCEE9}"/>
    <cellStyle name="40% - Accent5 11 3 8" xfId="26388" xr:uid="{DCAB1E6A-55D3-464D-9C9B-161DEE7C3AF2}"/>
    <cellStyle name="40% - Accent5 11 3_Exh G" xfId="3187" xr:uid="{00000000-0005-0000-0000-00001C470000}"/>
    <cellStyle name="40% - Accent5 11 4" xfId="1562" xr:uid="{00000000-0005-0000-0000-00001D470000}"/>
    <cellStyle name="40% - Accent5 11 4 2" xfId="5089" xr:uid="{00000000-0005-0000-0000-00001E470000}"/>
    <cellStyle name="40% - Accent5 11 4 2 2" xfId="8680" xr:uid="{00000000-0005-0000-0000-00001F470000}"/>
    <cellStyle name="40% - Accent5 11 4 2 2 2" xfId="16650" xr:uid="{00000000-0005-0000-0000-000020470000}"/>
    <cellStyle name="40% - Accent5 11 4 2 2 2 2" xfId="40492" xr:uid="{58390E9A-5942-4A7B-ADC0-083C8A2E0E46}"/>
    <cellStyle name="40% - Accent5 11 4 2 2 3" xfId="24596" xr:uid="{00000000-0005-0000-0000-000021470000}"/>
    <cellStyle name="40% - Accent5 11 4 2 2 3 2" xfId="48428" xr:uid="{E581EC22-A9D6-48AF-BBEC-A299B7369A4E}"/>
    <cellStyle name="40% - Accent5 11 4 2 2 4" xfId="32551" xr:uid="{141E827A-9793-4787-9C07-200B01B2CD85}"/>
    <cellStyle name="40% - Accent5 11 4 2 3" xfId="13112" xr:uid="{00000000-0005-0000-0000-000022470000}"/>
    <cellStyle name="40% - Accent5 11 4 2 3 2" xfId="36961" xr:uid="{8E516D7D-B4AD-440F-9380-BF6EDBE030F6}"/>
    <cellStyle name="40% - Accent5 11 4 2 4" xfId="21067" xr:uid="{00000000-0005-0000-0000-000023470000}"/>
    <cellStyle name="40% - Accent5 11 4 2 4 2" xfId="44899" xr:uid="{6419478D-BC65-4BC1-B130-BD67E04986CC}"/>
    <cellStyle name="40% - Accent5 11 4 2 5" xfId="29020" xr:uid="{71071C57-E21E-4F0B-9A90-BB7F262CF748}"/>
    <cellStyle name="40% - Accent5 11 4 3" xfId="6921" xr:uid="{00000000-0005-0000-0000-000024470000}"/>
    <cellStyle name="40% - Accent5 11 4 3 2" xfId="14892" xr:uid="{00000000-0005-0000-0000-000025470000}"/>
    <cellStyle name="40% - Accent5 11 4 3 2 2" xfId="38734" xr:uid="{A4FB17E1-AE54-440D-9EEB-A40D6C1D44E7}"/>
    <cellStyle name="40% - Accent5 11 4 3 3" xfId="22839" xr:uid="{00000000-0005-0000-0000-000026470000}"/>
    <cellStyle name="40% - Accent5 11 4 3 3 2" xfId="46671" xr:uid="{14656D5A-B63B-450F-B248-CED1CC770172}"/>
    <cellStyle name="40% - Accent5 11 4 3 4" xfId="30793" xr:uid="{5BD25B87-5891-48A6-8299-D661F3647ED1}"/>
    <cellStyle name="40% - Accent5 11 4 4" xfId="11356" xr:uid="{00000000-0005-0000-0000-000027470000}"/>
    <cellStyle name="40% - Accent5 11 4 4 2" xfId="35205" xr:uid="{BFF585BC-A8E1-4E66-9E0D-8895BA888D08}"/>
    <cellStyle name="40% - Accent5 11 4 5" xfId="19311" xr:uid="{00000000-0005-0000-0000-000028470000}"/>
    <cellStyle name="40% - Accent5 11 4 5 2" xfId="43143" xr:uid="{2645EC8A-F274-4688-B964-2F3534F240C6}"/>
    <cellStyle name="40% - Accent5 11 4 6" xfId="27263" xr:uid="{55C3812B-4011-44D3-BC1B-3D4988B6AC45}"/>
    <cellStyle name="40% - Accent5 11 4_Exh G" xfId="3189" xr:uid="{00000000-0005-0000-0000-000029470000}"/>
    <cellStyle name="40% - Accent5 11 5" xfId="4210" xr:uid="{00000000-0005-0000-0000-00002A470000}"/>
    <cellStyle name="40% - Accent5 11 5 2" xfId="7802" xr:uid="{00000000-0005-0000-0000-00002B470000}"/>
    <cellStyle name="40% - Accent5 11 5 2 2" xfId="15772" xr:uid="{00000000-0005-0000-0000-00002C470000}"/>
    <cellStyle name="40% - Accent5 11 5 2 2 2" xfId="39614" xr:uid="{ADD26833-6BD5-43B0-86DA-30337FB713EF}"/>
    <cellStyle name="40% - Accent5 11 5 2 3" xfId="23718" xr:uid="{00000000-0005-0000-0000-00002D470000}"/>
    <cellStyle name="40% - Accent5 11 5 2 3 2" xfId="47550" xr:uid="{C8F485E7-7496-495E-BE79-0A89D0B91FFC}"/>
    <cellStyle name="40% - Accent5 11 5 2 4" xfId="31673" xr:uid="{7C767A0A-80A7-48CA-B913-C2B55257FD46}"/>
    <cellStyle name="40% - Accent5 11 5 3" xfId="12234" xr:uid="{00000000-0005-0000-0000-00002E470000}"/>
    <cellStyle name="40% - Accent5 11 5 3 2" xfId="36083" xr:uid="{0704F48C-3AAA-4F5E-8725-A7F7BC81305C}"/>
    <cellStyle name="40% - Accent5 11 5 4" xfId="20189" xr:uid="{00000000-0005-0000-0000-00002F470000}"/>
    <cellStyle name="40% - Accent5 11 5 4 2" xfId="44021" xr:uid="{B2757285-5FD0-455D-9709-3E870E59905C}"/>
    <cellStyle name="40% - Accent5 11 5 5" xfId="28142" xr:uid="{E429FDB7-7695-4040-89F4-D530414AE2F4}"/>
    <cellStyle name="40% - Accent5 11 6" xfId="6030" xr:uid="{00000000-0005-0000-0000-000030470000}"/>
    <cellStyle name="40% - Accent5 11 6 2" xfId="14013" xr:uid="{00000000-0005-0000-0000-000031470000}"/>
    <cellStyle name="40% - Accent5 11 6 2 2" xfId="37856" xr:uid="{CCEF83AF-B3D9-4865-A74F-860A027FE37A}"/>
    <cellStyle name="40% - Accent5 11 6 3" xfId="21961" xr:uid="{00000000-0005-0000-0000-000032470000}"/>
    <cellStyle name="40% - Accent5 11 6 3 2" xfId="45793" xr:uid="{3A65C9E2-E9A5-4DC4-9CD3-49F2FE5AFDBA}"/>
    <cellStyle name="40% - Accent5 11 6 4" xfId="29915" xr:uid="{8ED1A469-8EFA-486A-AD47-FD218263A4CD}"/>
    <cellStyle name="40% - Accent5 11 7" xfId="9582" xr:uid="{00000000-0005-0000-0000-000033470000}"/>
    <cellStyle name="40% - Accent5 11 7 2" xfId="17540" xr:uid="{00000000-0005-0000-0000-000034470000}"/>
    <cellStyle name="40% - Accent5 11 7 2 2" xfId="41380" xr:uid="{26D3DDBF-9396-424D-B0D0-CEDB3A94D859}"/>
    <cellStyle name="40% - Accent5 11 7 3" xfId="25484" xr:uid="{00000000-0005-0000-0000-000035470000}"/>
    <cellStyle name="40% - Accent5 11 7 3 2" xfId="49316" xr:uid="{6449B5B6-A968-4DBE-9555-AAFA24CD21DC}"/>
    <cellStyle name="40% - Accent5 11 7 4" xfId="33439" xr:uid="{47EC1EA6-CDC7-4DC6-916C-402B8E62614C}"/>
    <cellStyle name="40% - Accent5 11 8" xfId="10478" xr:uid="{00000000-0005-0000-0000-000036470000}"/>
    <cellStyle name="40% - Accent5 11 8 2" xfId="34327" xr:uid="{717EDED1-D6CA-4B6E-B310-00723BE4FCB4}"/>
    <cellStyle name="40% - Accent5 11 9" xfId="18433" xr:uid="{00000000-0005-0000-0000-000037470000}"/>
    <cellStyle name="40% - Accent5 11 9 2" xfId="42265" xr:uid="{FB7F5788-7C00-4029-AE29-5BE4D6AA981D}"/>
    <cellStyle name="40% - Accent5 11_Exh G" xfId="3182" xr:uid="{00000000-0005-0000-0000-000038470000}"/>
    <cellStyle name="40% - Accent5 12" xfId="540" xr:uid="{00000000-0005-0000-0000-000039470000}"/>
    <cellStyle name="40% - Accent5 12 10" xfId="26389" xr:uid="{336F495B-B830-4FA4-BA9D-DDFF4B2DBB29}"/>
    <cellStyle name="40% - Accent5 12 2" xfId="541" xr:uid="{00000000-0005-0000-0000-00003A470000}"/>
    <cellStyle name="40% - Accent5 12 2 2" xfId="542" xr:uid="{00000000-0005-0000-0000-00003B470000}"/>
    <cellStyle name="40% - Accent5 12 2 2 2" xfId="1568" xr:uid="{00000000-0005-0000-0000-00003C470000}"/>
    <cellStyle name="40% - Accent5 12 2 2 2 2" xfId="5095" xr:uid="{00000000-0005-0000-0000-00003D470000}"/>
    <cellStyle name="40% - Accent5 12 2 2 2 2 2" xfId="8686" xr:uid="{00000000-0005-0000-0000-00003E470000}"/>
    <cellStyle name="40% - Accent5 12 2 2 2 2 2 2" xfId="16656" xr:uid="{00000000-0005-0000-0000-00003F470000}"/>
    <cellStyle name="40% - Accent5 12 2 2 2 2 2 2 2" xfId="40498" xr:uid="{D51D16A8-68EB-48D4-A346-D7178E12973B}"/>
    <cellStyle name="40% - Accent5 12 2 2 2 2 2 3" xfId="24602" xr:uid="{00000000-0005-0000-0000-000040470000}"/>
    <cellStyle name="40% - Accent5 12 2 2 2 2 2 3 2" xfId="48434" xr:uid="{B84EEB26-BD8F-4159-89DB-9C865976D8C4}"/>
    <cellStyle name="40% - Accent5 12 2 2 2 2 2 4" xfId="32557" xr:uid="{ABE2E986-4CF0-410C-9C00-399DEE78C4E3}"/>
    <cellStyle name="40% - Accent5 12 2 2 2 2 3" xfId="13118" xr:uid="{00000000-0005-0000-0000-000041470000}"/>
    <cellStyle name="40% - Accent5 12 2 2 2 2 3 2" xfId="36967" xr:uid="{502BB000-B953-4B5A-98B9-CA997198FB91}"/>
    <cellStyle name="40% - Accent5 12 2 2 2 2 4" xfId="21073" xr:uid="{00000000-0005-0000-0000-000042470000}"/>
    <cellStyle name="40% - Accent5 12 2 2 2 2 4 2" xfId="44905" xr:uid="{F6275A40-801A-49FB-A60A-4DE0E21216D7}"/>
    <cellStyle name="40% - Accent5 12 2 2 2 2 5" xfId="29026" xr:uid="{500A0C2F-45BA-4B45-96AC-C37377066D79}"/>
    <cellStyle name="40% - Accent5 12 2 2 2 3" xfId="6927" xr:uid="{00000000-0005-0000-0000-000043470000}"/>
    <cellStyle name="40% - Accent5 12 2 2 2 3 2" xfId="14898" xr:uid="{00000000-0005-0000-0000-000044470000}"/>
    <cellStyle name="40% - Accent5 12 2 2 2 3 2 2" xfId="38740" xr:uid="{8A853357-77DA-435C-875D-344858D58A91}"/>
    <cellStyle name="40% - Accent5 12 2 2 2 3 3" xfId="22845" xr:uid="{00000000-0005-0000-0000-000045470000}"/>
    <cellStyle name="40% - Accent5 12 2 2 2 3 3 2" xfId="46677" xr:uid="{67AE4E57-0DE7-4105-9075-A16703A01879}"/>
    <cellStyle name="40% - Accent5 12 2 2 2 3 4" xfId="30799" xr:uid="{2E0FBCE2-FC53-4169-838A-B742D19F3732}"/>
    <cellStyle name="40% - Accent5 12 2 2 2 4" xfId="11362" xr:uid="{00000000-0005-0000-0000-000046470000}"/>
    <cellStyle name="40% - Accent5 12 2 2 2 4 2" xfId="35211" xr:uid="{92C1671C-100B-4DBE-9A7D-87CC7AA9EEB5}"/>
    <cellStyle name="40% - Accent5 12 2 2 2 5" xfId="19317" xr:uid="{00000000-0005-0000-0000-000047470000}"/>
    <cellStyle name="40% - Accent5 12 2 2 2 5 2" xfId="43149" xr:uid="{CB8C5966-6C54-45F7-8D35-608C0A82FDA9}"/>
    <cellStyle name="40% - Accent5 12 2 2 2 6" xfId="27269" xr:uid="{0A045DE5-EC0E-4105-BA02-8DC1F507AE50}"/>
    <cellStyle name="40% - Accent5 12 2 2 2_Exh G" xfId="3193" xr:uid="{00000000-0005-0000-0000-000048470000}"/>
    <cellStyle name="40% - Accent5 12 2 2 3" xfId="4216" xr:uid="{00000000-0005-0000-0000-000049470000}"/>
    <cellStyle name="40% - Accent5 12 2 2 3 2" xfId="7808" xr:uid="{00000000-0005-0000-0000-00004A470000}"/>
    <cellStyle name="40% - Accent5 12 2 2 3 2 2" xfId="15778" xr:uid="{00000000-0005-0000-0000-00004B470000}"/>
    <cellStyle name="40% - Accent5 12 2 2 3 2 2 2" xfId="39620" xr:uid="{0B6BE0EB-B0CA-4FA5-9AC0-CC7B30C4F824}"/>
    <cellStyle name="40% - Accent5 12 2 2 3 2 3" xfId="23724" xr:uid="{00000000-0005-0000-0000-00004C470000}"/>
    <cellStyle name="40% - Accent5 12 2 2 3 2 3 2" xfId="47556" xr:uid="{F8207240-6FCF-4CDB-BDAD-90E9477522FA}"/>
    <cellStyle name="40% - Accent5 12 2 2 3 2 4" xfId="31679" xr:uid="{69EF7EC1-0FE3-408C-8601-62A1FF8B8B95}"/>
    <cellStyle name="40% - Accent5 12 2 2 3 3" xfId="12240" xr:uid="{00000000-0005-0000-0000-00004D470000}"/>
    <cellStyle name="40% - Accent5 12 2 2 3 3 2" xfId="36089" xr:uid="{468AC5DE-F1EC-452A-BD4B-8B0ED06AF32C}"/>
    <cellStyle name="40% - Accent5 12 2 2 3 4" xfId="20195" xr:uid="{00000000-0005-0000-0000-00004E470000}"/>
    <cellStyle name="40% - Accent5 12 2 2 3 4 2" xfId="44027" xr:uid="{A42C8F9E-3228-421B-A1D4-CBAC8CA0EEC5}"/>
    <cellStyle name="40% - Accent5 12 2 2 3 5" xfId="28148" xr:uid="{5D60BC7F-B87E-4E82-9985-18C49FC71181}"/>
    <cellStyle name="40% - Accent5 12 2 2 4" xfId="6036" xr:uid="{00000000-0005-0000-0000-00004F470000}"/>
    <cellStyle name="40% - Accent5 12 2 2 4 2" xfId="14019" xr:uid="{00000000-0005-0000-0000-000050470000}"/>
    <cellStyle name="40% - Accent5 12 2 2 4 2 2" xfId="37862" xr:uid="{97E41C51-7C0E-4273-99E4-8541473A6331}"/>
    <cellStyle name="40% - Accent5 12 2 2 4 3" xfId="21967" xr:uid="{00000000-0005-0000-0000-000051470000}"/>
    <cellStyle name="40% - Accent5 12 2 2 4 3 2" xfId="45799" xr:uid="{D258CBA0-B1A6-42DF-B8D6-75D012348572}"/>
    <cellStyle name="40% - Accent5 12 2 2 4 4" xfId="29921" xr:uid="{DCD8D722-19CD-420A-9D3E-4F65792B864E}"/>
    <cellStyle name="40% - Accent5 12 2 2 5" xfId="9588" xr:uid="{00000000-0005-0000-0000-000052470000}"/>
    <cellStyle name="40% - Accent5 12 2 2 5 2" xfId="17546" xr:uid="{00000000-0005-0000-0000-000053470000}"/>
    <cellStyle name="40% - Accent5 12 2 2 5 2 2" xfId="41386" xr:uid="{85A2E381-F3D1-4557-A136-0B27FF1192DB}"/>
    <cellStyle name="40% - Accent5 12 2 2 5 3" xfId="25490" xr:uid="{00000000-0005-0000-0000-000054470000}"/>
    <cellStyle name="40% - Accent5 12 2 2 5 3 2" xfId="49322" xr:uid="{573DE9CF-17CC-411E-AE54-F4ADF8F751BD}"/>
    <cellStyle name="40% - Accent5 12 2 2 5 4" xfId="33445" xr:uid="{E6934644-DBD2-4D11-BC0B-86EF6C3C14DC}"/>
    <cellStyle name="40% - Accent5 12 2 2 6" xfId="10484" xr:uid="{00000000-0005-0000-0000-000055470000}"/>
    <cellStyle name="40% - Accent5 12 2 2 6 2" xfId="34333" xr:uid="{D7A6B891-3B9C-489A-9AC0-066C9A3815AC}"/>
    <cellStyle name="40% - Accent5 12 2 2 7" xfId="18439" xr:uid="{00000000-0005-0000-0000-000056470000}"/>
    <cellStyle name="40% - Accent5 12 2 2 7 2" xfId="42271" xr:uid="{7A0A7C1E-B8A3-4F96-AAB3-374038E5E30B}"/>
    <cellStyle name="40% - Accent5 12 2 2 8" xfId="26391" xr:uid="{C6EF4915-4228-4ACB-81DC-43A28BC40654}"/>
    <cellStyle name="40% - Accent5 12 2 2_Exh G" xfId="3192" xr:uid="{00000000-0005-0000-0000-000057470000}"/>
    <cellStyle name="40% - Accent5 12 2 3" xfId="1567" xr:uid="{00000000-0005-0000-0000-000058470000}"/>
    <cellStyle name="40% - Accent5 12 2 3 2" xfId="5094" xr:uid="{00000000-0005-0000-0000-000059470000}"/>
    <cellStyle name="40% - Accent5 12 2 3 2 2" xfId="8685" xr:uid="{00000000-0005-0000-0000-00005A470000}"/>
    <cellStyle name="40% - Accent5 12 2 3 2 2 2" xfId="16655" xr:uid="{00000000-0005-0000-0000-00005B470000}"/>
    <cellStyle name="40% - Accent5 12 2 3 2 2 2 2" xfId="40497" xr:uid="{0792DDF0-55B0-4F24-BD65-2902B1F82015}"/>
    <cellStyle name="40% - Accent5 12 2 3 2 2 3" xfId="24601" xr:uid="{00000000-0005-0000-0000-00005C470000}"/>
    <cellStyle name="40% - Accent5 12 2 3 2 2 3 2" xfId="48433" xr:uid="{4FAC2F7D-D396-4DB6-90BF-5A624C6DF763}"/>
    <cellStyle name="40% - Accent5 12 2 3 2 2 4" xfId="32556" xr:uid="{BA44A926-5DB6-472F-8246-0792F7048603}"/>
    <cellStyle name="40% - Accent5 12 2 3 2 3" xfId="13117" xr:uid="{00000000-0005-0000-0000-00005D470000}"/>
    <cellStyle name="40% - Accent5 12 2 3 2 3 2" xfId="36966" xr:uid="{9214EE4A-2D18-47BC-A082-306B631A5200}"/>
    <cellStyle name="40% - Accent5 12 2 3 2 4" xfId="21072" xr:uid="{00000000-0005-0000-0000-00005E470000}"/>
    <cellStyle name="40% - Accent5 12 2 3 2 4 2" xfId="44904" xr:uid="{F3F3E5D2-0CAD-42BF-B992-18BAE31DEA59}"/>
    <cellStyle name="40% - Accent5 12 2 3 2 5" xfId="29025" xr:uid="{953170EB-C500-492F-A5C7-7845207D203C}"/>
    <cellStyle name="40% - Accent5 12 2 3 3" xfId="6926" xr:uid="{00000000-0005-0000-0000-00005F470000}"/>
    <cellStyle name="40% - Accent5 12 2 3 3 2" xfId="14897" xr:uid="{00000000-0005-0000-0000-000060470000}"/>
    <cellStyle name="40% - Accent5 12 2 3 3 2 2" xfId="38739" xr:uid="{69099C34-549F-4735-B2C3-5A414B90567E}"/>
    <cellStyle name="40% - Accent5 12 2 3 3 3" xfId="22844" xr:uid="{00000000-0005-0000-0000-000061470000}"/>
    <cellStyle name="40% - Accent5 12 2 3 3 3 2" xfId="46676" xr:uid="{F75323A5-BCCD-46FA-9E86-DC73D6C4CB7E}"/>
    <cellStyle name="40% - Accent5 12 2 3 3 4" xfId="30798" xr:uid="{DED38CD4-E1B0-4FA5-9A52-4CA2692DC31E}"/>
    <cellStyle name="40% - Accent5 12 2 3 4" xfId="11361" xr:uid="{00000000-0005-0000-0000-000062470000}"/>
    <cellStyle name="40% - Accent5 12 2 3 4 2" xfId="35210" xr:uid="{10C93015-B7CE-4FC0-9829-8E1B0829A80A}"/>
    <cellStyle name="40% - Accent5 12 2 3 5" xfId="19316" xr:uid="{00000000-0005-0000-0000-000063470000}"/>
    <cellStyle name="40% - Accent5 12 2 3 5 2" xfId="43148" xr:uid="{ECDE2AEF-CF46-4C2E-81BC-CC0683E1B72A}"/>
    <cellStyle name="40% - Accent5 12 2 3 6" xfId="27268" xr:uid="{43AC6519-F919-4B3D-BDF1-9ED37A9D0C26}"/>
    <cellStyle name="40% - Accent5 12 2 3_Exh G" xfId="3194" xr:uid="{00000000-0005-0000-0000-000064470000}"/>
    <cellStyle name="40% - Accent5 12 2 4" xfId="4215" xr:uid="{00000000-0005-0000-0000-000065470000}"/>
    <cellStyle name="40% - Accent5 12 2 4 2" xfId="7807" xr:uid="{00000000-0005-0000-0000-000066470000}"/>
    <cellStyle name="40% - Accent5 12 2 4 2 2" xfId="15777" xr:uid="{00000000-0005-0000-0000-000067470000}"/>
    <cellStyle name="40% - Accent5 12 2 4 2 2 2" xfId="39619" xr:uid="{BF0A633C-76DA-427D-9F0A-C9903DD1A1A7}"/>
    <cellStyle name="40% - Accent5 12 2 4 2 3" xfId="23723" xr:uid="{00000000-0005-0000-0000-000068470000}"/>
    <cellStyle name="40% - Accent5 12 2 4 2 3 2" xfId="47555" xr:uid="{B65540F5-D654-401D-9FE9-A6C143C57576}"/>
    <cellStyle name="40% - Accent5 12 2 4 2 4" xfId="31678" xr:uid="{E6D70ECE-742A-40C9-9A09-96AA4A4148D2}"/>
    <cellStyle name="40% - Accent5 12 2 4 3" xfId="12239" xr:uid="{00000000-0005-0000-0000-000069470000}"/>
    <cellStyle name="40% - Accent5 12 2 4 3 2" xfId="36088" xr:uid="{C6BFBF13-3107-4282-BD9E-75C9EF27CB0D}"/>
    <cellStyle name="40% - Accent5 12 2 4 4" xfId="20194" xr:uid="{00000000-0005-0000-0000-00006A470000}"/>
    <cellStyle name="40% - Accent5 12 2 4 4 2" xfId="44026" xr:uid="{0E5F032D-6FD7-4B27-B94E-4606679ECED1}"/>
    <cellStyle name="40% - Accent5 12 2 4 5" xfId="28147" xr:uid="{D090F501-335C-4DF8-8EE6-BB8254577B56}"/>
    <cellStyle name="40% - Accent5 12 2 5" xfId="6035" xr:uid="{00000000-0005-0000-0000-00006B470000}"/>
    <cellStyle name="40% - Accent5 12 2 5 2" xfId="14018" xr:uid="{00000000-0005-0000-0000-00006C470000}"/>
    <cellStyle name="40% - Accent5 12 2 5 2 2" xfId="37861" xr:uid="{E6582BC2-0E9F-49A4-A3EC-FD8BA510158F}"/>
    <cellStyle name="40% - Accent5 12 2 5 3" xfId="21966" xr:uid="{00000000-0005-0000-0000-00006D470000}"/>
    <cellStyle name="40% - Accent5 12 2 5 3 2" xfId="45798" xr:uid="{3ABDE116-D41B-4935-A0BE-05E12E76D2A7}"/>
    <cellStyle name="40% - Accent5 12 2 5 4" xfId="29920" xr:uid="{D76E45EE-CBD8-4CC0-91B1-BBF47FC96F36}"/>
    <cellStyle name="40% - Accent5 12 2 6" xfId="9587" xr:uid="{00000000-0005-0000-0000-00006E470000}"/>
    <cellStyle name="40% - Accent5 12 2 6 2" xfId="17545" xr:uid="{00000000-0005-0000-0000-00006F470000}"/>
    <cellStyle name="40% - Accent5 12 2 6 2 2" xfId="41385" xr:uid="{6D3B59AF-0E89-4B6A-8120-3C30F040D334}"/>
    <cellStyle name="40% - Accent5 12 2 6 3" xfId="25489" xr:uid="{00000000-0005-0000-0000-000070470000}"/>
    <cellStyle name="40% - Accent5 12 2 6 3 2" xfId="49321" xr:uid="{4A87D718-962E-429E-84E9-144CE80BCB27}"/>
    <cellStyle name="40% - Accent5 12 2 6 4" xfId="33444" xr:uid="{424AF4FF-A234-402A-AA22-731C1D7C8E3A}"/>
    <cellStyle name="40% - Accent5 12 2 7" xfId="10483" xr:uid="{00000000-0005-0000-0000-000071470000}"/>
    <cellStyle name="40% - Accent5 12 2 7 2" xfId="34332" xr:uid="{315B3C34-37B2-485B-BD9C-24CE2A9EC38B}"/>
    <cellStyle name="40% - Accent5 12 2 8" xfId="18438" xr:uid="{00000000-0005-0000-0000-000072470000}"/>
    <cellStyle name="40% - Accent5 12 2 8 2" xfId="42270" xr:uid="{9C00E763-19D7-47BE-8BBB-52E0277FC1F6}"/>
    <cellStyle name="40% - Accent5 12 2 9" xfId="26390" xr:uid="{BB0BDDF1-65D8-482C-864B-0C981D86AFEE}"/>
    <cellStyle name="40% - Accent5 12 2_Exh G" xfId="3191" xr:uid="{00000000-0005-0000-0000-000073470000}"/>
    <cellStyle name="40% - Accent5 12 3" xfId="543" xr:uid="{00000000-0005-0000-0000-000074470000}"/>
    <cellStyle name="40% - Accent5 12 3 2" xfId="1569" xr:uid="{00000000-0005-0000-0000-000075470000}"/>
    <cellStyle name="40% - Accent5 12 3 2 2" xfId="5096" xr:uid="{00000000-0005-0000-0000-000076470000}"/>
    <cellStyle name="40% - Accent5 12 3 2 2 2" xfId="8687" xr:uid="{00000000-0005-0000-0000-000077470000}"/>
    <cellStyle name="40% - Accent5 12 3 2 2 2 2" xfId="16657" xr:uid="{00000000-0005-0000-0000-000078470000}"/>
    <cellStyle name="40% - Accent5 12 3 2 2 2 2 2" xfId="40499" xr:uid="{0EA3D574-CE89-42AA-9E1F-4EDE4745D1D3}"/>
    <cellStyle name="40% - Accent5 12 3 2 2 2 3" xfId="24603" xr:uid="{00000000-0005-0000-0000-000079470000}"/>
    <cellStyle name="40% - Accent5 12 3 2 2 2 3 2" xfId="48435" xr:uid="{0E3E7F5F-B280-473C-93D4-46DD0432FE84}"/>
    <cellStyle name="40% - Accent5 12 3 2 2 2 4" xfId="32558" xr:uid="{A3A77F75-563F-49D0-B370-7AA53A7F8C81}"/>
    <cellStyle name="40% - Accent5 12 3 2 2 3" xfId="13119" xr:uid="{00000000-0005-0000-0000-00007A470000}"/>
    <cellStyle name="40% - Accent5 12 3 2 2 3 2" xfId="36968" xr:uid="{6E47F1A6-0B3A-4D93-B148-9A93991FACF9}"/>
    <cellStyle name="40% - Accent5 12 3 2 2 4" xfId="21074" xr:uid="{00000000-0005-0000-0000-00007B470000}"/>
    <cellStyle name="40% - Accent5 12 3 2 2 4 2" xfId="44906" xr:uid="{8B23A816-FBC2-4472-8F73-7EAE240AFBAF}"/>
    <cellStyle name="40% - Accent5 12 3 2 2 5" xfId="29027" xr:uid="{19E705A6-A352-4FC0-88AE-443FB45F4841}"/>
    <cellStyle name="40% - Accent5 12 3 2 3" xfId="6928" xr:uid="{00000000-0005-0000-0000-00007C470000}"/>
    <cellStyle name="40% - Accent5 12 3 2 3 2" xfId="14899" xr:uid="{00000000-0005-0000-0000-00007D470000}"/>
    <cellStyle name="40% - Accent5 12 3 2 3 2 2" xfId="38741" xr:uid="{C8A0A92A-598F-42E4-BF7D-9C7DE3B260D5}"/>
    <cellStyle name="40% - Accent5 12 3 2 3 3" xfId="22846" xr:uid="{00000000-0005-0000-0000-00007E470000}"/>
    <cellStyle name="40% - Accent5 12 3 2 3 3 2" xfId="46678" xr:uid="{A431C93C-9BAC-43D5-A020-8524F77CB851}"/>
    <cellStyle name="40% - Accent5 12 3 2 3 4" xfId="30800" xr:uid="{6B7A844B-259C-4026-84C4-DECAC554DB3E}"/>
    <cellStyle name="40% - Accent5 12 3 2 4" xfId="11363" xr:uid="{00000000-0005-0000-0000-00007F470000}"/>
    <cellStyle name="40% - Accent5 12 3 2 4 2" xfId="35212" xr:uid="{F679B4B3-9095-4962-9FDF-6C82231CD66E}"/>
    <cellStyle name="40% - Accent5 12 3 2 5" xfId="19318" xr:uid="{00000000-0005-0000-0000-000080470000}"/>
    <cellStyle name="40% - Accent5 12 3 2 5 2" xfId="43150" xr:uid="{04543A9A-F238-4DFB-B0B3-312052385D14}"/>
    <cellStyle name="40% - Accent5 12 3 2 6" xfId="27270" xr:uid="{4C10A618-4F66-4A28-A3FA-03C3C00DA598}"/>
    <cellStyle name="40% - Accent5 12 3 2_Exh G" xfId="3196" xr:uid="{00000000-0005-0000-0000-000081470000}"/>
    <cellStyle name="40% - Accent5 12 3 3" xfId="4217" xr:uid="{00000000-0005-0000-0000-000082470000}"/>
    <cellStyle name="40% - Accent5 12 3 3 2" xfId="7809" xr:uid="{00000000-0005-0000-0000-000083470000}"/>
    <cellStyle name="40% - Accent5 12 3 3 2 2" xfId="15779" xr:uid="{00000000-0005-0000-0000-000084470000}"/>
    <cellStyle name="40% - Accent5 12 3 3 2 2 2" xfId="39621" xr:uid="{1D8181FB-6361-4F78-8F63-35B4849DF9F4}"/>
    <cellStyle name="40% - Accent5 12 3 3 2 3" xfId="23725" xr:uid="{00000000-0005-0000-0000-000085470000}"/>
    <cellStyle name="40% - Accent5 12 3 3 2 3 2" xfId="47557" xr:uid="{E41B5C8E-4742-4722-8C7D-A8A4B72B0E7D}"/>
    <cellStyle name="40% - Accent5 12 3 3 2 4" xfId="31680" xr:uid="{7AAA5E02-6BA5-48BF-A291-5392066584AE}"/>
    <cellStyle name="40% - Accent5 12 3 3 3" xfId="12241" xr:uid="{00000000-0005-0000-0000-000086470000}"/>
    <cellStyle name="40% - Accent5 12 3 3 3 2" xfId="36090" xr:uid="{66BE07DC-D9E6-4710-A6AD-CED0986CBE21}"/>
    <cellStyle name="40% - Accent5 12 3 3 4" xfId="20196" xr:uid="{00000000-0005-0000-0000-000087470000}"/>
    <cellStyle name="40% - Accent5 12 3 3 4 2" xfId="44028" xr:uid="{068F7D37-5A53-436A-896A-09813C8E156A}"/>
    <cellStyle name="40% - Accent5 12 3 3 5" xfId="28149" xr:uid="{EDD4B5D5-3509-43CB-B860-A898364D7696}"/>
    <cellStyle name="40% - Accent5 12 3 4" xfId="6037" xr:uid="{00000000-0005-0000-0000-000088470000}"/>
    <cellStyle name="40% - Accent5 12 3 4 2" xfId="14020" xr:uid="{00000000-0005-0000-0000-000089470000}"/>
    <cellStyle name="40% - Accent5 12 3 4 2 2" xfId="37863" xr:uid="{AF273667-4EB3-4CDC-956D-BA3803663794}"/>
    <cellStyle name="40% - Accent5 12 3 4 3" xfId="21968" xr:uid="{00000000-0005-0000-0000-00008A470000}"/>
    <cellStyle name="40% - Accent5 12 3 4 3 2" xfId="45800" xr:uid="{0E8CEBA6-A290-4E3F-B546-1E9900E8BC31}"/>
    <cellStyle name="40% - Accent5 12 3 4 4" xfId="29922" xr:uid="{F26AEAFA-0814-407E-9562-1BFA72FF0474}"/>
    <cellStyle name="40% - Accent5 12 3 5" xfId="9589" xr:uid="{00000000-0005-0000-0000-00008B470000}"/>
    <cellStyle name="40% - Accent5 12 3 5 2" xfId="17547" xr:uid="{00000000-0005-0000-0000-00008C470000}"/>
    <cellStyle name="40% - Accent5 12 3 5 2 2" xfId="41387" xr:uid="{54232B7B-FDEB-4877-A234-679DCD473239}"/>
    <cellStyle name="40% - Accent5 12 3 5 3" xfId="25491" xr:uid="{00000000-0005-0000-0000-00008D470000}"/>
    <cellStyle name="40% - Accent5 12 3 5 3 2" xfId="49323" xr:uid="{62F8C9D0-7EBC-4CF3-9421-E6EFD62A1557}"/>
    <cellStyle name="40% - Accent5 12 3 5 4" xfId="33446" xr:uid="{F18C3CB2-A22B-44A1-8187-8D73C1A760FA}"/>
    <cellStyle name="40% - Accent5 12 3 6" xfId="10485" xr:uid="{00000000-0005-0000-0000-00008E470000}"/>
    <cellStyle name="40% - Accent5 12 3 6 2" xfId="34334" xr:uid="{50D86A82-46FC-4C3E-8227-F12DADB9F73B}"/>
    <cellStyle name="40% - Accent5 12 3 7" xfId="18440" xr:uid="{00000000-0005-0000-0000-00008F470000}"/>
    <cellStyle name="40% - Accent5 12 3 7 2" xfId="42272" xr:uid="{66B7871A-29FA-441F-92CD-8723D09B3F7D}"/>
    <cellStyle name="40% - Accent5 12 3 8" xfId="26392" xr:uid="{CAAA6FA9-90B3-466F-8BBD-A70D2DE99B01}"/>
    <cellStyle name="40% - Accent5 12 3_Exh G" xfId="3195" xr:uid="{00000000-0005-0000-0000-000090470000}"/>
    <cellStyle name="40% - Accent5 12 4" xfId="1566" xr:uid="{00000000-0005-0000-0000-000091470000}"/>
    <cellStyle name="40% - Accent5 12 4 2" xfId="5093" xr:uid="{00000000-0005-0000-0000-000092470000}"/>
    <cellStyle name="40% - Accent5 12 4 2 2" xfId="8684" xr:uid="{00000000-0005-0000-0000-000093470000}"/>
    <cellStyle name="40% - Accent5 12 4 2 2 2" xfId="16654" xr:uid="{00000000-0005-0000-0000-000094470000}"/>
    <cellStyle name="40% - Accent5 12 4 2 2 2 2" xfId="40496" xr:uid="{43EB4B10-6615-4B29-A8AD-B1501BDDA3F4}"/>
    <cellStyle name="40% - Accent5 12 4 2 2 3" xfId="24600" xr:uid="{00000000-0005-0000-0000-000095470000}"/>
    <cellStyle name="40% - Accent5 12 4 2 2 3 2" xfId="48432" xr:uid="{5570FDEF-BE17-4662-B12B-81435FA694CD}"/>
    <cellStyle name="40% - Accent5 12 4 2 2 4" xfId="32555" xr:uid="{123E9076-8BD1-4302-8874-E1C847E1366D}"/>
    <cellStyle name="40% - Accent5 12 4 2 3" xfId="13116" xr:uid="{00000000-0005-0000-0000-000096470000}"/>
    <cellStyle name="40% - Accent5 12 4 2 3 2" xfId="36965" xr:uid="{E3B753DA-DF11-4AB9-BAB2-1FEA73E5D447}"/>
    <cellStyle name="40% - Accent5 12 4 2 4" xfId="21071" xr:uid="{00000000-0005-0000-0000-000097470000}"/>
    <cellStyle name="40% - Accent5 12 4 2 4 2" xfId="44903" xr:uid="{15C49184-5D19-4441-8967-43B9DD662562}"/>
    <cellStyle name="40% - Accent5 12 4 2 5" xfId="29024" xr:uid="{AF805FA0-82FA-4BA6-AF5C-E8E00C766666}"/>
    <cellStyle name="40% - Accent5 12 4 3" xfId="6925" xr:uid="{00000000-0005-0000-0000-000098470000}"/>
    <cellStyle name="40% - Accent5 12 4 3 2" xfId="14896" xr:uid="{00000000-0005-0000-0000-000099470000}"/>
    <cellStyle name="40% - Accent5 12 4 3 2 2" xfId="38738" xr:uid="{FDA672E6-A245-4844-9E05-71553DBF7D6E}"/>
    <cellStyle name="40% - Accent5 12 4 3 3" xfId="22843" xr:uid="{00000000-0005-0000-0000-00009A470000}"/>
    <cellStyle name="40% - Accent5 12 4 3 3 2" xfId="46675" xr:uid="{83A29DAE-B116-4917-8E42-D1AAEA513B32}"/>
    <cellStyle name="40% - Accent5 12 4 3 4" xfId="30797" xr:uid="{63019CA6-086E-4582-84B2-B2BA9D63D9E2}"/>
    <cellStyle name="40% - Accent5 12 4 4" xfId="11360" xr:uid="{00000000-0005-0000-0000-00009B470000}"/>
    <cellStyle name="40% - Accent5 12 4 4 2" xfId="35209" xr:uid="{E93D12BF-5150-4729-BC66-BBF9DE566F2B}"/>
    <cellStyle name="40% - Accent5 12 4 5" xfId="19315" xr:uid="{00000000-0005-0000-0000-00009C470000}"/>
    <cellStyle name="40% - Accent5 12 4 5 2" xfId="43147" xr:uid="{E6C52364-ACEA-4AC2-9552-D795EFC4FE4E}"/>
    <cellStyle name="40% - Accent5 12 4 6" xfId="27267" xr:uid="{44A25FE6-FBFC-45FD-B0C8-C73B53FF9AE0}"/>
    <cellStyle name="40% - Accent5 12 4_Exh G" xfId="3197" xr:uid="{00000000-0005-0000-0000-00009D470000}"/>
    <cellStyle name="40% - Accent5 12 5" xfId="4214" xr:uid="{00000000-0005-0000-0000-00009E470000}"/>
    <cellStyle name="40% - Accent5 12 5 2" xfId="7806" xr:uid="{00000000-0005-0000-0000-00009F470000}"/>
    <cellStyle name="40% - Accent5 12 5 2 2" xfId="15776" xr:uid="{00000000-0005-0000-0000-0000A0470000}"/>
    <cellStyle name="40% - Accent5 12 5 2 2 2" xfId="39618" xr:uid="{C0620690-1B84-4E16-9034-2B2127059F98}"/>
    <cellStyle name="40% - Accent5 12 5 2 3" xfId="23722" xr:uid="{00000000-0005-0000-0000-0000A1470000}"/>
    <cellStyle name="40% - Accent5 12 5 2 3 2" xfId="47554" xr:uid="{E80EFABE-2502-48E5-9E09-E52E098468A8}"/>
    <cellStyle name="40% - Accent5 12 5 2 4" xfId="31677" xr:uid="{FDF800AF-3EF8-4182-A948-C7696B3D9321}"/>
    <cellStyle name="40% - Accent5 12 5 3" xfId="12238" xr:uid="{00000000-0005-0000-0000-0000A2470000}"/>
    <cellStyle name="40% - Accent5 12 5 3 2" xfId="36087" xr:uid="{1575D0D9-9395-4DBB-A178-1D46E4957F79}"/>
    <cellStyle name="40% - Accent5 12 5 4" xfId="20193" xr:uid="{00000000-0005-0000-0000-0000A3470000}"/>
    <cellStyle name="40% - Accent5 12 5 4 2" xfId="44025" xr:uid="{071CC15F-DA8B-4B48-9489-58E12F1EF830}"/>
    <cellStyle name="40% - Accent5 12 5 5" xfId="28146" xr:uid="{0851DB4A-FF5E-4B81-B609-86518CC87D24}"/>
    <cellStyle name="40% - Accent5 12 6" xfId="6034" xr:uid="{00000000-0005-0000-0000-0000A4470000}"/>
    <cellStyle name="40% - Accent5 12 6 2" xfId="14017" xr:uid="{00000000-0005-0000-0000-0000A5470000}"/>
    <cellStyle name="40% - Accent5 12 6 2 2" xfId="37860" xr:uid="{817CA95F-BA25-43F4-9FD3-ED7A880F2562}"/>
    <cellStyle name="40% - Accent5 12 6 3" xfId="21965" xr:uid="{00000000-0005-0000-0000-0000A6470000}"/>
    <cellStyle name="40% - Accent5 12 6 3 2" xfId="45797" xr:uid="{FBC757FA-121C-4D9D-BE66-E6DF28E6397C}"/>
    <cellStyle name="40% - Accent5 12 6 4" xfId="29919" xr:uid="{57342FE7-93A6-4BBA-96A4-5E596EC7D513}"/>
    <cellStyle name="40% - Accent5 12 7" xfId="9586" xr:uid="{00000000-0005-0000-0000-0000A7470000}"/>
    <cellStyle name="40% - Accent5 12 7 2" xfId="17544" xr:uid="{00000000-0005-0000-0000-0000A8470000}"/>
    <cellStyle name="40% - Accent5 12 7 2 2" xfId="41384" xr:uid="{8CE20386-1087-42C1-AECD-28F78149D916}"/>
    <cellStyle name="40% - Accent5 12 7 3" xfId="25488" xr:uid="{00000000-0005-0000-0000-0000A9470000}"/>
    <cellStyle name="40% - Accent5 12 7 3 2" xfId="49320" xr:uid="{8186C7DD-E8FC-48C6-B5AF-6B0B1A764939}"/>
    <cellStyle name="40% - Accent5 12 7 4" xfId="33443" xr:uid="{44CF69A7-E870-4A60-BD3A-AABB83332537}"/>
    <cellStyle name="40% - Accent5 12 8" xfId="10482" xr:uid="{00000000-0005-0000-0000-0000AA470000}"/>
    <cellStyle name="40% - Accent5 12 8 2" xfId="34331" xr:uid="{F707B20E-D59F-4DBA-9EEB-50D5C76CC917}"/>
    <cellStyle name="40% - Accent5 12 9" xfId="18437" xr:uid="{00000000-0005-0000-0000-0000AB470000}"/>
    <cellStyle name="40% - Accent5 12 9 2" xfId="42269" xr:uid="{781823E9-23B2-4B70-ADE7-FC7FC3FC32E1}"/>
    <cellStyle name="40% - Accent5 12_Exh G" xfId="3190" xr:uid="{00000000-0005-0000-0000-0000AC470000}"/>
    <cellStyle name="40% - Accent5 13" xfId="544" xr:uid="{00000000-0005-0000-0000-0000AD470000}"/>
    <cellStyle name="40% - Accent5 13 10" xfId="26393" xr:uid="{BFB301D9-84D3-49E2-AA84-A89CFB907F53}"/>
    <cellStyle name="40% - Accent5 13 2" xfId="545" xr:uid="{00000000-0005-0000-0000-0000AE470000}"/>
    <cellStyle name="40% - Accent5 13 2 2" xfId="546" xr:uid="{00000000-0005-0000-0000-0000AF470000}"/>
    <cellStyle name="40% - Accent5 13 2 2 2" xfId="1572" xr:uid="{00000000-0005-0000-0000-0000B0470000}"/>
    <cellStyle name="40% - Accent5 13 2 2 2 2" xfId="5099" xr:uid="{00000000-0005-0000-0000-0000B1470000}"/>
    <cellStyle name="40% - Accent5 13 2 2 2 2 2" xfId="8690" xr:uid="{00000000-0005-0000-0000-0000B2470000}"/>
    <cellStyle name="40% - Accent5 13 2 2 2 2 2 2" xfId="16660" xr:uid="{00000000-0005-0000-0000-0000B3470000}"/>
    <cellStyle name="40% - Accent5 13 2 2 2 2 2 2 2" xfId="40502" xr:uid="{ADD99BE3-4417-4558-BF14-3C69B12CFA0C}"/>
    <cellStyle name="40% - Accent5 13 2 2 2 2 2 3" xfId="24606" xr:uid="{00000000-0005-0000-0000-0000B4470000}"/>
    <cellStyle name="40% - Accent5 13 2 2 2 2 2 3 2" xfId="48438" xr:uid="{06ED0A8B-DBF2-468C-AF42-5EFA471104DA}"/>
    <cellStyle name="40% - Accent5 13 2 2 2 2 2 4" xfId="32561" xr:uid="{8CEF3F59-55B6-4BF3-BD03-ABC9CAC0E524}"/>
    <cellStyle name="40% - Accent5 13 2 2 2 2 3" xfId="13122" xr:uid="{00000000-0005-0000-0000-0000B5470000}"/>
    <cellStyle name="40% - Accent5 13 2 2 2 2 3 2" xfId="36971" xr:uid="{486EFBD5-D674-4079-A87D-2E5020EE72F4}"/>
    <cellStyle name="40% - Accent5 13 2 2 2 2 4" xfId="21077" xr:uid="{00000000-0005-0000-0000-0000B6470000}"/>
    <cellStyle name="40% - Accent5 13 2 2 2 2 4 2" xfId="44909" xr:uid="{BCFFEDB4-B936-46C1-AE1A-86701D1B3ADF}"/>
    <cellStyle name="40% - Accent5 13 2 2 2 2 5" xfId="29030" xr:uid="{A0DC2768-17F4-4B5A-848C-C56A53A30F97}"/>
    <cellStyle name="40% - Accent5 13 2 2 2 3" xfId="6931" xr:uid="{00000000-0005-0000-0000-0000B7470000}"/>
    <cellStyle name="40% - Accent5 13 2 2 2 3 2" xfId="14902" xr:uid="{00000000-0005-0000-0000-0000B8470000}"/>
    <cellStyle name="40% - Accent5 13 2 2 2 3 2 2" xfId="38744" xr:uid="{6F09708C-BC92-4045-9C3A-39F064AAAEE9}"/>
    <cellStyle name="40% - Accent5 13 2 2 2 3 3" xfId="22849" xr:uid="{00000000-0005-0000-0000-0000B9470000}"/>
    <cellStyle name="40% - Accent5 13 2 2 2 3 3 2" xfId="46681" xr:uid="{C603E46C-C56F-4639-BF83-35F0BAEECDA5}"/>
    <cellStyle name="40% - Accent5 13 2 2 2 3 4" xfId="30803" xr:uid="{90DA003A-F8B2-4E11-AF47-ABEEE0D9317A}"/>
    <cellStyle name="40% - Accent5 13 2 2 2 4" xfId="11366" xr:uid="{00000000-0005-0000-0000-0000BA470000}"/>
    <cellStyle name="40% - Accent5 13 2 2 2 4 2" xfId="35215" xr:uid="{5F4C4FE9-60D7-4A39-A644-20812BFB013D}"/>
    <cellStyle name="40% - Accent5 13 2 2 2 5" xfId="19321" xr:uid="{00000000-0005-0000-0000-0000BB470000}"/>
    <cellStyle name="40% - Accent5 13 2 2 2 5 2" xfId="43153" xr:uid="{FF028250-AEC2-41A7-AA36-7D447EAA1372}"/>
    <cellStyle name="40% - Accent5 13 2 2 2 6" xfId="27273" xr:uid="{B187467A-EF16-4D6E-B7BA-72048B9F8252}"/>
    <cellStyle name="40% - Accent5 13 2 2 2_Exh G" xfId="3201" xr:uid="{00000000-0005-0000-0000-0000BC470000}"/>
    <cellStyle name="40% - Accent5 13 2 2 3" xfId="4220" xr:uid="{00000000-0005-0000-0000-0000BD470000}"/>
    <cellStyle name="40% - Accent5 13 2 2 3 2" xfId="7812" xr:uid="{00000000-0005-0000-0000-0000BE470000}"/>
    <cellStyle name="40% - Accent5 13 2 2 3 2 2" xfId="15782" xr:uid="{00000000-0005-0000-0000-0000BF470000}"/>
    <cellStyle name="40% - Accent5 13 2 2 3 2 2 2" xfId="39624" xr:uid="{2961AF7C-DF08-44C6-BFDB-1EC9C1909EB9}"/>
    <cellStyle name="40% - Accent5 13 2 2 3 2 3" xfId="23728" xr:uid="{00000000-0005-0000-0000-0000C0470000}"/>
    <cellStyle name="40% - Accent5 13 2 2 3 2 3 2" xfId="47560" xr:uid="{656475EF-B078-4F10-A58B-3C6AF88C2B69}"/>
    <cellStyle name="40% - Accent5 13 2 2 3 2 4" xfId="31683" xr:uid="{C025F7FC-C4B1-497E-95D7-8E7312ED8005}"/>
    <cellStyle name="40% - Accent5 13 2 2 3 3" xfId="12244" xr:uid="{00000000-0005-0000-0000-0000C1470000}"/>
    <cellStyle name="40% - Accent5 13 2 2 3 3 2" xfId="36093" xr:uid="{352B227D-7B44-4E6B-B3B8-52CDA1118DD6}"/>
    <cellStyle name="40% - Accent5 13 2 2 3 4" xfId="20199" xr:uid="{00000000-0005-0000-0000-0000C2470000}"/>
    <cellStyle name="40% - Accent5 13 2 2 3 4 2" xfId="44031" xr:uid="{C64DAFA0-C849-40A1-A939-82772CCF0019}"/>
    <cellStyle name="40% - Accent5 13 2 2 3 5" xfId="28152" xr:uid="{19B2F137-324C-41B4-884C-EFE4377932EF}"/>
    <cellStyle name="40% - Accent5 13 2 2 4" xfId="6040" xr:uid="{00000000-0005-0000-0000-0000C3470000}"/>
    <cellStyle name="40% - Accent5 13 2 2 4 2" xfId="14023" xr:uid="{00000000-0005-0000-0000-0000C4470000}"/>
    <cellStyle name="40% - Accent5 13 2 2 4 2 2" xfId="37866" xr:uid="{D7902EC4-8930-4047-83EB-204769C45F81}"/>
    <cellStyle name="40% - Accent5 13 2 2 4 3" xfId="21971" xr:uid="{00000000-0005-0000-0000-0000C5470000}"/>
    <cellStyle name="40% - Accent5 13 2 2 4 3 2" xfId="45803" xr:uid="{0F01B63D-1D86-4081-A61D-D8E472367AB5}"/>
    <cellStyle name="40% - Accent5 13 2 2 4 4" xfId="29925" xr:uid="{4A3A4C49-510F-47A0-8A07-B4D2A5FD7250}"/>
    <cellStyle name="40% - Accent5 13 2 2 5" xfId="9592" xr:uid="{00000000-0005-0000-0000-0000C6470000}"/>
    <cellStyle name="40% - Accent5 13 2 2 5 2" xfId="17550" xr:uid="{00000000-0005-0000-0000-0000C7470000}"/>
    <cellStyle name="40% - Accent5 13 2 2 5 2 2" xfId="41390" xr:uid="{5621A833-15F4-4B3D-8A23-B056BF50A8F5}"/>
    <cellStyle name="40% - Accent5 13 2 2 5 3" xfId="25494" xr:uid="{00000000-0005-0000-0000-0000C8470000}"/>
    <cellStyle name="40% - Accent5 13 2 2 5 3 2" xfId="49326" xr:uid="{5FE13412-2CD3-4E83-A852-17F72496A0AC}"/>
    <cellStyle name="40% - Accent5 13 2 2 5 4" xfId="33449" xr:uid="{D3BF3740-6E51-4255-8E3E-4BC38D89472D}"/>
    <cellStyle name="40% - Accent5 13 2 2 6" xfId="10488" xr:uid="{00000000-0005-0000-0000-0000C9470000}"/>
    <cellStyle name="40% - Accent5 13 2 2 6 2" xfId="34337" xr:uid="{598B8187-1FE7-4A87-A3B6-3FCEFAA600FD}"/>
    <cellStyle name="40% - Accent5 13 2 2 7" xfId="18443" xr:uid="{00000000-0005-0000-0000-0000CA470000}"/>
    <cellStyle name="40% - Accent5 13 2 2 7 2" xfId="42275" xr:uid="{D6617115-EBCF-44D8-9314-BF32A0FBCB29}"/>
    <cellStyle name="40% - Accent5 13 2 2 8" xfId="26395" xr:uid="{548F97CB-13D7-4F3B-A7BE-CE3296C80AF3}"/>
    <cellStyle name="40% - Accent5 13 2 2_Exh G" xfId="3200" xr:uid="{00000000-0005-0000-0000-0000CB470000}"/>
    <cellStyle name="40% - Accent5 13 2 3" xfId="1571" xr:uid="{00000000-0005-0000-0000-0000CC470000}"/>
    <cellStyle name="40% - Accent5 13 2 3 2" xfId="5098" xr:uid="{00000000-0005-0000-0000-0000CD470000}"/>
    <cellStyle name="40% - Accent5 13 2 3 2 2" xfId="8689" xr:uid="{00000000-0005-0000-0000-0000CE470000}"/>
    <cellStyle name="40% - Accent5 13 2 3 2 2 2" xfId="16659" xr:uid="{00000000-0005-0000-0000-0000CF470000}"/>
    <cellStyle name="40% - Accent5 13 2 3 2 2 2 2" xfId="40501" xr:uid="{D11BB89F-B79A-4496-AAF4-FA950DE53675}"/>
    <cellStyle name="40% - Accent5 13 2 3 2 2 3" xfId="24605" xr:uid="{00000000-0005-0000-0000-0000D0470000}"/>
    <cellStyle name="40% - Accent5 13 2 3 2 2 3 2" xfId="48437" xr:uid="{EFB148E1-ACCB-4C7D-A7A4-39A5C5F54231}"/>
    <cellStyle name="40% - Accent5 13 2 3 2 2 4" xfId="32560" xr:uid="{C939BB9E-8706-40F1-938E-0FB881A8DAF7}"/>
    <cellStyle name="40% - Accent5 13 2 3 2 3" xfId="13121" xr:uid="{00000000-0005-0000-0000-0000D1470000}"/>
    <cellStyle name="40% - Accent5 13 2 3 2 3 2" xfId="36970" xr:uid="{1D8A46C4-53F6-435F-BD2B-945E813BE6DE}"/>
    <cellStyle name="40% - Accent5 13 2 3 2 4" xfId="21076" xr:uid="{00000000-0005-0000-0000-0000D2470000}"/>
    <cellStyle name="40% - Accent5 13 2 3 2 4 2" xfId="44908" xr:uid="{2E145F5F-A099-4859-931E-D9E273C6659E}"/>
    <cellStyle name="40% - Accent5 13 2 3 2 5" xfId="29029" xr:uid="{15438D8A-9786-40D5-8FF2-DD6E133B45D2}"/>
    <cellStyle name="40% - Accent5 13 2 3 3" xfId="6930" xr:uid="{00000000-0005-0000-0000-0000D3470000}"/>
    <cellStyle name="40% - Accent5 13 2 3 3 2" xfId="14901" xr:uid="{00000000-0005-0000-0000-0000D4470000}"/>
    <cellStyle name="40% - Accent5 13 2 3 3 2 2" xfId="38743" xr:uid="{9D41F908-6334-4FC7-98E6-9FA02B95E22A}"/>
    <cellStyle name="40% - Accent5 13 2 3 3 3" xfId="22848" xr:uid="{00000000-0005-0000-0000-0000D5470000}"/>
    <cellStyle name="40% - Accent5 13 2 3 3 3 2" xfId="46680" xr:uid="{4A85D395-1EDC-40A3-A180-5D1BB28060F8}"/>
    <cellStyle name="40% - Accent5 13 2 3 3 4" xfId="30802" xr:uid="{1165B577-B527-4A42-9982-D3727AC333A4}"/>
    <cellStyle name="40% - Accent5 13 2 3 4" xfId="11365" xr:uid="{00000000-0005-0000-0000-0000D6470000}"/>
    <cellStyle name="40% - Accent5 13 2 3 4 2" xfId="35214" xr:uid="{5368B034-111D-4EEF-A751-1C5BEACD0BF8}"/>
    <cellStyle name="40% - Accent5 13 2 3 5" xfId="19320" xr:uid="{00000000-0005-0000-0000-0000D7470000}"/>
    <cellStyle name="40% - Accent5 13 2 3 5 2" xfId="43152" xr:uid="{78F11AB5-EFCD-4FB2-88BC-3522C2B29641}"/>
    <cellStyle name="40% - Accent5 13 2 3 6" xfId="27272" xr:uid="{1AB7B175-5585-4011-BB3F-209C22BB0D0E}"/>
    <cellStyle name="40% - Accent5 13 2 3_Exh G" xfId="3202" xr:uid="{00000000-0005-0000-0000-0000D8470000}"/>
    <cellStyle name="40% - Accent5 13 2 4" xfId="4219" xr:uid="{00000000-0005-0000-0000-0000D9470000}"/>
    <cellStyle name="40% - Accent5 13 2 4 2" xfId="7811" xr:uid="{00000000-0005-0000-0000-0000DA470000}"/>
    <cellStyle name="40% - Accent5 13 2 4 2 2" xfId="15781" xr:uid="{00000000-0005-0000-0000-0000DB470000}"/>
    <cellStyle name="40% - Accent5 13 2 4 2 2 2" xfId="39623" xr:uid="{3DF3C94D-D70C-4ADD-9EAE-EA80A41E7EF6}"/>
    <cellStyle name="40% - Accent5 13 2 4 2 3" xfId="23727" xr:uid="{00000000-0005-0000-0000-0000DC470000}"/>
    <cellStyle name="40% - Accent5 13 2 4 2 3 2" xfId="47559" xr:uid="{CB18DCB1-E1CF-4B24-8F64-9296357B5868}"/>
    <cellStyle name="40% - Accent5 13 2 4 2 4" xfId="31682" xr:uid="{B06901F6-74E7-4198-8E3E-E2B2BE74273B}"/>
    <cellStyle name="40% - Accent5 13 2 4 3" xfId="12243" xr:uid="{00000000-0005-0000-0000-0000DD470000}"/>
    <cellStyle name="40% - Accent5 13 2 4 3 2" xfId="36092" xr:uid="{F7E53F64-FB34-45E3-8CFE-BFDBF24F2ABA}"/>
    <cellStyle name="40% - Accent5 13 2 4 4" xfId="20198" xr:uid="{00000000-0005-0000-0000-0000DE470000}"/>
    <cellStyle name="40% - Accent5 13 2 4 4 2" xfId="44030" xr:uid="{7B841145-33D6-476D-ACA5-AF85CC213532}"/>
    <cellStyle name="40% - Accent5 13 2 4 5" xfId="28151" xr:uid="{9DA3E369-7B99-46EE-9D8E-5908ABF57F56}"/>
    <cellStyle name="40% - Accent5 13 2 5" xfId="6039" xr:uid="{00000000-0005-0000-0000-0000DF470000}"/>
    <cellStyle name="40% - Accent5 13 2 5 2" xfId="14022" xr:uid="{00000000-0005-0000-0000-0000E0470000}"/>
    <cellStyle name="40% - Accent5 13 2 5 2 2" xfId="37865" xr:uid="{06080BC1-3529-4A87-90E8-28AAD4C9958D}"/>
    <cellStyle name="40% - Accent5 13 2 5 3" xfId="21970" xr:uid="{00000000-0005-0000-0000-0000E1470000}"/>
    <cellStyle name="40% - Accent5 13 2 5 3 2" xfId="45802" xr:uid="{7279CFB6-FB6B-4C63-9C31-A9E7BAD6B9D0}"/>
    <cellStyle name="40% - Accent5 13 2 5 4" xfId="29924" xr:uid="{085E9E05-1659-4FFA-94A7-347F89A7D304}"/>
    <cellStyle name="40% - Accent5 13 2 6" xfId="9591" xr:uid="{00000000-0005-0000-0000-0000E2470000}"/>
    <cellStyle name="40% - Accent5 13 2 6 2" xfId="17549" xr:uid="{00000000-0005-0000-0000-0000E3470000}"/>
    <cellStyle name="40% - Accent5 13 2 6 2 2" xfId="41389" xr:uid="{6EC8A234-8CAC-4592-B14C-343D15C1A58A}"/>
    <cellStyle name="40% - Accent5 13 2 6 3" xfId="25493" xr:uid="{00000000-0005-0000-0000-0000E4470000}"/>
    <cellStyle name="40% - Accent5 13 2 6 3 2" xfId="49325" xr:uid="{F66568D8-2016-4925-9A87-232D21E7C7D4}"/>
    <cellStyle name="40% - Accent5 13 2 6 4" xfId="33448" xr:uid="{254B46CC-098A-4893-B032-903897FB8B06}"/>
    <cellStyle name="40% - Accent5 13 2 7" xfId="10487" xr:uid="{00000000-0005-0000-0000-0000E5470000}"/>
    <cellStyle name="40% - Accent5 13 2 7 2" xfId="34336" xr:uid="{3F7DB59C-BE81-4723-B0FF-9B1C12453892}"/>
    <cellStyle name="40% - Accent5 13 2 8" xfId="18442" xr:uid="{00000000-0005-0000-0000-0000E6470000}"/>
    <cellStyle name="40% - Accent5 13 2 8 2" xfId="42274" xr:uid="{F7DCA92E-103F-45DF-9157-E89E99A70C3C}"/>
    <cellStyle name="40% - Accent5 13 2 9" xfId="26394" xr:uid="{B7EAC5AE-15BE-4127-B9DC-537891DA2852}"/>
    <cellStyle name="40% - Accent5 13 2_Exh G" xfId="3199" xr:uid="{00000000-0005-0000-0000-0000E7470000}"/>
    <cellStyle name="40% - Accent5 13 3" xfId="547" xr:uid="{00000000-0005-0000-0000-0000E8470000}"/>
    <cellStyle name="40% - Accent5 13 3 2" xfId="1573" xr:uid="{00000000-0005-0000-0000-0000E9470000}"/>
    <cellStyle name="40% - Accent5 13 3 2 2" xfId="5100" xr:uid="{00000000-0005-0000-0000-0000EA470000}"/>
    <cellStyle name="40% - Accent5 13 3 2 2 2" xfId="8691" xr:uid="{00000000-0005-0000-0000-0000EB470000}"/>
    <cellStyle name="40% - Accent5 13 3 2 2 2 2" xfId="16661" xr:uid="{00000000-0005-0000-0000-0000EC470000}"/>
    <cellStyle name="40% - Accent5 13 3 2 2 2 2 2" xfId="40503" xr:uid="{E33F46B7-B20C-442F-8AE1-83AA6B5A7372}"/>
    <cellStyle name="40% - Accent5 13 3 2 2 2 3" xfId="24607" xr:uid="{00000000-0005-0000-0000-0000ED470000}"/>
    <cellStyle name="40% - Accent5 13 3 2 2 2 3 2" xfId="48439" xr:uid="{0E6BCEF9-A5D3-499D-87D6-43F6EDB486C3}"/>
    <cellStyle name="40% - Accent5 13 3 2 2 2 4" xfId="32562" xr:uid="{FDACDFF1-F128-4B2F-8EFD-FE01E477591E}"/>
    <cellStyle name="40% - Accent5 13 3 2 2 3" xfId="13123" xr:uid="{00000000-0005-0000-0000-0000EE470000}"/>
    <cellStyle name="40% - Accent5 13 3 2 2 3 2" xfId="36972" xr:uid="{87AC4B9D-4315-4C23-B14C-BE7A6453DCF4}"/>
    <cellStyle name="40% - Accent5 13 3 2 2 4" xfId="21078" xr:uid="{00000000-0005-0000-0000-0000EF470000}"/>
    <cellStyle name="40% - Accent5 13 3 2 2 4 2" xfId="44910" xr:uid="{6D184E13-7C15-459E-9C84-65FBDAEE9208}"/>
    <cellStyle name="40% - Accent5 13 3 2 2 5" xfId="29031" xr:uid="{6BD4D913-8378-4298-B7E4-D3883A3E4B9D}"/>
    <cellStyle name="40% - Accent5 13 3 2 3" xfId="6932" xr:uid="{00000000-0005-0000-0000-0000F0470000}"/>
    <cellStyle name="40% - Accent5 13 3 2 3 2" xfId="14903" xr:uid="{00000000-0005-0000-0000-0000F1470000}"/>
    <cellStyle name="40% - Accent5 13 3 2 3 2 2" xfId="38745" xr:uid="{C7CC1FE3-F08E-4AF9-AF35-A27D0564B065}"/>
    <cellStyle name="40% - Accent5 13 3 2 3 3" xfId="22850" xr:uid="{00000000-0005-0000-0000-0000F2470000}"/>
    <cellStyle name="40% - Accent5 13 3 2 3 3 2" xfId="46682" xr:uid="{88E72F4B-A692-4895-B2C0-2F16108A0ED8}"/>
    <cellStyle name="40% - Accent5 13 3 2 3 4" xfId="30804" xr:uid="{C45C040C-EBC6-4D4C-B3ED-B97645E3B548}"/>
    <cellStyle name="40% - Accent5 13 3 2 4" xfId="11367" xr:uid="{00000000-0005-0000-0000-0000F3470000}"/>
    <cellStyle name="40% - Accent5 13 3 2 4 2" xfId="35216" xr:uid="{1E519BC6-5221-4A1A-B493-B3A1F681E561}"/>
    <cellStyle name="40% - Accent5 13 3 2 5" xfId="19322" xr:uid="{00000000-0005-0000-0000-0000F4470000}"/>
    <cellStyle name="40% - Accent5 13 3 2 5 2" xfId="43154" xr:uid="{8827940A-EF11-48F6-9A3B-831D5F62DB8B}"/>
    <cellStyle name="40% - Accent5 13 3 2 6" xfId="27274" xr:uid="{16CC7AD7-4C1C-4960-980E-F89D458ABE5B}"/>
    <cellStyle name="40% - Accent5 13 3 2_Exh G" xfId="3204" xr:uid="{00000000-0005-0000-0000-0000F5470000}"/>
    <cellStyle name="40% - Accent5 13 3 3" xfId="4221" xr:uid="{00000000-0005-0000-0000-0000F6470000}"/>
    <cellStyle name="40% - Accent5 13 3 3 2" xfId="7813" xr:uid="{00000000-0005-0000-0000-0000F7470000}"/>
    <cellStyle name="40% - Accent5 13 3 3 2 2" xfId="15783" xr:uid="{00000000-0005-0000-0000-0000F8470000}"/>
    <cellStyle name="40% - Accent5 13 3 3 2 2 2" xfId="39625" xr:uid="{12A07E43-D683-4617-9979-CB2E16F07D69}"/>
    <cellStyle name="40% - Accent5 13 3 3 2 3" xfId="23729" xr:uid="{00000000-0005-0000-0000-0000F9470000}"/>
    <cellStyle name="40% - Accent5 13 3 3 2 3 2" xfId="47561" xr:uid="{CE7C1DD7-788F-4CC5-90C7-550AA04BAB3C}"/>
    <cellStyle name="40% - Accent5 13 3 3 2 4" xfId="31684" xr:uid="{755C46B8-7FED-41C9-BC5F-7EAAE35FF261}"/>
    <cellStyle name="40% - Accent5 13 3 3 3" xfId="12245" xr:uid="{00000000-0005-0000-0000-0000FA470000}"/>
    <cellStyle name="40% - Accent5 13 3 3 3 2" xfId="36094" xr:uid="{F0309F37-FC9F-4FA9-BC52-7EE8E309CAD9}"/>
    <cellStyle name="40% - Accent5 13 3 3 4" xfId="20200" xr:uid="{00000000-0005-0000-0000-0000FB470000}"/>
    <cellStyle name="40% - Accent5 13 3 3 4 2" xfId="44032" xr:uid="{FDC16BD7-D62E-45FF-B1C0-66F6A2331CC6}"/>
    <cellStyle name="40% - Accent5 13 3 3 5" xfId="28153" xr:uid="{510BBAA8-C01B-4799-8B05-D3A17141481C}"/>
    <cellStyle name="40% - Accent5 13 3 4" xfId="6041" xr:uid="{00000000-0005-0000-0000-0000FC470000}"/>
    <cellStyle name="40% - Accent5 13 3 4 2" xfId="14024" xr:uid="{00000000-0005-0000-0000-0000FD470000}"/>
    <cellStyle name="40% - Accent5 13 3 4 2 2" xfId="37867" xr:uid="{C58DB04D-0DD6-4AC1-BFCF-21B250F529A3}"/>
    <cellStyle name="40% - Accent5 13 3 4 3" xfId="21972" xr:uid="{00000000-0005-0000-0000-0000FE470000}"/>
    <cellStyle name="40% - Accent5 13 3 4 3 2" xfId="45804" xr:uid="{E501C25C-771E-4540-8FE2-B8FEB6BF28EB}"/>
    <cellStyle name="40% - Accent5 13 3 4 4" xfId="29926" xr:uid="{2C00396C-6888-46A2-BD13-CBBFBCF58F9B}"/>
    <cellStyle name="40% - Accent5 13 3 5" xfId="9593" xr:uid="{00000000-0005-0000-0000-0000FF470000}"/>
    <cellStyle name="40% - Accent5 13 3 5 2" xfId="17551" xr:uid="{00000000-0005-0000-0000-000000480000}"/>
    <cellStyle name="40% - Accent5 13 3 5 2 2" xfId="41391" xr:uid="{A7B0B5AD-F666-4415-B469-B008F65550B7}"/>
    <cellStyle name="40% - Accent5 13 3 5 3" xfId="25495" xr:uid="{00000000-0005-0000-0000-000001480000}"/>
    <cellStyle name="40% - Accent5 13 3 5 3 2" xfId="49327" xr:uid="{0C2CFA7E-61BD-4AFA-9EF2-3551083455DB}"/>
    <cellStyle name="40% - Accent5 13 3 5 4" xfId="33450" xr:uid="{EA00F89A-3925-4CE7-84CC-542132AA7311}"/>
    <cellStyle name="40% - Accent5 13 3 6" xfId="10489" xr:uid="{00000000-0005-0000-0000-000002480000}"/>
    <cellStyle name="40% - Accent5 13 3 6 2" xfId="34338" xr:uid="{8C04ED57-BD05-4A34-B7EB-154715C27E81}"/>
    <cellStyle name="40% - Accent5 13 3 7" xfId="18444" xr:uid="{00000000-0005-0000-0000-000003480000}"/>
    <cellStyle name="40% - Accent5 13 3 7 2" xfId="42276" xr:uid="{68ADCD49-ED40-498F-BFDD-E9619CFDA3CF}"/>
    <cellStyle name="40% - Accent5 13 3 8" xfId="26396" xr:uid="{5F74B6ED-9755-40F1-8C59-2E1F45D93D1C}"/>
    <cellStyle name="40% - Accent5 13 3_Exh G" xfId="3203" xr:uid="{00000000-0005-0000-0000-000004480000}"/>
    <cellStyle name="40% - Accent5 13 4" xfId="1570" xr:uid="{00000000-0005-0000-0000-000005480000}"/>
    <cellStyle name="40% - Accent5 13 4 2" xfId="5097" xr:uid="{00000000-0005-0000-0000-000006480000}"/>
    <cellStyle name="40% - Accent5 13 4 2 2" xfId="8688" xr:uid="{00000000-0005-0000-0000-000007480000}"/>
    <cellStyle name="40% - Accent5 13 4 2 2 2" xfId="16658" xr:uid="{00000000-0005-0000-0000-000008480000}"/>
    <cellStyle name="40% - Accent5 13 4 2 2 2 2" xfId="40500" xr:uid="{6026485B-11D8-4260-812D-D950AF43F160}"/>
    <cellStyle name="40% - Accent5 13 4 2 2 3" xfId="24604" xr:uid="{00000000-0005-0000-0000-000009480000}"/>
    <cellStyle name="40% - Accent5 13 4 2 2 3 2" xfId="48436" xr:uid="{0D346858-43A5-4DB2-A08B-B35B7F496FEF}"/>
    <cellStyle name="40% - Accent5 13 4 2 2 4" xfId="32559" xr:uid="{381CF093-EC99-43FE-AAEF-4450EDDF3FCF}"/>
    <cellStyle name="40% - Accent5 13 4 2 3" xfId="13120" xr:uid="{00000000-0005-0000-0000-00000A480000}"/>
    <cellStyle name="40% - Accent5 13 4 2 3 2" xfId="36969" xr:uid="{B0D43B69-E60F-4BC6-92DF-6F7C505B6A47}"/>
    <cellStyle name="40% - Accent5 13 4 2 4" xfId="21075" xr:uid="{00000000-0005-0000-0000-00000B480000}"/>
    <cellStyle name="40% - Accent5 13 4 2 4 2" xfId="44907" xr:uid="{77A31E92-3872-4177-A2A3-1836D1043D93}"/>
    <cellStyle name="40% - Accent5 13 4 2 5" xfId="29028" xr:uid="{599EEA5B-FC48-46B9-9F4D-80271469FFCB}"/>
    <cellStyle name="40% - Accent5 13 4 3" xfId="6929" xr:uid="{00000000-0005-0000-0000-00000C480000}"/>
    <cellStyle name="40% - Accent5 13 4 3 2" xfId="14900" xr:uid="{00000000-0005-0000-0000-00000D480000}"/>
    <cellStyle name="40% - Accent5 13 4 3 2 2" xfId="38742" xr:uid="{EA628DBD-0D6D-417E-A536-5F88A8496FA0}"/>
    <cellStyle name="40% - Accent5 13 4 3 3" xfId="22847" xr:uid="{00000000-0005-0000-0000-00000E480000}"/>
    <cellStyle name="40% - Accent5 13 4 3 3 2" xfId="46679" xr:uid="{5A85FFF4-B580-46CE-AC82-979AF678E672}"/>
    <cellStyle name="40% - Accent5 13 4 3 4" xfId="30801" xr:uid="{532EE7FE-AC52-4184-8E01-1D81B9BEDEFB}"/>
    <cellStyle name="40% - Accent5 13 4 4" xfId="11364" xr:uid="{00000000-0005-0000-0000-00000F480000}"/>
    <cellStyle name="40% - Accent5 13 4 4 2" xfId="35213" xr:uid="{8657837F-F041-4D39-8461-E3DC4768D88E}"/>
    <cellStyle name="40% - Accent5 13 4 5" xfId="19319" xr:uid="{00000000-0005-0000-0000-000010480000}"/>
    <cellStyle name="40% - Accent5 13 4 5 2" xfId="43151" xr:uid="{6AFFD67B-DB67-4A66-B0C3-907124CB4723}"/>
    <cellStyle name="40% - Accent5 13 4 6" xfId="27271" xr:uid="{0D97A5A7-4B63-44DA-860E-2739D48FAE26}"/>
    <cellStyle name="40% - Accent5 13 4_Exh G" xfId="3205" xr:uid="{00000000-0005-0000-0000-000011480000}"/>
    <cellStyle name="40% - Accent5 13 5" xfId="4218" xr:uid="{00000000-0005-0000-0000-000012480000}"/>
    <cellStyle name="40% - Accent5 13 5 2" xfId="7810" xr:uid="{00000000-0005-0000-0000-000013480000}"/>
    <cellStyle name="40% - Accent5 13 5 2 2" xfId="15780" xr:uid="{00000000-0005-0000-0000-000014480000}"/>
    <cellStyle name="40% - Accent5 13 5 2 2 2" xfId="39622" xr:uid="{2F0EB797-71C4-472D-B3EB-9E607ECAB22F}"/>
    <cellStyle name="40% - Accent5 13 5 2 3" xfId="23726" xr:uid="{00000000-0005-0000-0000-000015480000}"/>
    <cellStyle name="40% - Accent5 13 5 2 3 2" xfId="47558" xr:uid="{9ECDF7B1-5AFC-4D52-8A53-5EB9C02AF5DC}"/>
    <cellStyle name="40% - Accent5 13 5 2 4" xfId="31681" xr:uid="{795F9026-2E26-40D7-AF90-EDD0B149F57B}"/>
    <cellStyle name="40% - Accent5 13 5 3" xfId="12242" xr:uid="{00000000-0005-0000-0000-000016480000}"/>
    <cellStyle name="40% - Accent5 13 5 3 2" xfId="36091" xr:uid="{BD107BCF-78EB-4A9C-855E-4B6965849B86}"/>
    <cellStyle name="40% - Accent5 13 5 4" xfId="20197" xr:uid="{00000000-0005-0000-0000-000017480000}"/>
    <cellStyle name="40% - Accent5 13 5 4 2" xfId="44029" xr:uid="{9D0D3D16-E100-437B-8EA2-CB59DD372DBA}"/>
    <cellStyle name="40% - Accent5 13 5 5" xfId="28150" xr:uid="{B9CCC364-0687-40A5-8237-185A7F9E5154}"/>
    <cellStyle name="40% - Accent5 13 6" xfId="6038" xr:uid="{00000000-0005-0000-0000-000018480000}"/>
    <cellStyle name="40% - Accent5 13 6 2" xfId="14021" xr:uid="{00000000-0005-0000-0000-000019480000}"/>
    <cellStyle name="40% - Accent5 13 6 2 2" xfId="37864" xr:uid="{507465C1-4B05-4DC6-A3AA-9983DC9309ED}"/>
    <cellStyle name="40% - Accent5 13 6 3" xfId="21969" xr:uid="{00000000-0005-0000-0000-00001A480000}"/>
    <cellStyle name="40% - Accent5 13 6 3 2" xfId="45801" xr:uid="{6FD98AF1-1140-45BD-908E-C4990F34756C}"/>
    <cellStyle name="40% - Accent5 13 6 4" xfId="29923" xr:uid="{84D79516-36DD-461D-9B48-7096C2E163DF}"/>
    <cellStyle name="40% - Accent5 13 7" xfId="9590" xr:uid="{00000000-0005-0000-0000-00001B480000}"/>
    <cellStyle name="40% - Accent5 13 7 2" xfId="17548" xr:uid="{00000000-0005-0000-0000-00001C480000}"/>
    <cellStyle name="40% - Accent5 13 7 2 2" xfId="41388" xr:uid="{9A6967E7-DC0F-47E9-A251-4432B997DA21}"/>
    <cellStyle name="40% - Accent5 13 7 3" xfId="25492" xr:uid="{00000000-0005-0000-0000-00001D480000}"/>
    <cellStyle name="40% - Accent5 13 7 3 2" xfId="49324" xr:uid="{3D90CEC4-618B-4BB4-9A13-438AA28A5D7E}"/>
    <cellStyle name="40% - Accent5 13 7 4" xfId="33447" xr:uid="{2EE329E5-9D49-4C5F-839D-46C9AC3DEAB8}"/>
    <cellStyle name="40% - Accent5 13 8" xfId="10486" xr:uid="{00000000-0005-0000-0000-00001E480000}"/>
    <cellStyle name="40% - Accent5 13 8 2" xfId="34335" xr:uid="{9A174B23-B4A5-4FB8-B59E-5B7CE3B66A6D}"/>
    <cellStyle name="40% - Accent5 13 9" xfId="18441" xr:uid="{00000000-0005-0000-0000-00001F480000}"/>
    <cellStyle name="40% - Accent5 13 9 2" xfId="42273" xr:uid="{54937CD3-2720-417F-BB62-6955966C69A6}"/>
    <cellStyle name="40% - Accent5 13_Exh G" xfId="3198" xr:uid="{00000000-0005-0000-0000-000020480000}"/>
    <cellStyle name="40% - Accent5 14" xfId="548" xr:uid="{00000000-0005-0000-0000-000021480000}"/>
    <cellStyle name="40% - Accent5 14 2" xfId="549" xr:uid="{00000000-0005-0000-0000-000022480000}"/>
    <cellStyle name="40% - Accent5 14 2 2" xfId="1575" xr:uid="{00000000-0005-0000-0000-000023480000}"/>
    <cellStyle name="40% - Accent5 14 2 2 2" xfId="5102" xr:uid="{00000000-0005-0000-0000-000024480000}"/>
    <cellStyle name="40% - Accent5 14 2 2 2 2" xfId="8693" xr:uid="{00000000-0005-0000-0000-000025480000}"/>
    <cellStyle name="40% - Accent5 14 2 2 2 2 2" xfId="16663" xr:uid="{00000000-0005-0000-0000-000026480000}"/>
    <cellStyle name="40% - Accent5 14 2 2 2 2 2 2" xfId="40505" xr:uid="{A87DA275-A6FD-477D-AA34-663F87A82386}"/>
    <cellStyle name="40% - Accent5 14 2 2 2 2 3" xfId="24609" xr:uid="{00000000-0005-0000-0000-000027480000}"/>
    <cellStyle name="40% - Accent5 14 2 2 2 2 3 2" xfId="48441" xr:uid="{86FF2831-04C1-491B-8579-E592E921A987}"/>
    <cellStyle name="40% - Accent5 14 2 2 2 2 4" xfId="32564" xr:uid="{B4624719-D5AE-495A-91E8-64D22B73AF10}"/>
    <cellStyle name="40% - Accent5 14 2 2 2 3" xfId="13125" xr:uid="{00000000-0005-0000-0000-000028480000}"/>
    <cellStyle name="40% - Accent5 14 2 2 2 3 2" xfId="36974" xr:uid="{24EA8D00-284C-4419-9FA5-9BB268D091F9}"/>
    <cellStyle name="40% - Accent5 14 2 2 2 4" xfId="21080" xr:uid="{00000000-0005-0000-0000-000029480000}"/>
    <cellStyle name="40% - Accent5 14 2 2 2 4 2" xfId="44912" xr:uid="{023EAF22-065C-45FA-A99E-EFEEF4A10E8E}"/>
    <cellStyle name="40% - Accent5 14 2 2 2 5" xfId="29033" xr:uid="{7CFEB8A0-3BBC-482A-AFB0-0CCE69476C79}"/>
    <cellStyle name="40% - Accent5 14 2 2 3" xfId="6934" xr:uid="{00000000-0005-0000-0000-00002A480000}"/>
    <cellStyle name="40% - Accent5 14 2 2 3 2" xfId="14905" xr:uid="{00000000-0005-0000-0000-00002B480000}"/>
    <cellStyle name="40% - Accent5 14 2 2 3 2 2" xfId="38747" xr:uid="{27CFACA1-9FA2-4E4F-85A0-0483161E1510}"/>
    <cellStyle name="40% - Accent5 14 2 2 3 3" xfId="22852" xr:uid="{00000000-0005-0000-0000-00002C480000}"/>
    <cellStyle name="40% - Accent5 14 2 2 3 3 2" xfId="46684" xr:uid="{1C9EA9AC-624E-46E5-BFC2-3F27B4F12718}"/>
    <cellStyle name="40% - Accent5 14 2 2 3 4" xfId="30806" xr:uid="{2BFC518A-506C-4471-98A2-C812551A99A9}"/>
    <cellStyle name="40% - Accent5 14 2 2 4" xfId="11369" xr:uid="{00000000-0005-0000-0000-00002D480000}"/>
    <cellStyle name="40% - Accent5 14 2 2 4 2" xfId="35218" xr:uid="{EE96FC44-908D-4051-B42E-BF26061DAB7B}"/>
    <cellStyle name="40% - Accent5 14 2 2 5" xfId="19324" xr:uid="{00000000-0005-0000-0000-00002E480000}"/>
    <cellStyle name="40% - Accent5 14 2 2 5 2" xfId="43156" xr:uid="{FBA24AE3-AB93-4502-B336-6ECFA87092F7}"/>
    <cellStyle name="40% - Accent5 14 2 2 6" xfId="27276" xr:uid="{B90FA1E4-9250-4342-8454-51BF83E5F4AA}"/>
    <cellStyle name="40% - Accent5 14 2 2_Exh G" xfId="3208" xr:uid="{00000000-0005-0000-0000-00002F480000}"/>
    <cellStyle name="40% - Accent5 14 2 3" xfId="4223" xr:uid="{00000000-0005-0000-0000-000030480000}"/>
    <cellStyle name="40% - Accent5 14 2 3 2" xfId="7815" xr:uid="{00000000-0005-0000-0000-000031480000}"/>
    <cellStyle name="40% - Accent5 14 2 3 2 2" xfId="15785" xr:uid="{00000000-0005-0000-0000-000032480000}"/>
    <cellStyle name="40% - Accent5 14 2 3 2 2 2" xfId="39627" xr:uid="{FD995432-4496-40D0-9177-85C0AEE114F4}"/>
    <cellStyle name="40% - Accent5 14 2 3 2 3" xfId="23731" xr:uid="{00000000-0005-0000-0000-000033480000}"/>
    <cellStyle name="40% - Accent5 14 2 3 2 3 2" xfId="47563" xr:uid="{615A4F72-A0CC-4190-80E2-C21F643289A3}"/>
    <cellStyle name="40% - Accent5 14 2 3 2 4" xfId="31686" xr:uid="{F9866643-7F58-43E4-B312-304E18D426C0}"/>
    <cellStyle name="40% - Accent5 14 2 3 3" xfId="12247" xr:uid="{00000000-0005-0000-0000-000034480000}"/>
    <cellStyle name="40% - Accent5 14 2 3 3 2" xfId="36096" xr:uid="{F40A3C03-0584-42F9-8A3A-9532A00C1F9E}"/>
    <cellStyle name="40% - Accent5 14 2 3 4" xfId="20202" xr:uid="{00000000-0005-0000-0000-000035480000}"/>
    <cellStyle name="40% - Accent5 14 2 3 4 2" xfId="44034" xr:uid="{05DC8586-A7A2-4263-8578-B4C7BD013ACE}"/>
    <cellStyle name="40% - Accent5 14 2 3 5" xfId="28155" xr:uid="{4AC21D15-F104-45B6-A153-640C02637F2D}"/>
    <cellStyle name="40% - Accent5 14 2 4" xfId="6043" xr:uid="{00000000-0005-0000-0000-000036480000}"/>
    <cellStyle name="40% - Accent5 14 2 4 2" xfId="14026" xr:uid="{00000000-0005-0000-0000-000037480000}"/>
    <cellStyle name="40% - Accent5 14 2 4 2 2" xfId="37869" xr:uid="{F9FA3D82-071B-4566-A5E7-EAE4AD6784CE}"/>
    <cellStyle name="40% - Accent5 14 2 4 3" xfId="21974" xr:uid="{00000000-0005-0000-0000-000038480000}"/>
    <cellStyle name="40% - Accent5 14 2 4 3 2" xfId="45806" xr:uid="{6E4BF537-6A6A-4559-B199-093F4D70E937}"/>
    <cellStyle name="40% - Accent5 14 2 4 4" xfId="29928" xr:uid="{D6E7F337-33FA-40CD-8483-A6325B859C6D}"/>
    <cellStyle name="40% - Accent5 14 2 5" xfId="9595" xr:uid="{00000000-0005-0000-0000-000039480000}"/>
    <cellStyle name="40% - Accent5 14 2 5 2" xfId="17553" xr:uid="{00000000-0005-0000-0000-00003A480000}"/>
    <cellStyle name="40% - Accent5 14 2 5 2 2" xfId="41393" xr:uid="{85CF1D77-AAE2-4EC6-ACE1-B3D5FCCF701D}"/>
    <cellStyle name="40% - Accent5 14 2 5 3" xfId="25497" xr:uid="{00000000-0005-0000-0000-00003B480000}"/>
    <cellStyle name="40% - Accent5 14 2 5 3 2" xfId="49329" xr:uid="{785B3C0F-D037-4713-8C60-4110BF1C12C3}"/>
    <cellStyle name="40% - Accent5 14 2 5 4" xfId="33452" xr:uid="{EE70ACF3-F9C4-489A-B2BA-3CA6D0878059}"/>
    <cellStyle name="40% - Accent5 14 2 6" xfId="10491" xr:uid="{00000000-0005-0000-0000-00003C480000}"/>
    <cellStyle name="40% - Accent5 14 2 6 2" xfId="34340" xr:uid="{5D97B6F2-C263-4ED5-AF26-5777CFA08C4E}"/>
    <cellStyle name="40% - Accent5 14 2 7" xfId="18446" xr:uid="{00000000-0005-0000-0000-00003D480000}"/>
    <cellStyle name="40% - Accent5 14 2 7 2" xfId="42278" xr:uid="{6368DA63-EFBD-4DB3-987F-D5B113DC0665}"/>
    <cellStyle name="40% - Accent5 14 2 8" xfId="26398" xr:uid="{7EDF2FC4-AFC9-4E87-AC98-90869DC3BAB2}"/>
    <cellStyle name="40% - Accent5 14 2_Exh G" xfId="3207" xr:uid="{00000000-0005-0000-0000-00003E480000}"/>
    <cellStyle name="40% - Accent5 14 3" xfId="1574" xr:uid="{00000000-0005-0000-0000-00003F480000}"/>
    <cellStyle name="40% - Accent5 14 3 2" xfId="5101" xr:uid="{00000000-0005-0000-0000-000040480000}"/>
    <cellStyle name="40% - Accent5 14 3 2 2" xfId="8692" xr:uid="{00000000-0005-0000-0000-000041480000}"/>
    <cellStyle name="40% - Accent5 14 3 2 2 2" xfId="16662" xr:uid="{00000000-0005-0000-0000-000042480000}"/>
    <cellStyle name="40% - Accent5 14 3 2 2 2 2" xfId="40504" xr:uid="{750095DA-3982-45E8-93D8-B454BD4290FF}"/>
    <cellStyle name="40% - Accent5 14 3 2 2 3" xfId="24608" xr:uid="{00000000-0005-0000-0000-000043480000}"/>
    <cellStyle name="40% - Accent5 14 3 2 2 3 2" xfId="48440" xr:uid="{FEF20280-883E-4942-B8FF-3D6D8D0A4DE3}"/>
    <cellStyle name="40% - Accent5 14 3 2 2 4" xfId="32563" xr:uid="{07CDACED-87C1-4696-BBE0-E6C405763BFA}"/>
    <cellStyle name="40% - Accent5 14 3 2 3" xfId="13124" xr:uid="{00000000-0005-0000-0000-000044480000}"/>
    <cellStyle name="40% - Accent5 14 3 2 3 2" xfId="36973" xr:uid="{4CCEAA05-DF26-418C-9FBC-F5D546F84BD1}"/>
    <cellStyle name="40% - Accent5 14 3 2 4" xfId="21079" xr:uid="{00000000-0005-0000-0000-000045480000}"/>
    <cellStyle name="40% - Accent5 14 3 2 4 2" xfId="44911" xr:uid="{19406633-C36F-4178-B1E6-2398F7E0EC01}"/>
    <cellStyle name="40% - Accent5 14 3 2 5" xfId="29032" xr:uid="{BD896F32-D481-4756-A234-615325C20067}"/>
    <cellStyle name="40% - Accent5 14 3 3" xfId="6933" xr:uid="{00000000-0005-0000-0000-000046480000}"/>
    <cellStyle name="40% - Accent5 14 3 3 2" xfId="14904" xr:uid="{00000000-0005-0000-0000-000047480000}"/>
    <cellStyle name="40% - Accent5 14 3 3 2 2" xfId="38746" xr:uid="{94A74396-FDB7-473E-89E9-03BF121F87CA}"/>
    <cellStyle name="40% - Accent5 14 3 3 3" xfId="22851" xr:uid="{00000000-0005-0000-0000-000048480000}"/>
    <cellStyle name="40% - Accent5 14 3 3 3 2" xfId="46683" xr:uid="{86D10B7E-A105-491C-9C87-688F677DBADA}"/>
    <cellStyle name="40% - Accent5 14 3 3 4" xfId="30805" xr:uid="{7FF8EA9D-F132-4D50-B07F-AD901800B79C}"/>
    <cellStyle name="40% - Accent5 14 3 4" xfId="11368" xr:uid="{00000000-0005-0000-0000-000049480000}"/>
    <cellStyle name="40% - Accent5 14 3 4 2" xfId="35217" xr:uid="{6EF648C2-D6FC-488C-BE3F-C779E187B160}"/>
    <cellStyle name="40% - Accent5 14 3 5" xfId="19323" xr:uid="{00000000-0005-0000-0000-00004A480000}"/>
    <cellStyle name="40% - Accent5 14 3 5 2" xfId="43155" xr:uid="{71FB03BA-7C7F-4A37-9EEF-4C385458F6C5}"/>
    <cellStyle name="40% - Accent5 14 3 6" xfId="27275" xr:uid="{C84D9CA0-F656-419C-8C57-BFC682313BD4}"/>
    <cellStyle name="40% - Accent5 14 3_Exh G" xfId="3209" xr:uid="{00000000-0005-0000-0000-00004B480000}"/>
    <cellStyle name="40% - Accent5 14 4" xfId="4222" xr:uid="{00000000-0005-0000-0000-00004C480000}"/>
    <cellStyle name="40% - Accent5 14 4 2" xfId="7814" xr:uid="{00000000-0005-0000-0000-00004D480000}"/>
    <cellStyle name="40% - Accent5 14 4 2 2" xfId="15784" xr:uid="{00000000-0005-0000-0000-00004E480000}"/>
    <cellStyle name="40% - Accent5 14 4 2 2 2" xfId="39626" xr:uid="{3DD39047-C37E-4FB9-8C23-E94F5515CA3E}"/>
    <cellStyle name="40% - Accent5 14 4 2 3" xfId="23730" xr:uid="{00000000-0005-0000-0000-00004F480000}"/>
    <cellStyle name="40% - Accent5 14 4 2 3 2" xfId="47562" xr:uid="{4D074174-2CBD-4783-A8C3-796BA4C93A34}"/>
    <cellStyle name="40% - Accent5 14 4 2 4" xfId="31685" xr:uid="{ED8F8004-8940-4A9A-8FE7-2CC0C5D3FB57}"/>
    <cellStyle name="40% - Accent5 14 4 3" xfId="12246" xr:uid="{00000000-0005-0000-0000-000050480000}"/>
    <cellStyle name="40% - Accent5 14 4 3 2" xfId="36095" xr:uid="{796C0E3A-0F30-462D-A9C9-BA19049FBE1D}"/>
    <cellStyle name="40% - Accent5 14 4 4" xfId="20201" xr:uid="{00000000-0005-0000-0000-000051480000}"/>
    <cellStyle name="40% - Accent5 14 4 4 2" xfId="44033" xr:uid="{85825F04-6F21-4E5D-9684-F9AD307EF14F}"/>
    <cellStyle name="40% - Accent5 14 4 5" xfId="28154" xr:uid="{E6D96C1F-FB9D-4FE4-9672-76301D705F6D}"/>
    <cellStyle name="40% - Accent5 14 5" xfId="6042" xr:uid="{00000000-0005-0000-0000-000052480000}"/>
    <cellStyle name="40% - Accent5 14 5 2" xfId="14025" xr:uid="{00000000-0005-0000-0000-000053480000}"/>
    <cellStyle name="40% - Accent5 14 5 2 2" xfId="37868" xr:uid="{D2C80E67-EC5B-4AF9-8180-6B6E125E960F}"/>
    <cellStyle name="40% - Accent5 14 5 3" xfId="21973" xr:uid="{00000000-0005-0000-0000-000054480000}"/>
    <cellStyle name="40% - Accent5 14 5 3 2" xfId="45805" xr:uid="{FF7E6320-4DE0-4358-8F76-86241937CEE4}"/>
    <cellStyle name="40% - Accent5 14 5 4" xfId="29927" xr:uid="{AE0785BA-AB09-43E8-B6EC-DEF97DD8F99F}"/>
    <cellStyle name="40% - Accent5 14 6" xfId="9594" xr:uid="{00000000-0005-0000-0000-000055480000}"/>
    <cellStyle name="40% - Accent5 14 6 2" xfId="17552" xr:uid="{00000000-0005-0000-0000-000056480000}"/>
    <cellStyle name="40% - Accent5 14 6 2 2" xfId="41392" xr:uid="{2822B855-01D6-4989-AF95-D9E9840F5D3B}"/>
    <cellStyle name="40% - Accent5 14 6 3" xfId="25496" xr:uid="{00000000-0005-0000-0000-000057480000}"/>
    <cellStyle name="40% - Accent5 14 6 3 2" xfId="49328" xr:uid="{5C6E1640-6CCE-4B64-81C1-2DD64F77FEDE}"/>
    <cellStyle name="40% - Accent5 14 6 4" xfId="33451" xr:uid="{3AC2138F-84A3-46E0-8340-B30448D473FD}"/>
    <cellStyle name="40% - Accent5 14 7" xfId="10490" xr:uid="{00000000-0005-0000-0000-000058480000}"/>
    <cellStyle name="40% - Accent5 14 7 2" xfId="34339" xr:uid="{B497E19D-7455-4419-AA92-B4B603197FB4}"/>
    <cellStyle name="40% - Accent5 14 8" xfId="18445" xr:uid="{00000000-0005-0000-0000-000059480000}"/>
    <cellStyle name="40% - Accent5 14 8 2" xfId="42277" xr:uid="{6AF802AF-1134-4E26-A0BB-E14CAA31328F}"/>
    <cellStyle name="40% - Accent5 14 9" xfId="26397" xr:uid="{D097E555-9A22-4B54-9571-174349FA46B4}"/>
    <cellStyle name="40% - Accent5 14_Exh G" xfId="3206" xr:uid="{00000000-0005-0000-0000-00005A480000}"/>
    <cellStyle name="40% - Accent5 15" xfId="550" xr:uid="{00000000-0005-0000-0000-00005B480000}"/>
    <cellStyle name="40% - Accent5 15 2" xfId="1576" xr:uid="{00000000-0005-0000-0000-00005C480000}"/>
    <cellStyle name="40% - Accent5 15 2 2" xfId="5103" xr:uid="{00000000-0005-0000-0000-00005D480000}"/>
    <cellStyle name="40% - Accent5 15 2 2 2" xfId="8694" xr:uid="{00000000-0005-0000-0000-00005E480000}"/>
    <cellStyle name="40% - Accent5 15 2 2 2 2" xfId="16664" xr:uid="{00000000-0005-0000-0000-00005F480000}"/>
    <cellStyle name="40% - Accent5 15 2 2 2 2 2" xfId="40506" xr:uid="{45B59297-50D7-49A9-82CA-CCA8BF1AAB22}"/>
    <cellStyle name="40% - Accent5 15 2 2 2 3" xfId="24610" xr:uid="{00000000-0005-0000-0000-000060480000}"/>
    <cellStyle name="40% - Accent5 15 2 2 2 3 2" xfId="48442" xr:uid="{AEC0F3B4-C6A3-4CB3-B499-C1DB4FAF5587}"/>
    <cellStyle name="40% - Accent5 15 2 2 2 4" xfId="32565" xr:uid="{D539FB9B-31D6-4641-954D-23435643E371}"/>
    <cellStyle name="40% - Accent5 15 2 2 3" xfId="13126" xr:uid="{00000000-0005-0000-0000-000061480000}"/>
    <cellStyle name="40% - Accent5 15 2 2 3 2" xfId="36975" xr:uid="{90C5664B-9C71-4FB3-8E00-08CB2D4CAB0F}"/>
    <cellStyle name="40% - Accent5 15 2 2 4" xfId="21081" xr:uid="{00000000-0005-0000-0000-000062480000}"/>
    <cellStyle name="40% - Accent5 15 2 2 4 2" xfId="44913" xr:uid="{AE150F2F-CE5B-4EF7-8BB7-58EA72BB1B2F}"/>
    <cellStyle name="40% - Accent5 15 2 2 5" xfId="29034" xr:uid="{C2B562DF-609A-4C46-AAC3-01A1D09A03AF}"/>
    <cellStyle name="40% - Accent5 15 2 3" xfId="6935" xr:uid="{00000000-0005-0000-0000-000063480000}"/>
    <cellStyle name="40% - Accent5 15 2 3 2" xfId="14906" xr:uid="{00000000-0005-0000-0000-000064480000}"/>
    <cellStyle name="40% - Accent5 15 2 3 2 2" xfId="38748" xr:uid="{6898D225-6453-48CC-9200-998C21204D52}"/>
    <cellStyle name="40% - Accent5 15 2 3 3" xfId="22853" xr:uid="{00000000-0005-0000-0000-000065480000}"/>
    <cellStyle name="40% - Accent5 15 2 3 3 2" xfId="46685" xr:uid="{162B9526-02DD-4573-B5DB-5C038F9A72A3}"/>
    <cellStyle name="40% - Accent5 15 2 3 4" xfId="30807" xr:uid="{7C90351E-44DF-49B6-B85E-DA50FFB8AA5A}"/>
    <cellStyle name="40% - Accent5 15 2 4" xfId="11370" xr:uid="{00000000-0005-0000-0000-000066480000}"/>
    <cellStyle name="40% - Accent5 15 2 4 2" xfId="35219" xr:uid="{D5607D04-167B-4A28-952B-ADE83B353874}"/>
    <cellStyle name="40% - Accent5 15 2 5" xfId="19325" xr:uid="{00000000-0005-0000-0000-000067480000}"/>
    <cellStyle name="40% - Accent5 15 2 5 2" xfId="43157" xr:uid="{9051E1E1-C070-46B1-9B20-02B8EB952050}"/>
    <cellStyle name="40% - Accent5 15 2 6" xfId="27277" xr:uid="{C294F8EF-D74A-4156-8822-E3A534A22A47}"/>
    <cellStyle name="40% - Accent5 15 2_Exh G" xfId="3211" xr:uid="{00000000-0005-0000-0000-000068480000}"/>
    <cellStyle name="40% - Accent5 15 3" xfId="4224" xr:uid="{00000000-0005-0000-0000-000069480000}"/>
    <cellStyle name="40% - Accent5 15 3 2" xfId="7816" xr:uid="{00000000-0005-0000-0000-00006A480000}"/>
    <cellStyle name="40% - Accent5 15 3 2 2" xfId="15786" xr:uid="{00000000-0005-0000-0000-00006B480000}"/>
    <cellStyle name="40% - Accent5 15 3 2 2 2" xfId="39628" xr:uid="{DC9CAE94-BE60-4BA1-AEAC-B891D63A237B}"/>
    <cellStyle name="40% - Accent5 15 3 2 3" xfId="23732" xr:uid="{00000000-0005-0000-0000-00006C480000}"/>
    <cellStyle name="40% - Accent5 15 3 2 3 2" xfId="47564" xr:uid="{8544B9FB-4A24-4788-B1D1-24689E0E1A59}"/>
    <cellStyle name="40% - Accent5 15 3 2 4" xfId="31687" xr:uid="{95D5525A-D4D5-4330-B10A-15446A041285}"/>
    <cellStyle name="40% - Accent5 15 3 3" xfId="12248" xr:uid="{00000000-0005-0000-0000-00006D480000}"/>
    <cellStyle name="40% - Accent5 15 3 3 2" xfId="36097" xr:uid="{5FF12F6D-5E52-47AE-9382-59AF093887F9}"/>
    <cellStyle name="40% - Accent5 15 3 4" xfId="20203" xr:uid="{00000000-0005-0000-0000-00006E480000}"/>
    <cellStyle name="40% - Accent5 15 3 4 2" xfId="44035" xr:uid="{B6183ECA-0A96-4397-9EB6-90CBF1375F7B}"/>
    <cellStyle name="40% - Accent5 15 3 5" xfId="28156" xr:uid="{B4E9B403-4BBC-4261-B951-090A88B71CE9}"/>
    <cellStyle name="40% - Accent5 15 4" xfId="6044" xr:uid="{00000000-0005-0000-0000-00006F480000}"/>
    <cellStyle name="40% - Accent5 15 4 2" xfId="14027" xr:uid="{00000000-0005-0000-0000-000070480000}"/>
    <cellStyle name="40% - Accent5 15 4 2 2" xfId="37870" xr:uid="{7FAE242B-1844-4972-B83B-43DCC4130ED9}"/>
    <cellStyle name="40% - Accent5 15 4 3" xfId="21975" xr:uid="{00000000-0005-0000-0000-000071480000}"/>
    <cellStyle name="40% - Accent5 15 4 3 2" xfId="45807" xr:uid="{73407971-4BBB-4EB9-AB5E-D283C3052321}"/>
    <cellStyle name="40% - Accent5 15 4 4" xfId="29929" xr:uid="{8808C4DA-A7FA-40DE-BD3C-10CB5D7D7E40}"/>
    <cellStyle name="40% - Accent5 15 5" xfId="9596" xr:uid="{00000000-0005-0000-0000-000072480000}"/>
    <cellStyle name="40% - Accent5 15 5 2" xfId="17554" xr:uid="{00000000-0005-0000-0000-000073480000}"/>
    <cellStyle name="40% - Accent5 15 5 2 2" xfId="41394" xr:uid="{18555CDD-3FF3-44A4-8372-FE5D914F4C5D}"/>
    <cellStyle name="40% - Accent5 15 5 3" xfId="25498" xr:uid="{00000000-0005-0000-0000-000074480000}"/>
    <cellStyle name="40% - Accent5 15 5 3 2" xfId="49330" xr:uid="{3EC61B75-FF6F-49F8-B00C-02060EE78D27}"/>
    <cellStyle name="40% - Accent5 15 5 4" xfId="33453" xr:uid="{CCF733DD-0ACC-4F1B-984F-F6C053CBD867}"/>
    <cellStyle name="40% - Accent5 15 6" xfId="10492" xr:uid="{00000000-0005-0000-0000-000075480000}"/>
    <cellStyle name="40% - Accent5 15 6 2" xfId="34341" xr:uid="{87F4ACC6-8A1C-4B7A-9770-4C49172EC9D3}"/>
    <cellStyle name="40% - Accent5 15 7" xfId="18447" xr:uid="{00000000-0005-0000-0000-000076480000}"/>
    <cellStyle name="40% - Accent5 15 7 2" xfId="42279" xr:uid="{64BECFFA-2B19-4B2B-AA3F-BF9023471057}"/>
    <cellStyle name="40% - Accent5 15 8" xfId="26399" xr:uid="{561C6C99-A82F-4A5B-8B13-DA1C554A364C}"/>
    <cellStyle name="40% - Accent5 15_Exh G" xfId="3210" xr:uid="{00000000-0005-0000-0000-000077480000}"/>
    <cellStyle name="40% - Accent5 16" xfId="850" xr:uid="{00000000-0005-0000-0000-000078480000}"/>
    <cellStyle name="40% - Accent5 16 2" xfId="1785" xr:uid="{00000000-0005-0000-0000-000079480000}"/>
    <cellStyle name="40% - Accent5 16 2 2" xfId="5305" xr:uid="{00000000-0005-0000-0000-00007A480000}"/>
    <cellStyle name="40% - Accent5 16 2 2 2" xfId="8896" xr:uid="{00000000-0005-0000-0000-00007B480000}"/>
    <cellStyle name="40% - Accent5 16 2 2 2 2" xfId="16866" xr:uid="{00000000-0005-0000-0000-00007C480000}"/>
    <cellStyle name="40% - Accent5 16 2 2 2 2 2" xfId="40708" xr:uid="{3A543201-E7B4-4AE1-AE09-B5572860F3B0}"/>
    <cellStyle name="40% - Accent5 16 2 2 2 3" xfId="24812" xr:uid="{00000000-0005-0000-0000-00007D480000}"/>
    <cellStyle name="40% - Accent5 16 2 2 2 3 2" xfId="48644" xr:uid="{B4BCD252-2B0E-4CEB-B8B6-9077BF7BE679}"/>
    <cellStyle name="40% - Accent5 16 2 2 2 4" xfId="32767" xr:uid="{6B70DB41-1BED-4BC3-BF82-76F3A247BAC9}"/>
    <cellStyle name="40% - Accent5 16 2 2 3" xfId="13328" xr:uid="{00000000-0005-0000-0000-00007E480000}"/>
    <cellStyle name="40% - Accent5 16 2 2 3 2" xfId="37177" xr:uid="{1DFF1A0B-0799-4D1A-A724-A830305DC6AA}"/>
    <cellStyle name="40% - Accent5 16 2 2 4" xfId="21283" xr:uid="{00000000-0005-0000-0000-00007F480000}"/>
    <cellStyle name="40% - Accent5 16 2 2 4 2" xfId="45115" xr:uid="{E2A0ED0C-BD0F-4BDC-BBB8-D1F7AD9BDA60}"/>
    <cellStyle name="40% - Accent5 16 2 2 5" xfId="29236" xr:uid="{9B21965A-0C7F-4F06-A33E-FB59FEA53644}"/>
    <cellStyle name="40% - Accent5 16 2 3" xfId="7137" xr:uid="{00000000-0005-0000-0000-000080480000}"/>
    <cellStyle name="40% - Accent5 16 2 3 2" xfId="15108" xr:uid="{00000000-0005-0000-0000-000081480000}"/>
    <cellStyle name="40% - Accent5 16 2 3 2 2" xfId="38950" xr:uid="{ED2F3203-EE32-41A1-8AFD-47C37014143B}"/>
    <cellStyle name="40% - Accent5 16 2 3 3" xfId="23055" xr:uid="{00000000-0005-0000-0000-000082480000}"/>
    <cellStyle name="40% - Accent5 16 2 3 3 2" xfId="46887" xr:uid="{483A81ED-277D-4EA1-A4FF-F00528E28D98}"/>
    <cellStyle name="40% - Accent5 16 2 3 4" xfId="31009" xr:uid="{D7009866-6D46-48B5-B7E0-335B856AAD64}"/>
    <cellStyle name="40% - Accent5 16 2 4" xfId="11572" xr:uid="{00000000-0005-0000-0000-000083480000}"/>
    <cellStyle name="40% - Accent5 16 2 4 2" xfId="35421" xr:uid="{947A51BC-71E0-4F90-B0B2-F6A389B42130}"/>
    <cellStyle name="40% - Accent5 16 2 5" xfId="19527" xr:uid="{00000000-0005-0000-0000-000084480000}"/>
    <cellStyle name="40% - Accent5 16 2 5 2" xfId="43359" xr:uid="{E8CADE72-9093-49CD-B862-27D4995105D0}"/>
    <cellStyle name="40% - Accent5 16 2 6" xfId="27479" xr:uid="{B75A51DF-84A0-4ED0-A0D3-253305B3572E}"/>
    <cellStyle name="40% - Accent5 16 2_Exh G" xfId="3213" xr:uid="{00000000-0005-0000-0000-000085480000}"/>
    <cellStyle name="40% - Accent5 16 3" xfId="4426" xr:uid="{00000000-0005-0000-0000-000086480000}"/>
    <cellStyle name="40% - Accent5 16 3 2" xfId="8018" xr:uid="{00000000-0005-0000-0000-000087480000}"/>
    <cellStyle name="40% - Accent5 16 3 2 2" xfId="15988" xr:uid="{00000000-0005-0000-0000-000088480000}"/>
    <cellStyle name="40% - Accent5 16 3 2 2 2" xfId="39830" xr:uid="{3222F8A7-7AB6-436A-B03B-233AE6C94E24}"/>
    <cellStyle name="40% - Accent5 16 3 2 3" xfId="23934" xr:uid="{00000000-0005-0000-0000-000089480000}"/>
    <cellStyle name="40% - Accent5 16 3 2 3 2" xfId="47766" xr:uid="{4E79650E-66BD-45F1-8376-5E23643AA111}"/>
    <cellStyle name="40% - Accent5 16 3 2 4" xfId="31889" xr:uid="{5A38635D-8A6E-4865-967E-E040F1415591}"/>
    <cellStyle name="40% - Accent5 16 3 3" xfId="12450" xr:uid="{00000000-0005-0000-0000-00008A480000}"/>
    <cellStyle name="40% - Accent5 16 3 3 2" xfId="36299" xr:uid="{BA18D0F4-90D0-409E-A4AF-D757AAB7BC95}"/>
    <cellStyle name="40% - Accent5 16 3 4" xfId="20405" xr:uid="{00000000-0005-0000-0000-00008B480000}"/>
    <cellStyle name="40% - Accent5 16 3 4 2" xfId="44237" xr:uid="{CF79851B-7D17-450E-B126-3CF6EC5D33C7}"/>
    <cellStyle name="40% - Accent5 16 3 5" xfId="28358" xr:uid="{4CCDD801-6BD0-453B-AEEF-EF58EF04E06C}"/>
    <cellStyle name="40% - Accent5 16 4" xfId="6256" xr:uid="{00000000-0005-0000-0000-00008C480000}"/>
    <cellStyle name="40% - Accent5 16 4 2" xfId="14230" xr:uid="{00000000-0005-0000-0000-00008D480000}"/>
    <cellStyle name="40% - Accent5 16 4 2 2" xfId="38072" xr:uid="{97C306EE-9BBF-47FF-9391-9BDE4F7371E9}"/>
    <cellStyle name="40% - Accent5 16 4 3" xfId="22177" xr:uid="{00000000-0005-0000-0000-00008E480000}"/>
    <cellStyle name="40% - Accent5 16 4 3 2" xfId="46009" xr:uid="{CC20F582-241D-42BC-8DA8-ACD6603483DB}"/>
    <cellStyle name="40% - Accent5 16 4 4" xfId="30131" xr:uid="{2E3B2E84-88CE-44EF-ACC9-5866309190C6}"/>
    <cellStyle name="40% - Accent5 16 5" xfId="9798" xr:uid="{00000000-0005-0000-0000-00008F480000}"/>
    <cellStyle name="40% - Accent5 16 5 2" xfId="17756" xr:uid="{00000000-0005-0000-0000-000090480000}"/>
    <cellStyle name="40% - Accent5 16 5 2 2" xfId="41596" xr:uid="{91F412A6-2C4A-45C5-B413-8CD43D495674}"/>
    <cellStyle name="40% - Accent5 16 5 3" xfId="25700" xr:uid="{00000000-0005-0000-0000-000091480000}"/>
    <cellStyle name="40% - Accent5 16 5 3 2" xfId="49532" xr:uid="{026C7D0F-08F0-4B01-BEB6-E13148599EC1}"/>
    <cellStyle name="40% - Accent5 16 5 4" xfId="33655" xr:uid="{5F67E43C-662E-4ABB-B343-6FB4A2045AEF}"/>
    <cellStyle name="40% - Accent5 16 6" xfId="10694" xr:uid="{00000000-0005-0000-0000-000092480000}"/>
    <cellStyle name="40% - Accent5 16 6 2" xfId="34543" xr:uid="{0CFA5871-4D49-43E0-B1A8-42F7F4690494}"/>
    <cellStyle name="40% - Accent5 16 7" xfId="18649" xr:uid="{00000000-0005-0000-0000-000093480000}"/>
    <cellStyle name="40% - Accent5 16 7 2" xfId="42481" xr:uid="{52124083-5C3A-4B56-A428-391342AAB3C4}"/>
    <cellStyle name="40% - Accent5 16 8" xfId="26601" xr:uid="{C0536E24-EAAB-43C4-A594-DD9AABCDB339}"/>
    <cellStyle name="40% - Accent5 16_Exh G" xfId="3212" xr:uid="{00000000-0005-0000-0000-000094480000}"/>
    <cellStyle name="40% - Accent5 17" xfId="49792" xr:uid="{99DE8CAF-EB84-4B39-9AD5-47FE7C321F29}"/>
    <cellStyle name="40% - Accent5 18" xfId="49832" xr:uid="{F0528C20-3D50-4CFD-BB33-9F9A31D42B53}"/>
    <cellStyle name="40% - Accent5 2" xfId="551" xr:uid="{00000000-0005-0000-0000-000095480000}"/>
    <cellStyle name="40% - Accent5 2 10" xfId="18448" xr:uid="{00000000-0005-0000-0000-000096480000}"/>
    <cellStyle name="40% - Accent5 2 10 2" xfId="42280" xr:uid="{A34EA5A1-7CE8-4D57-9EBD-D1E967452D74}"/>
    <cellStyle name="40% - Accent5 2 11" xfId="26400" xr:uid="{396EDF36-962F-4777-B011-EF85C564C412}"/>
    <cellStyle name="40% - Accent5 2 12" xfId="49777" xr:uid="{3FC80A06-80CE-4E62-B198-8C88D52433E7}"/>
    <cellStyle name="40% - Accent5 2 13" xfId="49805" xr:uid="{349A4023-ABC3-430F-A2CF-620CC5436BCF}"/>
    <cellStyle name="40% - Accent5 2 14" xfId="49846" xr:uid="{AE82E4A0-B55D-41CD-9AAA-C7A0B76BACFE}"/>
    <cellStyle name="40% - Accent5 2 2" xfId="552" xr:uid="{00000000-0005-0000-0000-000097480000}"/>
    <cellStyle name="40% - Accent5 2 2 10" xfId="26401" xr:uid="{3588C593-35E6-43F0-AF21-20A253CC32D6}"/>
    <cellStyle name="40% - Accent5 2 2 2" xfId="553" xr:uid="{00000000-0005-0000-0000-000098480000}"/>
    <cellStyle name="40% - Accent5 2 2 2 2" xfId="1579" xr:uid="{00000000-0005-0000-0000-000099480000}"/>
    <cellStyle name="40% - Accent5 2 2 2 2 2" xfId="5106" xr:uid="{00000000-0005-0000-0000-00009A480000}"/>
    <cellStyle name="40% - Accent5 2 2 2 2 2 2" xfId="8697" xr:uid="{00000000-0005-0000-0000-00009B480000}"/>
    <cellStyle name="40% - Accent5 2 2 2 2 2 2 2" xfId="16667" xr:uid="{00000000-0005-0000-0000-00009C480000}"/>
    <cellStyle name="40% - Accent5 2 2 2 2 2 2 2 2" xfId="40509" xr:uid="{9C3DD8D3-0286-4EEC-B3DD-3E8213EDB12B}"/>
    <cellStyle name="40% - Accent5 2 2 2 2 2 2 3" xfId="24613" xr:uid="{00000000-0005-0000-0000-00009D480000}"/>
    <cellStyle name="40% - Accent5 2 2 2 2 2 2 3 2" xfId="48445" xr:uid="{D68BF65E-8655-488B-BA9B-CD7B093FC145}"/>
    <cellStyle name="40% - Accent5 2 2 2 2 2 2 4" xfId="32568" xr:uid="{6938FEEB-4861-4936-BEC7-A970C8C709BA}"/>
    <cellStyle name="40% - Accent5 2 2 2 2 2 3" xfId="13129" xr:uid="{00000000-0005-0000-0000-00009E480000}"/>
    <cellStyle name="40% - Accent5 2 2 2 2 2 3 2" xfId="36978" xr:uid="{A8C71695-0E3A-40FD-B6E5-AA2BE0285466}"/>
    <cellStyle name="40% - Accent5 2 2 2 2 2 4" xfId="21084" xr:uid="{00000000-0005-0000-0000-00009F480000}"/>
    <cellStyle name="40% - Accent5 2 2 2 2 2 4 2" xfId="44916" xr:uid="{A1B62697-58D4-4EA8-BC93-0269F4E3447C}"/>
    <cellStyle name="40% - Accent5 2 2 2 2 2 5" xfId="29037" xr:uid="{57A92F44-7991-40D6-8707-8F671BA18E9B}"/>
    <cellStyle name="40% - Accent5 2 2 2 2 3" xfId="6938" xr:uid="{00000000-0005-0000-0000-0000A0480000}"/>
    <cellStyle name="40% - Accent5 2 2 2 2 3 2" xfId="14909" xr:uid="{00000000-0005-0000-0000-0000A1480000}"/>
    <cellStyle name="40% - Accent5 2 2 2 2 3 2 2" xfId="38751" xr:uid="{AB915F0C-8E35-4F6C-A71D-58DD0438FADE}"/>
    <cellStyle name="40% - Accent5 2 2 2 2 3 3" xfId="22856" xr:uid="{00000000-0005-0000-0000-0000A2480000}"/>
    <cellStyle name="40% - Accent5 2 2 2 2 3 3 2" xfId="46688" xr:uid="{CF91C743-A9EA-4D1B-B7F8-CADF39B608C7}"/>
    <cellStyle name="40% - Accent5 2 2 2 2 3 4" xfId="30810" xr:uid="{2C531F78-0720-4A99-BD0F-A225510050AD}"/>
    <cellStyle name="40% - Accent5 2 2 2 2 4" xfId="11373" xr:uid="{00000000-0005-0000-0000-0000A3480000}"/>
    <cellStyle name="40% - Accent5 2 2 2 2 4 2" xfId="35222" xr:uid="{1E07348E-35B3-4A3B-8A3C-71FD835ECC45}"/>
    <cellStyle name="40% - Accent5 2 2 2 2 5" xfId="19328" xr:uid="{00000000-0005-0000-0000-0000A4480000}"/>
    <cellStyle name="40% - Accent5 2 2 2 2 5 2" xfId="43160" xr:uid="{12A0B604-CAB7-45B5-968E-3D4A8B664EFE}"/>
    <cellStyle name="40% - Accent5 2 2 2 2 6" xfId="27280" xr:uid="{E772B36C-8A9A-4D11-8CDA-3FA289BE2699}"/>
    <cellStyle name="40% - Accent5 2 2 2 2_Exh G" xfId="3217" xr:uid="{00000000-0005-0000-0000-0000A5480000}"/>
    <cellStyle name="40% - Accent5 2 2 2 3" xfId="4227" xr:uid="{00000000-0005-0000-0000-0000A6480000}"/>
    <cellStyle name="40% - Accent5 2 2 2 3 2" xfId="7819" xr:uid="{00000000-0005-0000-0000-0000A7480000}"/>
    <cellStyle name="40% - Accent5 2 2 2 3 2 2" xfId="15789" xr:uid="{00000000-0005-0000-0000-0000A8480000}"/>
    <cellStyle name="40% - Accent5 2 2 2 3 2 2 2" xfId="39631" xr:uid="{76AD2368-A125-49AA-8ABA-E75CD65514A5}"/>
    <cellStyle name="40% - Accent5 2 2 2 3 2 3" xfId="23735" xr:uid="{00000000-0005-0000-0000-0000A9480000}"/>
    <cellStyle name="40% - Accent5 2 2 2 3 2 3 2" xfId="47567" xr:uid="{DE4E5EB2-F67D-4742-A412-4175054E4B59}"/>
    <cellStyle name="40% - Accent5 2 2 2 3 2 4" xfId="31690" xr:uid="{011ACB49-798F-454A-8FA2-728DDE8AFA52}"/>
    <cellStyle name="40% - Accent5 2 2 2 3 3" xfId="12251" xr:uid="{00000000-0005-0000-0000-0000AA480000}"/>
    <cellStyle name="40% - Accent5 2 2 2 3 3 2" xfId="36100" xr:uid="{D8D4B208-40E5-4D51-9552-1210D0604EFA}"/>
    <cellStyle name="40% - Accent5 2 2 2 3 4" xfId="20206" xr:uid="{00000000-0005-0000-0000-0000AB480000}"/>
    <cellStyle name="40% - Accent5 2 2 2 3 4 2" xfId="44038" xr:uid="{4380C50E-A548-4191-B337-3BBD9BF9D72E}"/>
    <cellStyle name="40% - Accent5 2 2 2 3 5" xfId="28159" xr:uid="{E6E834E0-A3BB-467B-B1CD-158989B82DC2}"/>
    <cellStyle name="40% - Accent5 2 2 2 4" xfId="6047" xr:uid="{00000000-0005-0000-0000-0000AC480000}"/>
    <cellStyle name="40% - Accent5 2 2 2 4 2" xfId="14030" xr:uid="{00000000-0005-0000-0000-0000AD480000}"/>
    <cellStyle name="40% - Accent5 2 2 2 4 2 2" xfId="37873" xr:uid="{A268CAF4-BDBA-4000-B8D5-97B2DECC8579}"/>
    <cellStyle name="40% - Accent5 2 2 2 4 3" xfId="21978" xr:uid="{00000000-0005-0000-0000-0000AE480000}"/>
    <cellStyle name="40% - Accent5 2 2 2 4 3 2" xfId="45810" xr:uid="{17C9C45F-41B9-431F-AFDA-3D963C848621}"/>
    <cellStyle name="40% - Accent5 2 2 2 4 4" xfId="29932" xr:uid="{A9020FEE-9594-4C8A-A585-65867E9336DF}"/>
    <cellStyle name="40% - Accent5 2 2 2 5" xfId="9599" xr:uid="{00000000-0005-0000-0000-0000AF480000}"/>
    <cellStyle name="40% - Accent5 2 2 2 5 2" xfId="17557" xr:uid="{00000000-0005-0000-0000-0000B0480000}"/>
    <cellStyle name="40% - Accent5 2 2 2 5 2 2" xfId="41397" xr:uid="{E12FB27B-A397-4EA5-B960-6132F2396A40}"/>
    <cellStyle name="40% - Accent5 2 2 2 5 3" xfId="25501" xr:uid="{00000000-0005-0000-0000-0000B1480000}"/>
    <cellStyle name="40% - Accent5 2 2 2 5 3 2" xfId="49333" xr:uid="{026BA472-28CA-41B4-B720-E426439ED774}"/>
    <cellStyle name="40% - Accent5 2 2 2 5 4" xfId="33456" xr:uid="{56833549-F6E5-45D2-90B7-615AF506BB13}"/>
    <cellStyle name="40% - Accent5 2 2 2 6" xfId="10495" xr:uid="{00000000-0005-0000-0000-0000B2480000}"/>
    <cellStyle name="40% - Accent5 2 2 2 6 2" xfId="34344" xr:uid="{A2AEAAA2-C3BF-4EA1-A934-7C036EF175B4}"/>
    <cellStyle name="40% - Accent5 2 2 2 7" xfId="18450" xr:uid="{00000000-0005-0000-0000-0000B3480000}"/>
    <cellStyle name="40% - Accent5 2 2 2 7 2" xfId="42282" xr:uid="{CCD185D2-5D4F-4B2D-8E20-C52927D05608}"/>
    <cellStyle name="40% - Accent5 2 2 2 8" xfId="26402" xr:uid="{B904C3B7-66A5-4A60-A8FC-1378ABDCD16D}"/>
    <cellStyle name="40% - Accent5 2 2 2_Exh G" xfId="3216" xr:uid="{00000000-0005-0000-0000-0000B4480000}"/>
    <cellStyle name="40% - Accent5 2 2 3" xfId="981" xr:uid="{00000000-0005-0000-0000-0000B5480000}"/>
    <cellStyle name="40% - Accent5 2 2 3 2" xfId="1893" xr:uid="{00000000-0005-0000-0000-0000B6480000}"/>
    <cellStyle name="40% - Accent5 2 2 3 2 2" xfId="5410" xr:uid="{00000000-0005-0000-0000-0000B7480000}"/>
    <cellStyle name="40% - Accent5 2 2 3 2 2 2" xfId="9001" xr:uid="{00000000-0005-0000-0000-0000B8480000}"/>
    <cellStyle name="40% - Accent5 2 2 3 2 2 2 2" xfId="16971" xr:uid="{00000000-0005-0000-0000-0000B9480000}"/>
    <cellStyle name="40% - Accent5 2 2 3 2 2 2 2 2" xfId="40813" xr:uid="{DBB28B72-81AD-4D61-B9EE-3F65F3B6B3B1}"/>
    <cellStyle name="40% - Accent5 2 2 3 2 2 2 3" xfId="24917" xr:uid="{00000000-0005-0000-0000-0000BA480000}"/>
    <cellStyle name="40% - Accent5 2 2 3 2 2 2 3 2" xfId="48749" xr:uid="{322297E3-E1B3-4952-AEB8-F1985461739A}"/>
    <cellStyle name="40% - Accent5 2 2 3 2 2 2 4" xfId="32872" xr:uid="{46499BC7-8968-47E1-90EC-A38048BF7404}"/>
    <cellStyle name="40% - Accent5 2 2 3 2 2 3" xfId="13433" xr:uid="{00000000-0005-0000-0000-0000BB480000}"/>
    <cellStyle name="40% - Accent5 2 2 3 2 2 3 2" xfId="37282" xr:uid="{39DD4591-A161-46BD-83A9-F5D2FA99343C}"/>
    <cellStyle name="40% - Accent5 2 2 3 2 2 4" xfId="21388" xr:uid="{00000000-0005-0000-0000-0000BC480000}"/>
    <cellStyle name="40% - Accent5 2 2 3 2 2 4 2" xfId="45220" xr:uid="{A0D8E1B9-D02F-4137-B218-BCA1113EE08E}"/>
    <cellStyle name="40% - Accent5 2 2 3 2 2 5" xfId="29341" xr:uid="{156BC1A4-765E-4AA9-AE87-00368E29F34A}"/>
    <cellStyle name="40% - Accent5 2 2 3 2 3" xfId="7242" xr:uid="{00000000-0005-0000-0000-0000BD480000}"/>
    <cellStyle name="40% - Accent5 2 2 3 2 3 2" xfId="15213" xr:uid="{00000000-0005-0000-0000-0000BE480000}"/>
    <cellStyle name="40% - Accent5 2 2 3 2 3 2 2" xfId="39055" xr:uid="{01E36FD4-B13B-487C-900C-45397C42104A}"/>
    <cellStyle name="40% - Accent5 2 2 3 2 3 3" xfId="23160" xr:uid="{00000000-0005-0000-0000-0000BF480000}"/>
    <cellStyle name="40% - Accent5 2 2 3 2 3 3 2" xfId="46992" xr:uid="{58C511D1-C204-47A1-8A1A-0248D8B8EC7A}"/>
    <cellStyle name="40% - Accent5 2 2 3 2 3 4" xfId="31114" xr:uid="{B8F3C77E-0E70-4E53-AEF5-A6420FB6DAF1}"/>
    <cellStyle name="40% - Accent5 2 2 3 2 4" xfId="11677" xr:uid="{00000000-0005-0000-0000-0000C0480000}"/>
    <cellStyle name="40% - Accent5 2 2 3 2 4 2" xfId="35526" xr:uid="{D176C7D1-C2F1-4F08-BBB7-9C3CFC725060}"/>
    <cellStyle name="40% - Accent5 2 2 3 2 5" xfId="19632" xr:uid="{00000000-0005-0000-0000-0000C1480000}"/>
    <cellStyle name="40% - Accent5 2 2 3 2 5 2" xfId="43464" xr:uid="{629CFFD8-FA40-4660-A0F1-CD139B9B1509}"/>
    <cellStyle name="40% - Accent5 2 2 3 2 6" xfId="27584" xr:uid="{0902A8A4-B12C-48DA-B5E8-2C30A757E03B}"/>
    <cellStyle name="40% - Accent5 2 2 3 2_Exh G" xfId="3219" xr:uid="{00000000-0005-0000-0000-0000C2480000}"/>
    <cellStyle name="40% - Accent5 2 2 3 3" xfId="4531" xr:uid="{00000000-0005-0000-0000-0000C3480000}"/>
    <cellStyle name="40% - Accent5 2 2 3 3 2" xfId="8123" xr:uid="{00000000-0005-0000-0000-0000C4480000}"/>
    <cellStyle name="40% - Accent5 2 2 3 3 2 2" xfId="16093" xr:uid="{00000000-0005-0000-0000-0000C5480000}"/>
    <cellStyle name="40% - Accent5 2 2 3 3 2 2 2" xfId="39935" xr:uid="{EE099D0A-90E9-4F14-9812-A0817DBAC1C3}"/>
    <cellStyle name="40% - Accent5 2 2 3 3 2 3" xfId="24039" xr:uid="{00000000-0005-0000-0000-0000C6480000}"/>
    <cellStyle name="40% - Accent5 2 2 3 3 2 3 2" xfId="47871" xr:uid="{ECB6F151-1678-4071-B97E-726DA09A370F}"/>
    <cellStyle name="40% - Accent5 2 2 3 3 2 4" xfId="31994" xr:uid="{296A20F6-2FAB-452B-9E05-C767A1CF13E2}"/>
    <cellStyle name="40% - Accent5 2 2 3 3 3" xfId="12555" xr:uid="{00000000-0005-0000-0000-0000C7480000}"/>
    <cellStyle name="40% - Accent5 2 2 3 3 3 2" xfId="36404" xr:uid="{CAEB651B-3885-46BD-B368-FA0E5638907E}"/>
    <cellStyle name="40% - Accent5 2 2 3 3 4" xfId="20510" xr:uid="{00000000-0005-0000-0000-0000C8480000}"/>
    <cellStyle name="40% - Accent5 2 2 3 3 4 2" xfId="44342" xr:uid="{10BFC67F-1EF4-4F27-AFFC-B240B1D4A45C}"/>
    <cellStyle name="40% - Accent5 2 2 3 3 5" xfId="28463" xr:uid="{0E872EAF-DFB6-4CA0-B909-921C76F7CDB8}"/>
    <cellStyle name="40% - Accent5 2 2 3 4" xfId="6361" xr:uid="{00000000-0005-0000-0000-0000C9480000}"/>
    <cellStyle name="40% - Accent5 2 2 3 4 2" xfId="14335" xr:uid="{00000000-0005-0000-0000-0000CA480000}"/>
    <cellStyle name="40% - Accent5 2 2 3 4 2 2" xfId="38177" xr:uid="{3A05DD94-6D40-4E53-864D-FA74ED518B9A}"/>
    <cellStyle name="40% - Accent5 2 2 3 4 3" xfId="22282" xr:uid="{00000000-0005-0000-0000-0000CB480000}"/>
    <cellStyle name="40% - Accent5 2 2 3 4 3 2" xfId="46114" xr:uid="{3CC98061-761C-4FAE-B94F-2423AADB3B44}"/>
    <cellStyle name="40% - Accent5 2 2 3 4 4" xfId="30236" xr:uid="{628F9254-6E35-4608-8FBB-360A8F894FB1}"/>
    <cellStyle name="40% - Accent5 2 2 3 5" xfId="9903" xr:uid="{00000000-0005-0000-0000-0000CC480000}"/>
    <cellStyle name="40% - Accent5 2 2 3 5 2" xfId="17861" xr:uid="{00000000-0005-0000-0000-0000CD480000}"/>
    <cellStyle name="40% - Accent5 2 2 3 5 2 2" xfId="41701" xr:uid="{F87A266E-0F37-452B-BA41-6BB13AE77241}"/>
    <cellStyle name="40% - Accent5 2 2 3 5 3" xfId="25805" xr:uid="{00000000-0005-0000-0000-0000CE480000}"/>
    <cellStyle name="40% - Accent5 2 2 3 5 3 2" xfId="49637" xr:uid="{AAD086C0-F0F5-44C1-B3A8-365B8B68A1DD}"/>
    <cellStyle name="40% - Accent5 2 2 3 5 4" xfId="33760" xr:uid="{507EDED8-8BC4-47B4-B6A0-919C780A6CCD}"/>
    <cellStyle name="40% - Accent5 2 2 3 6" xfId="10799" xr:uid="{00000000-0005-0000-0000-0000CF480000}"/>
    <cellStyle name="40% - Accent5 2 2 3 6 2" xfId="34648" xr:uid="{FC503E6E-83FC-481A-A249-ADFDA098647C}"/>
    <cellStyle name="40% - Accent5 2 2 3 7" xfId="18754" xr:uid="{00000000-0005-0000-0000-0000D0480000}"/>
    <cellStyle name="40% - Accent5 2 2 3 7 2" xfId="42586" xr:uid="{0CD448B3-8AB3-481A-8989-68B7CFC59DBA}"/>
    <cellStyle name="40% - Accent5 2 2 3 8" xfId="26706" xr:uid="{AA260A63-0977-4E12-965B-E08806DBE3A6}"/>
    <cellStyle name="40% - Accent5 2 2 3_Exh G" xfId="3218" xr:uid="{00000000-0005-0000-0000-0000D1480000}"/>
    <cellStyle name="40% - Accent5 2 2 4" xfId="1578" xr:uid="{00000000-0005-0000-0000-0000D2480000}"/>
    <cellStyle name="40% - Accent5 2 2 4 2" xfId="5105" xr:uid="{00000000-0005-0000-0000-0000D3480000}"/>
    <cellStyle name="40% - Accent5 2 2 4 2 2" xfId="8696" xr:uid="{00000000-0005-0000-0000-0000D4480000}"/>
    <cellStyle name="40% - Accent5 2 2 4 2 2 2" xfId="16666" xr:uid="{00000000-0005-0000-0000-0000D5480000}"/>
    <cellStyle name="40% - Accent5 2 2 4 2 2 2 2" xfId="40508" xr:uid="{F75550CF-B7E4-4B7D-B2A2-B35CA19D1C8D}"/>
    <cellStyle name="40% - Accent5 2 2 4 2 2 3" xfId="24612" xr:uid="{00000000-0005-0000-0000-0000D6480000}"/>
    <cellStyle name="40% - Accent5 2 2 4 2 2 3 2" xfId="48444" xr:uid="{0ED22470-6836-4EB4-AC63-2AEEE5970006}"/>
    <cellStyle name="40% - Accent5 2 2 4 2 2 4" xfId="32567" xr:uid="{FE5C75A0-2E65-4D06-8ECF-087789F30D97}"/>
    <cellStyle name="40% - Accent5 2 2 4 2 3" xfId="13128" xr:uid="{00000000-0005-0000-0000-0000D7480000}"/>
    <cellStyle name="40% - Accent5 2 2 4 2 3 2" xfId="36977" xr:uid="{8097C01A-89F3-4D95-9319-7416AD3EE564}"/>
    <cellStyle name="40% - Accent5 2 2 4 2 4" xfId="21083" xr:uid="{00000000-0005-0000-0000-0000D8480000}"/>
    <cellStyle name="40% - Accent5 2 2 4 2 4 2" xfId="44915" xr:uid="{D14519F6-E3DA-4EB6-8814-9ACD7FFF64C8}"/>
    <cellStyle name="40% - Accent5 2 2 4 2 5" xfId="29036" xr:uid="{D504A5D4-E813-4397-88A3-593A68EEAE8B}"/>
    <cellStyle name="40% - Accent5 2 2 4 3" xfId="6937" xr:uid="{00000000-0005-0000-0000-0000D9480000}"/>
    <cellStyle name="40% - Accent5 2 2 4 3 2" xfId="14908" xr:uid="{00000000-0005-0000-0000-0000DA480000}"/>
    <cellStyle name="40% - Accent5 2 2 4 3 2 2" xfId="38750" xr:uid="{149FE942-4760-49ED-B7B5-103202838926}"/>
    <cellStyle name="40% - Accent5 2 2 4 3 3" xfId="22855" xr:uid="{00000000-0005-0000-0000-0000DB480000}"/>
    <cellStyle name="40% - Accent5 2 2 4 3 3 2" xfId="46687" xr:uid="{5946E843-B60E-4FCC-A8BE-2E5998AE3023}"/>
    <cellStyle name="40% - Accent5 2 2 4 3 4" xfId="30809" xr:uid="{2E782D9D-6879-4D0D-BCBD-C85791DB0176}"/>
    <cellStyle name="40% - Accent5 2 2 4 4" xfId="11372" xr:uid="{00000000-0005-0000-0000-0000DC480000}"/>
    <cellStyle name="40% - Accent5 2 2 4 4 2" xfId="35221" xr:uid="{A7B25BF7-4D4D-4547-B627-BC7193D1192E}"/>
    <cellStyle name="40% - Accent5 2 2 4 5" xfId="19327" xr:uid="{00000000-0005-0000-0000-0000DD480000}"/>
    <cellStyle name="40% - Accent5 2 2 4 5 2" xfId="43159" xr:uid="{DAFA34F0-EC07-4B8D-917F-7B8E2DDFDD8A}"/>
    <cellStyle name="40% - Accent5 2 2 4 6" xfId="27279" xr:uid="{322222B1-5109-429E-9750-0E420523A6C6}"/>
    <cellStyle name="40% - Accent5 2 2 4_Exh G" xfId="3220" xr:uid="{00000000-0005-0000-0000-0000DE480000}"/>
    <cellStyle name="40% - Accent5 2 2 5" xfId="4226" xr:uid="{00000000-0005-0000-0000-0000DF480000}"/>
    <cellStyle name="40% - Accent5 2 2 5 2" xfId="7818" xr:uid="{00000000-0005-0000-0000-0000E0480000}"/>
    <cellStyle name="40% - Accent5 2 2 5 2 2" xfId="15788" xr:uid="{00000000-0005-0000-0000-0000E1480000}"/>
    <cellStyle name="40% - Accent5 2 2 5 2 2 2" xfId="39630" xr:uid="{15378BF8-AAA5-4BA8-9D49-3F1AFA163710}"/>
    <cellStyle name="40% - Accent5 2 2 5 2 3" xfId="23734" xr:uid="{00000000-0005-0000-0000-0000E2480000}"/>
    <cellStyle name="40% - Accent5 2 2 5 2 3 2" xfId="47566" xr:uid="{3EB191A9-5463-4B1B-B1EC-6D3AA74D2A5E}"/>
    <cellStyle name="40% - Accent5 2 2 5 2 4" xfId="31689" xr:uid="{D87BDA7F-8466-4896-AF40-B7F96781FEAD}"/>
    <cellStyle name="40% - Accent5 2 2 5 3" xfId="12250" xr:uid="{00000000-0005-0000-0000-0000E3480000}"/>
    <cellStyle name="40% - Accent5 2 2 5 3 2" xfId="36099" xr:uid="{1F094A9E-7381-469B-BDAD-497867D4A6B4}"/>
    <cellStyle name="40% - Accent5 2 2 5 4" xfId="20205" xr:uid="{00000000-0005-0000-0000-0000E4480000}"/>
    <cellStyle name="40% - Accent5 2 2 5 4 2" xfId="44037" xr:uid="{E0F945ED-91E6-4617-A383-57F52DD3A71D}"/>
    <cellStyle name="40% - Accent5 2 2 5 5" xfId="28158" xr:uid="{614BDB01-7B36-4179-8F70-8D5B4F815F2F}"/>
    <cellStyle name="40% - Accent5 2 2 6" xfId="6046" xr:uid="{00000000-0005-0000-0000-0000E5480000}"/>
    <cellStyle name="40% - Accent5 2 2 6 2" xfId="14029" xr:uid="{00000000-0005-0000-0000-0000E6480000}"/>
    <cellStyle name="40% - Accent5 2 2 6 2 2" xfId="37872" xr:uid="{E94310C8-2DF8-4AC9-B4D7-99E2D5B3EE0F}"/>
    <cellStyle name="40% - Accent5 2 2 6 3" xfId="21977" xr:uid="{00000000-0005-0000-0000-0000E7480000}"/>
    <cellStyle name="40% - Accent5 2 2 6 3 2" xfId="45809" xr:uid="{355AF243-B774-4D95-98E4-8C42DA2D5845}"/>
    <cellStyle name="40% - Accent5 2 2 6 4" xfId="29931" xr:uid="{A5606489-1E17-447F-84C1-DE6F6F2288B6}"/>
    <cellStyle name="40% - Accent5 2 2 7" xfId="9598" xr:uid="{00000000-0005-0000-0000-0000E8480000}"/>
    <cellStyle name="40% - Accent5 2 2 7 2" xfId="17556" xr:uid="{00000000-0005-0000-0000-0000E9480000}"/>
    <cellStyle name="40% - Accent5 2 2 7 2 2" xfId="41396" xr:uid="{6332A41A-C0AA-431C-8313-6DD41F159596}"/>
    <cellStyle name="40% - Accent5 2 2 7 3" xfId="25500" xr:uid="{00000000-0005-0000-0000-0000EA480000}"/>
    <cellStyle name="40% - Accent5 2 2 7 3 2" xfId="49332" xr:uid="{8215D33E-DD6F-46DF-AE66-D43B30BF4ED4}"/>
    <cellStyle name="40% - Accent5 2 2 7 4" xfId="33455" xr:uid="{4FBBDD16-C195-440C-9F14-B268F7CAFAB5}"/>
    <cellStyle name="40% - Accent5 2 2 8" xfId="10494" xr:uid="{00000000-0005-0000-0000-0000EB480000}"/>
    <cellStyle name="40% - Accent5 2 2 8 2" xfId="34343" xr:uid="{2F82AD8E-0554-488A-B76F-A04D726BEBCC}"/>
    <cellStyle name="40% - Accent5 2 2 9" xfId="18449" xr:uid="{00000000-0005-0000-0000-0000EC480000}"/>
    <cellStyle name="40% - Accent5 2 2 9 2" xfId="42281" xr:uid="{0E348BB0-8EDB-46C7-8D9A-D950C7A9138E}"/>
    <cellStyle name="40% - Accent5 2 2_Exh G" xfId="3215" xr:uid="{00000000-0005-0000-0000-0000ED480000}"/>
    <cellStyle name="40% - Accent5 2 3" xfId="554" xr:uid="{00000000-0005-0000-0000-0000EE480000}"/>
    <cellStyle name="40% - Accent5 2 3 2" xfId="1580" xr:uid="{00000000-0005-0000-0000-0000EF480000}"/>
    <cellStyle name="40% - Accent5 2 3 2 2" xfId="5107" xr:uid="{00000000-0005-0000-0000-0000F0480000}"/>
    <cellStyle name="40% - Accent5 2 3 2 2 2" xfId="8698" xr:uid="{00000000-0005-0000-0000-0000F1480000}"/>
    <cellStyle name="40% - Accent5 2 3 2 2 2 2" xfId="16668" xr:uid="{00000000-0005-0000-0000-0000F2480000}"/>
    <cellStyle name="40% - Accent5 2 3 2 2 2 2 2" xfId="40510" xr:uid="{7BC58B71-ED89-4358-9C09-D06F8EAECE78}"/>
    <cellStyle name="40% - Accent5 2 3 2 2 2 3" xfId="24614" xr:uid="{00000000-0005-0000-0000-0000F3480000}"/>
    <cellStyle name="40% - Accent5 2 3 2 2 2 3 2" xfId="48446" xr:uid="{BD9955B6-D1FB-4185-87AE-196E519E9D47}"/>
    <cellStyle name="40% - Accent5 2 3 2 2 2 4" xfId="32569" xr:uid="{D850DA75-4AE1-48A9-B19C-036A40B2E442}"/>
    <cellStyle name="40% - Accent5 2 3 2 2 3" xfId="13130" xr:uid="{00000000-0005-0000-0000-0000F4480000}"/>
    <cellStyle name="40% - Accent5 2 3 2 2 3 2" xfId="36979" xr:uid="{8C3B32B8-723D-4E5D-B14F-E647A799451C}"/>
    <cellStyle name="40% - Accent5 2 3 2 2 4" xfId="21085" xr:uid="{00000000-0005-0000-0000-0000F5480000}"/>
    <cellStyle name="40% - Accent5 2 3 2 2 4 2" xfId="44917" xr:uid="{C82CA078-5EAE-440C-B8C5-B4934A1F3722}"/>
    <cellStyle name="40% - Accent5 2 3 2 2 5" xfId="29038" xr:uid="{C36FF37F-893A-45A5-9F3F-173840570ED4}"/>
    <cellStyle name="40% - Accent5 2 3 2 3" xfId="6939" xr:uid="{00000000-0005-0000-0000-0000F6480000}"/>
    <cellStyle name="40% - Accent5 2 3 2 3 2" xfId="14910" xr:uid="{00000000-0005-0000-0000-0000F7480000}"/>
    <cellStyle name="40% - Accent5 2 3 2 3 2 2" xfId="38752" xr:uid="{DCBCD38D-EB88-411B-95C6-A53885947C23}"/>
    <cellStyle name="40% - Accent5 2 3 2 3 3" xfId="22857" xr:uid="{00000000-0005-0000-0000-0000F8480000}"/>
    <cellStyle name="40% - Accent5 2 3 2 3 3 2" xfId="46689" xr:uid="{F355AD8E-DFCD-4F85-B231-125C6BC0B89F}"/>
    <cellStyle name="40% - Accent5 2 3 2 3 4" xfId="30811" xr:uid="{4A49A045-FC4A-43CE-B09E-B0CED0C3B54E}"/>
    <cellStyle name="40% - Accent5 2 3 2 4" xfId="11374" xr:uid="{00000000-0005-0000-0000-0000F9480000}"/>
    <cellStyle name="40% - Accent5 2 3 2 4 2" xfId="35223" xr:uid="{6DF3EFF6-3BC1-4195-A472-9718AC747E6D}"/>
    <cellStyle name="40% - Accent5 2 3 2 5" xfId="19329" xr:uid="{00000000-0005-0000-0000-0000FA480000}"/>
    <cellStyle name="40% - Accent5 2 3 2 5 2" xfId="43161" xr:uid="{47E8BBB5-E213-404B-8690-905890B39232}"/>
    <cellStyle name="40% - Accent5 2 3 2 6" xfId="27281" xr:uid="{558038B2-875C-41F5-9C69-D2262DB0EFD6}"/>
    <cellStyle name="40% - Accent5 2 3 2_Exh G" xfId="3222" xr:uid="{00000000-0005-0000-0000-0000FB480000}"/>
    <cellStyle name="40% - Accent5 2 3 3" xfId="4228" xr:uid="{00000000-0005-0000-0000-0000FC480000}"/>
    <cellStyle name="40% - Accent5 2 3 3 2" xfId="7820" xr:uid="{00000000-0005-0000-0000-0000FD480000}"/>
    <cellStyle name="40% - Accent5 2 3 3 2 2" xfId="15790" xr:uid="{00000000-0005-0000-0000-0000FE480000}"/>
    <cellStyle name="40% - Accent5 2 3 3 2 2 2" xfId="39632" xr:uid="{40B0F49C-C5B9-468C-B277-4D2B7454AF7F}"/>
    <cellStyle name="40% - Accent5 2 3 3 2 3" xfId="23736" xr:uid="{00000000-0005-0000-0000-0000FF480000}"/>
    <cellStyle name="40% - Accent5 2 3 3 2 3 2" xfId="47568" xr:uid="{ECCD6E83-5C28-400E-9587-391EDF228189}"/>
    <cellStyle name="40% - Accent5 2 3 3 2 4" xfId="31691" xr:uid="{F83C0F0D-A290-49B1-9734-8DCF4C1A9209}"/>
    <cellStyle name="40% - Accent5 2 3 3 3" xfId="12252" xr:uid="{00000000-0005-0000-0000-000000490000}"/>
    <cellStyle name="40% - Accent5 2 3 3 3 2" xfId="36101" xr:uid="{2A26661B-2A4D-4AB9-9A05-DECBB048C976}"/>
    <cellStyle name="40% - Accent5 2 3 3 4" xfId="20207" xr:uid="{00000000-0005-0000-0000-000001490000}"/>
    <cellStyle name="40% - Accent5 2 3 3 4 2" xfId="44039" xr:uid="{0158AB31-7F83-4FDB-8B99-66A56F38AB2F}"/>
    <cellStyle name="40% - Accent5 2 3 3 5" xfId="28160" xr:uid="{63EF5C4A-4112-4F56-B763-672BD399FE00}"/>
    <cellStyle name="40% - Accent5 2 3 4" xfId="6048" xr:uid="{00000000-0005-0000-0000-000002490000}"/>
    <cellStyle name="40% - Accent5 2 3 4 2" xfId="14031" xr:uid="{00000000-0005-0000-0000-000003490000}"/>
    <cellStyle name="40% - Accent5 2 3 4 2 2" xfId="37874" xr:uid="{B30CDE2E-4185-4F54-859D-D13941DD67B9}"/>
    <cellStyle name="40% - Accent5 2 3 4 3" xfId="21979" xr:uid="{00000000-0005-0000-0000-000004490000}"/>
    <cellStyle name="40% - Accent5 2 3 4 3 2" xfId="45811" xr:uid="{01AE56E4-4AD1-4029-A6D5-8384603A694E}"/>
    <cellStyle name="40% - Accent5 2 3 4 4" xfId="29933" xr:uid="{799EF060-8825-4EDA-942D-2F3637EB155A}"/>
    <cellStyle name="40% - Accent5 2 3 5" xfId="9600" xr:uid="{00000000-0005-0000-0000-000005490000}"/>
    <cellStyle name="40% - Accent5 2 3 5 2" xfId="17558" xr:uid="{00000000-0005-0000-0000-000006490000}"/>
    <cellStyle name="40% - Accent5 2 3 5 2 2" xfId="41398" xr:uid="{CC1635FD-7F91-4EAD-A6F4-2256F23D01C1}"/>
    <cellStyle name="40% - Accent5 2 3 5 3" xfId="25502" xr:uid="{00000000-0005-0000-0000-000007490000}"/>
    <cellStyle name="40% - Accent5 2 3 5 3 2" xfId="49334" xr:uid="{3B7C3908-0A7D-48DA-BD30-3A2885CFD144}"/>
    <cellStyle name="40% - Accent5 2 3 5 4" xfId="33457" xr:uid="{99396D01-DC92-4386-A68C-4510C8384DAB}"/>
    <cellStyle name="40% - Accent5 2 3 6" xfId="10496" xr:uid="{00000000-0005-0000-0000-000008490000}"/>
    <cellStyle name="40% - Accent5 2 3 6 2" xfId="34345" xr:uid="{BF4495B0-3135-457A-903C-EB4E1F901C72}"/>
    <cellStyle name="40% - Accent5 2 3 7" xfId="18451" xr:uid="{00000000-0005-0000-0000-000009490000}"/>
    <cellStyle name="40% - Accent5 2 3 7 2" xfId="42283" xr:uid="{25E88827-3D3E-4448-B179-6D42D60D0444}"/>
    <cellStyle name="40% - Accent5 2 3 8" xfId="26403" xr:uid="{1B6E437F-D441-4CA9-9855-76876B11BE1C}"/>
    <cellStyle name="40% - Accent5 2 3_Exh G" xfId="3221" xr:uid="{00000000-0005-0000-0000-00000A490000}"/>
    <cellStyle name="40% - Accent5 2 4" xfId="980" xr:uid="{00000000-0005-0000-0000-00000B490000}"/>
    <cellStyle name="40% - Accent5 2 4 2" xfId="1892" xr:uid="{00000000-0005-0000-0000-00000C490000}"/>
    <cellStyle name="40% - Accent5 2 4 2 2" xfId="5409" xr:uid="{00000000-0005-0000-0000-00000D490000}"/>
    <cellStyle name="40% - Accent5 2 4 2 2 2" xfId="9000" xr:uid="{00000000-0005-0000-0000-00000E490000}"/>
    <cellStyle name="40% - Accent5 2 4 2 2 2 2" xfId="16970" xr:uid="{00000000-0005-0000-0000-00000F490000}"/>
    <cellStyle name="40% - Accent5 2 4 2 2 2 2 2" xfId="40812" xr:uid="{88998099-052F-421B-A5B9-8E85235CA788}"/>
    <cellStyle name="40% - Accent5 2 4 2 2 2 3" xfId="24916" xr:uid="{00000000-0005-0000-0000-000010490000}"/>
    <cellStyle name="40% - Accent5 2 4 2 2 2 3 2" xfId="48748" xr:uid="{58FB272E-8FE5-4FD8-87F7-05D6133882C1}"/>
    <cellStyle name="40% - Accent5 2 4 2 2 2 4" xfId="32871" xr:uid="{CF85C60D-BAB0-407F-947E-779737C71E0D}"/>
    <cellStyle name="40% - Accent5 2 4 2 2 3" xfId="13432" xr:uid="{00000000-0005-0000-0000-000011490000}"/>
    <cellStyle name="40% - Accent5 2 4 2 2 3 2" xfId="37281" xr:uid="{F3FA8FAB-0CBB-4A69-91D5-D9CCACC4E54E}"/>
    <cellStyle name="40% - Accent5 2 4 2 2 4" xfId="21387" xr:uid="{00000000-0005-0000-0000-000012490000}"/>
    <cellStyle name="40% - Accent5 2 4 2 2 4 2" xfId="45219" xr:uid="{7B4F4CD0-6479-44E1-B392-9DCDCF680CFC}"/>
    <cellStyle name="40% - Accent5 2 4 2 2 5" xfId="29340" xr:uid="{E5986C95-F182-45D2-9D99-7A2859A758CF}"/>
    <cellStyle name="40% - Accent5 2 4 2 3" xfId="7241" xr:uid="{00000000-0005-0000-0000-000013490000}"/>
    <cellStyle name="40% - Accent5 2 4 2 3 2" xfId="15212" xr:uid="{00000000-0005-0000-0000-000014490000}"/>
    <cellStyle name="40% - Accent5 2 4 2 3 2 2" xfId="39054" xr:uid="{8A0BA720-8B5A-49A5-90D7-B191C93B509B}"/>
    <cellStyle name="40% - Accent5 2 4 2 3 3" xfId="23159" xr:uid="{00000000-0005-0000-0000-000015490000}"/>
    <cellStyle name="40% - Accent5 2 4 2 3 3 2" xfId="46991" xr:uid="{DC4FC618-442A-4646-8D95-C30CDF3D6531}"/>
    <cellStyle name="40% - Accent5 2 4 2 3 4" xfId="31113" xr:uid="{49FC9F4F-2F71-4B54-A55E-0E180D85A00A}"/>
    <cellStyle name="40% - Accent5 2 4 2 4" xfId="11676" xr:uid="{00000000-0005-0000-0000-000016490000}"/>
    <cellStyle name="40% - Accent5 2 4 2 4 2" xfId="35525" xr:uid="{5C82CFE5-9949-4C2E-970A-E21614A375C4}"/>
    <cellStyle name="40% - Accent5 2 4 2 5" xfId="19631" xr:uid="{00000000-0005-0000-0000-000017490000}"/>
    <cellStyle name="40% - Accent5 2 4 2 5 2" xfId="43463" xr:uid="{193BEBB5-6D6E-4FEF-9FD8-49B8DCE0CA99}"/>
    <cellStyle name="40% - Accent5 2 4 2 6" xfId="27583" xr:uid="{CC71EE76-3BD1-4EDB-A469-E5940BCAC2A2}"/>
    <cellStyle name="40% - Accent5 2 4 2_Exh G" xfId="3224" xr:uid="{00000000-0005-0000-0000-000018490000}"/>
    <cellStyle name="40% - Accent5 2 4 3" xfId="4530" xr:uid="{00000000-0005-0000-0000-000019490000}"/>
    <cellStyle name="40% - Accent5 2 4 3 2" xfId="8122" xr:uid="{00000000-0005-0000-0000-00001A490000}"/>
    <cellStyle name="40% - Accent5 2 4 3 2 2" xfId="16092" xr:uid="{00000000-0005-0000-0000-00001B490000}"/>
    <cellStyle name="40% - Accent5 2 4 3 2 2 2" xfId="39934" xr:uid="{0D25B6DA-D02A-4E0F-8985-267A2AB68AB4}"/>
    <cellStyle name="40% - Accent5 2 4 3 2 3" xfId="24038" xr:uid="{00000000-0005-0000-0000-00001C490000}"/>
    <cellStyle name="40% - Accent5 2 4 3 2 3 2" xfId="47870" xr:uid="{32ECD3DE-D224-4E96-AB48-35D372A3ED02}"/>
    <cellStyle name="40% - Accent5 2 4 3 2 4" xfId="31993" xr:uid="{9F420423-127C-455E-BBEA-9277AA0757D1}"/>
    <cellStyle name="40% - Accent5 2 4 3 3" xfId="12554" xr:uid="{00000000-0005-0000-0000-00001D490000}"/>
    <cellStyle name="40% - Accent5 2 4 3 3 2" xfId="36403" xr:uid="{77D79312-F0FC-4257-991C-C3C8AB1C893C}"/>
    <cellStyle name="40% - Accent5 2 4 3 4" xfId="20509" xr:uid="{00000000-0005-0000-0000-00001E490000}"/>
    <cellStyle name="40% - Accent5 2 4 3 4 2" xfId="44341" xr:uid="{1AE9A81E-EB2A-4DCD-B0EC-E4B8B3D6E2C1}"/>
    <cellStyle name="40% - Accent5 2 4 3 5" xfId="28462" xr:uid="{BA7747C2-FD1C-420B-8257-D00C278F6CAD}"/>
    <cellStyle name="40% - Accent5 2 4 4" xfId="6360" xr:uid="{00000000-0005-0000-0000-00001F490000}"/>
    <cellStyle name="40% - Accent5 2 4 4 2" xfId="14334" xr:uid="{00000000-0005-0000-0000-000020490000}"/>
    <cellStyle name="40% - Accent5 2 4 4 2 2" xfId="38176" xr:uid="{17A49A63-C75B-4E4E-9CD7-2A9570E3413F}"/>
    <cellStyle name="40% - Accent5 2 4 4 3" xfId="22281" xr:uid="{00000000-0005-0000-0000-000021490000}"/>
    <cellStyle name="40% - Accent5 2 4 4 3 2" xfId="46113" xr:uid="{A6C19DA7-D475-4BA3-96EB-D47A8EA34440}"/>
    <cellStyle name="40% - Accent5 2 4 4 4" xfId="30235" xr:uid="{EB24D4A3-6051-419A-AD21-9A7941F8E4B5}"/>
    <cellStyle name="40% - Accent5 2 4 5" xfId="9902" xr:uid="{00000000-0005-0000-0000-000022490000}"/>
    <cellStyle name="40% - Accent5 2 4 5 2" xfId="17860" xr:uid="{00000000-0005-0000-0000-000023490000}"/>
    <cellStyle name="40% - Accent5 2 4 5 2 2" xfId="41700" xr:uid="{BBA91EA1-40C1-433F-9D2B-A908C8756C9A}"/>
    <cellStyle name="40% - Accent5 2 4 5 3" xfId="25804" xr:uid="{00000000-0005-0000-0000-000024490000}"/>
    <cellStyle name="40% - Accent5 2 4 5 3 2" xfId="49636" xr:uid="{5046EF60-B0E1-4CD5-A756-218DB59971DF}"/>
    <cellStyle name="40% - Accent5 2 4 5 4" xfId="33759" xr:uid="{031348C2-8F42-49B8-A162-5F2733077F80}"/>
    <cellStyle name="40% - Accent5 2 4 6" xfId="10798" xr:uid="{00000000-0005-0000-0000-000025490000}"/>
    <cellStyle name="40% - Accent5 2 4 6 2" xfId="34647" xr:uid="{52C2C750-ADF6-488D-87C4-50C7C255AB92}"/>
    <cellStyle name="40% - Accent5 2 4 7" xfId="18753" xr:uid="{00000000-0005-0000-0000-000026490000}"/>
    <cellStyle name="40% - Accent5 2 4 7 2" xfId="42585" xr:uid="{17247BA5-A902-41C6-BD51-2E03FC7533FF}"/>
    <cellStyle name="40% - Accent5 2 4 8" xfId="26705" xr:uid="{396AC922-923C-4A63-AE75-A2AE2A5BE8E1}"/>
    <cellStyle name="40% - Accent5 2 4_Exh G" xfId="3223" xr:uid="{00000000-0005-0000-0000-000027490000}"/>
    <cellStyle name="40% - Accent5 2 5" xfId="1577" xr:uid="{00000000-0005-0000-0000-000028490000}"/>
    <cellStyle name="40% - Accent5 2 5 2" xfId="5104" xr:uid="{00000000-0005-0000-0000-000029490000}"/>
    <cellStyle name="40% - Accent5 2 5 2 2" xfId="8695" xr:uid="{00000000-0005-0000-0000-00002A490000}"/>
    <cellStyle name="40% - Accent5 2 5 2 2 2" xfId="16665" xr:uid="{00000000-0005-0000-0000-00002B490000}"/>
    <cellStyle name="40% - Accent5 2 5 2 2 2 2" xfId="40507" xr:uid="{3B0DB002-0730-4151-AFFA-550A295A8E8B}"/>
    <cellStyle name="40% - Accent5 2 5 2 2 3" xfId="24611" xr:uid="{00000000-0005-0000-0000-00002C490000}"/>
    <cellStyle name="40% - Accent5 2 5 2 2 3 2" xfId="48443" xr:uid="{AC604AAD-91C0-4F8D-976F-7AF861F5A12A}"/>
    <cellStyle name="40% - Accent5 2 5 2 2 4" xfId="32566" xr:uid="{200ADE2B-928E-4EED-982B-E2DF73F32DA6}"/>
    <cellStyle name="40% - Accent5 2 5 2 3" xfId="13127" xr:uid="{00000000-0005-0000-0000-00002D490000}"/>
    <cellStyle name="40% - Accent5 2 5 2 3 2" xfId="36976" xr:uid="{67114204-62B3-42A9-8851-15CCEB943E41}"/>
    <cellStyle name="40% - Accent5 2 5 2 4" xfId="21082" xr:uid="{00000000-0005-0000-0000-00002E490000}"/>
    <cellStyle name="40% - Accent5 2 5 2 4 2" xfId="44914" xr:uid="{1FA088E9-AA30-47CA-B978-DC0C3EFE2F33}"/>
    <cellStyle name="40% - Accent5 2 5 2 5" xfId="29035" xr:uid="{491DA366-1E4B-4F4C-8F65-CCFE98A7A58C}"/>
    <cellStyle name="40% - Accent5 2 5 3" xfId="6936" xr:uid="{00000000-0005-0000-0000-00002F490000}"/>
    <cellStyle name="40% - Accent5 2 5 3 2" xfId="14907" xr:uid="{00000000-0005-0000-0000-000030490000}"/>
    <cellStyle name="40% - Accent5 2 5 3 2 2" xfId="38749" xr:uid="{472DB92A-E2F9-405D-A92E-339AF9F6115D}"/>
    <cellStyle name="40% - Accent5 2 5 3 3" xfId="22854" xr:uid="{00000000-0005-0000-0000-000031490000}"/>
    <cellStyle name="40% - Accent5 2 5 3 3 2" xfId="46686" xr:uid="{3119A02B-AD47-4EB4-81B2-80FA1820CD6B}"/>
    <cellStyle name="40% - Accent5 2 5 3 4" xfId="30808" xr:uid="{92FE1EA2-F365-4337-BBE5-C2D5C7127CF6}"/>
    <cellStyle name="40% - Accent5 2 5 4" xfId="11371" xr:uid="{00000000-0005-0000-0000-000032490000}"/>
    <cellStyle name="40% - Accent5 2 5 4 2" xfId="35220" xr:uid="{4F4C9E5A-08C6-4A1D-AB3A-3192B61E6BAB}"/>
    <cellStyle name="40% - Accent5 2 5 5" xfId="19326" xr:uid="{00000000-0005-0000-0000-000033490000}"/>
    <cellStyle name="40% - Accent5 2 5 5 2" xfId="43158" xr:uid="{E1E82ADE-B3CD-4E9B-B685-B352A28E8442}"/>
    <cellStyle name="40% - Accent5 2 5 6" xfId="27278" xr:uid="{EC8CCFA6-BB1E-4CD8-8787-56CE4C7A5BCD}"/>
    <cellStyle name="40% - Accent5 2 5_Exh G" xfId="3225" xr:uid="{00000000-0005-0000-0000-000034490000}"/>
    <cellStyle name="40% - Accent5 2 6" xfId="4225" xr:uid="{00000000-0005-0000-0000-000035490000}"/>
    <cellStyle name="40% - Accent5 2 6 2" xfId="7817" xr:uid="{00000000-0005-0000-0000-000036490000}"/>
    <cellStyle name="40% - Accent5 2 6 2 2" xfId="15787" xr:uid="{00000000-0005-0000-0000-000037490000}"/>
    <cellStyle name="40% - Accent5 2 6 2 2 2" xfId="39629" xr:uid="{7E6A7D7B-B5C0-4775-8E50-0AF337D06FE2}"/>
    <cellStyle name="40% - Accent5 2 6 2 3" xfId="23733" xr:uid="{00000000-0005-0000-0000-000038490000}"/>
    <cellStyle name="40% - Accent5 2 6 2 3 2" xfId="47565" xr:uid="{94D49412-5591-49E2-8EA5-AF5795D2F314}"/>
    <cellStyle name="40% - Accent5 2 6 2 4" xfId="31688" xr:uid="{7FF9D320-35FC-450C-9F6F-4CEAE7C2D92A}"/>
    <cellStyle name="40% - Accent5 2 6 3" xfId="12249" xr:uid="{00000000-0005-0000-0000-000039490000}"/>
    <cellStyle name="40% - Accent5 2 6 3 2" xfId="36098" xr:uid="{EC368454-46B6-400F-A2B5-904A681A5126}"/>
    <cellStyle name="40% - Accent5 2 6 4" xfId="20204" xr:uid="{00000000-0005-0000-0000-00003A490000}"/>
    <cellStyle name="40% - Accent5 2 6 4 2" xfId="44036" xr:uid="{B4C8AC45-76BC-487F-854F-D4D39FB7F8E4}"/>
    <cellStyle name="40% - Accent5 2 6 5" xfId="28157" xr:uid="{A3D93899-34E3-4FC9-899D-615BA3959C6E}"/>
    <cellStyle name="40% - Accent5 2 7" xfId="6045" xr:uid="{00000000-0005-0000-0000-00003B490000}"/>
    <cellStyle name="40% - Accent5 2 7 2" xfId="14028" xr:uid="{00000000-0005-0000-0000-00003C490000}"/>
    <cellStyle name="40% - Accent5 2 7 2 2" xfId="37871" xr:uid="{7049CAFB-6135-4B08-B759-6B196CC66E3C}"/>
    <cellStyle name="40% - Accent5 2 7 3" xfId="21976" xr:uid="{00000000-0005-0000-0000-00003D490000}"/>
    <cellStyle name="40% - Accent5 2 7 3 2" xfId="45808" xr:uid="{8D886B8F-6A3E-4288-B4AD-9C68938BB71D}"/>
    <cellStyle name="40% - Accent5 2 7 4" xfId="29930" xr:uid="{9099EFD1-3294-47CB-97F7-CAE5ABAB86A2}"/>
    <cellStyle name="40% - Accent5 2 8" xfId="9597" xr:uid="{00000000-0005-0000-0000-00003E490000}"/>
    <cellStyle name="40% - Accent5 2 8 2" xfId="17555" xr:uid="{00000000-0005-0000-0000-00003F490000}"/>
    <cellStyle name="40% - Accent5 2 8 2 2" xfId="41395" xr:uid="{32848558-51C7-43CF-8799-68980509A962}"/>
    <cellStyle name="40% - Accent5 2 8 3" xfId="25499" xr:uid="{00000000-0005-0000-0000-000040490000}"/>
    <cellStyle name="40% - Accent5 2 8 3 2" xfId="49331" xr:uid="{A2947548-E4E1-4A29-BBE1-B99FB8AC916A}"/>
    <cellStyle name="40% - Accent5 2 8 4" xfId="33454" xr:uid="{2BAB52EA-E2CE-430B-825B-9CD9EE918A30}"/>
    <cellStyle name="40% - Accent5 2 9" xfId="10493" xr:uid="{00000000-0005-0000-0000-000041490000}"/>
    <cellStyle name="40% - Accent5 2 9 2" xfId="34342" xr:uid="{B54A00C2-1A39-419F-9D51-799CFBEA97AE}"/>
    <cellStyle name="40% - Accent5 2_Exh G" xfId="3214" xr:uid="{00000000-0005-0000-0000-000042490000}"/>
    <cellStyle name="40% - Accent5 3" xfId="555" xr:uid="{00000000-0005-0000-0000-000043490000}"/>
    <cellStyle name="40% - Accent5 3 10" xfId="18452" xr:uid="{00000000-0005-0000-0000-000044490000}"/>
    <cellStyle name="40% - Accent5 3 10 2" xfId="42284" xr:uid="{3FB34BD4-94A7-4425-8C57-631B7172742B}"/>
    <cellStyle name="40% - Accent5 3 11" xfId="26404" xr:uid="{8DAE3C7A-C5D2-4C1B-827A-58C99761C959}"/>
    <cellStyle name="40% - Accent5 3 12" xfId="49763" xr:uid="{E9067AC6-71D6-4C19-954F-52F030945BF8}"/>
    <cellStyle name="40% - Accent5 3 13" xfId="49817" xr:uid="{C3299C45-9F08-4EF2-89D0-E1082B118B35}"/>
    <cellStyle name="40% - Accent5 3 2" xfId="556" xr:uid="{00000000-0005-0000-0000-000045490000}"/>
    <cellStyle name="40% - Accent5 3 2 10" xfId="26405" xr:uid="{7B814252-5EEC-4B5B-BD95-F4342FB3C3FD}"/>
    <cellStyle name="40% - Accent5 3 2 2" xfId="557" xr:uid="{00000000-0005-0000-0000-000046490000}"/>
    <cellStyle name="40% - Accent5 3 2 2 2" xfId="1583" xr:uid="{00000000-0005-0000-0000-000047490000}"/>
    <cellStyle name="40% - Accent5 3 2 2 2 2" xfId="5110" xr:uid="{00000000-0005-0000-0000-000048490000}"/>
    <cellStyle name="40% - Accent5 3 2 2 2 2 2" xfId="8701" xr:uid="{00000000-0005-0000-0000-000049490000}"/>
    <cellStyle name="40% - Accent5 3 2 2 2 2 2 2" xfId="16671" xr:uid="{00000000-0005-0000-0000-00004A490000}"/>
    <cellStyle name="40% - Accent5 3 2 2 2 2 2 2 2" xfId="40513" xr:uid="{B397D40B-AB22-4875-873C-730835A578BB}"/>
    <cellStyle name="40% - Accent5 3 2 2 2 2 2 3" xfId="24617" xr:uid="{00000000-0005-0000-0000-00004B490000}"/>
    <cellStyle name="40% - Accent5 3 2 2 2 2 2 3 2" xfId="48449" xr:uid="{8351AB97-0421-44AD-81CD-D538A194F447}"/>
    <cellStyle name="40% - Accent5 3 2 2 2 2 2 4" xfId="32572" xr:uid="{6989F3CD-BA08-4F49-9A58-230676A46CF1}"/>
    <cellStyle name="40% - Accent5 3 2 2 2 2 3" xfId="13133" xr:uid="{00000000-0005-0000-0000-00004C490000}"/>
    <cellStyle name="40% - Accent5 3 2 2 2 2 3 2" xfId="36982" xr:uid="{BEF19DBA-C0CC-48F0-872C-80CF3A8ADE4F}"/>
    <cellStyle name="40% - Accent5 3 2 2 2 2 4" xfId="21088" xr:uid="{00000000-0005-0000-0000-00004D490000}"/>
    <cellStyle name="40% - Accent5 3 2 2 2 2 4 2" xfId="44920" xr:uid="{0FAE35A6-000E-4791-9343-571B134A3F53}"/>
    <cellStyle name="40% - Accent5 3 2 2 2 2 5" xfId="29041" xr:uid="{39A888CE-2D3B-490C-9A5E-0EACD3C785A3}"/>
    <cellStyle name="40% - Accent5 3 2 2 2 3" xfId="6942" xr:uid="{00000000-0005-0000-0000-00004E490000}"/>
    <cellStyle name="40% - Accent5 3 2 2 2 3 2" xfId="14913" xr:uid="{00000000-0005-0000-0000-00004F490000}"/>
    <cellStyle name="40% - Accent5 3 2 2 2 3 2 2" xfId="38755" xr:uid="{59505A89-4965-48E9-A0BD-77DB7E9B91F6}"/>
    <cellStyle name="40% - Accent5 3 2 2 2 3 3" xfId="22860" xr:uid="{00000000-0005-0000-0000-000050490000}"/>
    <cellStyle name="40% - Accent5 3 2 2 2 3 3 2" xfId="46692" xr:uid="{BFB3FDDE-F5E8-4A93-91A0-E21E8CC4F82F}"/>
    <cellStyle name="40% - Accent5 3 2 2 2 3 4" xfId="30814" xr:uid="{8F65B37F-C898-47E0-BC92-D246D226F251}"/>
    <cellStyle name="40% - Accent5 3 2 2 2 4" xfId="11377" xr:uid="{00000000-0005-0000-0000-000051490000}"/>
    <cellStyle name="40% - Accent5 3 2 2 2 4 2" xfId="35226" xr:uid="{B5645D20-07BB-4B32-A8B2-2B685181E2F8}"/>
    <cellStyle name="40% - Accent5 3 2 2 2 5" xfId="19332" xr:uid="{00000000-0005-0000-0000-000052490000}"/>
    <cellStyle name="40% - Accent5 3 2 2 2 5 2" xfId="43164" xr:uid="{E5102660-00E4-4D07-9A41-163082A577ED}"/>
    <cellStyle name="40% - Accent5 3 2 2 2 6" xfId="27284" xr:uid="{858BC5BB-D965-4B5B-A365-12927758ABAF}"/>
    <cellStyle name="40% - Accent5 3 2 2 2_Exh G" xfId="3229" xr:uid="{00000000-0005-0000-0000-000053490000}"/>
    <cellStyle name="40% - Accent5 3 2 2 3" xfId="4231" xr:uid="{00000000-0005-0000-0000-000054490000}"/>
    <cellStyle name="40% - Accent5 3 2 2 3 2" xfId="7823" xr:uid="{00000000-0005-0000-0000-000055490000}"/>
    <cellStyle name="40% - Accent5 3 2 2 3 2 2" xfId="15793" xr:uid="{00000000-0005-0000-0000-000056490000}"/>
    <cellStyle name="40% - Accent5 3 2 2 3 2 2 2" xfId="39635" xr:uid="{E18854FC-023A-4AA5-BB44-2189E924811A}"/>
    <cellStyle name="40% - Accent5 3 2 2 3 2 3" xfId="23739" xr:uid="{00000000-0005-0000-0000-000057490000}"/>
    <cellStyle name="40% - Accent5 3 2 2 3 2 3 2" xfId="47571" xr:uid="{7B574C5A-6798-489C-9298-A0F15CED3873}"/>
    <cellStyle name="40% - Accent5 3 2 2 3 2 4" xfId="31694" xr:uid="{9F26FA6A-98F7-4EAC-AA80-3714DF3654AE}"/>
    <cellStyle name="40% - Accent5 3 2 2 3 3" xfId="12255" xr:uid="{00000000-0005-0000-0000-000058490000}"/>
    <cellStyle name="40% - Accent5 3 2 2 3 3 2" xfId="36104" xr:uid="{43CDD49B-3177-473B-953F-E1658447EA44}"/>
    <cellStyle name="40% - Accent5 3 2 2 3 4" xfId="20210" xr:uid="{00000000-0005-0000-0000-000059490000}"/>
    <cellStyle name="40% - Accent5 3 2 2 3 4 2" xfId="44042" xr:uid="{BB75329B-BAF9-4C56-9C7A-2ACCEADE4C95}"/>
    <cellStyle name="40% - Accent5 3 2 2 3 5" xfId="28163" xr:uid="{3D1E5860-7333-4C20-8FA9-9F95F8E35308}"/>
    <cellStyle name="40% - Accent5 3 2 2 4" xfId="6051" xr:uid="{00000000-0005-0000-0000-00005A490000}"/>
    <cellStyle name="40% - Accent5 3 2 2 4 2" xfId="14034" xr:uid="{00000000-0005-0000-0000-00005B490000}"/>
    <cellStyle name="40% - Accent5 3 2 2 4 2 2" xfId="37877" xr:uid="{322D0C66-1316-40B6-AA76-F3AA4AFB19AE}"/>
    <cellStyle name="40% - Accent5 3 2 2 4 3" xfId="21982" xr:uid="{00000000-0005-0000-0000-00005C490000}"/>
    <cellStyle name="40% - Accent5 3 2 2 4 3 2" xfId="45814" xr:uid="{426F87CA-79AE-41DB-8AAF-AC838EE625CA}"/>
    <cellStyle name="40% - Accent5 3 2 2 4 4" xfId="29936" xr:uid="{B837AFF6-CA1C-4A73-8FF4-52552FA5C8A6}"/>
    <cellStyle name="40% - Accent5 3 2 2 5" xfId="9603" xr:uid="{00000000-0005-0000-0000-00005D490000}"/>
    <cellStyle name="40% - Accent5 3 2 2 5 2" xfId="17561" xr:uid="{00000000-0005-0000-0000-00005E490000}"/>
    <cellStyle name="40% - Accent5 3 2 2 5 2 2" xfId="41401" xr:uid="{69D8E8AA-291F-400E-9FDE-A46C73917892}"/>
    <cellStyle name="40% - Accent5 3 2 2 5 3" xfId="25505" xr:uid="{00000000-0005-0000-0000-00005F490000}"/>
    <cellStyle name="40% - Accent5 3 2 2 5 3 2" xfId="49337" xr:uid="{80B5DE84-D3FB-462F-AAD2-6FFFF5CD850D}"/>
    <cellStyle name="40% - Accent5 3 2 2 5 4" xfId="33460" xr:uid="{471F6474-1563-4F64-ADA5-EB4986AC3697}"/>
    <cellStyle name="40% - Accent5 3 2 2 6" xfId="10499" xr:uid="{00000000-0005-0000-0000-000060490000}"/>
    <cellStyle name="40% - Accent5 3 2 2 6 2" xfId="34348" xr:uid="{836459FF-6E88-4959-8B46-DCC910D4A3B2}"/>
    <cellStyle name="40% - Accent5 3 2 2 7" xfId="18454" xr:uid="{00000000-0005-0000-0000-000061490000}"/>
    <cellStyle name="40% - Accent5 3 2 2 7 2" xfId="42286" xr:uid="{64EB6177-327E-49CA-88A8-CA0E9C39BB5B}"/>
    <cellStyle name="40% - Accent5 3 2 2 8" xfId="26406" xr:uid="{458E6D4B-0551-4F96-9490-32EB83A75F2B}"/>
    <cellStyle name="40% - Accent5 3 2 2_Exh G" xfId="3228" xr:uid="{00000000-0005-0000-0000-000062490000}"/>
    <cellStyle name="40% - Accent5 3 2 3" xfId="983" xr:uid="{00000000-0005-0000-0000-000063490000}"/>
    <cellStyle name="40% - Accent5 3 2 3 2" xfId="1895" xr:uid="{00000000-0005-0000-0000-000064490000}"/>
    <cellStyle name="40% - Accent5 3 2 3 2 2" xfId="5412" xr:uid="{00000000-0005-0000-0000-000065490000}"/>
    <cellStyle name="40% - Accent5 3 2 3 2 2 2" xfId="9003" xr:uid="{00000000-0005-0000-0000-000066490000}"/>
    <cellStyle name="40% - Accent5 3 2 3 2 2 2 2" xfId="16973" xr:uid="{00000000-0005-0000-0000-000067490000}"/>
    <cellStyle name="40% - Accent5 3 2 3 2 2 2 2 2" xfId="40815" xr:uid="{6F2C3FC6-F486-4099-A103-C1F2F0989C80}"/>
    <cellStyle name="40% - Accent5 3 2 3 2 2 2 3" xfId="24919" xr:uid="{00000000-0005-0000-0000-000068490000}"/>
    <cellStyle name="40% - Accent5 3 2 3 2 2 2 3 2" xfId="48751" xr:uid="{8DCB7160-22F4-42CB-B451-7FC2DACFF42A}"/>
    <cellStyle name="40% - Accent5 3 2 3 2 2 2 4" xfId="32874" xr:uid="{391AE58E-9066-4F99-B1AF-5FB103544C8F}"/>
    <cellStyle name="40% - Accent5 3 2 3 2 2 3" xfId="13435" xr:uid="{00000000-0005-0000-0000-000069490000}"/>
    <cellStyle name="40% - Accent5 3 2 3 2 2 3 2" xfId="37284" xr:uid="{E5F5EC6B-02F9-42FF-ACA1-A53FC0EB09B0}"/>
    <cellStyle name="40% - Accent5 3 2 3 2 2 4" xfId="21390" xr:uid="{00000000-0005-0000-0000-00006A490000}"/>
    <cellStyle name="40% - Accent5 3 2 3 2 2 4 2" xfId="45222" xr:uid="{C5F7456C-91C3-4A38-89C5-8674456D0267}"/>
    <cellStyle name="40% - Accent5 3 2 3 2 2 5" xfId="29343" xr:uid="{FC1C0427-76F3-41D0-AE13-2AEF306BED3E}"/>
    <cellStyle name="40% - Accent5 3 2 3 2 3" xfId="7244" xr:uid="{00000000-0005-0000-0000-00006B490000}"/>
    <cellStyle name="40% - Accent5 3 2 3 2 3 2" xfId="15215" xr:uid="{00000000-0005-0000-0000-00006C490000}"/>
    <cellStyle name="40% - Accent5 3 2 3 2 3 2 2" xfId="39057" xr:uid="{1CC03A9D-FAE9-4621-ADDE-93D4B630EFC7}"/>
    <cellStyle name="40% - Accent5 3 2 3 2 3 3" xfId="23162" xr:uid="{00000000-0005-0000-0000-00006D490000}"/>
    <cellStyle name="40% - Accent5 3 2 3 2 3 3 2" xfId="46994" xr:uid="{6122694C-2DA5-4EF2-BAB0-528BA02069E3}"/>
    <cellStyle name="40% - Accent5 3 2 3 2 3 4" xfId="31116" xr:uid="{249EA4DB-C6FD-4233-A809-47CF696142FF}"/>
    <cellStyle name="40% - Accent5 3 2 3 2 4" xfId="11679" xr:uid="{00000000-0005-0000-0000-00006E490000}"/>
    <cellStyle name="40% - Accent5 3 2 3 2 4 2" xfId="35528" xr:uid="{F1DD6703-D732-4F68-8EBE-3CAAC958D6A6}"/>
    <cellStyle name="40% - Accent5 3 2 3 2 5" xfId="19634" xr:uid="{00000000-0005-0000-0000-00006F490000}"/>
    <cellStyle name="40% - Accent5 3 2 3 2 5 2" xfId="43466" xr:uid="{C63DED28-E64E-4348-87EF-EC06797F20A1}"/>
    <cellStyle name="40% - Accent5 3 2 3 2 6" xfId="27586" xr:uid="{CA509A94-197F-4B07-8AA5-C06A2669F559}"/>
    <cellStyle name="40% - Accent5 3 2 3 2_Exh G" xfId="3231" xr:uid="{00000000-0005-0000-0000-000070490000}"/>
    <cellStyle name="40% - Accent5 3 2 3 3" xfId="4533" xr:uid="{00000000-0005-0000-0000-000071490000}"/>
    <cellStyle name="40% - Accent5 3 2 3 3 2" xfId="8125" xr:uid="{00000000-0005-0000-0000-000072490000}"/>
    <cellStyle name="40% - Accent5 3 2 3 3 2 2" xfId="16095" xr:uid="{00000000-0005-0000-0000-000073490000}"/>
    <cellStyle name="40% - Accent5 3 2 3 3 2 2 2" xfId="39937" xr:uid="{B6B173F1-DE53-4DD2-A33D-9EA1E72474D4}"/>
    <cellStyle name="40% - Accent5 3 2 3 3 2 3" xfId="24041" xr:uid="{00000000-0005-0000-0000-000074490000}"/>
    <cellStyle name="40% - Accent5 3 2 3 3 2 3 2" xfId="47873" xr:uid="{B2B0132F-56CB-4399-B26A-9C77ED913B00}"/>
    <cellStyle name="40% - Accent5 3 2 3 3 2 4" xfId="31996" xr:uid="{D42CA7D7-7A9D-495B-9D21-06219B6A406B}"/>
    <cellStyle name="40% - Accent5 3 2 3 3 3" xfId="12557" xr:uid="{00000000-0005-0000-0000-000075490000}"/>
    <cellStyle name="40% - Accent5 3 2 3 3 3 2" xfId="36406" xr:uid="{E6E523DD-6084-4B33-B57E-10E3D0D10946}"/>
    <cellStyle name="40% - Accent5 3 2 3 3 4" xfId="20512" xr:uid="{00000000-0005-0000-0000-000076490000}"/>
    <cellStyle name="40% - Accent5 3 2 3 3 4 2" xfId="44344" xr:uid="{8A3E5ACC-9A0D-421F-96ED-73395ABB79A5}"/>
    <cellStyle name="40% - Accent5 3 2 3 3 5" xfId="28465" xr:uid="{3DAA20F7-7BFC-4A7F-B8A4-1A367EB1F616}"/>
    <cellStyle name="40% - Accent5 3 2 3 4" xfId="6363" xr:uid="{00000000-0005-0000-0000-000077490000}"/>
    <cellStyle name="40% - Accent5 3 2 3 4 2" xfId="14337" xr:uid="{00000000-0005-0000-0000-000078490000}"/>
    <cellStyle name="40% - Accent5 3 2 3 4 2 2" xfId="38179" xr:uid="{70CD3A87-3C7A-417A-8B80-A54C0771B03F}"/>
    <cellStyle name="40% - Accent5 3 2 3 4 3" xfId="22284" xr:uid="{00000000-0005-0000-0000-000079490000}"/>
    <cellStyle name="40% - Accent5 3 2 3 4 3 2" xfId="46116" xr:uid="{A9570CBB-D17D-4CDB-AEA4-25B9468B4AE9}"/>
    <cellStyle name="40% - Accent5 3 2 3 4 4" xfId="30238" xr:uid="{7DD94B46-E756-4E8D-B08D-C3DEAD6CAA54}"/>
    <cellStyle name="40% - Accent5 3 2 3 5" xfId="9905" xr:uid="{00000000-0005-0000-0000-00007A490000}"/>
    <cellStyle name="40% - Accent5 3 2 3 5 2" xfId="17863" xr:uid="{00000000-0005-0000-0000-00007B490000}"/>
    <cellStyle name="40% - Accent5 3 2 3 5 2 2" xfId="41703" xr:uid="{F3DE5ABF-1FE1-4493-873B-7CB74387491D}"/>
    <cellStyle name="40% - Accent5 3 2 3 5 3" xfId="25807" xr:uid="{00000000-0005-0000-0000-00007C490000}"/>
    <cellStyle name="40% - Accent5 3 2 3 5 3 2" xfId="49639" xr:uid="{06E5BDA0-0457-4AC4-A782-EC52D4B81F78}"/>
    <cellStyle name="40% - Accent5 3 2 3 5 4" xfId="33762" xr:uid="{DCFCC2FB-5F8B-40CE-86E8-33562EC741E2}"/>
    <cellStyle name="40% - Accent5 3 2 3 6" xfId="10801" xr:uid="{00000000-0005-0000-0000-00007D490000}"/>
    <cellStyle name="40% - Accent5 3 2 3 6 2" xfId="34650" xr:uid="{CDCFB336-45C1-46BE-84E3-8A6B0B437463}"/>
    <cellStyle name="40% - Accent5 3 2 3 7" xfId="18756" xr:uid="{00000000-0005-0000-0000-00007E490000}"/>
    <cellStyle name="40% - Accent5 3 2 3 7 2" xfId="42588" xr:uid="{E025382D-533B-4240-A58A-1185DAF3683B}"/>
    <cellStyle name="40% - Accent5 3 2 3 8" xfId="26708" xr:uid="{2DE5B835-2EAA-49CE-8B3D-A00BCCB174FB}"/>
    <cellStyle name="40% - Accent5 3 2 3_Exh G" xfId="3230" xr:uid="{00000000-0005-0000-0000-00007F490000}"/>
    <cellStyle name="40% - Accent5 3 2 4" xfId="1582" xr:uid="{00000000-0005-0000-0000-000080490000}"/>
    <cellStyle name="40% - Accent5 3 2 4 2" xfId="5109" xr:uid="{00000000-0005-0000-0000-000081490000}"/>
    <cellStyle name="40% - Accent5 3 2 4 2 2" xfId="8700" xr:uid="{00000000-0005-0000-0000-000082490000}"/>
    <cellStyle name="40% - Accent5 3 2 4 2 2 2" xfId="16670" xr:uid="{00000000-0005-0000-0000-000083490000}"/>
    <cellStyle name="40% - Accent5 3 2 4 2 2 2 2" xfId="40512" xr:uid="{DAF6A0D6-E371-4304-B765-5E1CE8ACA80B}"/>
    <cellStyle name="40% - Accent5 3 2 4 2 2 3" xfId="24616" xr:uid="{00000000-0005-0000-0000-000084490000}"/>
    <cellStyle name="40% - Accent5 3 2 4 2 2 3 2" xfId="48448" xr:uid="{6CE173FF-72D5-4B50-B998-C1CD39200893}"/>
    <cellStyle name="40% - Accent5 3 2 4 2 2 4" xfId="32571" xr:uid="{C7AC4A7F-EA76-4846-A83E-D526829B4CA8}"/>
    <cellStyle name="40% - Accent5 3 2 4 2 3" xfId="13132" xr:uid="{00000000-0005-0000-0000-000085490000}"/>
    <cellStyle name="40% - Accent5 3 2 4 2 3 2" xfId="36981" xr:uid="{20F3247B-2BDC-49ED-B306-0E2A687A043B}"/>
    <cellStyle name="40% - Accent5 3 2 4 2 4" xfId="21087" xr:uid="{00000000-0005-0000-0000-000086490000}"/>
    <cellStyle name="40% - Accent5 3 2 4 2 4 2" xfId="44919" xr:uid="{97FA55FE-21AF-496F-A074-1F658D0BE4C0}"/>
    <cellStyle name="40% - Accent5 3 2 4 2 5" xfId="29040" xr:uid="{7FF763B0-785D-4A2B-A699-EA754D2F1EBB}"/>
    <cellStyle name="40% - Accent5 3 2 4 3" xfId="6941" xr:uid="{00000000-0005-0000-0000-000087490000}"/>
    <cellStyle name="40% - Accent5 3 2 4 3 2" xfId="14912" xr:uid="{00000000-0005-0000-0000-000088490000}"/>
    <cellStyle name="40% - Accent5 3 2 4 3 2 2" xfId="38754" xr:uid="{96F8D3E5-0BBC-4E6E-A04A-CF91525B6B57}"/>
    <cellStyle name="40% - Accent5 3 2 4 3 3" xfId="22859" xr:uid="{00000000-0005-0000-0000-000089490000}"/>
    <cellStyle name="40% - Accent5 3 2 4 3 3 2" xfId="46691" xr:uid="{D5907A2B-013D-492E-AFC7-6A5CF9C0729A}"/>
    <cellStyle name="40% - Accent5 3 2 4 3 4" xfId="30813" xr:uid="{3ADDE03B-1A24-4D6D-8E2C-B57EDA014206}"/>
    <cellStyle name="40% - Accent5 3 2 4 4" xfId="11376" xr:uid="{00000000-0005-0000-0000-00008A490000}"/>
    <cellStyle name="40% - Accent5 3 2 4 4 2" xfId="35225" xr:uid="{CB3A45B8-9D1E-432A-9DE4-84AA48D0F32D}"/>
    <cellStyle name="40% - Accent5 3 2 4 5" xfId="19331" xr:uid="{00000000-0005-0000-0000-00008B490000}"/>
    <cellStyle name="40% - Accent5 3 2 4 5 2" xfId="43163" xr:uid="{103F34D3-A59D-41EF-826E-26A3CF041844}"/>
    <cellStyle name="40% - Accent5 3 2 4 6" xfId="27283" xr:uid="{63F79390-1F7C-496D-89A2-D44DFBC4810F}"/>
    <cellStyle name="40% - Accent5 3 2 4_Exh G" xfId="3232" xr:uid="{00000000-0005-0000-0000-00008C490000}"/>
    <cellStyle name="40% - Accent5 3 2 5" xfId="4230" xr:uid="{00000000-0005-0000-0000-00008D490000}"/>
    <cellStyle name="40% - Accent5 3 2 5 2" xfId="7822" xr:uid="{00000000-0005-0000-0000-00008E490000}"/>
    <cellStyle name="40% - Accent5 3 2 5 2 2" xfId="15792" xr:uid="{00000000-0005-0000-0000-00008F490000}"/>
    <cellStyle name="40% - Accent5 3 2 5 2 2 2" xfId="39634" xr:uid="{98F9EC58-4A1F-475C-A793-6520928D6E02}"/>
    <cellStyle name="40% - Accent5 3 2 5 2 3" xfId="23738" xr:uid="{00000000-0005-0000-0000-000090490000}"/>
    <cellStyle name="40% - Accent5 3 2 5 2 3 2" xfId="47570" xr:uid="{2A4EA217-6372-41A4-AB21-72FC720BC4B7}"/>
    <cellStyle name="40% - Accent5 3 2 5 2 4" xfId="31693" xr:uid="{8792AB7D-CA52-48FB-B049-142846917C52}"/>
    <cellStyle name="40% - Accent5 3 2 5 3" xfId="12254" xr:uid="{00000000-0005-0000-0000-000091490000}"/>
    <cellStyle name="40% - Accent5 3 2 5 3 2" xfId="36103" xr:uid="{B380F912-3A1E-4935-B608-AA940ADB59C4}"/>
    <cellStyle name="40% - Accent5 3 2 5 4" xfId="20209" xr:uid="{00000000-0005-0000-0000-000092490000}"/>
    <cellStyle name="40% - Accent5 3 2 5 4 2" xfId="44041" xr:uid="{B5C01967-A912-4772-B724-8299C9343F63}"/>
    <cellStyle name="40% - Accent5 3 2 5 5" xfId="28162" xr:uid="{77A9A251-C58D-4EBD-B02B-B849026AD7BF}"/>
    <cellStyle name="40% - Accent5 3 2 6" xfId="6050" xr:uid="{00000000-0005-0000-0000-000093490000}"/>
    <cellStyle name="40% - Accent5 3 2 6 2" xfId="14033" xr:uid="{00000000-0005-0000-0000-000094490000}"/>
    <cellStyle name="40% - Accent5 3 2 6 2 2" xfId="37876" xr:uid="{7DA0EFAB-0866-4269-87B2-F39A1BB4427D}"/>
    <cellStyle name="40% - Accent5 3 2 6 3" xfId="21981" xr:uid="{00000000-0005-0000-0000-000095490000}"/>
    <cellStyle name="40% - Accent5 3 2 6 3 2" xfId="45813" xr:uid="{0E4252A9-9823-4B8F-B76F-585B024F99FC}"/>
    <cellStyle name="40% - Accent5 3 2 6 4" xfId="29935" xr:uid="{1B6ED3B5-C8BD-4463-99DA-A27DBD85E24A}"/>
    <cellStyle name="40% - Accent5 3 2 7" xfId="9602" xr:uid="{00000000-0005-0000-0000-000096490000}"/>
    <cellStyle name="40% - Accent5 3 2 7 2" xfId="17560" xr:uid="{00000000-0005-0000-0000-000097490000}"/>
    <cellStyle name="40% - Accent5 3 2 7 2 2" xfId="41400" xr:uid="{AC1DA844-913E-4A9D-8235-8F647C4B3F69}"/>
    <cellStyle name="40% - Accent5 3 2 7 3" xfId="25504" xr:uid="{00000000-0005-0000-0000-000098490000}"/>
    <cellStyle name="40% - Accent5 3 2 7 3 2" xfId="49336" xr:uid="{5BBC48D7-7AB7-4C10-8372-28F2DDC33BC4}"/>
    <cellStyle name="40% - Accent5 3 2 7 4" xfId="33459" xr:uid="{268D7275-C659-4A6D-9DB6-01D625EF4228}"/>
    <cellStyle name="40% - Accent5 3 2 8" xfId="10498" xr:uid="{00000000-0005-0000-0000-000099490000}"/>
    <cellStyle name="40% - Accent5 3 2 8 2" xfId="34347" xr:uid="{CA871E3E-8ACF-446C-AF38-EA10F867DF8F}"/>
    <cellStyle name="40% - Accent5 3 2 9" xfId="18453" xr:uid="{00000000-0005-0000-0000-00009A490000}"/>
    <cellStyle name="40% - Accent5 3 2 9 2" xfId="42285" xr:uid="{09D1FAC3-394B-4BA6-AED4-D9A6E1D30CAA}"/>
    <cellStyle name="40% - Accent5 3 2_Exh G" xfId="3227" xr:uid="{00000000-0005-0000-0000-00009B490000}"/>
    <cellStyle name="40% - Accent5 3 3" xfId="558" xr:uid="{00000000-0005-0000-0000-00009C490000}"/>
    <cellStyle name="40% - Accent5 3 3 2" xfId="1584" xr:uid="{00000000-0005-0000-0000-00009D490000}"/>
    <cellStyle name="40% - Accent5 3 3 2 2" xfId="5111" xr:uid="{00000000-0005-0000-0000-00009E490000}"/>
    <cellStyle name="40% - Accent5 3 3 2 2 2" xfId="8702" xr:uid="{00000000-0005-0000-0000-00009F490000}"/>
    <cellStyle name="40% - Accent5 3 3 2 2 2 2" xfId="16672" xr:uid="{00000000-0005-0000-0000-0000A0490000}"/>
    <cellStyle name="40% - Accent5 3 3 2 2 2 2 2" xfId="40514" xr:uid="{87BAA6E8-6679-4757-925B-4A3D67A8618B}"/>
    <cellStyle name="40% - Accent5 3 3 2 2 2 3" xfId="24618" xr:uid="{00000000-0005-0000-0000-0000A1490000}"/>
    <cellStyle name="40% - Accent5 3 3 2 2 2 3 2" xfId="48450" xr:uid="{B53EAC3A-AD55-431D-B390-AA86EB774DC5}"/>
    <cellStyle name="40% - Accent5 3 3 2 2 2 4" xfId="32573" xr:uid="{B8D9DF22-233D-4DFF-B3A8-80F4E9754FBA}"/>
    <cellStyle name="40% - Accent5 3 3 2 2 3" xfId="13134" xr:uid="{00000000-0005-0000-0000-0000A2490000}"/>
    <cellStyle name="40% - Accent5 3 3 2 2 3 2" xfId="36983" xr:uid="{1A22F087-8BDC-47D2-BEA2-7AC885B582E7}"/>
    <cellStyle name="40% - Accent5 3 3 2 2 4" xfId="21089" xr:uid="{00000000-0005-0000-0000-0000A3490000}"/>
    <cellStyle name="40% - Accent5 3 3 2 2 4 2" xfId="44921" xr:uid="{8FB297C6-B4A5-474C-9A93-2BEEEB244035}"/>
    <cellStyle name="40% - Accent5 3 3 2 2 5" xfId="29042" xr:uid="{0F65A5D5-4377-40D2-9604-0826E81D61BC}"/>
    <cellStyle name="40% - Accent5 3 3 2 3" xfId="6943" xr:uid="{00000000-0005-0000-0000-0000A4490000}"/>
    <cellStyle name="40% - Accent5 3 3 2 3 2" xfId="14914" xr:uid="{00000000-0005-0000-0000-0000A5490000}"/>
    <cellStyle name="40% - Accent5 3 3 2 3 2 2" xfId="38756" xr:uid="{15ADC1FE-3DF4-4295-BC17-629A6C89D29B}"/>
    <cellStyle name="40% - Accent5 3 3 2 3 3" xfId="22861" xr:uid="{00000000-0005-0000-0000-0000A6490000}"/>
    <cellStyle name="40% - Accent5 3 3 2 3 3 2" xfId="46693" xr:uid="{0178221E-1ACD-48E2-B1AC-BEE95E09F79C}"/>
    <cellStyle name="40% - Accent5 3 3 2 3 4" xfId="30815" xr:uid="{0E432E74-5B14-42A9-82FF-4FEB8753B14C}"/>
    <cellStyle name="40% - Accent5 3 3 2 4" xfId="11378" xr:uid="{00000000-0005-0000-0000-0000A7490000}"/>
    <cellStyle name="40% - Accent5 3 3 2 4 2" xfId="35227" xr:uid="{E52A8E54-6892-420A-8935-10B4CA62A53F}"/>
    <cellStyle name="40% - Accent5 3 3 2 5" xfId="19333" xr:uid="{00000000-0005-0000-0000-0000A8490000}"/>
    <cellStyle name="40% - Accent5 3 3 2 5 2" xfId="43165" xr:uid="{05AEBC07-09A6-4428-AC26-8A6D94D7E33B}"/>
    <cellStyle name="40% - Accent5 3 3 2 6" xfId="27285" xr:uid="{2E3F9A87-95DA-4333-BC74-F2E30B86489D}"/>
    <cellStyle name="40% - Accent5 3 3 2_Exh G" xfId="3234" xr:uid="{00000000-0005-0000-0000-0000A9490000}"/>
    <cellStyle name="40% - Accent5 3 3 3" xfId="4232" xr:uid="{00000000-0005-0000-0000-0000AA490000}"/>
    <cellStyle name="40% - Accent5 3 3 3 2" xfId="7824" xr:uid="{00000000-0005-0000-0000-0000AB490000}"/>
    <cellStyle name="40% - Accent5 3 3 3 2 2" xfId="15794" xr:uid="{00000000-0005-0000-0000-0000AC490000}"/>
    <cellStyle name="40% - Accent5 3 3 3 2 2 2" xfId="39636" xr:uid="{89DA8947-082C-4D01-8A7E-2DB8CB5A85EE}"/>
    <cellStyle name="40% - Accent5 3 3 3 2 3" xfId="23740" xr:uid="{00000000-0005-0000-0000-0000AD490000}"/>
    <cellStyle name="40% - Accent5 3 3 3 2 3 2" xfId="47572" xr:uid="{DEFD0CBA-8BFA-4F79-92D3-D2B59F543009}"/>
    <cellStyle name="40% - Accent5 3 3 3 2 4" xfId="31695" xr:uid="{969205F7-D5E1-4ACE-980E-002CCADC8EE6}"/>
    <cellStyle name="40% - Accent5 3 3 3 3" xfId="12256" xr:uid="{00000000-0005-0000-0000-0000AE490000}"/>
    <cellStyle name="40% - Accent5 3 3 3 3 2" xfId="36105" xr:uid="{97D6EE6A-DC37-4B5F-843B-286CFBFB0F7F}"/>
    <cellStyle name="40% - Accent5 3 3 3 4" xfId="20211" xr:uid="{00000000-0005-0000-0000-0000AF490000}"/>
    <cellStyle name="40% - Accent5 3 3 3 4 2" xfId="44043" xr:uid="{63429705-017C-438F-BE3C-CE41DFEBCDB3}"/>
    <cellStyle name="40% - Accent5 3 3 3 5" xfId="28164" xr:uid="{FE2304B9-B5DD-4AE0-A475-3D15AB248585}"/>
    <cellStyle name="40% - Accent5 3 3 4" xfId="6052" xr:uid="{00000000-0005-0000-0000-0000B0490000}"/>
    <cellStyle name="40% - Accent5 3 3 4 2" xfId="14035" xr:uid="{00000000-0005-0000-0000-0000B1490000}"/>
    <cellStyle name="40% - Accent5 3 3 4 2 2" xfId="37878" xr:uid="{4A30A813-F1EF-4D96-A995-CDF1628687D1}"/>
    <cellStyle name="40% - Accent5 3 3 4 3" xfId="21983" xr:uid="{00000000-0005-0000-0000-0000B2490000}"/>
    <cellStyle name="40% - Accent5 3 3 4 3 2" xfId="45815" xr:uid="{18F2E630-3049-43F5-B4D9-228BCB500837}"/>
    <cellStyle name="40% - Accent5 3 3 4 4" xfId="29937" xr:uid="{D3C5786B-40B8-4AF9-BFC5-4C662EE9C659}"/>
    <cellStyle name="40% - Accent5 3 3 5" xfId="9604" xr:uid="{00000000-0005-0000-0000-0000B3490000}"/>
    <cellStyle name="40% - Accent5 3 3 5 2" xfId="17562" xr:uid="{00000000-0005-0000-0000-0000B4490000}"/>
    <cellStyle name="40% - Accent5 3 3 5 2 2" xfId="41402" xr:uid="{F1B02CED-26E0-498D-94F4-B98A737E5467}"/>
    <cellStyle name="40% - Accent5 3 3 5 3" xfId="25506" xr:uid="{00000000-0005-0000-0000-0000B5490000}"/>
    <cellStyle name="40% - Accent5 3 3 5 3 2" xfId="49338" xr:uid="{8085D5B1-109A-4BD3-8D18-C95F0ED33740}"/>
    <cellStyle name="40% - Accent5 3 3 5 4" xfId="33461" xr:uid="{1F277F19-148A-4E6E-A38B-6B76D5F23D31}"/>
    <cellStyle name="40% - Accent5 3 3 6" xfId="10500" xr:uid="{00000000-0005-0000-0000-0000B6490000}"/>
    <cellStyle name="40% - Accent5 3 3 6 2" xfId="34349" xr:uid="{B575BEC0-FD75-48FD-B77E-B60FC68598ED}"/>
    <cellStyle name="40% - Accent5 3 3 7" xfId="18455" xr:uid="{00000000-0005-0000-0000-0000B7490000}"/>
    <cellStyle name="40% - Accent5 3 3 7 2" xfId="42287" xr:uid="{FAE7FE11-05CA-43CA-BA5F-8D81290ECD63}"/>
    <cellStyle name="40% - Accent5 3 3 8" xfId="26407" xr:uid="{162FB753-12F5-4198-BD1F-C3E10B744E4C}"/>
    <cellStyle name="40% - Accent5 3 3_Exh G" xfId="3233" xr:uid="{00000000-0005-0000-0000-0000B8490000}"/>
    <cellStyle name="40% - Accent5 3 4" xfId="982" xr:uid="{00000000-0005-0000-0000-0000B9490000}"/>
    <cellStyle name="40% - Accent5 3 4 2" xfId="1894" xr:uid="{00000000-0005-0000-0000-0000BA490000}"/>
    <cellStyle name="40% - Accent5 3 4 2 2" xfId="5411" xr:uid="{00000000-0005-0000-0000-0000BB490000}"/>
    <cellStyle name="40% - Accent5 3 4 2 2 2" xfId="9002" xr:uid="{00000000-0005-0000-0000-0000BC490000}"/>
    <cellStyle name="40% - Accent5 3 4 2 2 2 2" xfId="16972" xr:uid="{00000000-0005-0000-0000-0000BD490000}"/>
    <cellStyle name="40% - Accent5 3 4 2 2 2 2 2" xfId="40814" xr:uid="{E74D49FE-1F9A-4DC2-9924-56D7B7486223}"/>
    <cellStyle name="40% - Accent5 3 4 2 2 2 3" xfId="24918" xr:uid="{00000000-0005-0000-0000-0000BE490000}"/>
    <cellStyle name="40% - Accent5 3 4 2 2 2 3 2" xfId="48750" xr:uid="{50D6694C-0B61-4239-8B56-A1C09DB273AD}"/>
    <cellStyle name="40% - Accent5 3 4 2 2 2 4" xfId="32873" xr:uid="{2A6DD492-BBFF-4EA7-B82F-F46AEA6B15A0}"/>
    <cellStyle name="40% - Accent5 3 4 2 2 3" xfId="13434" xr:uid="{00000000-0005-0000-0000-0000BF490000}"/>
    <cellStyle name="40% - Accent5 3 4 2 2 3 2" xfId="37283" xr:uid="{06EC4659-E0F0-4701-A356-4AA43A8D2848}"/>
    <cellStyle name="40% - Accent5 3 4 2 2 4" xfId="21389" xr:uid="{00000000-0005-0000-0000-0000C0490000}"/>
    <cellStyle name="40% - Accent5 3 4 2 2 4 2" xfId="45221" xr:uid="{58EF2731-33CE-41DF-B6C3-9BFA021B6286}"/>
    <cellStyle name="40% - Accent5 3 4 2 2 5" xfId="29342" xr:uid="{45B9331A-4558-48D6-8233-F0CD4659277A}"/>
    <cellStyle name="40% - Accent5 3 4 2 3" xfId="7243" xr:uid="{00000000-0005-0000-0000-0000C1490000}"/>
    <cellStyle name="40% - Accent5 3 4 2 3 2" xfId="15214" xr:uid="{00000000-0005-0000-0000-0000C2490000}"/>
    <cellStyle name="40% - Accent5 3 4 2 3 2 2" xfId="39056" xr:uid="{7CD40569-4E40-4058-83FB-D2294B66FA1A}"/>
    <cellStyle name="40% - Accent5 3 4 2 3 3" xfId="23161" xr:uid="{00000000-0005-0000-0000-0000C3490000}"/>
    <cellStyle name="40% - Accent5 3 4 2 3 3 2" xfId="46993" xr:uid="{D4D95F08-6B15-4AC3-AA70-E73EB22C8189}"/>
    <cellStyle name="40% - Accent5 3 4 2 3 4" xfId="31115" xr:uid="{33C74EB6-7DA8-4E0D-A886-42E95FECF38F}"/>
    <cellStyle name="40% - Accent5 3 4 2 4" xfId="11678" xr:uid="{00000000-0005-0000-0000-0000C4490000}"/>
    <cellStyle name="40% - Accent5 3 4 2 4 2" xfId="35527" xr:uid="{C8DA3702-4ACC-47A7-A484-2861E814E2AD}"/>
    <cellStyle name="40% - Accent5 3 4 2 5" xfId="19633" xr:uid="{00000000-0005-0000-0000-0000C5490000}"/>
    <cellStyle name="40% - Accent5 3 4 2 5 2" xfId="43465" xr:uid="{3BACBF3E-0160-4BCA-BAF5-E504EB8A5CC0}"/>
    <cellStyle name="40% - Accent5 3 4 2 6" xfId="27585" xr:uid="{EAD0D9B5-49AE-42EC-B5AD-30DA4178F6BB}"/>
    <cellStyle name="40% - Accent5 3 4 2_Exh G" xfId="3236" xr:uid="{00000000-0005-0000-0000-0000C6490000}"/>
    <cellStyle name="40% - Accent5 3 4 3" xfId="4532" xr:uid="{00000000-0005-0000-0000-0000C7490000}"/>
    <cellStyle name="40% - Accent5 3 4 3 2" xfId="8124" xr:uid="{00000000-0005-0000-0000-0000C8490000}"/>
    <cellStyle name="40% - Accent5 3 4 3 2 2" xfId="16094" xr:uid="{00000000-0005-0000-0000-0000C9490000}"/>
    <cellStyle name="40% - Accent5 3 4 3 2 2 2" xfId="39936" xr:uid="{DF910293-650A-4CEC-96AB-8685A4C5B001}"/>
    <cellStyle name="40% - Accent5 3 4 3 2 3" xfId="24040" xr:uid="{00000000-0005-0000-0000-0000CA490000}"/>
    <cellStyle name="40% - Accent5 3 4 3 2 3 2" xfId="47872" xr:uid="{430CF692-69FD-4163-9046-A0EA4D35FE6D}"/>
    <cellStyle name="40% - Accent5 3 4 3 2 4" xfId="31995" xr:uid="{24AB9931-BDB2-4596-AB04-96D104FC237B}"/>
    <cellStyle name="40% - Accent5 3 4 3 3" xfId="12556" xr:uid="{00000000-0005-0000-0000-0000CB490000}"/>
    <cellStyle name="40% - Accent5 3 4 3 3 2" xfId="36405" xr:uid="{8E991655-1719-4441-87DE-FEC06F9FB967}"/>
    <cellStyle name="40% - Accent5 3 4 3 4" xfId="20511" xr:uid="{00000000-0005-0000-0000-0000CC490000}"/>
    <cellStyle name="40% - Accent5 3 4 3 4 2" xfId="44343" xr:uid="{AE8EAE32-2D7C-4C6A-9B53-B06BD13DECE9}"/>
    <cellStyle name="40% - Accent5 3 4 3 5" xfId="28464" xr:uid="{20395252-9CA8-448D-8DEF-F31F1AB39DDF}"/>
    <cellStyle name="40% - Accent5 3 4 4" xfId="6362" xr:uid="{00000000-0005-0000-0000-0000CD490000}"/>
    <cellStyle name="40% - Accent5 3 4 4 2" xfId="14336" xr:uid="{00000000-0005-0000-0000-0000CE490000}"/>
    <cellStyle name="40% - Accent5 3 4 4 2 2" xfId="38178" xr:uid="{91194E62-0512-4681-AB2B-BED16FCB5535}"/>
    <cellStyle name="40% - Accent5 3 4 4 3" xfId="22283" xr:uid="{00000000-0005-0000-0000-0000CF490000}"/>
    <cellStyle name="40% - Accent5 3 4 4 3 2" xfId="46115" xr:uid="{881799BE-AE0A-4B07-BC9F-A73B314196C6}"/>
    <cellStyle name="40% - Accent5 3 4 4 4" xfId="30237" xr:uid="{EDDD6B99-7D29-4F90-ACE1-D5C518827618}"/>
    <cellStyle name="40% - Accent5 3 4 5" xfId="9904" xr:uid="{00000000-0005-0000-0000-0000D0490000}"/>
    <cellStyle name="40% - Accent5 3 4 5 2" xfId="17862" xr:uid="{00000000-0005-0000-0000-0000D1490000}"/>
    <cellStyle name="40% - Accent5 3 4 5 2 2" xfId="41702" xr:uid="{9B77FF2A-00FE-4385-B887-942A4F27F5FB}"/>
    <cellStyle name="40% - Accent5 3 4 5 3" xfId="25806" xr:uid="{00000000-0005-0000-0000-0000D2490000}"/>
    <cellStyle name="40% - Accent5 3 4 5 3 2" xfId="49638" xr:uid="{56136453-211C-4121-9520-6B1DB4938649}"/>
    <cellStyle name="40% - Accent5 3 4 5 4" xfId="33761" xr:uid="{615C3887-82CB-409B-8DD8-BA6D548F53D8}"/>
    <cellStyle name="40% - Accent5 3 4 6" xfId="10800" xr:uid="{00000000-0005-0000-0000-0000D3490000}"/>
    <cellStyle name="40% - Accent5 3 4 6 2" xfId="34649" xr:uid="{29484F6F-1723-45C0-AF0D-B2A8FDAD7BA7}"/>
    <cellStyle name="40% - Accent5 3 4 7" xfId="18755" xr:uid="{00000000-0005-0000-0000-0000D4490000}"/>
    <cellStyle name="40% - Accent5 3 4 7 2" xfId="42587" xr:uid="{317F2007-6539-4711-9F8D-49140294C532}"/>
    <cellStyle name="40% - Accent5 3 4 8" xfId="26707" xr:uid="{3CD2A999-3753-4EF0-9BAE-D284F09220E2}"/>
    <cellStyle name="40% - Accent5 3 4_Exh G" xfId="3235" xr:uid="{00000000-0005-0000-0000-0000D5490000}"/>
    <cellStyle name="40% - Accent5 3 5" xfId="1581" xr:uid="{00000000-0005-0000-0000-0000D6490000}"/>
    <cellStyle name="40% - Accent5 3 5 2" xfId="5108" xr:uid="{00000000-0005-0000-0000-0000D7490000}"/>
    <cellStyle name="40% - Accent5 3 5 2 2" xfId="8699" xr:uid="{00000000-0005-0000-0000-0000D8490000}"/>
    <cellStyle name="40% - Accent5 3 5 2 2 2" xfId="16669" xr:uid="{00000000-0005-0000-0000-0000D9490000}"/>
    <cellStyle name="40% - Accent5 3 5 2 2 2 2" xfId="40511" xr:uid="{FC409473-900F-4AED-BABB-5135A910109B}"/>
    <cellStyle name="40% - Accent5 3 5 2 2 3" xfId="24615" xr:uid="{00000000-0005-0000-0000-0000DA490000}"/>
    <cellStyle name="40% - Accent5 3 5 2 2 3 2" xfId="48447" xr:uid="{CDBD5878-2EA5-4964-BD4F-9FAB1087BB71}"/>
    <cellStyle name="40% - Accent5 3 5 2 2 4" xfId="32570" xr:uid="{703F0E77-F416-464D-9E4B-BB05D8329D80}"/>
    <cellStyle name="40% - Accent5 3 5 2 3" xfId="13131" xr:uid="{00000000-0005-0000-0000-0000DB490000}"/>
    <cellStyle name="40% - Accent5 3 5 2 3 2" xfId="36980" xr:uid="{7C51C6AD-0D28-4029-895D-1AEEEF065BE6}"/>
    <cellStyle name="40% - Accent5 3 5 2 4" xfId="21086" xr:uid="{00000000-0005-0000-0000-0000DC490000}"/>
    <cellStyle name="40% - Accent5 3 5 2 4 2" xfId="44918" xr:uid="{CDE13723-9AF7-4ED0-8172-F9BD274D32DB}"/>
    <cellStyle name="40% - Accent5 3 5 2 5" xfId="29039" xr:uid="{756ED1A9-FB0E-4748-BB50-E3EC7867299F}"/>
    <cellStyle name="40% - Accent5 3 5 3" xfId="6940" xr:uid="{00000000-0005-0000-0000-0000DD490000}"/>
    <cellStyle name="40% - Accent5 3 5 3 2" xfId="14911" xr:uid="{00000000-0005-0000-0000-0000DE490000}"/>
    <cellStyle name="40% - Accent5 3 5 3 2 2" xfId="38753" xr:uid="{BC0488AD-61D8-4884-B9EC-7BEFBD37AA09}"/>
    <cellStyle name="40% - Accent5 3 5 3 3" xfId="22858" xr:uid="{00000000-0005-0000-0000-0000DF490000}"/>
    <cellStyle name="40% - Accent5 3 5 3 3 2" xfId="46690" xr:uid="{F5E0E1F0-5565-4638-9C3D-D597289DA1A8}"/>
    <cellStyle name="40% - Accent5 3 5 3 4" xfId="30812" xr:uid="{7A1703B1-8D18-4E5C-BF74-9B8AA0A1EEE3}"/>
    <cellStyle name="40% - Accent5 3 5 4" xfId="11375" xr:uid="{00000000-0005-0000-0000-0000E0490000}"/>
    <cellStyle name="40% - Accent5 3 5 4 2" xfId="35224" xr:uid="{2C7414E1-74A3-4F47-AF6D-B0787DA27BC8}"/>
    <cellStyle name="40% - Accent5 3 5 5" xfId="19330" xr:uid="{00000000-0005-0000-0000-0000E1490000}"/>
    <cellStyle name="40% - Accent5 3 5 5 2" xfId="43162" xr:uid="{853888A8-EA20-48B5-AA80-4B255D3CB7BA}"/>
    <cellStyle name="40% - Accent5 3 5 6" xfId="27282" xr:uid="{D8E46739-FF40-4589-A618-751AB8B07F49}"/>
    <cellStyle name="40% - Accent5 3 5_Exh G" xfId="3237" xr:uid="{00000000-0005-0000-0000-0000E2490000}"/>
    <cellStyle name="40% - Accent5 3 6" xfId="4229" xr:uid="{00000000-0005-0000-0000-0000E3490000}"/>
    <cellStyle name="40% - Accent5 3 6 2" xfId="7821" xr:uid="{00000000-0005-0000-0000-0000E4490000}"/>
    <cellStyle name="40% - Accent5 3 6 2 2" xfId="15791" xr:uid="{00000000-0005-0000-0000-0000E5490000}"/>
    <cellStyle name="40% - Accent5 3 6 2 2 2" xfId="39633" xr:uid="{10CCAE57-B225-42FF-A867-871405923DD1}"/>
    <cellStyle name="40% - Accent5 3 6 2 3" xfId="23737" xr:uid="{00000000-0005-0000-0000-0000E6490000}"/>
    <cellStyle name="40% - Accent5 3 6 2 3 2" xfId="47569" xr:uid="{382A0D9D-4004-4C81-94CC-9F77F7347B16}"/>
    <cellStyle name="40% - Accent5 3 6 2 4" xfId="31692" xr:uid="{4B7FA2CB-F1F9-4044-801A-D7FF515CFD67}"/>
    <cellStyle name="40% - Accent5 3 6 3" xfId="12253" xr:uid="{00000000-0005-0000-0000-0000E7490000}"/>
    <cellStyle name="40% - Accent5 3 6 3 2" xfId="36102" xr:uid="{56FCB9A8-ABF7-41D1-B369-44336B3C5FFD}"/>
    <cellStyle name="40% - Accent5 3 6 4" xfId="20208" xr:uid="{00000000-0005-0000-0000-0000E8490000}"/>
    <cellStyle name="40% - Accent5 3 6 4 2" xfId="44040" xr:uid="{0CFB4C26-70FD-47E8-B6C7-6BF0079F3F50}"/>
    <cellStyle name="40% - Accent5 3 6 5" xfId="28161" xr:uid="{32F519A4-6F52-4C91-965B-B8E05C3E630B}"/>
    <cellStyle name="40% - Accent5 3 7" xfId="6049" xr:uid="{00000000-0005-0000-0000-0000E9490000}"/>
    <cellStyle name="40% - Accent5 3 7 2" xfId="14032" xr:uid="{00000000-0005-0000-0000-0000EA490000}"/>
    <cellStyle name="40% - Accent5 3 7 2 2" xfId="37875" xr:uid="{8F8B9858-E751-44E5-9C54-63B93B01F3EE}"/>
    <cellStyle name="40% - Accent5 3 7 3" xfId="21980" xr:uid="{00000000-0005-0000-0000-0000EB490000}"/>
    <cellStyle name="40% - Accent5 3 7 3 2" xfId="45812" xr:uid="{BF56F614-5164-472D-BF26-A35523C96DFC}"/>
    <cellStyle name="40% - Accent5 3 7 4" xfId="29934" xr:uid="{07974F91-8564-4FAB-8409-906C34F08A11}"/>
    <cellStyle name="40% - Accent5 3 8" xfId="9601" xr:uid="{00000000-0005-0000-0000-0000EC490000}"/>
    <cellStyle name="40% - Accent5 3 8 2" xfId="17559" xr:uid="{00000000-0005-0000-0000-0000ED490000}"/>
    <cellStyle name="40% - Accent5 3 8 2 2" xfId="41399" xr:uid="{22E6907B-87F6-4513-A2D0-2F941AC2AAF4}"/>
    <cellStyle name="40% - Accent5 3 8 3" xfId="25503" xr:uid="{00000000-0005-0000-0000-0000EE490000}"/>
    <cellStyle name="40% - Accent5 3 8 3 2" xfId="49335" xr:uid="{B9EEEC00-CE0A-43B6-B8B6-4CF5F4D87FA8}"/>
    <cellStyle name="40% - Accent5 3 8 4" xfId="33458" xr:uid="{EBBD570A-60FC-4E1B-8371-314B98D5AD93}"/>
    <cellStyle name="40% - Accent5 3 9" xfId="10497" xr:uid="{00000000-0005-0000-0000-0000EF490000}"/>
    <cellStyle name="40% - Accent5 3 9 2" xfId="34346" xr:uid="{F70FB123-4EE1-433F-AF1D-02A0965F0966}"/>
    <cellStyle name="40% - Accent5 3_Exh G" xfId="3226" xr:uid="{00000000-0005-0000-0000-0000F0490000}"/>
    <cellStyle name="40% - Accent5 4" xfId="559" xr:uid="{00000000-0005-0000-0000-0000F1490000}"/>
    <cellStyle name="40% - Accent5 4 10" xfId="18456" xr:uid="{00000000-0005-0000-0000-0000F2490000}"/>
    <cellStyle name="40% - Accent5 4 10 2" xfId="42288" xr:uid="{9A28B1E9-E68D-4B9C-921E-E26BAE7A09F4}"/>
    <cellStyle name="40% - Accent5 4 11" xfId="26408" xr:uid="{41857B9C-A009-4793-A68A-45E43A8319D3}"/>
    <cellStyle name="40% - Accent5 4 2" xfId="560" xr:uid="{00000000-0005-0000-0000-0000F3490000}"/>
    <cellStyle name="40% - Accent5 4 2 10" xfId="26409" xr:uid="{FB59D80B-23B4-4447-95BB-683617207197}"/>
    <cellStyle name="40% - Accent5 4 2 2" xfId="561" xr:uid="{00000000-0005-0000-0000-0000F4490000}"/>
    <cellStyle name="40% - Accent5 4 2 2 2" xfId="1587" xr:uid="{00000000-0005-0000-0000-0000F5490000}"/>
    <cellStyle name="40% - Accent5 4 2 2 2 2" xfId="5114" xr:uid="{00000000-0005-0000-0000-0000F6490000}"/>
    <cellStyle name="40% - Accent5 4 2 2 2 2 2" xfId="8705" xr:uid="{00000000-0005-0000-0000-0000F7490000}"/>
    <cellStyle name="40% - Accent5 4 2 2 2 2 2 2" xfId="16675" xr:uid="{00000000-0005-0000-0000-0000F8490000}"/>
    <cellStyle name="40% - Accent5 4 2 2 2 2 2 2 2" xfId="40517" xr:uid="{01BBF4B5-15B0-438A-9CED-3AD2A75E6341}"/>
    <cellStyle name="40% - Accent5 4 2 2 2 2 2 3" xfId="24621" xr:uid="{00000000-0005-0000-0000-0000F9490000}"/>
    <cellStyle name="40% - Accent5 4 2 2 2 2 2 3 2" xfId="48453" xr:uid="{AEF9FE3A-040D-4CF0-BC4B-669A5EF64A85}"/>
    <cellStyle name="40% - Accent5 4 2 2 2 2 2 4" xfId="32576" xr:uid="{61A3C182-D762-45CE-A52C-AEB95595593E}"/>
    <cellStyle name="40% - Accent5 4 2 2 2 2 3" xfId="13137" xr:uid="{00000000-0005-0000-0000-0000FA490000}"/>
    <cellStyle name="40% - Accent5 4 2 2 2 2 3 2" xfId="36986" xr:uid="{9C30699B-447C-4E28-85D5-FE2AF92F1BB5}"/>
    <cellStyle name="40% - Accent5 4 2 2 2 2 4" xfId="21092" xr:uid="{00000000-0005-0000-0000-0000FB490000}"/>
    <cellStyle name="40% - Accent5 4 2 2 2 2 4 2" xfId="44924" xr:uid="{924C03EC-CF8D-4F37-84CD-5812C86219FF}"/>
    <cellStyle name="40% - Accent5 4 2 2 2 2 5" xfId="29045" xr:uid="{3D8719FC-2A71-4F89-8C56-F738E91AA195}"/>
    <cellStyle name="40% - Accent5 4 2 2 2 3" xfId="6946" xr:uid="{00000000-0005-0000-0000-0000FC490000}"/>
    <cellStyle name="40% - Accent5 4 2 2 2 3 2" xfId="14917" xr:uid="{00000000-0005-0000-0000-0000FD490000}"/>
    <cellStyle name="40% - Accent5 4 2 2 2 3 2 2" xfId="38759" xr:uid="{9C05245B-FCB3-4CB9-B172-EAD3C031D336}"/>
    <cellStyle name="40% - Accent5 4 2 2 2 3 3" xfId="22864" xr:uid="{00000000-0005-0000-0000-0000FE490000}"/>
    <cellStyle name="40% - Accent5 4 2 2 2 3 3 2" xfId="46696" xr:uid="{0284021D-5723-423C-BA78-44166A15EFB5}"/>
    <cellStyle name="40% - Accent5 4 2 2 2 3 4" xfId="30818" xr:uid="{0228D913-19B8-4BFC-A803-C288D5A58555}"/>
    <cellStyle name="40% - Accent5 4 2 2 2 4" xfId="11381" xr:uid="{00000000-0005-0000-0000-0000FF490000}"/>
    <cellStyle name="40% - Accent5 4 2 2 2 4 2" xfId="35230" xr:uid="{5D4C26DC-88E4-483D-8F01-1006D02E7B86}"/>
    <cellStyle name="40% - Accent5 4 2 2 2 5" xfId="19336" xr:uid="{00000000-0005-0000-0000-0000004A0000}"/>
    <cellStyle name="40% - Accent5 4 2 2 2 5 2" xfId="43168" xr:uid="{C2680909-BDAD-4377-ABDE-30225A511734}"/>
    <cellStyle name="40% - Accent5 4 2 2 2 6" xfId="27288" xr:uid="{1BA79D39-6741-4901-AA82-2C2D7CDF8A2C}"/>
    <cellStyle name="40% - Accent5 4 2 2 2_Exh G" xfId="3241" xr:uid="{00000000-0005-0000-0000-0000014A0000}"/>
    <cellStyle name="40% - Accent5 4 2 2 3" xfId="4235" xr:uid="{00000000-0005-0000-0000-0000024A0000}"/>
    <cellStyle name="40% - Accent5 4 2 2 3 2" xfId="7827" xr:uid="{00000000-0005-0000-0000-0000034A0000}"/>
    <cellStyle name="40% - Accent5 4 2 2 3 2 2" xfId="15797" xr:uid="{00000000-0005-0000-0000-0000044A0000}"/>
    <cellStyle name="40% - Accent5 4 2 2 3 2 2 2" xfId="39639" xr:uid="{C27837C1-3E23-4B01-836F-DD62B135771C}"/>
    <cellStyle name="40% - Accent5 4 2 2 3 2 3" xfId="23743" xr:uid="{00000000-0005-0000-0000-0000054A0000}"/>
    <cellStyle name="40% - Accent5 4 2 2 3 2 3 2" xfId="47575" xr:uid="{40F5A87F-3DB2-4F42-B6B8-47634D016BA6}"/>
    <cellStyle name="40% - Accent5 4 2 2 3 2 4" xfId="31698" xr:uid="{1896DA38-DD98-4837-8031-5413B012FE8F}"/>
    <cellStyle name="40% - Accent5 4 2 2 3 3" xfId="12259" xr:uid="{00000000-0005-0000-0000-0000064A0000}"/>
    <cellStyle name="40% - Accent5 4 2 2 3 3 2" xfId="36108" xr:uid="{B2351E0A-FBEF-42C5-A867-CC741D4DF05F}"/>
    <cellStyle name="40% - Accent5 4 2 2 3 4" xfId="20214" xr:uid="{00000000-0005-0000-0000-0000074A0000}"/>
    <cellStyle name="40% - Accent5 4 2 2 3 4 2" xfId="44046" xr:uid="{E1553B24-B3AF-4E82-AC3C-4AC3703E1BDC}"/>
    <cellStyle name="40% - Accent5 4 2 2 3 5" xfId="28167" xr:uid="{8C5823E0-2111-4547-B1EE-28731B9D48C2}"/>
    <cellStyle name="40% - Accent5 4 2 2 4" xfId="6055" xr:uid="{00000000-0005-0000-0000-0000084A0000}"/>
    <cellStyle name="40% - Accent5 4 2 2 4 2" xfId="14038" xr:uid="{00000000-0005-0000-0000-0000094A0000}"/>
    <cellStyle name="40% - Accent5 4 2 2 4 2 2" xfId="37881" xr:uid="{468B693A-76C3-4E55-9C65-CF72B0BE7D37}"/>
    <cellStyle name="40% - Accent5 4 2 2 4 3" xfId="21986" xr:uid="{00000000-0005-0000-0000-00000A4A0000}"/>
    <cellStyle name="40% - Accent5 4 2 2 4 3 2" xfId="45818" xr:uid="{27A37E7E-C0B8-48C8-885E-9E11F88D7153}"/>
    <cellStyle name="40% - Accent5 4 2 2 4 4" xfId="29940" xr:uid="{48C88CBE-4FD8-4818-8F9A-F77F3EB067A3}"/>
    <cellStyle name="40% - Accent5 4 2 2 5" xfId="9607" xr:uid="{00000000-0005-0000-0000-00000B4A0000}"/>
    <cellStyle name="40% - Accent5 4 2 2 5 2" xfId="17565" xr:uid="{00000000-0005-0000-0000-00000C4A0000}"/>
    <cellStyle name="40% - Accent5 4 2 2 5 2 2" xfId="41405" xr:uid="{AB963BED-9724-42B5-B18D-ABAFBE778A6F}"/>
    <cellStyle name="40% - Accent5 4 2 2 5 3" xfId="25509" xr:uid="{00000000-0005-0000-0000-00000D4A0000}"/>
    <cellStyle name="40% - Accent5 4 2 2 5 3 2" xfId="49341" xr:uid="{0A17A2D8-8768-4C26-9709-E323434A0A99}"/>
    <cellStyle name="40% - Accent5 4 2 2 5 4" xfId="33464" xr:uid="{98DFA050-ACC6-4AC5-A8F1-DFF7C745A814}"/>
    <cellStyle name="40% - Accent5 4 2 2 6" xfId="10503" xr:uid="{00000000-0005-0000-0000-00000E4A0000}"/>
    <cellStyle name="40% - Accent5 4 2 2 6 2" xfId="34352" xr:uid="{785B3882-002D-400E-A074-F0F8653BE85E}"/>
    <cellStyle name="40% - Accent5 4 2 2 7" xfId="18458" xr:uid="{00000000-0005-0000-0000-00000F4A0000}"/>
    <cellStyle name="40% - Accent5 4 2 2 7 2" xfId="42290" xr:uid="{CCBD72EA-66F0-4F60-AC27-81B6003408A2}"/>
    <cellStyle name="40% - Accent5 4 2 2 8" xfId="26410" xr:uid="{94216271-D4DC-420B-B482-AA57D074E205}"/>
    <cellStyle name="40% - Accent5 4 2 2_Exh G" xfId="3240" xr:uid="{00000000-0005-0000-0000-0000104A0000}"/>
    <cellStyle name="40% - Accent5 4 2 3" xfId="985" xr:uid="{00000000-0005-0000-0000-0000114A0000}"/>
    <cellStyle name="40% - Accent5 4 2 3 2" xfId="1897" xr:uid="{00000000-0005-0000-0000-0000124A0000}"/>
    <cellStyle name="40% - Accent5 4 2 3 2 2" xfId="5414" xr:uid="{00000000-0005-0000-0000-0000134A0000}"/>
    <cellStyle name="40% - Accent5 4 2 3 2 2 2" xfId="9005" xr:uid="{00000000-0005-0000-0000-0000144A0000}"/>
    <cellStyle name="40% - Accent5 4 2 3 2 2 2 2" xfId="16975" xr:uid="{00000000-0005-0000-0000-0000154A0000}"/>
    <cellStyle name="40% - Accent5 4 2 3 2 2 2 2 2" xfId="40817" xr:uid="{764E7F38-2C26-482E-9A69-F12251AC9220}"/>
    <cellStyle name="40% - Accent5 4 2 3 2 2 2 3" xfId="24921" xr:uid="{00000000-0005-0000-0000-0000164A0000}"/>
    <cellStyle name="40% - Accent5 4 2 3 2 2 2 3 2" xfId="48753" xr:uid="{608E6F21-D186-48E9-82EE-190FB5A4DB37}"/>
    <cellStyle name="40% - Accent5 4 2 3 2 2 2 4" xfId="32876" xr:uid="{634D2D03-471F-4BC6-9117-2585AEFF6BB4}"/>
    <cellStyle name="40% - Accent5 4 2 3 2 2 3" xfId="13437" xr:uid="{00000000-0005-0000-0000-0000174A0000}"/>
    <cellStyle name="40% - Accent5 4 2 3 2 2 3 2" xfId="37286" xr:uid="{0CE766E8-66BA-4D74-A785-C7A2BC1BF7BF}"/>
    <cellStyle name="40% - Accent5 4 2 3 2 2 4" xfId="21392" xr:uid="{00000000-0005-0000-0000-0000184A0000}"/>
    <cellStyle name="40% - Accent5 4 2 3 2 2 4 2" xfId="45224" xr:uid="{93D8F364-D4F4-44E1-ABA7-618F9F5A4DED}"/>
    <cellStyle name="40% - Accent5 4 2 3 2 2 5" xfId="29345" xr:uid="{49261B83-4648-4A49-B70F-5A39EC85EF98}"/>
    <cellStyle name="40% - Accent5 4 2 3 2 3" xfId="7246" xr:uid="{00000000-0005-0000-0000-0000194A0000}"/>
    <cellStyle name="40% - Accent5 4 2 3 2 3 2" xfId="15217" xr:uid="{00000000-0005-0000-0000-00001A4A0000}"/>
    <cellStyle name="40% - Accent5 4 2 3 2 3 2 2" xfId="39059" xr:uid="{47863F7E-4A6B-4A79-AC4C-CC7A0CC7932D}"/>
    <cellStyle name="40% - Accent5 4 2 3 2 3 3" xfId="23164" xr:uid="{00000000-0005-0000-0000-00001B4A0000}"/>
    <cellStyle name="40% - Accent5 4 2 3 2 3 3 2" xfId="46996" xr:uid="{053FBCAF-3577-49A5-9CC2-E548C3041B3A}"/>
    <cellStyle name="40% - Accent5 4 2 3 2 3 4" xfId="31118" xr:uid="{45D4EFD7-1568-40F9-8EAC-E4C0C7838FF1}"/>
    <cellStyle name="40% - Accent5 4 2 3 2 4" xfId="11681" xr:uid="{00000000-0005-0000-0000-00001C4A0000}"/>
    <cellStyle name="40% - Accent5 4 2 3 2 4 2" xfId="35530" xr:uid="{B6FD8C41-7157-4729-914B-C2B3DEC75FCD}"/>
    <cellStyle name="40% - Accent5 4 2 3 2 5" xfId="19636" xr:uid="{00000000-0005-0000-0000-00001D4A0000}"/>
    <cellStyle name="40% - Accent5 4 2 3 2 5 2" xfId="43468" xr:uid="{958E9B6B-8E4D-458C-A985-FFC34FB63F05}"/>
    <cellStyle name="40% - Accent5 4 2 3 2 6" xfId="27588" xr:uid="{9A6A0065-DCAB-4444-9B84-577DD5FFD47A}"/>
    <cellStyle name="40% - Accent5 4 2 3 2_Exh G" xfId="3243" xr:uid="{00000000-0005-0000-0000-00001E4A0000}"/>
    <cellStyle name="40% - Accent5 4 2 3 3" xfId="4535" xr:uid="{00000000-0005-0000-0000-00001F4A0000}"/>
    <cellStyle name="40% - Accent5 4 2 3 3 2" xfId="8127" xr:uid="{00000000-0005-0000-0000-0000204A0000}"/>
    <cellStyle name="40% - Accent5 4 2 3 3 2 2" xfId="16097" xr:uid="{00000000-0005-0000-0000-0000214A0000}"/>
    <cellStyle name="40% - Accent5 4 2 3 3 2 2 2" xfId="39939" xr:uid="{5360E8ED-DBE2-47FE-9DB0-6C0049ECA140}"/>
    <cellStyle name="40% - Accent5 4 2 3 3 2 3" xfId="24043" xr:uid="{00000000-0005-0000-0000-0000224A0000}"/>
    <cellStyle name="40% - Accent5 4 2 3 3 2 3 2" xfId="47875" xr:uid="{5BF73250-317C-4563-95EF-33B041BFC79C}"/>
    <cellStyle name="40% - Accent5 4 2 3 3 2 4" xfId="31998" xr:uid="{5E0109E7-5CD7-43AE-A24C-F62C15E3AAC3}"/>
    <cellStyle name="40% - Accent5 4 2 3 3 3" xfId="12559" xr:uid="{00000000-0005-0000-0000-0000234A0000}"/>
    <cellStyle name="40% - Accent5 4 2 3 3 3 2" xfId="36408" xr:uid="{448D5D49-43F7-4B39-88E4-31E4BE6DD65A}"/>
    <cellStyle name="40% - Accent5 4 2 3 3 4" xfId="20514" xr:uid="{00000000-0005-0000-0000-0000244A0000}"/>
    <cellStyle name="40% - Accent5 4 2 3 3 4 2" xfId="44346" xr:uid="{B243A5E4-6F96-4FD3-8B3F-70B428633FCA}"/>
    <cellStyle name="40% - Accent5 4 2 3 3 5" xfId="28467" xr:uid="{95130352-CC24-49B4-B7F3-F5FAA31B49F6}"/>
    <cellStyle name="40% - Accent5 4 2 3 4" xfId="6365" xr:uid="{00000000-0005-0000-0000-0000254A0000}"/>
    <cellStyle name="40% - Accent5 4 2 3 4 2" xfId="14339" xr:uid="{00000000-0005-0000-0000-0000264A0000}"/>
    <cellStyle name="40% - Accent5 4 2 3 4 2 2" xfId="38181" xr:uid="{BBAA5715-D4D8-41D0-8D04-474F0B962669}"/>
    <cellStyle name="40% - Accent5 4 2 3 4 3" xfId="22286" xr:uid="{00000000-0005-0000-0000-0000274A0000}"/>
    <cellStyle name="40% - Accent5 4 2 3 4 3 2" xfId="46118" xr:uid="{9AB9DEB7-CC9A-41F1-B7A6-F9A1BA0AB78C}"/>
    <cellStyle name="40% - Accent5 4 2 3 4 4" xfId="30240" xr:uid="{FD8C6D45-1C98-477C-B157-C9214C173B80}"/>
    <cellStyle name="40% - Accent5 4 2 3 5" xfId="9907" xr:uid="{00000000-0005-0000-0000-0000284A0000}"/>
    <cellStyle name="40% - Accent5 4 2 3 5 2" xfId="17865" xr:uid="{00000000-0005-0000-0000-0000294A0000}"/>
    <cellStyle name="40% - Accent5 4 2 3 5 2 2" xfId="41705" xr:uid="{C9637E72-5589-4EED-BB12-C0D288A18434}"/>
    <cellStyle name="40% - Accent5 4 2 3 5 3" xfId="25809" xr:uid="{00000000-0005-0000-0000-00002A4A0000}"/>
    <cellStyle name="40% - Accent5 4 2 3 5 3 2" xfId="49641" xr:uid="{DDACCD38-BA9C-4C83-8430-140D93844722}"/>
    <cellStyle name="40% - Accent5 4 2 3 5 4" xfId="33764" xr:uid="{547A1151-AFDC-4704-AF7E-C5CBA859DE17}"/>
    <cellStyle name="40% - Accent5 4 2 3 6" xfId="10803" xr:uid="{00000000-0005-0000-0000-00002B4A0000}"/>
    <cellStyle name="40% - Accent5 4 2 3 6 2" xfId="34652" xr:uid="{41DC0B44-2AF2-47C3-ACFE-22853AA10FE8}"/>
    <cellStyle name="40% - Accent5 4 2 3 7" xfId="18758" xr:uid="{00000000-0005-0000-0000-00002C4A0000}"/>
    <cellStyle name="40% - Accent5 4 2 3 7 2" xfId="42590" xr:uid="{0E7462E1-1970-48CC-841A-87D99751953A}"/>
    <cellStyle name="40% - Accent5 4 2 3 8" xfId="26710" xr:uid="{3C3FDA38-463D-422B-B838-492FD9A4D367}"/>
    <cellStyle name="40% - Accent5 4 2 3_Exh G" xfId="3242" xr:uid="{00000000-0005-0000-0000-00002D4A0000}"/>
    <cellStyle name="40% - Accent5 4 2 4" xfId="1586" xr:uid="{00000000-0005-0000-0000-00002E4A0000}"/>
    <cellStyle name="40% - Accent5 4 2 4 2" xfId="5113" xr:uid="{00000000-0005-0000-0000-00002F4A0000}"/>
    <cellStyle name="40% - Accent5 4 2 4 2 2" xfId="8704" xr:uid="{00000000-0005-0000-0000-0000304A0000}"/>
    <cellStyle name="40% - Accent5 4 2 4 2 2 2" xfId="16674" xr:uid="{00000000-0005-0000-0000-0000314A0000}"/>
    <cellStyle name="40% - Accent5 4 2 4 2 2 2 2" xfId="40516" xr:uid="{DB7F6D3B-D89D-470A-AA36-434C5FAA8D0E}"/>
    <cellStyle name="40% - Accent5 4 2 4 2 2 3" xfId="24620" xr:uid="{00000000-0005-0000-0000-0000324A0000}"/>
    <cellStyle name="40% - Accent5 4 2 4 2 2 3 2" xfId="48452" xr:uid="{8D4AFB8E-5965-4B76-8E54-DC27AFF66DE7}"/>
    <cellStyle name="40% - Accent5 4 2 4 2 2 4" xfId="32575" xr:uid="{22A18363-3D57-4B30-92A2-696C33B72AA6}"/>
    <cellStyle name="40% - Accent5 4 2 4 2 3" xfId="13136" xr:uid="{00000000-0005-0000-0000-0000334A0000}"/>
    <cellStyle name="40% - Accent5 4 2 4 2 3 2" xfId="36985" xr:uid="{EE39C35E-FD82-4A37-94EC-3371FB073373}"/>
    <cellStyle name="40% - Accent5 4 2 4 2 4" xfId="21091" xr:uid="{00000000-0005-0000-0000-0000344A0000}"/>
    <cellStyle name="40% - Accent5 4 2 4 2 4 2" xfId="44923" xr:uid="{878F9EBF-9053-466E-BA3B-84C60D22C2EC}"/>
    <cellStyle name="40% - Accent5 4 2 4 2 5" xfId="29044" xr:uid="{714FDC97-C43B-49F2-B11E-FDC94939D3E2}"/>
    <cellStyle name="40% - Accent5 4 2 4 3" xfId="6945" xr:uid="{00000000-0005-0000-0000-0000354A0000}"/>
    <cellStyle name="40% - Accent5 4 2 4 3 2" xfId="14916" xr:uid="{00000000-0005-0000-0000-0000364A0000}"/>
    <cellStyle name="40% - Accent5 4 2 4 3 2 2" xfId="38758" xr:uid="{D1AB00E6-5249-41A6-95F0-E3A51B5F5449}"/>
    <cellStyle name="40% - Accent5 4 2 4 3 3" xfId="22863" xr:uid="{00000000-0005-0000-0000-0000374A0000}"/>
    <cellStyle name="40% - Accent5 4 2 4 3 3 2" xfId="46695" xr:uid="{66C94687-04F8-41F0-BD7D-DAF5147ED9F1}"/>
    <cellStyle name="40% - Accent5 4 2 4 3 4" xfId="30817" xr:uid="{4BAB61F2-98CD-4B73-A4CD-ACFB8721C8AA}"/>
    <cellStyle name="40% - Accent5 4 2 4 4" xfId="11380" xr:uid="{00000000-0005-0000-0000-0000384A0000}"/>
    <cellStyle name="40% - Accent5 4 2 4 4 2" xfId="35229" xr:uid="{86C13FF9-2920-4BBE-9668-29326F7B4EBA}"/>
    <cellStyle name="40% - Accent5 4 2 4 5" xfId="19335" xr:uid="{00000000-0005-0000-0000-0000394A0000}"/>
    <cellStyle name="40% - Accent5 4 2 4 5 2" xfId="43167" xr:uid="{DBD15C57-FE73-446C-AB1F-A0900928EA75}"/>
    <cellStyle name="40% - Accent5 4 2 4 6" xfId="27287" xr:uid="{EC08CAB1-7441-4D4C-9EB6-27639AC80B08}"/>
    <cellStyle name="40% - Accent5 4 2 4_Exh G" xfId="3244" xr:uid="{00000000-0005-0000-0000-00003A4A0000}"/>
    <cellStyle name="40% - Accent5 4 2 5" xfId="4234" xr:uid="{00000000-0005-0000-0000-00003B4A0000}"/>
    <cellStyle name="40% - Accent5 4 2 5 2" xfId="7826" xr:uid="{00000000-0005-0000-0000-00003C4A0000}"/>
    <cellStyle name="40% - Accent5 4 2 5 2 2" xfId="15796" xr:uid="{00000000-0005-0000-0000-00003D4A0000}"/>
    <cellStyle name="40% - Accent5 4 2 5 2 2 2" xfId="39638" xr:uid="{EEBA0195-23BE-463B-8A3E-B69FFFA137FA}"/>
    <cellStyle name="40% - Accent5 4 2 5 2 3" xfId="23742" xr:uid="{00000000-0005-0000-0000-00003E4A0000}"/>
    <cellStyle name="40% - Accent5 4 2 5 2 3 2" xfId="47574" xr:uid="{71A3B615-13AF-42D9-A75C-ABD8A3CA2D99}"/>
    <cellStyle name="40% - Accent5 4 2 5 2 4" xfId="31697" xr:uid="{5303ED0B-AC1E-4957-A48E-BD9A0A746108}"/>
    <cellStyle name="40% - Accent5 4 2 5 3" xfId="12258" xr:uid="{00000000-0005-0000-0000-00003F4A0000}"/>
    <cellStyle name="40% - Accent5 4 2 5 3 2" xfId="36107" xr:uid="{A9C7E61D-CB04-4339-8359-0348D64E1003}"/>
    <cellStyle name="40% - Accent5 4 2 5 4" xfId="20213" xr:uid="{00000000-0005-0000-0000-0000404A0000}"/>
    <cellStyle name="40% - Accent5 4 2 5 4 2" xfId="44045" xr:uid="{E2CA22AB-CE09-407D-92A7-48D0F4A6C94A}"/>
    <cellStyle name="40% - Accent5 4 2 5 5" xfId="28166" xr:uid="{FE3C3BB0-5AD6-4FAB-A758-C6FB77A91494}"/>
    <cellStyle name="40% - Accent5 4 2 6" xfId="6054" xr:uid="{00000000-0005-0000-0000-0000414A0000}"/>
    <cellStyle name="40% - Accent5 4 2 6 2" xfId="14037" xr:uid="{00000000-0005-0000-0000-0000424A0000}"/>
    <cellStyle name="40% - Accent5 4 2 6 2 2" xfId="37880" xr:uid="{0C0073E5-3B87-4492-9360-070F1B353D96}"/>
    <cellStyle name="40% - Accent5 4 2 6 3" xfId="21985" xr:uid="{00000000-0005-0000-0000-0000434A0000}"/>
    <cellStyle name="40% - Accent5 4 2 6 3 2" xfId="45817" xr:uid="{6CB6F097-0368-4FD6-B01A-2C2EF8431C60}"/>
    <cellStyle name="40% - Accent5 4 2 6 4" xfId="29939" xr:uid="{E77D82BB-05E6-4911-BD0F-5A6DCDAFE8BF}"/>
    <cellStyle name="40% - Accent5 4 2 7" xfId="9606" xr:uid="{00000000-0005-0000-0000-0000444A0000}"/>
    <cellStyle name="40% - Accent5 4 2 7 2" xfId="17564" xr:uid="{00000000-0005-0000-0000-0000454A0000}"/>
    <cellStyle name="40% - Accent5 4 2 7 2 2" xfId="41404" xr:uid="{AE98ACA6-4CEB-4D70-A845-C08C140D900E}"/>
    <cellStyle name="40% - Accent5 4 2 7 3" xfId="25508" xr:uid="{00000000-0005-0000-0000-0000464A0000}"/>
    <cellStyle name="40% - Accent5 4 2 7 3 2" xfId="49340" xr:uid="{B2046A02-2871-43DC-A4AE-746434BF09FA}"/>
    <cellStyle name="40% - Accent5 4 2 7 4" xfId="33463" xr:uid="{7BB60851-FB5D-40B2-BF5A-517F6C7F8A4A}"/>
    <cellStyle name="40% - Accent5 4 2 8" xfId="10502" xr:uid="{00000000-0005-0000-0000-0000474A0000}"/>
    <cellStyle name="40% - Accent5 4 2 8 2" xfId="34351" xr:uid="{C412CB26-4272-44BD-8CD8-B17DF1A0D56C}"/>
    <cellStyle name="40% - Accent5 4 2 9" xfId="18457" xr:uid="{00000000-0005-0000-0000-0000484A0000}"/>
    <cellStyle name="40% - Accent5 4 2 9 2" xfId="42289" xr:uid="{D6CC8E48-8D87-4A9E-804D-8116A81DF507}"/>
    <cellStyle name="40% - Accent5 4 2_Exh G" xfId="3239" xr:uid="{00000000-0005-0000-0000-0000494A0000}"/>
    <cellStyle name="40% - Accent5 4 3" xfId="562" xr:uid="{00000000-0005-0000-0000-00004A4A0000}"/>
    <cellStyle name="40% - Accent5 4 3 2" xfId="1588" xr:uid="{00000000-0005-0000-0000-00004B4A0000}"/>
    <cellStyle name="40% - Accent5 4 3 2 2" xfId="5115" xr:uid="{00000000-0005-0000-0000-00004C4A0000}"/>
    <cellStyle name="40% - Accent5 4 3 2 2 2" xfId="8706" xr:uid="{00000000-0005-0000-0000-00004D4A0000}"/>
    <cellStyle name="40% - Accent5 4 3 2 2 2 2" xfId="16676" xr:uid="{00000000-0005-0000-0000-00004E4A0000}"/>
    <cellStyle name="40% - Accent5 4 3 2 2 2 2 2" xfId="40518" xr:uid="{6CD1F3E8-F97B-412E-9CCC-486D53FA7233}"/>
    <cellStyle name="40% - Accent5 4 3 2 2 2 3" xfId="24622" xr:uid="{00000000-0005-0000-0000-00004F4A0000}"/>
    <cellStyle name="40% - Accent5 4 3 2 2 2 3 2" xfId="48454" xr:uid="{E600CD0B-8AE7-422C-8F98-2849BFCB9D38}"/>
    <cellStyle name="40% - Accent5 4 3 2 2 2 4" xfId="32577" xr:uid="{D4304ADC-BD1C-4357-8EDA-25355574A50C}"/>
    <cellStyle name="40% - Accent5 4 3 2 2 3" xfId="13138" xr:uid="{00000000-0005-0000-0000-0000504A0000}"/>
    <cellStyle name="40% - Accent5 4 3 2 2 3 2" xfId="36987" xr:uid="{92BB9EE7-32E1-45A9-BC76-D866DC11BB2E}"/>
    <cellStyle name="40% - Accent5 4 3 2 2 4" xfId="21093" xr:uid="{00000000-0005-0000-0000-0000514A0000}"/>
    <cellStyle name="40% - Accent5 4 3 2 2 4 2" xfId="44925" xr:uid="{54952375-E0C4-44B6-B8A5-FA3B2EC72979}"/>
    <cellStyle name="40% - Accent5 4 3 2 2 5" xfId="29046" xr:uid="{8AD18F4F-BDA9-4F08-88C6-5DD5B7727525}"/>
    <cellStyle name="40% - Accent5 4 3 2 3" xfId="6947" xr:uid="{00000000-0005-0000-0000-0000524A0000}"/>
    <cellStyle name="40% - Accent5 4 3 2 3 2" xfId="14918" xr:uid="{00000000-0005-0000-0000-0000534A0000}"/>
    <cellStyle name="40% - Accent5 4 3 2 3 2 2" xfId="38760" xr:uid="{F679D34A-A5EC-4862-9A5B-CE74778DF47B}"/>
    <cellStyle name="40% - Accent5 4 3 2 3 3" xfId="22865" xr:uid="{00000000-0005-0000-0000-0000544A0000}"/>
    <cellStyle name="40% - Accent5 4 3 2 3 3 2" xfId="46697" xr:uid="{DF9611E1-E284-4E6F-B36D-07DADBD7C698}"/>
    <cellStyle name="40% - Accent5 4 3 2 3 4" xfId="30819" xr:uid="{143C479D-3EB7-46FE-96DD-A18B998419E9}"/>
    <cellStyle name="40% - Accent5 4 3 2 4" xfId="11382" xr:uid="{00000000-0005-0000-0000-0000554A0000}"/>
    <cellStyle name="40% - Accent5 4 3 2 4 2" xfId="35231" xr:uid="{B6317E14-E0C4-41B2-AA62-35A297FC496D}"/>
    <cellStyle name="40% - Accent5 4 3 2 5" xfId="19337" xr:uid="{00000000-0005-0000-0000-0000564A0000}"/>
    <cellStyle name="40% - Accent5 4 3 2 5 2" xfId="43169" xr:uid="{85AA867A-0D19-4C18-BB63-76C0D61CE4C8}"/>
    <cellStyle name="40% - Accent5 4 3 2 6" xfId="27289" xr:uid="{67447473-A2E7-491D-A917-9CD66ACC5DB0}"/>
    <cellStyle name="40% - Accent5 4 3 2_Exh G" xfId="3246" xr:uid="{00000000-0005-0000-0000-0000574A0000}"/>
    <cellStyle name="40% - Accent5 4 3 3" xfId="4236" xr:uid="{00000000-0005-0000-0000-0000584A0000}"/>
    <cellStyle name="40% - Accent5 4 3 3 2" xfId="7828" xr:uid="{00000000-0005-0000-0000-0000594A0000}"/>
    <cellStyle name="40% - Accent5 4 3 3 2 2" xfId="15798" xr:uid="{00000000-0005-0000-0000-00005A4A0000}"/>
    <cellStyle name="40% - Accent5 4 3 3 2 2 2" xfId="39640" xr:uid="{8F6FD564-8FAA-4913-AA5D-EBED247AD711}"/>
    <cellStyle name="40% - Accent5 4 3 3 2 3" xfId="23744" xr:uid="{00000000-0005-0000-0000-00005B4A0000}"/>
    <cellStyle name="40% - Accent5 4 3 3 2 3 2" xfId="47576" xr:uid="{CCFC4B5C-E05C-4CE5-94EA-47A59F414650}"/>
    <cellStyle name="40% - Accent5 4 3 3 2 4" xfId="31699" xr:uid="{B1A34162-A7EC-47CC-BEFC-B6FA07F992B2}"/>
    <cellStyle name="40% - Accent5 4 3 3 3" xfId="12260" xr:uid="{00000000-0005-0000-0000-00005C4A0000}"/>
    <cellStyle name="40% - Accent5 4 3 3 3 2" xfId="36109" xr:uid="{2E1F85AF-768B-4B13-A599-42E1A2CB20FE}"/>
    <cellStyle name="40% - Accent5 4 3 3 4" xfId="20215" xr:uid="{00000000-0005-0000-0000-00005D4A0000}"/>
    <cellStyle name="40% - Accent5 4 3 3 4 2" xfId="44047" xr:uid="{8C1CAF03-5AEA-41D9-AD95-742882791596}"/>
    <cellStyle name="40% - Accent5 4 3 3 5" xfId="28168" xr:uid="{4619A994-2F3A-4141-804F-6865023AEAF5}"/>
    <cellStyle name="40% - Accent5 4 3 4" xfId="6056" xr:uid="{00000000-0005-0000-0000-00005E4A0000}"/>
    <cellStyle name="40% - Accent5 4 3 4 2" xfId="14039" xr:uid="{00000000-0005-0000-0000-00005F4A0000}"/>
    <cellStyle name="40% - Accent5 4 3 4 2 2" xfId="37882" xr:uid="{7B77BF24-F06A-498C-BD15-01A239012E87}"/>
    <cellStyle name="40% - Accent5 4 3 4 3" xfId="21987" xr:uid="{00000000-0005-0000-0000-0000604A0000}"/>
    <cellStyle name="40% - Accent5 4 3 4 3 2" xfId="45819" xr:uid="{8245B015-6194-40E8-925F-E395EAE4CB24}"/>
    <cellStyle name="40% - Accent5 4 3 4 4" xfId="29941" xr:uid="{A98E6522-E5A0-4501-98EB-3777A2A33DD2}"/>
    <cellStyle name="40% - Accent5 4 3 5" xfId="9608" xr:uid="{00000000-0005-0000-0000-0000614A0000}"/>
    <cellStyle name="40% - Accent5 4 3 5 2" xfId="17566" xr:uid="{00000000-0005-0000-0000-0000624A0000}"/>
    <cellStyle name="40% - Accent5 4 3 5 2 2" xfId="41406" xr:uid="{F1D722D8-15A0-4A5C-AF9A-A387DB6B525C}"/>
    <cellStyle name="40% - Accent5 4 3 5 3" xfId="25510" xr:uid="{00000000-0005-0000-0000-0000634A0000}"/>
    <cellStyle name="40% - Accent5 4 3 5 3 2" xfId="49342" xr:uid="{C5783507-AC7A-4E1F-A02F-9340AE4B9EAA}"/>
    <cellStyle name="40% - Accent5 4 3 5 4" xfId="33465" xr:uid="{74C6BD24-BB44-42BC-ACD9-51A0FF166A8B}"/>
    <cellStyle name="40% - Accent5 4 3 6" xfId="10504" xr:uid="{00000000-0005-0000-0000-0000644A0000}"/>
    <cellStyle name="40% - Accent5 4 3 6 2" xfId="34353" xr:uid="{F10F108E-D84D-45C0-8394-DD749EA262D9}"/>
    <cellStyle name="40% - Accent5 4 3 7" xfId="18459" xr:uid="{00000000-0005-0000-0000-0000654A0000}"/>
    <cellStyle name="40% - Accent5 4 3 7 2" xfId="42291" xr:uid="{6E25D522-3411-4673-81DB-CA646D7A7028}"/>
    <cellStyle name="40% - Accent5 4 3 8" xfId="26411" xr:uid="{DA73BC99-B56B-4FC7-9206-1B74165D0B3C}"/>
    <cellStyle name="40% - Accent5 4 3_Exh G" xfId="3245" xr:uid="{00000000-0005-0000-0000-0000664A0000}"/>
    <cellStyle name="40% - Accent5 4 4" xfId="984" xr:uid="{00000000-0005-0000-0000-0000674A0000}"/>
    <cellStyle name="40% - Accent5 4 4 2" xfId="1896" xr:uid="{00000000-0005-0000-0000-0000684A0000}"/>
    <cellStyle name="40% - Accent5 4 4 2 2" xfId="5413" xr:uid="{00000000-0005-0000-0000-0000694A0000}"/>
    <cellStyle name="40% - Accent5 4 4 2 2 2" xfId="9004" xr:uid="{00000000-0005-0000-0000-00006A4A0000}"/>
    <cellStyle name="40% - Accent5 4 4 2 2 2 2" xfId="16974" xr:uid="{00000000-0005-0000-0000-00006B4A0000}"/>
    <cellStyle name="40% - Accent5 4 4 2 2 2 2 2" xfId="40816" xr:uid="{103C2ADB-5700-49FE-857D-CB13225E85E7}"/>
    <cellStyle name="40% - Accent5 4 4 2 2 2 3" xfId="24920" xr:uid="{00000000-0005-0000-0000-00006C4A0000}"/>
    <cellStyle name="40% - Accent5 4 4 2 2 2 3 2" xfId="48752" xr:uid="{2C211F06-0612-46B1-B818-5307977420D9}"/>
    <cellStyle name="40% - Accent5 4 4 2 2 2 4" xfId="32875" xr:uid="{7470F9E8-7614-4660-9D9C-19EE6CD05BAD}"/>
    <cellStyle name="40% - Accent5 4 4 2 2 3" xfId="13436" xr:uid="{00000000-0005-0000-0000-00006D4A0000}"/>
    <cellStyle name="40% - Accent5 4 4 2 2 3 2" xfId="37285" xr:uid="{3EE1F52E-E5C4-4F5B-8F81-67A22B370930}"/>
    <cellStyle name="40% - Accent5 4 4 2 2 4" xfId="21391" xr:uid="{00000000-0005-0000-0000-00006E4A0000}"/>
    <cellStyle name="40% - Accent5 4 4 2 2 4 2" xfId="45223" xr:uid="{3E8A6EC5-65FE-4CA5-AAE9-3A965098D7B6}"/>
    <cellStyle name="40% - Accent5 4 4 2 2 5" xfId="29344" xr:uid="{FD44F3AA-5CD6-4A75-B2A0-361D4EFCA209}"/>
    <cellStyle name="40% - Accent5 4 4 2 3" xfId="7245" xr:uid="{00000000-0005-0000-0000-00006F4A0000}"/>
    <cellStyle name="40% - Accent5 4 4 2 3 2" xfId="15216" xr:uid="{00000000-0005-0000-0000-0000704A0000}"/>
    <cellStyle name="40% - Accent5 4 4 2 3 2 2" xfId="39058" xr:uid="{E51AE4FD-9204-4D10-B647-A85637D2510C}"/>
    <cellStyle name="40% - Accent5 4 4 2 3 3" xfId="23163" xr:uid="{00000000-0005-0000-0000-0000714A0000}"/>
    <cellStyle name="40% - Accent5 4 4 2 3 3 2" xfId="46995" xr:uid="{7EC30CE4-CC24-440A-A320-8F1F8EF9A778}"/>
    <cellStyle name="40% - Accent5 4 4 2 3 4" xfId="31117" xr:uid="{1AB545BF-E8C9-4715-AA0A-3965FA72D17B}"/>
    <cellStyle name="40% - Accent5 4 4 2 4" xfId="11680" xr:uid="{00000000-0005-0000-0000-0000724A0000}"/>
    <cellStyle name="40% - Accent5 4 4 2 4 2" xfId="35529" xr:uid="{2A76A131-37EE-4CE9-BB72-6F8F2022A14B}"/>
    <cellStyle name="40% - Accent5 4 4 2 5" xfId="19635" xr:uid="{00000000-0005-0000-0000-0000734A0000}"/>
    <cellStyle name="40% - Accent5 4 4 2 5 2" xfId="43467" xr:uid="{BA573835-8C4B-4BEF-AF43-3CD7D91AF924}"/>
    <cellStyle name="40% - Accent5 4 4 2 6" xfId="27587" xr:uid="{ED13163D-7E87-41E2-A2CF-C980404FA8B4}"/>
    <cellStyle name="40% - Accent5 4 4 2_Exh G" xfId="3248" xr:uid="{00000000-0005-0000-0000-0000744A0000}"/>
    <cellStyle name="40% - Accent5 4 4 3" xfId="4534" xr:uid="{00000000-0005-0000-0000-0000754A0000}"/>
    <cellStyle name="40% - Accent5 4 4 3 2" xfId="8126" xr:uid="{00000000-0005-0000-0000-0000764A0000}"/>
    <cellStyle name="40% - Accent5 4 4 3 2 2" xfId="16096" xr:uid="{00000000-0005-0000-0000-0000774A0000}"/>
    <cellStyle name="40% - Accent5 4 4 3 2 2 2" xfId="39938" xr:uid="{F841E9FA-9B91-4857-A27A-90C7CD9A5E9C}"/>
    <cellStyle name="40% - Accent5 4 4 3 2 3" xfId="24042" xr:uid="{00000000-0005-0000-0000-0000784A0000}"/>
    <cellStyle name="40% - Accent5 4 4 3 2 3 2" xfId="47874" xr:uid="{717FB505-6AA6-4017-8CE0-318379F0AADC}"/>
    <cellStyle name="40% - Accent5 4 4 3 2 4" xfId="31997" xr:uid="{4D126B4C-6BDC-477D-8ECB-6C30BFB21EB1}"/>
    <cellStyle name="40% - Accent5 4 4 3 3" xfId="12558" xr:uid="{00000000-0005-0000-0000-0000794A0000}"/>
    <cellStyle name="40% - Accent5 4 4 3 3 2" xfId="36407" xr:uid="{6408FDC9-3A61-4C24-9CC8-7483C9D4505C}"/>
    <cellStyle name="40% - Accent5 4 4 3 4" xfId="20513" xr:uid="{00000000-0005-0000-0000-00007A4A0000}"/>
    <cellStyle name="40% - Accent5 4 4 3 4 2" xfId="44345" xr:uid="{2B3639C5-E47A-44C5-969A-F99AC88BA51D}"/>
    <cellStyle name="40% - Accent5 4 4 3 5" xfId="28466" xr:uid="{70AB18D4-AFF5-4518-ACFB-644508B7ADFA}"/>
    <cellStyle name="40% - Accent5 4 4 4" xfId="6364" xr:uid="{00000000-0005-0000-0000-00007B4A0000}"/>
    <cellStyle name="40% - Accent5 4 4 4 2" xfId="14338" xr:uid="{00000000-0005-0000-0000-00007C4A0000}"/>
    <cellStyle name="40% - Accent5 4 4 4 2 2" xfId="38180" xr:uid="{E6F6B30A-E9C6-46EE-A4DA-6CB28B45F9B5}"/>
    <cellStyle name="40% - Accent5 4 4 4 3" xfId="22285" xr:uid="{00000000-0005-0000-0000-00007D4A0000}"/>
    <cellStyle name="40% - Accent5 4 4 4 3 2" xfId="46117" xr:uid="{FDC7F111-6AF2-4CAF-BC2B-BCA6E2DF36C7}"/>
    <cellStyle name="40% - Accent5 4 4 4 4" xfId="30239" xr:uid="{2C51A423-B1C8-409A-BD2E-53239A2A4745}"/>
    <cellStyle name="40% - Accent5 4 4 5" xfId="9906" xr:uid="{00000000-0005-0000-0000-00007E4A0000}"/>
    <cellStyle name="40% - Accent5 4 4 5 2" xfId="17864" xr:uid="{00000000-0005-0000-0000-00007F4A0000}"/>
    <cellStyle name="40% - Accent5 4 4 5 2 2" xfId="41704" xr:uid="{8C59D2FA-9FE9-4198-8265-0450747823FE}"/>
    <cellStyle name="40% - Accent5 4 4 5 3" xfId="25808" xr:uid="{00000000-0005-0000-0000-0000804A0000}"/>
    <cellStyle name="40% - Accent5 4 4 5 3 2" xfId="49640" xr:uid="{2097C900-AC41-434C-9A77-45F604536A2C}"/>
    <cellStyle name="40% - Accent5 4 4 5 4" xfId="33763" xr:uid="{60801936-3652-4F1B-89B2-3F22BC380361}"/>
    <cellStyle name="40% - Accent5 4 4 6" xfId="10802" xr:uid="{00000000-0005-0000-0000-0000814A0000}"/>
    <cellStyle name="40% - Accent5 4 4 6 2" xfId="34651" xr:uid="{EBE078BE-AEF0-49A8-A387-3CE8D2C51E2C}"/>
    <cellStyle name="40% - Accent5 4 4 7" xfId="18757" xr:uid="{00000000-0005-0000-0000-0000824A0000}"/>
    <cellStyle name="40% - Accent5 4 4 7 2" xfId="42589" xr:uid="{502F70B5-D6F8-47ED-98ED-0752E1CE63F9}"/>
    <cellStyle name="40% - Accent5 4 4 8" xfId="26709" xr:uid="{D953D1E1-18CA-435B-A1DA-D66D317ACB51}"/>
    <cellStyle name="40% - Accent5 4 4_Exh G" xfId="3247" xr:uid="{00000000-0005-0000-0000-0000834A0000}"/>
    <cellStyle name="40% - Accent5 4 5" xfId="1585" xr:uid="{00000000-0005-0000-0000-0000844A0000}"/>
    <cellStyle name="40% - Accent5 4 5 2" xfId="5112" xr:uid="{00000000-0005-0000-0000-0000854A0000}"/>
    <cellStyle name="40% - Accent5 4 5 2 2" xfId="8703" xr:uid="{00000000-0005-0000-0000-0000864A0000}"/>
    <cellStyle name="40% - Accent5 4 5 2 2 2" xfId="16673" xr:uid="{00000000-0005-0000-0000-0000874A0000}"/>
    <cellStyle name="40% - Accent5 4 5 2 2 2 2" xfId="40515" xr:uid="{252B30CB-C2AA-4B92-8187-1D3A4E719642}"/>
    <cellStyle name="40% - Accent5 4 5 2 2 3" xfId="24619" xr:uid="{00000000-0005-0000-0000-0000884A0000}"/>
    <cellStyle name="40% - Accent5 4 5 2 2 3 2" xfId="48451" xr:uid="{2F66B18F-7B7D-426F-94A6-727A34DA6C82}"/>
    <cellStyle name="40% - Accent5 4 5 2 2 4" xfId="32574" xr:uid="{BD1F7587-BB9D-4CE6-BB8B-D8CF7F7018C0}"/>
    <cellStyle name="40% - Accent5 4 5 2 3" xfId="13135" xr:uid="{00000000-0005-0000-0000-0000894A0000}"/>
    <cellStyle name="40% - Accent5 4 5 2 3 2" xfId="36984" xr:uid="{0381F7C8-4DE0-4557-9496-F050576F7890}"/>
    <cellStyle name="40% - Accent5 4 5 2 4" xfId="21090" xr:uid="{00000000-0005-0000-0000-00008A4A0000}"/>
    <cellStyle name="40% - Accent5 4 5 2 4 2" xfId="44922" xr:uid="{9CF82A1E-E904-4CDD-95F1-B30889E17504}"/>
    <cellStyle name="40% - Accent5 4 5 2 5" xfId="29043" xr:uid="{15438DB1-5842-481B-8F93-E69C11025EE6}"/>
    <cellStyle name="40% - Accent5 4 5 3" xfId="6944" xr:uid="{00000000-0005-0000-0000-00008B4A0000}"/>
    <cellStyle name="40% - Accent5 4 5 3 2" xfId="14915" xr:uid="{00000000-0005-0000-0000-00008C4A0000}"/>
    <cellStyle name="40% - Accent5 4 5 3 2 2" xfId="38757" xr:uid="{2927D402-F716-4F3C-ABDE-AFA6C9FD27C8}"/>
    <cellStyle name="40% - Accent5 4 5 3 3" xfId="22862" xr:uid="{00000000-0005-0000-0000-00008D4A0000}"/>
    <cellStyle name="40% - Accent5 4 5 3 3 2" xfId="46694" xr:uid="{7132FE6E-2011-473D-9490-2B21C6C38CC1}"/>
    <cellStyle name="40% - Accent5 4 5 3 4" xfId="30816" xr:uid="{2F8BD91F-24E6-4ED9-BF57-5BEB113E7145}"/>
    <cellStyle name="40% - Accent5 4 5 4" xfId="11379" xr:uid="{00000000-0005-0000-0000-00008E4A0000}"/>
    <cellStyle name="40% - Accent5 4 5 4 2" xfId="35228" xr:uid="{D91DEFAC-D833-4BCD-A35D-F9C1E555ADDB}"/>
    <cellStyle name="40% - Accent5 4 5 5" xfId="19334" xr:uid="{00000000-0005-0000-0000-00008F4A0000}"/>
    <cellStyle name="40% - Accent5 4 5 5 2" xfId="43166" xr:uid="{4CA50D1A-D845-439D-80E1-CF2BBB5D6A57}"/>
    <cellStyle name="40% - Accent5 4 5 6" xfId="27286" xr:uid="{070592FE-2CF7-4E75-8262-7363461A11E0}"/>
    <cellStyle name="40% - Accent5 4 5_Exh G" xfId="3249" xr:uid="{00000000-0005-0000-0000-0000904A0000}"/>
    <cellStyle name="40% - Accent5 4 6" xfId="4233" xr:uid="{00000000-0005-0000-0000-0000914A0000}"/>
    <cellStyle name="40% - Accent5 4 6 2" xfId="7825" xr:uid="{00000000-0005-0000-0000-0000924A0000}"/>
    <cellStyle name="40% - Accent5 4 6 2 2" xfId="15795" xr:uid="{00000000-0005-0000-0000-0000934A0000}"/>
    <cellStyle name="40% - Accent5 4 6 2 2 2" xfId="39637" xr:uid="{4C31B715-21D3-41E1-BAC0-DAD806CBC5C3}"/>
    <cellStyle name="40% - Accent5 4 6 2 3" xfId="23741" xr:uid="{00000000-0005-0000-0000-0000944A0000}"/>
    <cellStyle name="40% - Accent5 4 6 2 3 2" xfId="47573" xr:uid="{36434DC4-446E-47F9-B9CB-6114CBBF8D4A}"/>
    <cellStyle name="40% - Accent5 4 6 2 4" xfId="31696" xr:uid="{9EBD41FE-56CA-4C32-89C4-F299016AE07C}"/>
    <cellStyle name="40% - Accent5 4 6 3" xfId="12257" xr:uid="{00000000-0005-0000-0000-0000954A0000}"/>
    <cellStyle name="40% - Accent5 4 6 3 2" xfId="36106" xr:uid="{071A3E2E-7BAC-4ADC-B22A-67E3A7BC4E0C}"/>
    <cellStyle name="40% - Accent5 4 6 4" xfId="20212" xr:uid="{00000000-0005-0000-0000-0000964A0000}"/>
    <cellStyle name="40% - Accent5 4 6 4 2" xfId="44044" xr:uid="{F390BBF5-BA16-485A-B133-50C561081E52}"/>
    <cellStyle name="40% - Accent5 4 6 5" xfId="28165" xr:uid="{378A2874-415B-4F97-8391-C7F9B93E1C51}"/>
    <cellStyle name="40% - Accent5 4 7" xfId="6053" xr:uid="{00000000-0005-0000-0000-0000974A0000}"/>
    <cellStyle name="40% - Accent5 4 7 2" xfId="14036" xr:uid="{00000000-0005-0000-0000-0000984A0000}"/>
    <cellStyle name="40% - Accent5 4 7 2 2" xfId="37879" xr:uid="{146B8249-CF9C-4590-A744-6EB6D707BDAA}"/>
    <cellStyle name="40% - Accent5 4 7 3" xfId="21984" xr:uid="{00000000-0005-0000-0000-0000994A0000}"/>
    <cellStyle name="40% - Accent5 4 7 3 2" xfId="45816" xr:uid="{BDBDFBBA-DF9B-45BD-B975-B6C07349175A}"/>
    <cellStyle name="40% - Accent5 4 7 4" xfId="29938" xr:uid="{F6960667-351C-4F86-8B59-9DBD9DD05CF6}"/>
    <cellStyle name="40% - Accent5 4 8" xfId="9605" xr:uid="{00000000-0005-0000-0000-00009A4A0000}"/>
    <cellStyle name="40% - Accent5 4 8 2" xfId="17563" xr:uid="{00000000-0005-0000-0000-00009B4A0000}"/>
    <cellStyle name="40% - Accent5 4 8 2 2" xfId="41403" xr:uid="{A5BF6B86-38C4-4E8A-B10B-BEBDA6FDF089}"/>
    <cellStyle name="40% - Accent5 4 8 3" xfId="25507" xr:uid="{00000000-0005-0000-0000-00009C4A0000}"/>
    <cellStyle name="40% - Accent5 4 8 3 2" xfId="49339" xr:uid="{917517E9-816F-4133-8E3A-93DB8890DC3C}"/>
    <cellStyle name="40% - Accent5 4 8 4" xfId="33462" xr:uid="{3FFB06F2-484E-4123-BF26-304686239C32}"/>
    <cellStyle name="40% - Accent5 4 9" xfId="10501" xr:uid="{00000000-0005-0000-0000-00009D4A0000}"/>
    <cellStyle name="40% - Accent5 4 9 2" xfId="34350" xr:uid="{64A3F6EF-15B0-4355-A3B3-56A91E9E3DFB}"/>
    <cellStyle name="40% - Accent5 4_Exh G" xfId="3238" xr:uid="{00000000-0005-0000-0000-00009E4A0000}"/>
    <cellStyle name="40% - Accent5 5" xfId="563" xr:uid="{00000000-0005-0000-0000-00009F4A0000}"/>
    <cellStyle name="40% - Accent5 5 10" xfId="18460" xr:uid="{00000000-0005-0000-0000-0000A04A0000}"/>
    <cellStyle name="40% - Accent5 5 10 2" xfId="42292" xr:uid="{16080E07-8902-4267-AF01-1B5BB0184919}"/>
    <cellStyle name="40% - Accent5 5 11" xfId="26412" xr:uid="{CE2313F1-F7DF-4F26-A5A0-C6207023B817}"/>
    <cellStyle name="40% - Accent5 5 2" xfId="564" xr:uid="{00000000-0005-0000-0000-0000A14A0000}"/>
    <cellStyle name="40% - Accent5 5 2 2" xfId="565" xr:uid="{00000000-0005-0000-0000-0000A24A0000}"/>
    <cellStyle name="40% - Accent5 5 2 2 2" xfId="1591" xr:uid="{00000000-0005-0000-0000-0000A34A0000}"/>
    <cellStyle name="40% - Accent5 5 2 2 2 2" xfId="5118" xr:uid="{00000000-0005-0000-0000-0000A44A0000}"/>
    <cellStyle name="40% - Accent5 5 2 2 2 2 2" xfId="8709" xr:uid="{00000000-0005-0000-0000-0000A54A0000}"/>
    <cellStyle name="40% - Accent5 5 2 2 2 2 2 2" xfId="16679" xr:uid="{00000000-0005-0000-0000-0000A64A0000}"/>
    <cellStyle name="40% - Accent5 5 2 2 2 2 2 2 2" xfId="40521" xr:uid="{EEDD547A-3824-427A-B71D-1943D2E4A898}"/>
    <cellStyle name="40% - Accent5 5 2 2 2 2 2 3" xfId="24625" xr:uid="{00000000-0005-0000-0000-0000A74A0000}"/>
    <cellStyle name="40% - Accent5 5 2 2 2 2 2 3 2" xfId="48457" xr:uid="{231BAC15-5916-4D3C-B09C-3AB0CD3CB602}"/>
    <cellStyle name="40% - Accent5 5 2 2 2 2 2 4" xfId="32580" xr:uid="{8F0C0CCB-F72A-4EBE-8E76-4CF4EF4F14E8}"/>
    <cellStyle name="40% - Accent5 5 2 2 2 2 3" xfId="13141" xr:uid="{00000000-0005-0000-0000-0000A84A0000}"/>
    <cellStyle name="40% - Accent5 5 2 2 2 2 3 2" xfId="36990" xr:uid="{4DA5E2FF-0550-47B2-ACB1-F6C0F9ACD176}"/>
    <cellStyle name="40% - Accent5 5 2 2 2 2 4" xfId="21096" xr:uid="{00000000-0005-0000-0000-0000A94A0000}"/>
    <cellStyle name="40% - Accent5 5 2 2 2 2 4 2" xfId="44928" xr:uid="{24EC63CF-4314-409D-9188-9CF28E860815}"/>
    <cellStyle name="40% - Accent5 5 2 2 2 2 5" xfId="29049" xr:uid="{D96B655D-9D7C-470D-8F2D-6D02C6F028A3}"/>
    <cellStyle name="40% - Accent5 5 2 2 2 3" xfId="6950" xr:uid="{00000000-0005-0000-0000-0000AA4A0000}"/>
    <cellStyle name="40% - Accent5 5 2 2 2 3 2" xfId="14921" xr:uid="{00000000-0005-0000-0000-0000AB4A0000}"/>
    <cellStyle name="40% - Accent5 5 2 2 2 3 2 2" xfId="38763" xr:uid="{BBFCBBBA-E0E8-48BB-9D0E-145BA9262390}"/>
    <cellStyle name="40% - Accent5 5 2 2 2 3 3" xfId="22868" xr:uid="{00000000-0005-0000-0000-0000AC4A0000}"/>
    <cellStyle name="40% - Accent5 5 2 2 2 3 3 2" xfId="46700" xr:uid="{AAAD43F0-7EAB-498E-B98B-52452D354DEE}"/>
    <cellStyle name="40% - Accent5 5 2 2 2 3 4" xfId="30822" xr:uid="{96EB56E6-856E-456C-B546-4CDE1040FEC3}"/>
    <cellStyle name="40% - Accent5 5 2 2 2 4" xfId="11385" xr:uid="{00000000-0005-0000-0000-0000AD4A0000}"/>
    <cellStyle name="40% - Accent5 5 2 2 2 4 2" xfId="35234" xr:uid="{CD4194C8-A762-47E3-A8FE-5E5055C0E546}"/>
    <cellStyle name="40% - Accent5 5 2 2 2 5" xfId="19340" xr:uid="{00000000-0005-0000-0000-0000AE4A0000}"/>
    <cellStyle name="40% - Accent5 5 2 2 2 5 2" xfId="43172" xr:uid="{F3A391F4-E2E8-4031-8601-5ECF3DAED241}"/>
    <cellStyle name="40% - Accent5 5 2 2 2 6" xfId="27292" xr:uid="{7937D7B9-963B-4A8A-AACC-8B6AB217C0F0}"/>
    <cellStyle name="40% - Accent5 5 2 2 2_Exh G" xfId="3253" xr:uid="{00000000-0005-0000-0000-0000AF4A0000}"/>
    <cellStyle name="40% - Accent5 5 2 2 3" xfId="4239" xr:uid="{00000000-0005-0000-0000-0000B04A0000}"/>
    <cellStyle name="40% - Accent5 5 2 2 3 2" xfId="7831" xr:uid="{00000000-0005-0000-0000-0000B14A0000}"/>
    <cellStyle name="40% - Accent5 5 2 2 3 2 2" xfId="15801" xr:uid="{00000000-0005-0000-0000-0000B24A0000}"/>
    <cellStyle name="40% - Accent5 5 2 2 3 2 2 2" xfId="39643" xr:uid="{D5ED070A-DC30-4766-9623-31AD88CC637B}"/>
    <cellStyle name="40% - Accent5 5 2 2 3 2 3" xfId="23747" xr:uid="{00000000-0005-0000-0000-0000B34A0000}"/>
    <cellStyle name="40% - Accent5 5 2 2 3 2 3 2" xfId="47579" xr:uid="{8E55A168-F1F4-4768-9501-E9CC7D05829F}"/>
    <cellStyle name="40% - Accent5 5 2 2 3 2 4" xfId="31702" xr:uid="{F78E6504-EC61-4BF1-83C4-9A020220A813}"/>
    <cellStyle name="40% - Accent5 5 2 2 3 3" xfId="12263" xr:uid="{00000000-0005-0000-0000-0000B44A0000}"/>
    <cellStyle name="40% - Accent5 5 2 2 3 3 2" xfId="36112" xr:uid="{9B73E798-E70C-4222-9333-C1363A9DBFC8}"/>
    <cellStyle name="40% - Accent5 5 2 2 3 4" xfId="20218" xr:uid="{00000000-0005-0000-0000-0000B54A0000}"/>
    <cellStyle name="40% - Accent5 5 2 2 3 4 2" xfId="44050" xr:uid="{4863C6B1-F4A2-4D47-88FE-8303C1EB0623}"/>
    <cellStyle name="40% - Accent5 5 2 2 3 5" xfId="28171" xr:uid="{136807DE-EAF0-489E-A49E-8172455F8886}"/>
    <cellStyle name="40% - Accent5 5 2 2 4" xfId="6059" xr:uid="{00000000-0005-0000-0000-0000B64A0000}"/>
    <cellStyle name="40% - Accent5 5 2 2 4 2" xfId="14042" xr:uid="{00000000-0005-0000-0000-0000B74A0000}"/>
    <cellStyle name="40% - Accent5 5 2 2 4 2 2" xfId="37885" xr:uid="{BE14C261-3170-4267-8EAF-8EA2BCD39E1B}"/>
    <cellStyle name="40% - Accent5 5 2 2 4 3" xfId="21990" xr:uid="{00000000-0005-0000-0000-0000B84A0000}"/>
    <cellStyle name="40% - Accent5 5 2 2 4 3 2" xfId="45822" xr:uid="{AF4FA872-6606-4886-A81F-E28518F9B4DA}"/>
    <cellStyle name="40% - Accent5 5 2 2 4 4" xfId="29944" xr:uid="{7D40D3D0-3AE9-4132-AB10-CAE620E2706D}"/>
    <cellStyle name="40% - Accent5 5 2 2 5" xfId="9611" xr:uid="{00000000-0005-0000-0000-0000B94A0000}"/>
    <cellStyle name="40% - Accent5 5 2 2 5 2" xfId="17569" xr:uid="{00000000-0005-0000-0000-0000BA4A0000}"/>
    <cellStyle name="40% - Accent5 5 2 2 5 2 2" xfId="41409" xr:uid="{542787C2-0082-41CB-8B04-D24C4A5EFF43}"/>
    <cellStyle name="40% - Accent5 5 2 2 5 3" xfId="25513" xr:uid="{00000000-0005-0000-0000-0000BB4A0000}"/>
    <cellStyle name="40% - Accent5 5 2 2 5 3 2" xfId="49345" xr:uid="{EFA80E81-922D-4CAA-BEB9-04EFC0637EA1}"/>
    <cellStyle name="40% - Accent5 5 2 2 5 4" xfId="33468" xr:uid="{A62D2109-446A-42EC-BCE4-43E79A2C3647}"/>
    <cellStyle name="40% - Accent5 5 2 2 6" xfId="10507" xr:uid="{00000000-0005-0000-0000-0000BC4A0000}"/>
    <cellStyle name="40% - Accent5 5 2 2 6 2" xfId="34356" xr:uid="{6024FBA9-CAD5-48CF-99BB-AC37338B8B6E}"/>
    <cellStyle name="40% - Accent5 5 2 2 7" xfId="18462" xr:uid="{00000000-0005-0000-0000-0000BD4A0000}"/>
    <cellStyle name="40% - Accent5 5 2 2 7 2" xfId="42294" xr:uid="{FB27D55F-C17F-42D4-94C0-BFA4BF3613B3}"/>
    <cellStyle name="40% - Accent5 5 2 2 8" xfId="26414" xr:uid="{39B2D851-1F63-4379-857E-A65851191398}"/>
    <cellStyle name="40% - Accent5 5 2 2_Exh G" xfId="3252" xr:uid="{00000000-0005-0000-0000-0000BE4A0000}"/>
    <cellStyle name="40% - Accent5 5 2 3" xfId="1590" xr:uid="{00000000-0005-0000-0000-0000BF4A0000}"/>
    <cellStyle name="40% - Accent5 5 2 3 2" xfId="5117" xr:uid="{00000000-0005-0000-0000-0000C04A0000}"/>
    <cellStyle name="40% - Accent5 5 2 3 2 2" xfId="8708" xr:uid="{00000000-0005-0000-0000-0000C14A0000}"/>
    <cellStyle name="40% - Accent5 5 2 3 2 2 2" xfId="16678" xr:uid="{00000000-0005-0000-0000-0000C24A0000}"/>
    <cellStyle name="40% - Accent5 5 2 3 2 2 2 2" xfId="40520" xr:uid="{EB3D7057-67C3-467D-8F2A-FAE18F9F4A8F}"/>
    <cellStyle name="40% - Accent5 5 2 3 2 2 3" xfId="24624" xr:uid="{00000000-0005-0000-0000-0000C34A0000}"/>
    <cellStyle name="40% - Accent5 5 2 3 2 2 3 2" xfId="48456" xr:uid="{581DC277-D6B7-44D2-A579-95332FECC56F}"/>
    <cellStyle name="40% - Accent5 5 2 3 2 2 4" xfId="32579" xr:uid="{64914FA0-281B-47A4-8CD2-6AEF0386788B}"/>
    <cellStyle name="40% - Accent5 5 2 3 2 3" xfId="13140" xr:uid="{00000000-0005-0000-0000-0000C44A0000}"/>
    <cellStyle name="40% - Accent5 5 2 3 2 3 2" xfId="36989" xr:uid="{8AAD8A39-1CF5-4C51-8D29-AD1CD2D33C46}"/>
    <cellStyle name="40% - Accent5 5 2 3 2 4" xfId="21095" xr:uid="{00000000-0005-0000-0000-0000C54A0000}"/>
    <cellStyle name="40% - Accent5 5 2 3 2 4 2" xfId="44927" xr:uid="{EA8B9E5B-B3DF-4B81-AD09-7496E32F5BCD}"/>
    <cellStyle name="40% - Accent5 5 2 3 2 5" xfId="29048" xr:uid="{BB405C64-0799-4769-87A3-99EC8EEEF651}"/>
    <cellStyle name="40% - Accent5 5 2 3 3" xfId="6949" xr:uid="{00000000-0005-0000-0000-0000C64A0000}"/>
    <cellStyle name="40% - Accent5 5 2 3 3 2" xfId="14920" xr:uid="{00000000-0005-0000-0000-0000C74A0000}"/>
    <cellStyle name="40% - Accent5 5 2 3 3 2 2" xfId="38762" xr:uid="{C531A0B5-4205-4CC8-A9D7-168E5CADD533}"/>
    <cellStyle name="40% - Accent5 5 2 3 3 3" xfId="22867" xr:uid="{00000000-0005-0000-0000-0000C84A0000}"/>
    <cellStyle name="40% - Accent5 5 2 3 3 3 2" xfId="46699" xr:uid="{0F448D86-4CAD-4784-81BA-1110443943A4}"/>
    <cellStyle name="40% - Accent5 5 2 3 3 4" xfId="30821" xr:uid="{AAD4D40F-11D3-4276-B4FD-581318398AF0}"/>
    <cellStyle name="40% - Accent5 5 2 3 4" xfId="11384" xr:uid="{00000000-0005-0000-0000-0000C94A0000}"/>
    <cellStyle name="40% - Accent5 5 2 3 4 2" xfId="35233" xr:uid="{670249E1-3E5F-4FDF-9FB4-C00A19E33F71}"/>
    <cellStyle name="40% - Accent5 5 2 3 5" xfId="19339" xr:uid="{00000000-0005-0000-0000-0000CA4A0000}"/>
    <cellStyle name="40% - Accent5 5 2 3 5 2" xfId="43171" xr:uid="{079A19AE-41F9-4352-B72F-54AED90E8572}"/>
    <cellStyle name="40% - Accent5 5 2 3 6" xfId="27291" xr:uid="{798B18A0-62E2-4710-B88C-93E53B60FA2E}"/>
    <cellStyle name="40% - Accent5 5 2 3_Exh G" xfId="3254" xr:uid="{00000000-0005-0000-0000-0000CB4A0000}"/>
    <cellStyle name="40% - Accent5 5 2 4" xfId="4238" xr:uid="{00000000-0005-0000-0000-0000CC4A0000}"/>
    <cellStyle name="40% - Accent5 5 2 4 2" xfId="7830" xr:uid="{00000000-0005-0000-0000-0000CD4A0000}"/>
    <cellStyle name="40% - Accent5 5 2 4 2 2" xfId="15800" xr:uid="{00000000-0005-0000-0000-0000CE4A0000}"/>
    <cellStyle name="40% - Accent5 5 2 4 2 2 2" xfId="39642" xr:uid="{C5866723-5843-4FF0-83F8-0FBB2D2DDC88}"/>
    <cellStyle name="40% - Accent5 5 2 4 2 3" xfId="23746" xr:uid="{00000000-0005-0000-0000-0000CF4A0000}"/>
    <cellStyle name="40% - Accent5 5 2 4 2 3 2" xfId="47578" xr:uid="{E0C5B773-D169-4785-A7CE-A275DF62C420}"/>
    <cellStyle name="40% - Accent5 5 2 4 2 4" xfId="31701" xr:uid="{D8ECEEFD-6D5C-480C-BEA8-C40FBE43AA74}"/>
    <cellStyle name="40% - Accent5 5 2 4 3" xfId="12262" xr:uid="{00000000-0005-0000-0000-0000D04A0000}"/>
    <cellStyle name="40% - Accent5 5 2 4 3 2" xfId="36111" xr:uid="{28B00907-0F0F-41EA-A2A3-A69B7910EF45}"/>
    <cellStyle name="40% - Accent5 5 2 4 4" xfId="20217" xr:uid="{00000000-0005-0000-0000-0000D14A0000}"/>
    <cellStyle name="40% - Accent5 5 2 4 4 2" xfId="44049" xr:uid="{A27B1458-691E-4249-8B6C-980242681064}"/>
    <cellStyle name="40% - Accent5 5 2 4 5" xfId="28170" xr:uid="{881FFB8F-EAA3-4B02-98E8-0329A188201F}"/>
    <cellStyle name="40% - Accent5 5 2 5" xfId="6058" xr:uid="{00000000-0005-0000-0000-0000D24A0000}"/>
    <cellStyle name="40% - Accent5 5 2 5 2" xfId="14041" xr:uid="{00000000-0005-0000-0000-0000D34A0000}"/>
    <cellStyle name="40% - Accent5 5 2 5 2 2" xfId="37884" xr:uid="{907203CA-8C69-4374-A91E-B2838CF850EC}"/>
    <cellStyle name="40% - Accent5 5 2 5 3" xfId="21989" xr:uid="{00000000-0005-0000-0000-0000D44A0000}"/>
    <cellStyle name="40% - Accent5 5 2 5 3 2" xfId="45821" xr:uid="{557900AC-8DFC-4E1E-A349-82E5B6FD8D94}"/>
    <cellStyle name="40% - Accent5 5 2 5 4" xfId="29943" xr:uid="{F796AEEC-D868-47DB-803D-463C3B7D837F}"/>
    <cellStyle name="40% - Accent5 5 2 6" xfId="9610" xr:uid="{00000000-0005-0000-0000-0000D54A0000}"/>
    <cellStyle name="40% - Accent5 5 2 6 2" xfId="17568" xr:uid="{00000000-0005-0000-0000-0000D64A0000}"/>
    <cellStyle name="40% - Accent5 5 2 6 2 2" xfId="41408" xr:uid="{F2BB31A8-B52C-487D-9C3B-CF31C36CBAAF}"/>
    <cellStyle name="40% - Accent5 5 2 6 3" xfId="25512" xr:uid="{00000000-0005-0000-0000-0000D74A0000}"/>
    <cellStyle name="40% - Accent5 5 2 6 3 2" xfId="49344" xr:uid="{B7D50BE9-928D-4E82-A404-9F3D0B8A05A4}"/>
    <cellStyle name="40% - Accent5 5 2 6 4" xfId="33467" xr:uid="{5FCE6C57-3858-48DB-9975-063AC8EC34CF}"/>
    <cellStyle name="40% - Accent5 5 2 7" xfId="10506" xr:uid="{00000000-0005-0000-0000-0000D84A0000}"/>
    <cellStyle name="40% - Accent5 5 2 7 2" xfId="34355" xr:uid="{4BC7540D-817E-4892-90E8-EFA09FAB0B1B}"/>
    <cellStyle name="40% - Accent5 5 2 8" xfId="18461" xr:uid="{00000000-0005-0000-0000-0000D94A0000}"/>
    <cellStyle name="40% - Accent5 5 2 8 2" xfId="42293" xr:uid="{4A6571F7-EF4C-450A-9778-61688E9D9CB5}"/>
    <cellStyle name="40% - Accent5 5 2 9" xfId="26413" xr:uid="{68D9CEA9-C0BD-43A3-96DB-4A86643A83E1}"/>
    <cellStyle name="40% - Accent5 5 2_Exh G" xfId="3251" xr:uid="{00000000-0005-0000-0000-0000DA4A0000}"/>
    <cellStyle name="40% - Accent5 5 3" xfId="566" xr:uid="{00000000-0005-0000-0000-0000DB4A0000}"/>
    <cellStyle name="40% - Accent5 5 3 2" xfId="1592" xr:uid="{00000000-0005-0000-0000-0000DC4A0000}"/>
    <cellStyle name="40% - Accent5 5 3 2 2" xfId="5119" xr:uid="{00000000-0005-0000-0000-0000DD4A0000}"/>
    <cellStyle name="40% - Accent5 5 3 2 2 2" xfId="8710" xr:uid="{00000000-0005-0000-0000-0000DE4A0000}"/>
    <cellStyle name="40% - Accent5 5 3 2 2 2 2" xfId="16680" xr:uid="{00000000-0005-0000-0000-0000DF4A0000}"/>
    <cellStyle name="40% - Accent5 5 3 2 2 2 2 2" xfId="40522" xr:uid="{11CD5B66-6C9D-4BD3-A1ED-FCA6CD2FF2A3}"/>
    <cellStyle name="40% - Accent5 5 3 2 2 2 3" xfId="24626" xr:uid="{00000000-0005-0000-0000-0000E04A0000}"/>
    <cellStyle name="40% - Accent5 5 3 2 2 2 3 2" xfId="48458" xr:uid="{0DD0AFB4-D5D2-4D05-B888-E6B603880C34}"/>
    <cellStyle name="40% - Accent5 5 3 2 2 2 4" xfId="32581" xr:uid="{9E8079F2-B0C4-46B2-9F21-FE87A7B0E739}"/>
    <cellStyle name="40% - Accent5 5 3 2 2 3" xfId="13142" xr:uid="{00000000-0005-0000-0000-0000E14A0000}"/>
    <cellStyle name="40% - Accent5 5 3 2 2 3 2" xfId="36991" xr:uid="{7E8C98AC-4AD5-40F6-9BCE-2A10FAA554A6}"/>
    <cellStyle name="40% - Accent5 5 3 2 2 4" xfId="21097" xr:uid="{00000000-0005-0000-0000-0000E24A0000}"/>
    <cellStyle name="40% - Accent5 5 3 2 2 4 2" xfId="44929" xr:uid="{B1B2DFBF-C486-48F3-9C54-303476101BA5}"/>
    <cellStyle name="40% - Accent5 5 3 2 2 5" xfId="29050" xr:uid="{78BB3260-4409-4495-851C-140CB5DC7189}"/>
    <cellStyle name="40% - Accent5 5 3 2 3" xfId="6951" xr:uid="{00000000-0005-0000-0000-0000E34A0000}"/>
    <cellStyle name="40% - Accent5 5 3 2 3 2" xfId="14922" xr:uid="{00000000-0005-0000-0000-0000E44A0000}"/>
    <cellStyle name="40% - Accent5 5 3 2 3 2 2" xfId="38764" xr:uid="{04DEB20F-2161-476D-9BC7-67252F3759D1}"/>
    <cellStyle name="40% - Accent5 5 3 2 3 3" xfId="22869" xr:uid="{00000000-0005-0000-0000-0000E54A0000}"/>
    <cellStyle name="40% - Accent5 5 3 2 3 3 2" xfId="46701" xr:uid="{A674DD6A-5876-4C4D-9865-2E8D89001754}"/>
    <cellStyle name="40% - Accent5 5 3 2 3 4" xfId="30823" xr:uid="{F65D6C21-37C6-4A27-88D8-5FEA3A3F4E5C}"/>
    <cellStyle name="40% - Accent5 5 3 2 4" xfId="11386" xr:uid="{00000000-0005-0000-0000-0000E64A0000}"/>
    <cellStyle name="40% - Accent5 5 3 2 4 2" xfId="35235" xr:uid="{0B6B6E93-2F9C-4B99-87B4-29D8C9929D92}"/>
    <cellStyle name="40% - Accent5 5 3 2 5" xfId="19341" xr:uid="{00000000-0005-0000-0000-0000E74A0000}"/>
    <cellStyle name="40% - Accent5 5 3 2 5 2" xfId="43173" xr:uid="{DF91937C-1F46-4BAF-BA7E-DAC2398D7925}"/>
    <cellStyle name="40% - Accent5 5 3 2 6" xfId="27293" xr:uid="{15942CE5-8945-4F38-8AFB-D385885D13DB}"/>
    <cellStyle name="40% - Accent5 5 3 2_Exh G" xfId="3256" xr:uid="{00000000-0005-0000-0000-0000E84A0000}"/>
    <cellStyle name="40% - Accent5 5 3 3" xfId="4240" xr:uid="{00000000-0005-0000-0000-0000E94A0000}"/>
    <cellStyle name="40% - Accent5 5 3 3 2" xfId="7832" xr:uid="{00000000-0005-0000-0000-0000EA4A0000}"/>
    <cellStyle name="40% - Accent5 5 3 3 2 2" xfId="15802" xr:uid="{00000000-0005-0000-0000-0000EB4A0000}"/>
    <cellStyle name="40% - Accent5 5 3 3 2 2 2" xfId="39644" xr:uid="{6A271821-046B-4171-A7B3-696A27CF10D7}"/>
    <cellStyle name="40% - Accent5 5 3 3 2 3" xfId="23748" xr:uid="{00000000-0005-0000-0000-0000EC4A0000}"/>
    <cellStyle name="40% - Accent5 5 3 3 2 3 2" xfId="47580" xr:uid="{E2629028-FF40-45E7-9A04-655E698FF8AD}"/>
    <cellStyle name="40% - Accent5 5 3 3 2 4" xfId="31703" xr:uid="{73B16D15-BA11-4891-9B58-7AF9B8EF019A}"/>
    <cellStyle name="40% - Accent5 5 3 3 3" xfId="12264" xr:uid="{00000000-0005-0000-0000-0000ED4A0000}"/>
    <cellStyle name="40% - Accent5 5 3 3 3 2" xfId="36113" xr:uid="{8CBB9605-2BD7-4C79-ABDE-7EB90E7C17F3}"/>
    <cellStyle name="40% - Accent5 5 3 3 4" xfId="20219" xr:uid="{00000000-0005-0000-0000-0000EE4A0000}"/>
    <cellStyle name="40% - Accent5 5 3 3 4 2" xfId="44051" xr:uid="{C6A49806-2AA3-4C0A-8974-C788E37E4A7C}"/>
    <cellStyle name="40% - Accent5 5 3 3 5" xfId="28172" xr:uid="{A39F22D8-CE83-4BE3-BF7B-888A02FA947C}"/>
    <cellStyle name="40% - Accent5 5 3 4" xfId="6060" xr:uid="{00000000-0005-0000-0000-0000EF4A0000}"/>
    <cellStyle name="40% - Accent5 5 3 4 2" xfId="14043" xr:uid="{00000000-0005-0000-0000-0000F04A0000}"/>
    <cellStyle name="40% - Accent5 5 3 4 2 2" xfId="37886" xr:uid="{B3FA99F8-B216-421C-B9A2-5C1ECD3E28F5}"/>
    <cellStyle name="40% - Accent5 5 3 4 3" xfId="21991" xr:uid="{00000000-0005-0000-0000-0000F14A0000}"/>
    <cellStyle name="40% - Accent5 5 3 4 3 2" xfId="45823" xr:uid="{C4ED1A53-C8AC-4242-88E8-089E6E13270E}"/>
    <cellStyle name="40% - Accent5 5 3 4 4" xfId="29945" xr:uid="{2CCBB76A-B219-4489-AC03-67EE381AACFF}"/>
    <cellStyle name="40% - Accent5 5 3 5" xfId="9612" xr:uid="{00000000-0005-0000-0000-0000F24A0000}"/>
    <cellStyle name="40% - Accent5 5 3 5 2" xfId="17570" xr:uid="{00000000-0005-0000-0000-0000F34A0000}"/>
    <cellStyle name="40% - Accent5 5 3 5 2 2" xfId="41410" xr:uid="{8E3D2938-4ED6-4F85-A0CA-03AEE6938164}"/>
    <cellStyle name="40% - Accent5 5 3 5 3" xfId="25514" xr:uid="{00000000-0005-0000-0000-0000F44A0000}"/>
    <cellStyle name="40% - Accent5 5 3 5 3 2" xfId="49346" xr:uid="{FF28435B-097D-4505-AA1F-5DA3986AE1CE}"/>
    <cellStyle name="40% - Accent5 5 3 5 4" xfId="33469" xr:uid="{7F4E673A-7044-4728-8BF7-487B1F2E1515}"/>
    <cellStyle name="40% - Accent5 5 3 6" xfId="10508" xr:uid="{00000000-0005-0000-0000-0000F54A0000}"/>
    <cellStyle name="40% - Accent5 5 3 6 2" xfId="34357" xr:uid="{6E939034-D701-4F8C-B129-A72CA4EC289D}"/>
    <cellStyle name="40% - Accent5 5 3 7" xfId="18463" xr:uid="{00000000-0005-0000-0000-0000F64A0000}"/>
    <cellStyle name="40% - Accent5 5 3 7 2" xfId="42295" xr:uid="{A07BD6BF-D7FE-4126-86F2-CC8C3DBD91BF}"/>
    <cellStyle name="40% - Accent5 5 3 8" xfId="26415" xr:uid="{8AF077A8-4C15-4A1A-AE51-8B6574F5B494}"/>
    <cellStyle name="40% - Accent5 5 3_Exh G" xfId="3255" xr:uid="{00000000-0005-0000-0000-0000F74A0000}"/>
    <cellStyle name="40% - Accent5 5 4" xfId="986" xr:uid="{00000000-0005-0000-0000-0000F84A0000}"/>
    <cellStyle name="40% - Accent5 5 5" xfId="1589" xr:uid="{00000000-0005-0000-0000-0000F94A0000}"/>
    <cellStyle name="40% - Accent5 5 5 2" xfId="5116" xr:uid="{00000000-0005-0000-0000-0000FA4A0000}"/>
    <cellStyle name="40% - Accent5 5 5 2 2" xfId="8707" xr:uid="{00000000-0005-0000-0000-0000FB4A0000}"/>
    <cellStyle name="40% - Accent5 5 5 2 2 2" xfId="16677" xr:uid="{00000000-0005-0000-0000-0000FC4A0000}"/>
    <cellStyle name="40% - Accent5 5 5 2 2 2 2" xfId="40519" xr:uid="{9A2297FA-0520-4E63-AC44-E055F3A4E764}"/>
    <cellStyle name="40% - Accent5 5 5 2 2 3" xfId="24623" xr:uid="{00000000-0005-0000-0000-0000FD4A0000}"/>
    <cellStyle name="40% - Accent5 5 5 2 2 3 2" xfId="48455" xr:uid="{2124B989-00A7-4DB3-927E-4C7352373251}"/>
    <cellStyle name="40% - Accent5 5 5 2 2 4" xfId="32578" xr:uid="{0ED82026-1FBF-4CF5-AE63-A3E58266AD54}"/>
    <cellStyle name="40% - Accent5 5 5 2 3" xfId="13139" xr:uid="{00000000-0005-0000-0000-0000FE4A0000}"/>
    <cellStyle name="40% - Accent5 5 5 2 3 2" xfId="36988" xr:uid="{04E14367-1157-4AD8-BAC5-44D1D1C678E9}"/>
    <cellStyle name="40% - Accent5 5 5 2 4" xfId="21094" xr:uid="{00000000-0005-0000-0000-0000FF4A0000}"/>
    <cellStyle name="40% - Accent5 5 5 2 4 2" xfId="44926" xr:uid="{F6301637-5FF5-4803-80B9-4E37C7B05896}"/>
    <cellStyle name="40% - Accent5 5 5 2 5" xfId="29047" xr:uid="{E6873071-FE1F-4755-BEBB-C3F21147DD0D}"/>
    <cellStyle name="40% - Accent5 5 5 3" xfId="6948" xr:uid="{00000000-0005-0000-0000-0000004B0000}"/>
    <cellStyle name="40% - Accent5 5 5 3 2" xfId="14919" xr:uid="{00000000-0005-0000-0000-0000014B0000}"/>
    <cellStyle name="40% - Accent5 5 5 3 2 2" xfId="38761" xr:uid="{0DECEBD5-4768-44FB-809F-53C60C04FBD1}"/>
    <cellStyle name="40% - Accent5 5 5 3 3" xfId="22866" xr:uid="{00000000-0005-0000-0000-0000024B0000}"/>
    <cellStyle name="40% - Accent5 5 5 3 3 2" xfId="46698" xr:uid="{01AFD392-ABB9-4797-A63A-32E486AEDE50}"/>
    <cellStyle name="40% - Accent5 5 5 3 4" xfId="30820" xr:uid="{D2D7D31B-CFC2-43C4-B812-2CD754FF099D}"/>
    <cellStyle name="40% - Accent5 5 5 4" xfId="11383" xr:uid="{00000000-0005-0000-0000-0000034B0000}"/>
    <cellStyle name="40% - Accent5 5 5 4 2" xfId="35232" xr:uid="{AF6CC953-5EDE-409A-810D-56A510FBBA04}"/>
    <cellStyle name="40% - Accent5 5 5 5" xfId="19338" xr:uid="{00000000-0005-0000-0000-0000044B0000}"/>
    <cellStyle name="40% - Accent5 5 5 5 2" xfId="43170" xr:uid="{15F8269D-3851-4B87-879C-BD0B2450D8E2}"/>
    <cellStyle name="40% - Accent5 5 5 6" xfId="27290" xr:uid="{5FBCDEDC-0626-4334-915D-B7CA638CF351}"/>
    <cellStyle name="40% - Accent5 5 5_Exh G" xfId="3257" xr:uid="{00000000-0005-0000-0000-0000054B0000}"/>
    <cellStyle name="40% - Accent5 5 6" xfId="4237" xr:uid="{00000000-0005-0000-0000-0000064B0000}"/>
    <cellStyle name="40% - Accent5 5 6 2" xfId="7829" xr:uid="{00000000-0005-0000-0000-0000074B0000}"/>
    <cellStyle name="40% - Accent5 5 6 2 2" xfId="15799" xr:uid="{00000000-0005-0000-0000-0000084B0000}"/>
    <cellStyle name="40% - Accent5 5 6 2 2 2" xfId="39641" xr:uid="{8175A68A-FAD1-41C7-BCBE-C40D2E229B59}"/>
    <cellStyle name="40% - Accent5 5 6 2 3" xfId="23745" xr:uid="{00000000-0005-0000-0000-0000094B0000}"/>
    <cellStyle name="40% - Accent5 5 6 2 3 2" xfId="47577" xr:uid="{66F770D7-F158-4161-86F7-18F3BCE03506}"/>
    <cellStyle name="40% - Accent5 5 6 2 4" xfId="31700" xr:uid="{D6F1D127-482B-4AC2-A513-67406BCF0D35}"/>
    <cellStyle name="40% - Accent5 5 6 3" xfId="12261" xr:uid="{00000000-0005-0000-0000-00000A4B0000}"/>
    <cellStyle name="40% - Accent5 5 6 3 2" xfId="36110" xr:uid="{50F575FD-2230-470E-9342-3ABE27113D79}"/>
    <cellStyle name="40% - Accent5 5 6 4" xfId="20216" xr:uid="{00000000-0005-0000-0000-00000B4B0000}"/>
    <cellStyle name="40% - Accent5 5 6 4 2" xfId="44048" xr:uid="{4126DF0D-BEB5-480D-A0A6-7E0C9D0AC9F9}"/>
    <cellStyle name="40% - Accent5 5 6 5" xfId="28169" xr:uid="{654C2C29-A2DD-4EF4-8EE3-16DE190B8120}"/>
    <cellStyle name="40% - Accent5 5 7" xfId="6057" xr:uid="{00000000-0005-0000-0000-00000C4B0000}"/>
    <cellStyle name="40% - Accent5 5 7 2" xfId="14040" xr:uid="{00000000-0005-0000-0000-00000D4B0000}"/>
    <cellStyle name="40% - Accent5 5 7 2 2" xfId="37883" xr:uid="{2459B26C-B62E-428F-A70F-A34EF1A97099}"/>
    <cellStyle name="40% - Accent5 5 7 3" xfId="21988" xr:uid="{00000000-0005-0000-0000-00000E4B0000}"/>
    <cellStyle name="40% - Accent5 5 7 3 2" xfId="45820" xr:uid="{42B91058-6A56-447C-95EE-7C1CDC98926B}"/>
    <cellStyle name="40% - Accent5 5 7 4" xfId="29942" xr:uid="{C0534633-1443-4DDE-BE22-B2EF4FE50564}"/>
    <cellStyle name="40% - Accent5 5 8" xfId="9609" xr:uid="{00000000-0005-0000-0000-00000F4B0000}"/>
    <cellStyle name="40% - Accent5 5 8 2" xfId="17567" xr:uid="{00000000-0005-0000-0000-0000104B0000}"/>
    <cellStyle name="40% - Accent5 5 8 2 2" xfId="41407" xr:uid="{8C29E00E-4D71-4610-B3E4-E966CC842737}"/>
    <cellStyle name="40% - Accent5 5 8 3" xfId="25511" xr:uid="{00000000-0005-0000-0000-0000114B0000}"/>
    <cellStyle name="40% - Accent5 5 8 3 2" xfId="49343" xr:uid="{B1A068C7-4742-4076-8E89-C1ED1F98506A}"/>
    <cellStyle name="40% - Accent5 5 8 4" xfId="33466" xr:uid="{4BB96315-352C-469F-AEE7-8348BCD5621B}"/>
    <cellStyle name="40% - Accent5 5 9" xfId="10505" xr:uid="{00000000-0005-0000-0000-0000124B0000}"/>
    <cellStyle name="40% - Accent5 5 9 2" xfId="34354" xr:uid="{A570B208-4C7F-421E-98B5-C77D16198285}"/>
    <cellStyle name="40% - Accent5 5_Exh G" xfId="3250" xr:uid="{00000000-0005-0000-0000-0000134B0000}"/>
    <cellStyle name="40% - Accent5 6" xfId="567" xr:uid="{00000000-0005-0000-0000-0000144B0000}"/>
    <cellStyle name="40% - Accent5 6 10" xfId="18464" xr:uid="{00000000-0005-0000-0000-0000154B0000}"/>
    <cellStyle name="40% - Accent5 6 10 2" xfId="42296" xr:uid="{08236949-D02A-4085-9C11-59C05902A388}"/>
    <cellStyle name="40% - Accent5 6 11" xfId="26416" xr:uid="{32C45EA7-1ADA-44DB-BE1C-646B5849F110}"/>
    <cellStyle name="40% - Accent5 6 2" xfId="568" xr:uid="{00000000-0005-0000-0000-0000164B0000}"/>
    <cellStyle name="40% - Accent5 6 2 2" xfId="569" xr:uid="{00000000-0005-0000-0000-0000174B0000}"/>
    <cellStyle name="40% - Accent5 6 2 2 2" xfId="1595" xr:uid="{00000000-0005-0000-0000-0000184B0000}"/>
    <cellStyle name="40% - Accent5 6 2 2 2 2" xfId="5122" xr:uid="{00000000-0005-0000-0000-0000194B0000}"/>
    <cellStyle name="40% - Accent5 6 2 2 2 2 2" xfId="8713" xr:uid="{00000000-0005-0000-0000-00001A4B0000}"/>
    <cellStyle name="40% - Accent5 6 2 2 2 2 2 2" xfId="16683" xr:uid="{00000000-0005-0000-0000-00001B4B0000}"/>
    <cellStyle name="40% - Accent5 6 2 2 2 2 2 2 2" xfId="40525" xr:uid="{340DC779-E47C-4728-A986-8BA531AB1CFA}"/>
    <cellStyle name="40% - Accent5 6 2 2 2 2 2 3" xfId="24629" xr:uid="{00000000-0005-0000-0000-00001C4B0000}"/>
    <cellStyle name="40% - Accent5 6 2 2 2 2 2 3 2" xfId="48461" xr:uid="{9B24265D-0991-4CFA-85A9-BBDF703999F8}"/>
    <cellStyle name="40% - Accent5 6 2 2 2 2 2 4" xfId="32584" xr:uid="{8F37B482-C1ED-40F7-9D41-B4BBDEB2DE7F}"/>
    <cellStyle name="40% - Accent5 6 2 2 2 2 3" xfId="13145" xr:uid="{00000000-0005-0000-0000-00001D4B0000}"/>
    <cellStyle name="40% - Accent5 6 2 2 2 2 3 2" xfId="36994" xr:uid="{278C5A84-7BD6-4554-B285-EB0D6BB85B59}"/>
    <cellStyle name="40% - Accent5 6 2 2 2 2 4" xfId="21100" xr:uid="{00000000-0005-0000-0000-00001E4B0000}"/>
    <cellStyle name="40% - Accent5 6 2 2 2 2 4 2" xfId="44932" xr:uid="{C36819FA-6AD2-4407-847C-1DD1F7971837}"/>
    <cellStyle name="40% - Accent5 6 2 2 2 2 5" xfId="29053" xr:uid="{76D7E451-B8A0-4F4B-81C3-ED29E9F4399F}"/>
    <cellStyle name="40% - Accent5 6 2 2 2 3" xfId="6954" xr:uid="{00000000-0005-0000-0000-00001F4B0000}"/>
    <cellStyle name="40% - Accent5 6 2 2 2 3 2" xfId="14925" xr:uid="{00000000-0005-0000-0000-0000204B0000}"/>
    <cellStyle name="40% - Accent5 6 2 2 2 3 2 2" xfId="38767" xr:uid="{7778E790-54A9-4173-B543-B4536ECF24D7}"/>
    <cellStyle name="40% - Accent5 6 2 2 2 3 3" xfId="22872" xr:uid="{00000000-0005-0000-0000-0000214B0000}"/>
    <cellStyle name="40% - Accent5 6 2 2 2 3 3 2" xfId="46704" xr:uid="{6ECD0CDD-0ACF-4EB2-B9BD-BE9214CC0F97}"/>
    <cellStyle name="40% - Accent5 6 2 2 2 3 4" xfId="30826" xr:uid="{05BD0E9E-837B-4B53-986E-02CB79BADE97}"/>
    <cellStyle name="40% - Accent5 6 2 2 2 4" xfId="11389" xr:uid="{00000000-0005-0000-0000-0000224B0000}"/>
    <cellStyle name="40% - Accent5 6 2 2 2 4 2" xfId="35238" xr:uid="{6B5F02D7-4563-4109-8C86-8D1C0E258EEF}"/>
    <cellStyle name="40% - Accent5 6 2 2 2 5" xfId="19344" xr:uid="{00000000-0005-0000-0000-0000234B0000}"/>
    <cellStyle name="40% - Accent5 6 2 2 2 5 2" xfId="43176" xr:uid="{A435C545-2F35-4399-9BAD-C21AD359A0BF}"/>
    <cellStyle name="40% - Accent5 6 2 2 2 6" xfId="27296" xr:uid="{80F94E43-E35F-4A43-97A7-D521E4FF34CC}"/>
    <cellStyle name="40% - Accent5 6 2 2 2_Exh G" xfId="3261" xr:uid="{00000000-0005-0000-0000-0000244B0000}"/>
    <cellStyle name="40% - Accent5 6 2 2 3" xfId="4243" xr:uid="{00000000-0005-0000-0000-0000254B0000}"/>
    <cellStyle name="40% - Accent5 6 2 2 3 2" xfId="7835" xr:uid="{00000000-0005-0000-0000-0000264B0000}"/>
    <cellStyle name="40% - Accent5 6 2 2 3 2 2" xfId="15805" xr:uid="{00000000-0005-0000-0000-0000274B0000}"/>
    <cellStyle name="40% - Accent5 6 2 2 3 2 2 2" xfId="39647" xr:uid="{D3947B1F-6352-4F65-8031-DB3BEE7EB1D7}"/>
    <cellStyle name="40% - Accent5 6 2 2 3 2 3" xfId="23751" xr:uid="{00000000-0005-0000-0000-0000284B0000}"/>
    <cellStyle name="40% - Accent5 6 2 2 3 2 3 2" xfId="47583" xr:uid="{FD119395-8BAD-4869-A24B-BF2EE7AC0E48}"/>
    <cellStyle name="40% - Accent5 6 2 2 3 2 4" xfId="31706" xr:uid="{E52645A1-29C5-4D6E-8E80-F2455CAB2AD1}"/>
    <cellStyle name="40% - Accent5 6 2 2 3 3" xfId="12267" xr:uid="{00000000-0005-0000-0000-0000294B0000}"/>
    <cellStyle name="40% - Accent5 6 2 2 3 3 2" xfId="36116" xr:uid="{90069A6A-79B9-48EB-8251-831D35FD36D9}"/>
    <cellStyle name="40% - Accent5 6 2 2 3 4" xfId="20222" xr:uid="{00000000-0005-0000-0000-00002A4B0000}"/>
    <cellStyle name="40% - Accent5 6 2 2 3 4 2" xfId="44054" xr:uid="{CFF9B099-4873-4430-BD23-3A5E2489F24B}"/>
    <cellStyle name="40% - Accent5 6 2 2 3 5" xfId="28175" xr:uid="{C99B5806-FD54-4FD3-9058-C7399B9B7E92}"/>
    <cellStyle name="40% - Accent5 6 2 2 4" xfId="6063" xr:uid="{00000000-0005-0000-0000-00002B4B0000}"/>
    <cellStyle name="40% - Accent5 6 2 2 4 2" xfId="14046" xr:uid="{00000000-0005-0000-0000-00002C4B0000}"/>
    <cellStyle name="40% - Accent5 6 2 2 4 2 2" xfId="37889" xr:uid="{793EA620-9BCB-4BCC-9E4F-EDF0B1DF67D1}"/>
    <cellStyle name="40% - Accent5 6 2 2 4 3" xfId="21994" xr:uid="{00000000-0005-0000-0000-00002D4B0000}"/>
    <cellStyle name="40% - Accent5 6 2 2 4 3 2" xfId="45826" xr:uid="{6D0FD843-E0FD-41ED-9020-F2F70CBDC9EC}"/>
    <cellStyle name="40% - Accent5 6 2 2 4 4" xfId="29948" xr:uid="{09930C9E-497A-4EDA-A5D9-B8DD6451DA66}"/>
    <cellStyle name="40% - Accent5 6 2 2 5" xfId="9615" xr:uid="{00000000-0005-0000-0000-00002E4B0000}"/>
    <cellStyle name="40% - Accent5 6 2 2 5 2" xfId="17573" xr:uid="{00000000-0005-0000-0000-00002F4B0000}"/>
    <cellStyle name="40% - Accent5 6 2 2 5 2 2" xfId="41413" xr:uid="{FCC34608-5067-485E-B6B7-0AB576F87668}"/>
    <cellStyle name="40% - Accent5 6 2 2 5 3" xfId="25517" xr:uid="{00000000-0005-0000-0000-0000304B0000}"/>
    <cellStyle name="40% - Accent5 6 2 2 5 3 2" xfId="49349" xr:uid="{05B797D6-B988-4817-ACE9-8BA36F46FDF1}"/>
    <cellStyle name="40% - Accent5 6 2 2 5 4" xfId="33472" xr:uid="{BA10AA89-5920-4478-B5D2-E3667511B05A}"/>
    <cellStyle name="40% - Accent5 6 2 2 6" xfId="10511" xr:uid="{00000000-0005-0000-0000-0000314B0000}"/>
    <cellStyle name="40% - Accent5 6 2 2 6 2" xfId="34360" xr:uid="{204CA21E-4914-48E4-81F0-2C2B40572A25}"/>
    <cellStyle name="40% - Accent5 6 2 2 7" xfId="18466" xr:uid="{00000000-0005-0000-0000-0000324B0000}"/>
    <cellStyle name="40% - Accent5 6 2 2 7 2" xfId="42298" xr:uid="{C105148C-347B-4A91-B73E-7127E76DD9EA}"/>
    <cellStyle name="40% - Accent5 6 2 2 8" xfId="26418" xr:uid="{FEE2E124-28F7-428A-8727-37C297CC2EBF}"/>
    <cellStyle name="40% - Accent5 6 2 2_Exh G" xfId="3260" xr:uid="{00000000-0005-0000-0000-0000334B0000}"/>
    <cellStyle name="40% - Accent5 6 2 3" xfId="1594" xr:uid="{00000000-0005-0000-0000-0000344B0000}"/>
    <cellStyle name="40% - Accent5 6 2 3 2" xfId="5121" xr:uid="{00000000-0005-0000-0000-0000354B0000}"/>
    <cellStyle name="40% - Accent5 6 2 3 2 2" xfId="8712" xr:uid="{00000000-0005-0000-0000-0000364B0000}"/>
    <cellStyle name="40% - Accent5 6 2 3 2 2 2" xfId="16682" xr:uid="{00000000-0005-0000-0000-0000374B0000}"/>
    <cellStyle name="40% - Accent5 6 2 3 2 2 2 2" xfId="40524" xr:uid="{4C465964-6765-4EA3-8C43-484034678151}"/>
    <cellStyle name="40% - Accent5 6 2 3 2 2 3" xfId="24628" xr:uid="{00000000-0005-0000-0000-0000384B0000}"/>
    <cellStyle name="40% - Accent5 6 2 3 2 2 3 2" xfId="48460" xr:uid="{FC40EA60-2A17-4B75-87D8-2D7D579D6DC5}"/>
    <cellStyle name="40% - Accent5 6 2 3 2 2 4" xfId="32583" xr:uid="{13531E83-C654-4F08-BB4A-531543B7B456}"/>
    <cellStyle name="40% - Accent5 6 2 3 2 3" xfId="13144" xr:uid="{00000000-0005-0000-0000-0000394B0000}"/>
    <cellStyle name="40% - Accent5 6 2 3 2 3 2" xfId="36993" xr:uid="{A5A6F9E9-1261-4E03-A5F0-6E246C04723A}"/>
    <cellStyle name="40% - Accent5 6 2 3 2 4" xfId="21099" xr:uid="{00000000-0005-0000-0000-00003A4B0000}"/>
    <cellStyle name="40% - Accent5 6 2 3 2 4 2" xfId="44931" xr:uid="{26A3C7EC-76F2-4EEB-A3A7-64D1144B4A2C}"/>
    <cellStyle name="40% - Accent5 6 2 3 2 5" xfId="29052" xr:uid="{948DB636-CB84-4F47-8BAF-9C7DFFF102F8}"/>
    <cellStyle name="40% - Accent5 6 2 3 3" xfId="6953" xr:uid="{00000000-0005-0000-0000-00003B4B0000}"/>
    <cellStyle name="40% - Accent5 6 2 3 3 2" xfId="14924" xr:uid="{00000000-0005-0000-0000-00003C4B0000}"/>
    <cellStyle name="40% - Accent5 6 2 3 3 2 2" xfId="38766" xr:uid="{386CBF08-7577-4849-9B35-ABC8AE5A99F8}"/>
    <cellStyle name="40% - Accent5 6 2 3 3 3" xfId="22871" xr:uid="{00000000-0005-0000-0000-00003D4B0000}"/>
    <cellStyle name="40% - Accent5 6 2 3 3 3 2" xfId="46703" xr:uid="{A59B0476-9128-43D6-A4EB-3DBC9C4C8408}"/>
    <cellStyle name="40% - Accent5 6 2 3 3 4" xfId="30825" xr:uid="{788E6AC2-9906-475B-A2D9-8DD6E48D8C03}"/>
    <cellStyle name="40% - Accent5 6 2 3 4" xfId="11388" xr:uid="{00000000-0005-0000-0000-00003E4B0000}"/>
    <cellStyle name="40% - Accent5 6 2 3 4 2" xfId="35237" xr:uid="{0C063449-B05D-4AC4-9017-D54129E18D16}"/>
    <cellStyle name="40% - Accent5 6 2 3 5" xfId="19343" xr:uid="{00000000-0005-0000-0000-00003F4B0000}"/>
    <cellStyle name="40% - Accent5 6 2 3 5 2" xfId="43175" xr:uid="{3A0FCC98-2902-4F60-BEC4-6D043566AE62}"/>
    <cellStyle name="40% - Accent5 6 2 3 6" xfId="27295" xr:uid="{D83B0B31-7F1A-4688-90CC-1D231768F037}"/>
    <cellStyle name="40% - Accent5 6 2 3_Exh G" xfId="3262" xr:uid="{00000000-0005-0000-0000-0000404B0000}"/>
    <cellStyle name="40% - Accent5 6 2 4" xfId="4242" xr:uid="{00000000-0005-0000-0000-0000414B0000}"/>
    <cellStyle name="40% - Accent5 6 2 4 2" xfId="7834" xr:uid="{00000000-0005-0000-0000-0000424B0000}"/>
    <cellStyle name="40% - Accent5 6 2 4 2 2" xfId="15804" xr:uid="{00000000-0005-0000-0000-0000434B0000}"/>
    <cellStyle name="40% - Accent5 6 2 4 2 2 2" xfId="39646" xr:uid="{C12026BF-F9FF-4097-96B4-29D475B0BC5B}"/>
    <cellStyle name="40% - Accent5 6 2 4 2 3" xfId="23750" xr:uid="{00000000-0005-0000-0000-0000444B0000}"/>
    <cellStyle name="40% - Accent5 6 2 4 2 3 2" xfId="47582" xr:uid="{A280A3C2-0956-4709-80CB-0C383D1DFC8B}"/>
    <cellStyle name="40% - Accent5 6 2 4 2 4" xfId="31705" xr:uid="{5A538C86-D55B-4585-9BD8-FEC1603B6B88}"/>
    <cellStyle name="40% - Accent5 6 2 4 3" xfId="12266" xr:uid="{00000000-0005-0000-0000-0000454B0000}"/>
    <cellStyle name="40% - Accent5 6 2 4 3 2" xfId="36115" xr:uid="{AC936DB3-1411-4B25-BE0E-0AECF5D01E61}"/>
    <cellStyle name="40% - Accent5 6 2 4 4" xfId="20221" xr:uid="{00000000-0005-0000-0000-0000464B0000}"/>
    <cellStyle name="40% - Accent5 6 2 4 4 2" xfId="44053" xr:uid="{890AF4CC-80F0-4AF6-820C-B5253A43740E}"/>
    <cellStyle name="40% - Accent5 6 2 4 5" xfId="28174" xr:uid="{FF5A5B25-58AE-47E5-AB17-8D3E1A96FD54}"/>
    <cellStyle name="40% - Accent5 6 2 5" xfId="6062" xr:uid="{00000000-0005-0000-0000-0000474B0000}"/>
    <cellStyle name="40% - Accent5 6 2 5 2" xfId="14045" xr:uid="{00000000-0005-0000-0000-0000484B0000}"/>
    <cellStyle name="40% - Accent5 6 2 5 2 2" xfId="37888" xr:uid="{55457271-2313-4154-BF58-A70E843F2ECC}"/>
    <cellStyle name="40% - Accent5 6 2 5 3" xfId="21993" xr:uid="{00000000-0005-0000-0000-0000494B0000}"/>
    <cellStyle name="40% - Accent5 6 2 5 3 2" xfId="45825" xr:uid="{0C425813-CD35-49F9-85DB-6B969B1AB65E}"/>
    <cellStyle name="40% - Accent5 6 2 5 4" xfId="29947" xr:uid="{9C40460D-781A-46FB-BC7A-8A736054A0A9}"/>
    <cellStyle name="40% - Accent5 6 2 6" xfId="9614" xr:uid="{00000000-0005-0000-0000-00004A4B0000}"/>
    <cellStyle name="40% - Accent5 6 2 6 2" xfId="17572" xr:uid="{00000000-0005-0000-0000-00004B4B0000}"/>
    <cellStyle name="40% - Accent5 6 2 6 2 2" xfId="41412" xr:uid="{8BD22323-3DAF-4DD3-B82E-A63896F66814}"/>
    <cellStyle name="40% - Accent5 6 2 6 3" xfId="25516" xr:uid="{00000000-0005-0000-0000-00004C4B0000}"/>
    <cellStyle name="40% - Accent5 6 2 6 3 2" xfId="49348" xr:uid="{995CDE78-22E0-4BB3-90FD-36CBB73BBA2A}"/>
    <cellStyle name="40% - Accent5 6 2 6 4" xfId="33471" xr:uid="{4DB88913-A931-414A-BD82-A4A2F6A2B152}"/>
    <cellStyle name="40% - Accent5 6 2 7" xfId="10510" xr:uid="{00000000-0005-0000-0000-00004D4B0000}"/>
    <cellStyle name="40% - Accent5 6 2 7 2" xfId="34359" xr:uid="{71C9DA54-8521-4A4D-8159-48763F9F5296}"/>
    <cellStyle name="40% - Accent5 6 2 8" xfId="18465" xr:uid="{00000000-0005-0000-0000-00004E4B0000}"/>
    <cellStyle name="40% - Accent5 6 2 8 2" xfId="42297" xr:uid="{673C1504-DC48-494E-9840-5CA203373F72}"/>
    <cellStyle name="40% - Accent5 6 2 9" xfId="26417" xr:uid="{78AC300B-61C9-4AEE-A077-57B889060750}"/>
    <cellStyle name="40% - Accent5 6 2_Exh G" xfId="3259" xr:uid="{00000000-0005-0000-0000-00004F4B0000}"/>
    <cellStyle name="40% - Accent5 6 3" xfId="570" xr:uid="{00000000-0005-0000-0000-0000504B0000}"/>
    <cellStyle name="40% - Accent5 6 3 2" xfId="1596" xr:uid="{00000000-0005-0000-0000-0000514B0000}"/>
    <cellStyle name="40% - Accent5 6 3 2 2" xfId="5123" xr:uid="{00000000-0005-0000-0000-0000524B0000}"/>
    <cellStyle name="40% - Accent5 6 3 2 2 2" xfId="8714" xr:uid="{00000000-0005-0000-0000-0000534B0000}"/>
    <cellStyle name="40% - Accent5 6 3 2 2 2 2" xfId="16684" xr:uid="{00000000-0005-0000-0000-0000544B0000}"/>
    <cellStyle name="40% - Accent5 6 3 2 2 2 2 2" xfId="40526" xr:uid="{611FE22B-546B-48AF-8051-99CA7664CBAB}"/>
    <cellStyle name="40% - Accent5 6 3 2 2 2 3" xfId="24630" xr:uid="{00000000-0005-0000-0000-0000554B0000}"/>
    <cellStyle name="40% - Accent5 6 3 2 2 2 3 2" xfId="48462" xr:uid="{2651C345-A8AB-4628-AA4F-73C8008B01C8}"/>
    <cellStyle name="40% - Accent5 6 3 2 2 2 4" xfId="32585" xr:uid="{3E2403D1-A252-466D-A8D4-36FCCB840BA0}"/>
    <cellStyle name="40% - Accent5 6 3 2 2 3" xfId="13146" xr:uid="{00000000-0005-0000-0000-0000564B0000}"/>
    <cellStyle name="40% - Accent5 6 3 2 2 3 2" xfId="36995" xr:uid="{C56307D3-36E6-40C7-8853-2C5022742805}"/>
    <cellStyle name="40% - Accent5 6 3 2 2 4" xfId="21101" xr:uid="{00000000-0005-0000-0000-0000574B0000}"/>
    <cellStyle name="40% - Accent5 6 3 2 2 4 2" xfId="44933" xr:uid="{ECB3A12C-960F-44C7-B72F-3C31809B3E0D}"/>
    <cellStyle name="40% - Accent5 6 3 2 2 5" xfId="29054" xr:uid="{923A63A6-6D6F-4B9F-BA41-B30B85E45601}"/>
    <cellStyle name="40% - Accent5 6 3 2 3" xfId="6955" xr:uid="{00000000-0005-0000-0000-0000584B0000}"/>
    <cellStyle name="40% - Accent5 6 3 2 3 2" xfId="14926" xr:uid="{00000000-0005-0000-0000-0000594B0000}"/>
    <cellStyle name="40% - Accent5 6 3 2 3 2 2" xfId="38768" xr:uid="{B8B3555C-D888-418B-80B4-A03A5BB5072C}"/>
    <cellStyle name="40% - Accent5 6 3 2 3 3" xfId="22873" xr:uid="{00000000-0005-0000-0000-00005A4B0000}"/>
    <cellStyle name="40% - Accent5 6 3 2 3 3 2" xfId="46705" xr:uid="{EE23CD50-0D56-40BB-8C0F-37772210DC27}"/>
    <cellStyle name="40% - Accent5 6 3 2 3 4" xfId="30827" xr:uid="{397E3100-F82E-4777-A834-4E965D41C059}"/>
    <cellStyle name="40% - Accent5 6 3 2 4" xfId="11390" xr:uid="{00000000-0005-0000-0000-00005B4B0000}"/>
    <cellStyle name="40% - Accent5 6 3 2 4 2" xfId="35239" xr:uid="{E2E20329-8301-44E4-8383-0B99FEEC63DB}"/>
    <cellStyle name="40% - Accent5 6 3 2 5" xfId="19345" xr:uid="{00000000-0005-0000-0000-00005C4B0000}"/>
    <cellStyle name="40% - Accent5 6 3 2 5 2" xfId="43177" xr:uid="{B3816A1B-382F-4E2D-B09F-E6797CBEA029}"/>
    <cellStyle name="40% - Accent5 6 3 2 6" xfId="27297" xr:uid="{BD1A09AB-209B-4D33-A9A3-B655D12F91D7}"/>
    <cellStyle name="40% - Accent5 6 3 2_Exh G" xfId="3264" xr:uid="{00000000-0005-0000-0000-00005D4B0000}"/>
    <cellStyle name="40% - Accent5 6 3 3" xfId="4244" xr:uid="{00000000-0005-0000-0000-00005E4B0000}"/>
    <cellStyle name="40% - Accent5 6 3 3 2" xfId="7836" xr:uid="{00000000-0005-0000-0000-00005F4B0000}"/>
    <cellStyle name="40% - Accent5 6 3 3 2 2" xfId="15806" xr:uid="{00000000-0005-0000-0000-0000604B0000}"/>
    <cellStyle name="40% - Accent5 6 3 3 2 2 2" xfId="39648" xr:uid="{E174EA2B-202B-45F9-89AB-D12C84247DBF}"/>
    <cellStyle name="40% - Accent5 6 3 3 2 3" xfId="23752" xr:uid="{00000000-0005-0000-0000-0000614B0000}"/>
    <cellStyle name="40% - Accent5 6 3 3 2 3 2" xfId="47584" xr:uid="{1AD41BA8-21D8-40BD-B822-9DF4A7F5076B}"/>
    <cellStyle name="40% - Accent5 6 3 3 2 4" xfId="31707" xr:uid="{D3500CBA-DA9A-442F-BFF6-F64D358077CB}"/>
    <cellStyle name="40% - Accent5 6 3 3 3" xfId="12268" xr:uid="{00000000-0005-0000-0000-0000624B0000}"/>
    <cellStyle name="40% - Accent5 6 3 3 3 2" xfId="36117" xr:uid="{8D92AF5C-9787-4D95-A8F3-679EB03E5907}"/>
    <cellStyle name="40% - Accent5 6 3 3 4" xfId="20223" xr:uid="{00000000-0005-0000-0000-0000634B0000}"/>
    <cellStyle name="40% - Accent5 6 3 3 4 2" xfId="44055" xr:uid="{8550094C-53A5-4D73-86EF-EEF4E78B2BDB}"/>
    <cellStyle name="40% - Accent5 6 3 3 5" xfId="28176" xr:uid="{2EF766CA-E780-4369-A7B5-18835ADAC398}"/>
    <cellStyle name="40% - Accent5 6 3 4" xfId="6064" xr:uid="{00000000-0005-0000-0000-0000644B0000}"/>
    <cellStyle name="40% - Accent5 6 3 4 2" xfId="14047" xr:uid="{00000000-0005-0000-0000-0000654B0000}"/>
    <cellStyle name="40% - Accent5 6 3 4 2 2" xfId="37890" xr:uid="{0D34418D-097A-49B0-A9F3-C94DED744D53}"/>
    <cellStyle name="40% - Accent5 6 3 4 3" xfId="21995" xr:uid="{00000000-0005-0000-0000-0000664B0000}"/>
    <cellStyle name="40% - Accent5 6 3 4 3 2" xfId="45827" xr:uid="{1BDC4041-0CD3-494A-8EAB-81F1DE88C1FE}"/>
    <cellStyle name="40% - Accent5 6 3 4 4" xfId="29949" xr:uid="{4FCE9121-62E8-4A5C-8BC2-BAAD6A8108EC}"/>
    <cellStyle name="40% - Accent5 6 3 5" xfId="9616" xr:uid="{00000000-0005-0000-0000-0000674B0000}"/>
    <cellStyle name="40% - Accent5 6 3 5 2" xfId="17574" xr:uid="{00000000-0005-0000-0000-0000684B0000}"/>
    <cellStyle name="40% - Accent5 6 3 5 2 2" xfId="41414" xr:uid="{A3B2F051-D4CB-4B4B-AE52-BB697B1DB148}"/>
    <cellStyle name="40% - Accent5 6 3 5 3" xfId="25518" xr:uid="{00000000-0005-0000-0000-0000694B0000}"/>
    <cellStyle name="40% - Accent5 6 3 5 3 2" xfId="49350" xr:uid="{997C918D-A955-4153-B5D8-3F690364B3CB}"/>
    <cellStyle name="40% - Accent5 6 3 5 4" xfId="33473" xr:uid="{C361A855-0CE6-4804-8FB2-E2DD4B3A4F0D}"/>
    <cellStyle name="40% - Accent5 6 3 6" xfId="10512" xr:uid="{00000000-0005-0000-0000-00006A4B0000}"/>
    <cellStyle name="40% - Accent5 6 3 6 2" xfId="34361" xr:uid="{1F37CA04-58FF-4BD9-B23C-C81E85B86A10}"/>
    <cellStyle name="40% - Accent5 6 3 7" xfId="18467" xr:uid="{00000000-0005-0000-0000-00006B4B0000}"/>
    <cellStyle name="40% - Accent5 6 3 7 2" xfId="42299" xr:uid="{7F0265B9-0809-44DA-AB1E-F44678FDEB0B}"/>
    <cellStyle name="40% - Accent5 6 3 8" xfId="26419" xr:uid="{006B6E13-1BB1-4DAA-9EF6-387DE26FBC1A}"/>
    <cellStyle name="40% - Accent5 6 3_Exh G" xfId="3263" xr:uid="{00000000-0005-0000-0000-00006C4B0000}"/>
    <cellStyle name="40% - Accent5 6 4" xfId="987" xr:uid="{00000000-0005-0000-0000-00006D4B0000}"/>
    <cellStyle name="40% - Accent5 6 4 2" xfId="1898" xr:uid="{00000000-0005-0000-0000-00006E4B0000}"/>
    <cellStyle name="40% - Accent5 6 4 2 2" xfId="5415" xr:uid="{00000000-0005-0000-0000-00006F4B0000}"/>
    <cellStyle name="40% - Accent5 6 4 2 2 2" xfId="9006" xr:uid="{00000000-0005-0000-0000-0000704B0000}"/>
    <cellStyle name="40% - Accent5 6 4 2 2 2 2" xfId="16976" xr:uid="{00000000-0005-0000-0000-0000714B0000}"/>
    <cellStyle name="40% - Accent5 6 4 2 2 2 2 2" xfId="40818" xr:uid="{851A064E-DE6A-4F21-ACD3-877BE3A76388}"/>
    <cellStyle name="40% - Accent5 6 4 2 2 2 3" xfId="24922" xr:uid="{00000000-0005-0000-0000-0000724B0000}"/>
    <cellStyle name="40% - Accent5 6 4 2 2 2 3 2" xfId="48754" xr:uid="{8515C885-7924-4EE9-8D66-3D1ED6A557F3}"/>
    <cellStyle name="40% - Accent5 6 4 2 2 2 4" xfId="32877" xr:uid="{1B0A8E9C-4788-421B-8890-CC2E0432F5B3}"/>
    <cellStyle name="40% - Accent5 6 4 2 2 3" xfId="13438" xr:uid="{00000000-0005-0000-0000-0000734B0000}"/>
    <cellStyle name="40% - Accent5 6 4 2 2 3 2" xfId="37287" xr:uid="{5757EB9F-BCAF-464A-9B13-2BE33BD7D862}"/>
    <cellStyle name="40% - Accent5 6 4 2 2 4" xfId="21393" xr:uid="{00000000-0005-0000-0000-0000744B0000}"/>
    <cellStyle name="40% - Accent5 6 4 2 2 4 2" xfId="45225" xr:uid="{781DD712-4EFF-4A6C-BA95-CCD293AE906A}"/>
    <cellStyle name="40% - Accent5 6 4 2 2 5" xfId="29346" xr:uid="{3FF58EA7-F480-4A56-B3D5-6E4D41B953AA}"/>
    <cellStyle name="40% - Accent5 6 4 2 3" xfId="7247" xr:uid="{00000000-0005-0000-0000-0000754B0000}"/>
    <cellStyle name="40% - Accent5 6 4 2 3 2" xfId="15218" xr:uid="{00000000-0005-0000-0000-0000764B0000}"/>
    <cellStyle name="40% - Accent5 6 4 2 3 2 2" xfId="39060" xr:uid="{8ED5AE8F-5E53-4FC6-B828-0750448FEE16}"/>
    <cellStyle name="40% - Accent5 6 4 2 3 3" xfId="23165" xr:uid="{00000000-0005-0000-0000-0000774B0000}"/>
    <cellStyle name="40% - Accent5 6 4 2 3 3 2" xfId="46997" xr:uid="{79A14964-55E3-4D7E-9B27-590C91DABA4B}"/>
    <cellStyle name="40% - Accent5 6 4 2 3 4" xfId="31119" xr:uid="{EDC127FA-C6A5-4843-9002-C6F59319C95F}"/>
    <cellStyle name="40% - Accent5 6 4 2 4" xfId="11682" xr:uid="{00000000-0005-0000-0000-0000784B0000}"/>
    <cellStyle name="40% - Accent5 6 4 2 4 2" xfId="35531" xr:uid="{2DBF57D2-8A4F-4A17-90EE-EC74D9AA3A93}"/>
    <cellStyle name="40% - Accent5 6 4 2 5" xfId="19637" xr:uid="{00000000-0005-0000-0000-0000794B0000}"/>
    <cellStyle name="40% - Accent5 6 4 2 5 2" xfId="43469" xr:uid="{BCCAA2CD-99D0-4C46-8FD0-E5BF06BBC48E}"/>
    <cellStyle name="40% - Accent5 6 4 2 6" xfId="27589" xr:uid="{36DB0E54-603C-47FF-8608-9D91F8572B43}"/>
    <cellStyle name="40% - Accent5 6 4 2_Exh G" xfId="3266" xr:uid="{00000000-0005-0000-0000-00007A4B0000}"/>
    <cellStyle name="40% - Accent5 6 4 3" xfId="4536" xr:uid="{00000000-0005-0000-0000-00007B4B0000}"/>
    <cellStyle name="40% - Accent5 6 4 3 2" xfId="8128" xr:uid="{00000000-0005-0000-0000-00007C4B0000}"/>
    <cellStyle name="40% - Accent5 6 4 3 2 2" xfId="16098" xr:uid="{00000000-0005-0000-0000-00007D4B0000}"/>
    <cellStyle name="40% - Accent5 6 4 3 2 2 2" xfId="39940" xr:uid="{485D3C29-58B1-4FF9-9F5E-185065B803A2}"/>
    <cellStyle name="40% - Accent5 6 4 3 2 3" xfId="24044" xr:uid="{00000000-0005-0000-0000-00007E4B0000}"/>
    <cellStyle name="40% - Accent5 6 4 3 2 3 2" xfId="47876" xr:uid="{BF037280-42B2-4DA5-877F-114E9C3080A2}"/>
    <cellStyle name="40% - Accent5 6 4 3 2 4" xfId="31999" xr:uid="{B344BE33-1E68-4B0F-93F7-AFCDDE6457DC}"/>
    <cellStyle name="40% - Accent5 6 4 3 3" xfId="12560" xr:uid="{00000000-0005-0000-0000-00007F4B0000}"/>
    <cellStyle name="40% - Accent5 6 4 3 3 2" xfId="36409" xr:uid="{B343EF38-808E-495C-B635-12A92D10D805}"/>
    <cellStyle name="40% - Accent5 6 4 3 4" xfId="20515" xr:uid="{00000000-0005-0000-0000-0000804B0000}"/>
    <cellStyle name="40% - Accent5 6 4 3 4 2" xfId="44347" xr:uid="{D0BC17F5-31A5-4698-8A9B-FCC8E35620E2}"/>
    <cellStyle name="40% - Accent5 6 4 3 5" xfId="28468" xr:uid="{434C2C59-DD08-4902-9746-BEAE6BE5F4F0}"/>
    <cellStyle name="40% - Accent5 6 4 4" xfId="6366" xr:uid="{00000000-0005-0000-0000-0000814B0000}"/>
    <cellStyle name="40% - Accent5 6 4 4 2" xfId="14340" xr:uid="{00000000-0005-0000-0000-0000824B0000}"/>
    <cellStyle name="40% - Accent5 6 4 4 2 2" xfId="38182" xr:uid="{573451FA-3C64-4D35-826D-CCBD41447137}"/>
    <cellStyle name="40% - Accent5 6 4 4 3" xfId="22287" xr:uid="{00000000-0005-0000-0000-0000834B0000}"/>
    <cellStyle name="40% - Accent5 6 4 4 3 2" xfId="46119" xr:uid="{5C9AF494-277C-4E23-A5DB-40F45209D6B5}"/>
    <cellStyle name="40% - Accent5 6 4 4 4" xfId="30241" xr:uid="{D870C505-6089-46BA-8E1B-75092CB2DB46}"/>
    <cellStyle name="40% - Accent5 6 4 5" xfId="9908" xr:uid="{00000000-0005-0000-0000-0000844B0000}"/>
    <cellStyle name="40% - Accent5 6 4 5 2" xfId="17866" xr:uid="{00000000-0005-0000-0000-0000854B0000}"/>
    <cellStyle name="40% - Accent5 6 4 5 2 2" xfId="41706" xr:uid="{22902296-9942-46B5-93F8-6CC023C4F8DA}"/>
    <cellStyle name="40% - Accent5 6 4 5 3" xfId="25810" xr:uid="{00000000-0005-0000-0000-0000864B0000}"/>
    <cellStyle name="40% - Accent5 6 4 5 3 2" xfId="49642" xr:uid="{DE38C4D1-2A04-4DF7-9924-E6FF38D931F5}"/>
    <cellStyle name="40% - Accent5 6 4 5 4" xfId="33765" xr:uid="{436507FD-783E-4638-A24B-4855ECFA3310}"/>
    <cellStyle name="40% - Accent5 6 4 6" xfId="10804" xr:uid="{00000000-0005-0000-0000-0000874B0000}"/>
    <cellStyle name="40% - Accent5 6 4 6 2" xfId="34653" xr:uid="{6E13F530-1E39-440F-9B0B-941D4EC5FD4C}"/>
    <cellStyle name="40% - Accent5 6 4 7" xfId="18759" xr:uid="{00000000-0005-0000-0000-0000884B0000}"/>
    <cellStyle name="40% - Accent5 6 4 7 2" xfId="42591" xr:uid="{024F741E-BB56-4EA4-AFBF-6F79E83E433C}"/>
    <cellStyle name="40% - Accent5 6 4 8" xfId="26711" xr:uid="{B38F3EE9-F434-4AB0-AC5A-511518CA337F}"/>
    <cellStyle name="40% - Accent5 6 4_Exh G" xfId="3265" xr:uid="{00000000-0005-0000-0000-0000894B0000}"/>
    <cellStyle name="40% - Accent5 6 5" xfId="1593" xr:uid="{00000000-0005-0000-0000-00008A4B0000}"/>
    <cellStyle name="40% - Accent5 6 5 2" xfId="5120" xr:uid="{00000000-0005-0000-0000-00008B4B0000}"/>
    <cellStyle name="40% - Accent5 6 5 2 2" xfId="8711" xr:uid="{00000000-0005-0000-0000-00008C4B0000}"/>
    <cellStyle name="40% - Accent5 6 5 2 2 2" xfId="16681" xr:uid="{00000000-0005-0000-0000-00008D4B0000}"/>
    <cellStyle name="40% - Accent5 6 5 2 2 2 2" xfId="40523" xr:uid="{A5CA335E-44D8-484F-9E55-B7CBA876F7CA}"/>
    <cellStyle name="40% - Accent5 6 5 2 2 3" xfId="24627" xr:uid="{00000000-0005-0000-0000-00008E4B0000}"/>
    <cellStyle name="40% - Accent5 6 5 2 2 3 2" xfId="48459" xr:uid="{E00A09D3-E031-402B-8E0F-5305C5FB0A50}"/>
    <cellStyle name="40% - Accent5 6 5 2 2 4" xfId="32582" xr:uid="{831165B2-9BFE-4564-8945-876C5FEB9189}"/>
    <cellStyle name="40% - Accent5 6 5 2 3" xfId="13143" xr:uid="{00000000-0005-0000-0000-00008F4B0000}"/>
    <cellStyle name="40% - Accent5 6 5 2 3 2" xfId="36992" xr:uid="{6CAF56EB-AC2F-4873-BF95-581C64083329}"/>
    <cellStyle name="40% - Accent5 6 5 2 4" xfId="21098" xr:uid="{00000000-0005-0000-0000-0000904B0000}"/>
    <cellStyle name="40% - Accent5 6 5 2 4 2" xfId="44930" xr:uid="{7B1C1EAD-6815-4051-8721-6FFDC876A15D}"/>
    <cellStyle name="40% - Accent5 6 5 2 5" xfId="29051" xr:uid="{222BBF2E-8F61-4E75-9536-EA1AE805799D}"/>
    <cellStyle name="40% - Accent5 6 5 3" xfId="6952" xr:uid="{00000000-0005-0000-0000-0000914B0000}"/>
    <cellStyle name="40% - Accent5 6 5 3 2" xfId="14923" xr:uid="{00000000-0005-0000-0000-0000924B0000}"/>
    <cellStyle name="40% - Accent5 6 5 3 2 2" xfId="38765" xr:uid="{B847275D-C455-4948-B3BD-F9ECBC3844FE}"/>
    <cellStyle name="40% - Accent5 6 5 3 3" xfId="22870" xr:uid="{00000000-0005-0000-0000-0000934B0000}"/>
    <cellStyle name="40% - Accent5 6 5 3 3 2" xfId="46702" xr:uid="{34A172DD-EC94-494E-A7BE-EF92B820411C}"/>
    <cellStyle name="40% - Accent5 6 5 3 4" xfId="30824" xr:uid="{894628FD-4DFD-459F-A1F9-B2619C362F51}"/>
    <cellStyle name="40% - Accent5 6 5 4" xfId="11387" xr:uid="{00000000-0005-0000-0000-0000944B0000}"/>
    <cellStyle name="40% - Accent5 6 5 4 2" xfId="35236" xr:uid="{F9CDEC73-2DEB-4575-8343-6D36C7CDF695}"/>
    <cellStyle name="40% - Accent5 6 5 5" xfId="19342" xr:uid="{00000000-0005-0000-0000-0000954B0000}"/>
    <cellStyle name="40% - Accent5 6 5 5 2" xfId="43174" xr:uid="{C0EB4A2B-0A6F-4E72-809F-AEB0C79C1D63}"/>
    <cellStyle name="40% - Accent5 6 5 6" xfId="27294" xr:uid="{349A88CB-81A2-45F8-8112-A3B4A73A0281}"/>
    <cellStyle name="40% - Accent5 6 5_Exh G" xfId="3267" xr:uid="{00000000-0005-0000-0000-0000964B0000}"/>
    <cellStyle name="40% - Accent5 6 6" xfId="4241" xr:uid="{00000000-0005-0000-0000-0000974B0000}"/>
    <cellStyle name="40% - Accent5 6 6 2" xfId="7833" xr:uid="{00000000-0005-0000-0000-0000984B0000}"/>
    <cellStyle name="40% - Accent5 6 6 2 2" xfId="15803" xr:uid="{00000000-0005-0000-0000-0000994B0000}"/>
    <cellStyle name="40% - Accent5 6 6 2 2 2" xfId="39645" xr:uid="{D8BB4F92-9E98-46A6-AAAF-7FACE294961B}"/>
    <cellStyle name="40% - Accent5 6 6 2 3" xfId="23749" xr:uid="{00000000-0005-0000-0000-00009A4B0000}"/>
    <cellStyle name="40% - Accent5 6 6 2 3 2" xfId="47581" xr:uid="{68F6BCE4-71AA-4A14-8253-8AC53BE29AE0}"/>
    <cellStyle name="40% - Accent5 6 6 2 4" xfId="31704" xr:uid="{E4E2D26F-AC43-4375-9A79-04961F5A130A}"/>
    <cellStyle name="40% - Accent5 6 6 3" xfId="12265" xr:uid="{00000000-0005-0000-0000-00009B4B0000}"/>
    <cellStyle name="40% - Accent5 6 6 3 2" xfId="36114" xr:uid="{49B7C4EC-EE76-4209-89A5-0296D38D64C9}"/>
    <cellStyle name="40% - Accent5 6 6 4" xfId="20220" xr:uid="{00000000-0005-0000-0000-00009C4B0000}"/>
    <cellStyle name="40% - Accent5 6 6 4 2" xfId="44052" xr:uid="{74ABDC4A-7D15-4B25-8C09-32737A7B0731}"/>
    <cellStyle name="40% - Accent5 6 6 5" xfId="28173" xr:uid="{6EF1877F-377D-4E52-9965-011D49208C1E}"/>
    <cellStyle name="40% - Accent5 6 7" xfId="6061" xr:uid="{00000000-0005-0000-0000-00009D4B0000}"/>
    <cellStyle name="40% - Accent5 6 7 2" xfId="14044" xr:uid="{00000000-0005-0000-0000-00009E4B0000}"/>
    <cellStyle name="40% - Accent5 6 7 2 2" xfId="37887" xr:uid="{ED57EE14-953B-4905-92EE-3379A56D1DEC}"/>
    <cellStyle name="40% - Accent5 6 7 3" xfId="21992" xr:uid="{00000000-0005-0000-0000-00009F4B0000}"/>
    <cellStyle name="40% - Accent5 6 7 3 2" xfId="45824" xr:uid="{C379FC59-C8A9-44B2-AAC8-6D3173D04607}"/>
    <cellStyle name="40% - Accent5 6 7 4" xfId="29946" xr:uid="{9E9874CE-193E-4C17-8DFD-076D2FA61206}"/>
    <cellStyle name="40% - Accent5 6 8" xfId="9613" xr:uid="{00000000-0005-0000-0000-0000A04B0000}"/>
    <cellStyle name="40% - Accent5 6 8 2" xfId="17571" xr:uid="{00000000-0005-0000-0000-0000A14B0000}"/>
    <cellStyle name="40% - Accent5 6 8 2 2" xfId="41411" xr:uid="{6DBEF559-4C08-4BE9-9171-687DB9EF7F40}"/>
    <cellStyle name="40% - Accent5 6 8 3" xfId="25515" xr:uid="{00000000-0005-0000-0000-0000A24B0000}"/>
    <cellStyle name="40% - Accent5 6 8 3 2" xfId="49347" xr:uid="{912730D7-2856-4C5E-A45A-C5704F39BA28}"/>
    <cellStyle name="40% - Accent5 6 8 4" xfId="33470" xr:uid="{103A5791-06A7-47A8-A2BB-70E7F5BCC4B7}"/>
    <cellStyle name="40% - Accent5 6 9" xfId="10509" xr:uid="{00000000-0005-0000-0000-0000A34B0000}"/>
    <cellStyle name="40% - Accent5 6 9 2" xfId="34358" xr:uid="{210A2DCA-C9D2-4C10-B3FA-A7EF1F35DDDD}"/>
    <cellStyle name="40% - Accent5 6_Exh G" xfId="3258" xr:uid="{00000000-0005-0000-0000-0000A44B0000}"/>
    <cellStyle name="40% - Accent5 7" xfId="571" xr:uid="{00000000-0005-0000-0000-0000A54B0000}"/>
    <cellStyle name="40% - Accent5 7 10" xfId="18468" xr:uid="{00000000-0005-0000-0000-0000A64B0000}"/>
    <cellStyle name="40% - Accent5 7 10 2" xfId="42300" xr:uid="{376123D4-0651-4743-B256-DC7C92FE00AC}"/>
    <cellStyle name="40% - Accent5 7 11" xfId="26420" xr:uid="{5B37B94E-41A8-439F-AF77-0481D26AD3BF}"/>
    <cellStyle name="40% - Accent5 7 2" xfId="572" xr:uid="{00000000-0005-0000-0000-0000A74B0000}"/>
    <cellStyle name="40% - Accent5 7 2 2" xfId="573" xr:uid="{00000000-0005-0000-0000-0000A84B0000}"/>
    <cellStyle name="40% - Accent5 7 2 2 2" xfId="1599" xr:uid="{00000000-0005-0000-0000-0000A94B0000}"/>
    <cellStyle name="40% - Accent5 7 2 2 2 2" xfId="5126" xr:uid="{00000000-0005-0000-0000-0000AA4B0000}"/>
    <cellStyle name="40% - Accent5 7 2 2 2 2 2" xfId="8717" xr:uid="{00000000-0005-0000-0000-0000AB4B0000}"/>
    <cellStyle name="40% - Accent5 7 2 2 2 2 2 2" xfId="16687" xr:uid="{00000000-0005-0000-0000-0000AC4B0000}"/>
    <cellStyle name="40% - Accent5 7 2 2 2 2 2 2 2" xfId="40529" xr:uid="{EA94CB5A-E87D-4048-9EAC-95739DB728C1}"/>
    <cellStyle name="40% - Accent5 7 2 2 2 2 2 3" xfId="24633" xr:uid="{00000000-0005-0000-0000-0000AD4B0000}"/>
    <cellStyle name="40% - Accent5 7 2 2 2 2 2 3 2" xfId="48465" xr:uid="{7B2F8887-3C53-46AF-9475-47ACC0B8417E}"/>
    <cellStyle name="40% - Accent5 7 2 2 2 2 2 4" xfId="32588" xr:uid="{6A8A304D-CB21-4D6F-9163-89B9D8FD0D5C}"/>
    <cellStyle name="40% - Accent5 7 2 2 2 2 3" xfId="13149" xr:uid="{00000000-0005-0000-0000-0000AE4B0000}"/>
    <cellStyle name="40% - Accent5 7 2 2 2 2 3 2" xfId="36998" xr:uid="{52FD8DD9-E7F6-4931-B945-CBA8243450AA}"/>
    <cellStyle name="40% - Accent5 7 2 2 2 2 4" xfId="21104" xr:uid="{00000000-0005-0000-0000-0000AF4B0000}"/>
    <cellStyle name="40% - Accent5 7 2 2 2 2 4 2" xfId="44936" xr:uid="{DC875738-DE12-46B7-874D-C1CF5A539080}"/>
    <cellStyle name="40% - Accent5 7 2 2 2 2 5" xfId="29057" xr:uid="{FF940027-0493-41C2-82D2-54412C1E5896}"/>
    <cellStyle name="40% - Accent5 7 2 2 2 3" xfId="6958" xr:uid="{00000000-0005-0000-0000-0000B04B0000}"/>
    <cellStyle name="40% - Accent5 7 2 2 2 3 2" xfId="14929" xr:uid="{00000000-0005-0000-0000-0000B14B0000}"/>
    <cellStyle name="40% - Accent5 7 2 2 2 3 2 2" xfId="38771" xr:uid="{2B965C8E-2F41-498C-9151-51B87C09AA72}"/>
    <cellStyle name="40% - Accent5 7 2 2 2 3 3" xfId="22876" xr:uid="{00000000-0005-0000-0000-0000B24B0000}"/>
    <cellStyle name="40% - Accent5 7 2 2 2 3 3 2" xfId="46708" xr:uid="{E846F940-5E23-4783-A938-EF7B00F670B3}"/>
    <cellStyle name="40% - Accent5 7 2 2 2 3 4" xfId="30830" xr:uid="{DF8C7985-6F83-485F-A6E8-94CF2B24678C}"/>
    <cellStyle name="40% - Accent5 7 2 2 2 4" xfId="11393" xr:uid="{00000000-0005-0000-0000-0000B34B0000}"/>
    <cellStyle name="40% - Accent5 7 2 2 2 4 2" xfId="35242" xr:uid="{FA294512-C6DC-4D37-B2BC-268A10E6E7BA}"/>
    <cellStyle name="40% - Accent5 7 2 2 2 5" xfId="19348" xr:uid="{00000000-0005-0000-0000-0000B44B0000}"/>
    <cellStyle name="40% - Accent5 7 2 2 2 5 2" xfId="43180" xr:uid="{E70C80DF-4826-4D2F-84C3-DB4A5DABA458}"/>
    <cellStyle name="40% - Accent5 7 2 2 2 6" xfId="27300" xr:uid="{B19CDBE4-FF47-478E-98DC-6F0AA8664DAB}"/>
    <cellStyle name="40% - Accent5 7 2 2 2_Exh G" xfId="3271" xr:uid="{00000000-0005-0000-0000-0000B54B0000}"/>
    <cellStyle name="40% - Accent5 7 2 2 3" xfId="4247" xr:uid="{00000000-0005-0000-0000-0000B64B0000}"/>
    <cellStyle name="40% - Accent5 7 2 2 3 2" xfId="7839" xr:uid="{00000000-0005-0000-0000-0000B74B0000}"/>
    <cellStyle name="40% - Accent5 7 2 2 3 2 2" xfId="15809" xr:uid="{00000000-0005-0000-0000-0000B84B0000}"/>
    <cellStyle name="40% - Accent5 7 2 2 3 2 2 2" xfId="39651" xr:uid="{65B36A99-5DD8-4D27-83DF-ABED4A4E65ED}"/>
    <cellStyle name="40% - Accent5 7 2 2 3 2 3" xfId="23755" xr:uid="{00000000-0005-0000-0000-0000B94B0000}"/>
    <cellStyle name="40% - Accent5 7 2 2 3 2 3 2" xfId="47587" xr:uid="{1DEF0D0B-3DB1-4BBD-AB66-D8705903A7EA}"/>
    <cellStyle name="40% - Accent5 7 2 2 3 2 4" xfId="31710" xr:uid="{CDFC840C-0511-40D4-B136-17940317EAE5}"/>
    <cellStyle name="40% - Accent5 7 2 2 3 3" xfId="12271" xr:uid="{00000000-0005-0000-0000-0000BA4B0000}"/>
    <cellStyle name="40% - Accent5 7 2 2 3 3 2" xfId="36120" xr:uid="{E630718A-903A-4D4F-846A-7396ED9B2696}"/>
    <cellStyle name="40% - Accent5 7 2 2 3 4" xfId="20226" xr:uid="{00000000-0005-0000-0000-0000BB4B0000}"/>
    <cellStyle name="40% - Accent5 7 2 2 3 4 2" xfId="44058" xr:uid="{E2CE8373-12F5-4545-A39B-84DA9183CB73}"/>
    <cellStyle name="40% - Accent5 7 2 2 3 5" xfId="28179" xr:uid="{06EB21A3-693E-48D4-BE5C-097E64056901}"/>
    <cellStyle name="40% - Accent5 7 2 2 4" xfId="6067" xr:uid="{00000000-0005-0000-0000-0000BC4B0000}"/>
    <cellStyle name="40% - Accent5 7 2 2 4 2" xfId="14050" xr:uid="{00000000-0005-0000-0000-0000BD4B0000}"/>
    <cellStyle name="40% - Accent5 7 2 2 4 2 2" xfId="37893" xr:uid="{C032FB0C-0FC1-4FA8-9DD6-B1CFDB2225FC}"/>
    <cellStyle name="40% - Accent5 7 2 2 4 3" xfId="21998" xr:uid="{00000000-0005-0000-0000-0000BE4B0000}"/>
    <cellStyle name="40% - Accent5 7 2 2 4 3 2" xfId="45830" xr:uid="{FB54FACA-D025-4B8C-BC00-54951754330A}"/>
    <cellStyle name="40% - Accent5 7 2 2 4 4" xfId="29952" xr:uid="{61A0648E-F158-449E-BE14-1EB500D3186A}"/>
    <cellStyle name="40% - Accent5 7 2 2 5" xfId="9619" xr:uid="{00000000-0005-0000-0000-0000BF4B0000}"/>
    <cellStyle name="40% - Accent5 7 2 2 5 2" xfId="17577" xr:uid="{00000000-0005-0000-0000-0000C04B0000}"/>
    <cellStyle name="40% - Accent5 7 2 2 5 2 2" xfId="41417" xr:uid="{651BA2A4-22C0-4209-B630-0BCB7101F8D3}"/>
    <cellStyle name="40% - Accent5 7 2 2 5 3" xfId="25521" xr:uid="{00000000-0005-0000-0000-0000C14B0000}"/>
    <cellStyle name="40% - Accent5 7 2 2 5 3 2" xfId="49353" xr:uid="{ADF7A5E0-C3E5-40D3-9AE9-6AE8F2C9EE1C}"/>
    <cellStyle name="40% - Accent5 7 2 2 5 4" xfId="33476" xr:uid="{5B9BDC10-132A-4468-A062-F670186225C1}"/>
    <cellStyle name="40% - Accent5 7 2 2 6" xfId="10515" xr:uid="{00000000-0005-0000-0000-0000C24B0000}"/>
    <cellStyle name="40% - Accent5 7 2 2 6 2" xfId="34364" xr:uid="{76B47952-EDA4-464E-A4B1-E27943A39225}"/>
    <cellStyle name="40% - Accent5 7 2 2 7" xfId="18470" xr:uid="{00000000-0005-0000-0000-0000C34B0000}"/>
    <cellStyle name="40% - Accent5 7 2 2 7 2" xfId="42302" xr:uid="{C5E198D0-55CD-45F7-9EAB-853E132B5F1B}"/>
    <cellStyle name="40% - Accent5 7 2 2 8" xfId="26422" xr:uid="{46A46889-9A87-4094-ACC7-E741F13EDAB1}"/>
    <cellStyle name="40% - Accent5 7 2 2_Exh G" xfId="3270" xr:uid="{00000000-0005-0000-0000-0000C44B0000}"/>
    <cellStyle name="40% - Accent5 7 2 3" xfId="1598" xr:uid="{00000000-0005-0000-0000-0000C54B0000}"/>
    <cellStyle name="40% - Accent5 7 2 3 2" xfId="5125" xr:uid="{00000000-0005-0000-0000-0000C64B0000}"/>
    <cellStyle name="40% - Accent5 7 2 3 2 2" xfId="8716" xr:uid="{00000000-0005-0000-0000-0000C74B0000}"/>
    <cellStyle name="40% - Accent5 7 2 3 2 2 2" xfId="16686" xr:uid="{00000000-0005-0000-0000-0000C84B0000}"/>
    <cellStyle name="40% - Accent5 7 2 3 2 2 2 2" xfId="40528" xr:uid="{6EE32C26-0B79-4BF6-9EDE-A88921CDA6B3}"/>
    <cellStyle name="40% - Accent5 7 2 3 2 2 3" xfId="24632" xr:uid="{00000000-0005-0000-0000-0000C94B0000}"/>
    <cellStyle name="40% - Accent5 7 2 3 2 2 3 2" xfId="48464" xr:uid="{2D2B51FA-1E45-469C-A7A5-E2D0488559F9}"/>
    <cellStyle name="40% - Accent5 7 2 3 2 2 4" xfId="32587" xr:uid="{A9AA74ED-73F7-4755-8E53-A58BB149521B}"/>
    <cellStyle name="40% - Accent5 7 2 3 2 3" xfId="13148" xr:uid="{00000000-0005-0000-0000-0000CA4B0000}"/>
    <cellStyle name="40% - Accent5 7 2 3 2 3 2" xfId="36997" xr:uid="{9421BDE8-1E24-4960-87BD-222590E25717}"/>
    <cellStyle name="40% - Accent5 7 2 3 2 4" xfId="21103" xr:uid="{00000000-0005-0000-0000-0000CB4B0000}"/>
    <cellStyle name="40% - Accent5 7 2 3 2 4 2" xfId="44935" xr:uid="{EAA66A16-0C49-4CCD-874B-48C1068FF7EA}"/>
    <cellStyle name="40% - Accent5 7 2 3 2 5" xfId="29056" xr:uid="{50993026-23D2-48C9-ACEE-BA417B8DD515}"/>
    <cellStyle name="40% - Accent5 7 2 3 3" xfId="6957" xr:uid="{00000000-0005-0000-0000-0000CC4B0000}"/>
    <cellStyle name="40% - Accent5 7 2 3 3 2" xfId="14928" xr:uid="{00000000-0005-0000-0000-0000CD4B0000}"/>
    <cellStyle name="40% - Accent5 7 2 3 3 2 2" xfId="38770" xr:uid="{6DAC58E0-6316-4B89-B01D-EFE3097AE1F2}"/>
    <cellStyle name="40% - Accent5 7 2 3 3 3" xfId="22875" xr:uid="{00000000-0005-0000-0000-0000CE4B0000}"/>
    <cellStyle name="40% - Accent5 7 2 3 3 3 2" xfId="46707" xr:uid="{E10CB505-AF28-4BF0-82CB-9DABB5EB28E1}"/>
    <cellStyle name="40% - Accent5 7 2 3 3 4" xfId="30829" xr:uid="{D693A9DD-EB37-4CD4-9CD0-FBBC03A32629}"/>
    <cellStyle name="40% - Accent5 7 2 3 4" xfId="11392" xr:uid="{00000000-0005-0000-0000-0000CF4B0000}"/>
    <cellStyle name="40% - Accent5 7 2 3 4 2" xfId="35241" xr:uid="{A457CE8F-C6F4-4198-BFF3-32080AB4100B}"/>
    <cellStyle name="40% - Accent5 7 2 3 5" xfId="19347" xr:uid="{00000000-0005-0000-0000-0000D04B0000}"/>
    <cellStyle name="40% - Accent5 7 2 3 5 2" xfId="43179" xr:uid="{9BE9ECBA-99FA-4B66-8A06-2880CCC76FC9}"/>
    <cellStyle name="40% - Accent5 7 2 3 6" xfId="27299" xr:uid="{AE3A74F4-09A5-49D4-BFDC-3F990D25CEF0}"/>
    <cellStyle name="40% - Accent5 7 2 3_Exh G" xfId="3272" xr:uid="{00000000-0005-0000-0000-0000D14B0000}"/>
    <cellStyle name="40% - Accent5 7 2 4" xfId="4246" xr:uid="{00000000-0005-0000-0000-0000D24B0000}"/>
    <cellStyle name="40% - Accent5 7 2 4 2" xfId="7838" xr:uid="{00000000-0005-0000-0000-0000D34B0000}"/>
    <cellStyle name="40% - Accent5 7 2 4 2 2" xfId="15808" xr:uid="{00000000-0005-0000-0000-0000D44B0000}"/>
    <cellStyle name="40% - Accent5 7 2 4 2 2 2" xfId="39650" xr:uid="{78C61DCB-30BF-4EB1-82FB-90D700FA6FAC}"/>
    <cellStyle name="40% - Accent5 7 2 4 2 3" xfId="23754" xr:uid="{00000000-0005-0000-0000-0000D54B0000}"/>
    <cellStyle name="40% - Accent5 7 2 4 2 3 2" xfId="47586" xr:uid="{63395340-1AD0-48A1-8F14-F4A207235A69}"/>
    <cellStyle name="40% - Accent5 7 2 4 2 4" xfId="31709" xr:uid="{40A1FB2B-3EE7-46D9-B5EC-48C0CA023A4C}"/>
    <cellStyle name="40% - Accent5 7 2 4 3" xfId="12270" xr:uid="{00000000-0005-0000-0000-0000D64B0000}"/>
    <cellStyle name="40% - Accent5 7 2 4 3 2" xfId="36119" xr:uid="{00B7560D-F76C-4EF1-B092-475E5630FDBD}"/>
    <cellStyle name="40% - Accent5 7 2 4 4" xfId="20225" xr:uid="{00000000-0005-0000-0000-0000D74B0000}"/>
    <cellStyle name="40% - Accent5 7 2 4 4 2" xfId="44057" xr:uid="{B6136D36-F561-414A-93D2-C6FCDAB08A8B}"/>
    <cellStyle name="40% - Accent5 7 2 4 5" xfId="28178" xr:uid="{21F92887-CB05-4CFB-9697-B4516000D308}"/>
    <cellStyle name="40% - Accent5 7 2 5" xfId="6066" xr:uid="{00000000-0005-0000-0000-0000D84B0000}"/>
    <cellStyle name="40% - Accent5 7 2 5 2" xfId="14049" xr:uid="{00000000-0005-0000-0000-0000D94B0000}"/>
    <cellStyle name="40% - Accent5 7 2 5 2 2" xfId="37892" xr:uid="{C2F00B1F-27E6-415B-AA7D-10611FB8F618}"/>
    <cellStyle name="40% - Accent5 7 2 5 3" xfId="21997" xr:uid="{00000000-0005-0000-0000-0000DA4B0000}"/>
    <cellStyle name="40% - Accent5 7 2 5 3 2" xfId="45829" xr:uid="{3E66178F-3003-4037-9627-006B507359D7}"/>
    <cellStyle name="40% - Accent5 7 2 5 4" xfId="29951" xr:uid="{F942BC95-7134-4D73-8F38-9A539400073E}"/>
    <cellStyle name="40% - Accent5 7 2 6" xfId="9618" xr:uid="{00000000-0005-0000-0000-0000DB4B0000}"/>
    <cellStyle name="40% - Accent5 7 2 6 2" xfId="17576" xr:uid="{00000000-0005-0000-0000-0000DC4B0000}"/>
    <cellStyle name="40% - Accent5 7 2 6 2 2" xfId="41416" xr:uid="{24952D57-4458-4E7F-A9F9-561794E5222B}"/>
    <cellStyle name="40% - Accent5 7 2 6 3" xfId="25520" xr:uid="{00000000-0005-0000-0000-0000DD4B0000}"/>
    <cellStyle name="40% - Accent5 7 2 6 3 2" xfId="49352" xr:uid="{D4C558A5-06AE-489D-A11F-A99E9DD530E3}"/>
    <cellStyle name="40% - Accent5 7 2 6 4" xfId="33475" xr:uid="{CD086926-7737-4664-99F2-5F92D44F22B6}"/>
    <cellStyle name="40% - Accent5 7 2 7" xfId="10514" xr:uid="{00000000-0005-0000-0000-0000DE4B0000}"/>
    <cellStyle name="40% - Accent5 7 2 7 2" xfId="34363" xr:uid="{98C3C6B8-5E1A-40BA-B284-98D2504B28A3}"/>
    <cellStyle name="40% - Accent5 7 2 8" xfId="18469" xr:uid="{00000000-0005-0000-0000-0000DF4B0000}"/>
    <cellStyle name="40% - Accent5 7 2 8 2" xfId="42301" xr:uid="{364CB70A-DEB9-46AD-A044-1C03C8016803}"/>
    <cellStyle name="40% - Accent5 7 2 9" xfId="26421" xr:uid="{BAA35016-ED08-465A-8767-2DD80A972DDC}"/>
    <cellStyle name="40% - Accent5 7 2_Exh G" xfId="3269" xr:uid="{00000000-0005-0000-0000-0000E04B0000}"/>
    <cellStyle name="40% - Accent5 7 3" xfId="574" xr:uid="{00000000-0005-0000-0000-0000E14B0000}"/>
    <cellStyle name="40% - Accent5 7 3 2" xfId="1600" xr:uid="{00000000-0005-0000-0000-0000E24B0000}"/>
    <cellStyle name="40% - Accent5 7 3 2 2" xfId="5127" xr:uid="{00000000-0005-0000-0000-0000E34B0000}"/>
    <cellStyle name="40% - Accent5 7 3 2 2 2" xfId="8718" xr:uid="{00000000-0005-0000-0000-0000E44B0000}"/>
    <cellStyle name="40% - Accent5 7 3 2 2 2 2" xfId="16688" xr:uid="{00000000-0005-0000-0000-0000E54B0000}"/>
    <cellStyle name="40% - Accent5 7 3 2 2 2 2 2" xfId="40530" xr:uid="{27834C56-8C36-43A0-834C-1792D40CA16C}"/>
    <cellStyle name="40% - Accent5 7 3 2 2 2 3" xfId="24634" xr:uid="{00000000-0005-0000-0000-0000E64B0000}"/>
    <cellStyle name="40% - Accent5 7 3 2 2 2 3 2" xfId="48466" xr:uid="{587884A3-6C2D-40E6-8F31-9A618A0A1D85}"/>
    <cellStyle name="40% - Accent5 7 3 2 2 2 4" xfId="32589" xr:uid="{9B28E602-6CE9-46EE-9D71-F0524D5D344C}"/>
    <cellStyle name="40% - Accent5 7 3 2 2 3" xfId="13150" xr:uid="{00000000-0005-0000-0000-0000E74B0000}"/>
    <cellStyle name="40% - Accent5 7 3 2 2 3 2" xfId="36999" xr:uid="{3C18D33E-83A1-4B4C-B26C-59DD92A8DED6}"/>
    <cellStyle name="40% - Accent5 7 3 2 2 4" xfId="21105" xr:uid="{00000000-0005-0000-0000-0000E84B0000}"/>
    <cellStyle name="40% - Accent5 7 3 2 2 4 2" xfId="44937" xr:uid="{FB5F7EE2-6A74-493A-8F99-184F0C3777F0}"/>
    <cellStyle name="40% - Accent5 7 3 2 2 5" xfId="29058" xr:uid="{2880B335-1904-4EAA-94C9-60910021D204}"/>
    <cellStyle name="40% - Accent5 7 3 2 3" xfId="6959" xr:uid="{00000000-0005-0000-0000-0000E94B0000}"/>
    <cellStyle name="40% - Accent5 7 3 2 3 2" xfId="14930" xr:uid="{00000000-0005-0000-0000-0000EA4B0000}"/>
    <cellStyle name="40% - Accent5 7 3 2 3 2 2" xfId="38772" xr:uid="{C631018C-341D-47AA-B6C3-302CC292A4F8}"/>
    <cellStyle name="40% - Accent5 7 3 2 3 3" xfId="22877" xr:uid="{00000000-0005-0000-0000-0000EB4B0000}"/>
    <cellStyle name="40% - Accent5 7 3 2 3 3 2" xfId="46709" xr:uid="{7E096A5C-7B8D-48F6-BC7F-DB4F3FF6625E}"/>
    <cellStyle name="40% - Accent5 7 3 2 3 4" xfId="30831" xr:uid="{439B175A-D165-4246-8629-318F949CC360}"/>
    <cellStyle name="40% - Accent5 7 3 2 4" xfId="11394" xr:uid="{00000000-0005-0000-0000-0000EC4B0000}"/>
    <cellStyle name="40% - Accent5 7 3 2 4 2" xfId="35243" xr:uid="{89554609-76E9-40B0-AA0E-80EFAD0E07F2}"/>
    <cellStyle name="40% - Accent5 7 3 2 5" xfId="19349" xr:uid="{00000000-0005-0000-0000-0000ED4B0000}"/>
    <cellStyle name="40% - Accent5 7 3 2 5 2" xfId="43181" xr:uid="{E4FABFED-32F4-4B4F-BF1B-365244107B5D}"/>
    <cellStyle name="40% - Accent5 7 3 2 6" xfId="27301" xr:uid="{66CDD6FD-A1D8-480A-A57B-EC9A52262A62}"/>
    <cellStyle name="40% - Accent5 7 3 2_Exh G" xfId="3274" xr:uid="{00000000-0005-0000-0000-0000EE4B0000}"/>
    <cellStyle name="40% - Accent5 7 3 3" xfId="4248" xr:uid="{00000000-0005-0000-0000-0000EF4B0000}"/>
    <cellStyle name="40% - Accent5 7 3 3 2" xfId="7840" xr:uid="{00000000-0005-0000-0000-0000F04B0000}"/>
    <cellStyle name="40% - Accent5 7 3 3 2 2" xfId="15810" xr:uid="{00000000-0005-0000-0000-0000F14B0000}"/>
    <cellStyle name="40% - Accent5 7 3 3 2 2 2" xfId="39652" xr:uid="{0A10455B-EFEC-4055-97E6-B87D4B3AF649}"/>
    <cellStyle name="40% - Accent5 7 3 3 2 3" xfId="23756" xr:uid="{00000000-0005-0000-0000-0000F24B0000}"/>
    <cellStyle name="40% - Accent5 7 3 3 2 3 2" xfId="47588" xr:uid="{38959570-80D3-4AEB-88CB-656E7EE19392}"/>
    <cellStyle name="40% - Accent5 7 3 3 2 4" xfId="31711" xr:uid="{056BF70D-D307-45FB-BFCF-4F4AC6AE9DFA}"/>
    <cellStyle name="40% - Accent5 7 3 3 3" xfId="12272" xr:uid="{00000000-0005-0000-0000-0000F34B0000}"/>
    <cellStyle name="40% - Accent5 7 3 3 3 2" xfId="36121" xr:uid="{54307E34-5D3A-44D7-A4D3-779DCED7C1B0}"/>
    <cellStyle name="40% - Accent5 7 3 3 4" xfId="20227" xr:uid="{00000000-0005-0000-0000-0000F44B0000}"/>
    <cellStyle name="40% - Accent5 7 3 3 4 2" xfId="44059" xr:uid="{65B9D805-B002-4F2F-A788-96F4CBEBDA96}"/>
    <cellStyle name="40% - Accent5 7 3 3 5" xfId="28180" xr:uid="{6C87A3E2-A3CF-401B-893B-FF27AF6F6DA4}"/>
    <cellStyle name="40% - Accent5 7 3 4" xfId="6068" xr:uid="{00000000-0005-0000-0000-0000F54B0000}"/>
    <cellStyle name="40% - Accent5 7 3 4 2" xfId="14051" xr:uid="{00000000-0005-0000-0000-0000F64B0000}"/>
    <cellStyle name="40% - Accent5 7 3 4 2 2" xfId="37894" xr:uid="{C4856011-3639-4F7F-8B1D-8E549EB9620F}"/>
    <cellStyle name="40% - Accent5 7 3 4 3" xfId="21999" xr:uid="{00000000-0005-0000-0000-0000F74B0000}"/>
    <cellStyle name="40% - Accent5 7 3 4 3 2" xfId="45831" xr:uid="{727048FB-3C02-43C1-8D70-0247A86812AF}"/>
    <cellStyle name="40% - Accent5 7 3 4 4" xfId="29953" xr:uid="{594832BF-687C-4A06-B1B5-9D68024B3C4F}"/>
    <cellStyle name="40% - Accent5 7 3 5" xfId="9620" xr:uid="{00000000-0005-0000-0000-0000F84B0000}"/>
    <cellStyle name="40% - Accent5 7 3 5 2" xfId="17578" xr:uid="{00000000-0005-0000-0000-0000F94B0000}"/>
    <cellStyle name="40% - Accent5 7 3 5 2 2" xfId="41418" xr:uid="{F1DB1866-EA07-4F16-BB43-3E4F38E46BA9}"/>
    <cellStyle name="40% - Accent5 7 3 5 3" xfId="25522" xr:uid="{00000000-0005-0000-0000-0000FA4B0000}"/>
    <cellStyle name="40% - Accent5 7 3 5 3 2" xfId="49354" xr:uid="{8D6FBF47-6871-4130-A8F7-2404DA280AAE}"/>
    <cellStyle name="40% - Accent5 7 3 5 4" xfId="33477" xr:uid="{E962A04C-C6C2-425F-B8E2-F5630204C0FA}"/>
    <cellStyle name="40% - Accent5 7 3 6" xfId="10516" xr:uid="{00000000-0005-0000-0000-0000FB4B0000}"/>
    <cellStyle name="40% - Accent5 7 3 6 2" xfId="34365" xr:uid="{0DF1ACA1-FEF6-4386-8183-90EFD01A82B9}"/>
    <cellStyle name="40% - Accent5 7 3 7" xfId="18471" xr:uid="{00000000-0005-0000-0000-0000FC4B0000}"/>
    <cellStyle name="40% - Accent5 7 3 7 2" xfId="42303" xr:uid="{1E0A9EAC-FA1F-43FA-8B4C-2CCE8B831FFC}"/>
    <cellStyle name="40% - Accent5 7 3 8" xfId="26423" xr:uid="{72C2F07D-524A-4926-BB71-E8134E1C7BDD}"/>
    <cellStyle name="40% - Accent5 7 3_Exh G" xfId="3273" xr:uid="{00000000-0005-0000-0000-0000FD4B0000}"/>
    <cellStyle name="40% - Accent5 7 4" xfId="988" xr:uid="{00000000-0005-0000-0000-0000FE4B0000}"/>
    <cellStyle name="40% - Accent5 7 4 2" xfId="1899" xr:uid="{00000000-0005-0000-0000-0000FF4B0000}"/>
    <cellStyle name="40% - Accent5 7 4 2 2" xfId="5416" xr:uid="{00000000-0005-0000-0000-0000004C0000}"/>
    <cellStyle name="40% - Accent5 7 4 2 2 2" xfId="9007" xr:uid="{00000000-0005-0000-0000-0000014C0000}"/>
    <cellStyle name="40% - Accent5 7 4 2 2 2 2" xfId="16977" xr:uid="{00000000-0005-0000-0000-0000024C0000}"/>
    <cellStyle name="40% - Accent5 7 4 2 2 2 2 2" xfId="40819" xr:uid="{81A0E441-B5AC-4AD9-AA8B-8B7190878A1D}"/>
    <cellStyle name="40% - Accent5 7 4 2 2 2 3" xfId="24923" xr:uid="{00000000-0005-0000-0000-0000034C0000}"/>
    <cellStyle name="40% - Accent5 7 4 2 2 2 3 2" xfId="48755" xr:uid="{E964FC47-5D43-42B3-956C-CD9E3937ED79}"/>
    <cellStyle name="40% - Accent5 7 4 2 2 2 4" xfId="32878" xr:uid="{E4056B03-5FB8-4525-89E8-851A396925A4}"/>
    <cellStyle name="40% - Accent5 7 4 2 2 3" xfId="13439" xr:uid="{00000000-0005-0000-0000-0000044C0000}"/>
    <cellStyle name="40% - Accent5 7 4 2 2 3 2" xfId="37288" xr:uid="{D9569F2A-03B1-4F33-B3F5-0346CAF94678}"/>
    <cellStyle name="40% - Accent5 7 4 2 2 4" xfId="21394" xr:uid="{00000000-0005-0000-0000-0000054C0000}"/>
    <cellStyle name="40% - Accent5 7 4 2 2 4 2" xfId="45226" xr:uid="{D68DF63F-7640-4294-8D12-66CB0CF918A4}"/>
    <cellStyle name="40% - Accent5 7 4 2 2 5" xfId="29347" xr:uid="{5E30D664-909A-4317-A26D-B3356D80E589}"/>
    <cellStyle name="40% - Accent5 7 4 2 3" xfId="7248" xr:uid="{00000000-0005-0000-0000-0000064C0000}"/>
    <cellStyle name="40% - Accent5 7 4 2 3 2" xfId="15219" xr:uid="{00000000-0005-0000-0000-0000074C0000}"/>
    <cellStyle name="40% - Accent5 7 4 2 3 2 2" xfId="39061" xr:uid="{8E9F4F4F-35F4-4E71-A1AA-6762DBF406E2}"/>
    <cellStyle name="40% - Accent5 7 4 2 3 3" xfId="23166" xr:uid="{00000000-0005-0000-0000-0000084C0000}"/>
    <cellStyle name="40% - Accent5 7 4 2 3 3 2" xfId="46998" xr:uid="{A312F999-317B-4F06-B898-18BD6B0D0344}"/>
    <cellStyle name="40% - Accent5 7 4 2 3 4" xfId="31120" xr:uid="{21B6AE51-40B7-4CD1-BC70-50C7EDB1BD17}"/>
    <cellStyle name="40% - Accent5 7 4 2 4" xfId="11683" xr:uid="{00000000-0005-0000-0000-0000094C0000}"/>
    <cellStyle name="40% - Accent5 7 4 2 4 2" xfId="35532" xr:uid="{3BE49CDC-0A53-429F-9CF7-DC1D698CFE20}"/>
    <cellStyle name="40% - Accent5 7 4 2 5" xfId="19638" xr:uid="{00000000-0005-0000-0000-00000A4C0000}"/>
    <cellStyle name="40% - Accent5 7 4 2 5 2" xfId="43470" xr:uid="{19C2CB3E-254E-4A2A-AFA8-20AF6ECEF3A5}"/>
    <cellStyle name="40% - Accent5 7 4 2 6" xfId="27590" xr:uid="{447BFAD8-7B81-436A-B5CE-117559F661A8}"/>
    <cellStyle name="40% - Accent5 7 4 2_Exh G" xfId="3276" xr:uid="{00000000-0005-0000-0000-00000B4C0000}"/>
    <cellStyle name="40% - Accent5 7 4 3" xfId="4537" xr:uid="{00000000-0005-0000-0000-00000C4C0000}"/>
    <cellStyle name="40% - Accent5 7 4 3 2" xfId="8129" xr:uid="{00000000-0005-0000-0000-00000D4C0000}"/>
    <cellStyle name="40% - Accent5 7 4 3 2 2" xfId="16099" xr:uid="{00000000-0005-0000-0000-00000E4C0000}"/>
    <cellStyle name="40% - Accent5 7 4 3 2 2 2" xfId="39941" xr:uid="{0207868E-ED65-4D93-8260-4AA4B5448EC9}"/>
    <cellStyle name="40% - Accent5 7 4 3 2 3" xfId="24045" xr:uid="{00000000-0005-0000-0000-00000F4C0000}"/>
    <cellStyle name="40% - Accent5 7 4 3 2 3 2" xfId="47877" xr:uid="{3CE51097-5511-426B-9F90-8FAC73B911DA}"/>
    <cellStyle name="40% - Accent5 7 4 3 2 4" xfId="32000" xr:uid="{1DEDCBBD-D3D6-4F9A-A203-32B8A80CFE44}"/>
    <cellStyle name="40% - Accent5 7 4 3 3" xfId="12561" xr:uid="{00000000-0005-0000-0000-0000104C0000}"/>
    <cellStyle name="40% - Accent5 7 4 3 3 2" xfId="36410" xr:uid="{7B94E22B-E817-4281-9421-4E80A1EDBD1E}"/>
    <cellStyle name="40% - Accent5 7 4 3 4" xfId="20516" xr:uid="{00000000-0005-0000-0000-0000114C0000}"/>
    <cellStyle name="40% - Accent5 7 4 3 4 2" xfId="44348" xr:uid="{D73BAE8A-FD20-4767-9002-4C11E4DE0C1F}"/>
    <cellStyle name="40% - Accent5 7 4 3 5" xfId="28469" xr:uid="{CF2AFF9C-A728-4E93-A999-E193AFEBDD12}"/>
    <cellStyle name="40% - Accent5 7 4 4" xfId="6367" xr:uid="{00000000-0005-0000-0000-0000124C0000}"/>
    <cellStyle name="40% - Accent5 7 4 4 2" xfId="14341" xr:uid="{00000000-0005-0000-0000-0000134C0000}"/>
    <cellStyle name="40% - Accent5 7 4 4 2 2" xfId="38183" xr:uid="{DE92FBEA-BDF1-49FE-A3FA-BD0A23B0BF1A}"/>
    <cellStyle name="40% - Accent5 7 4 4 3" xfId="22288" xr:uid="{00000000-0005-0000-0000-0000144C0000}"/>
    <cellStyle name="40% - Accent5 7 4 4 3 2" xfId="46120" xr:uid="{B6EE48EE-E85B-4A12-9DD2-4B75B56F3D6E}"/>
    <cellStyle name="40% - Accent5 7 4 4 4" xfId="30242" xr:uid="{8B33C824-F1AF-433A-B871-BDBE70F153FD}"/>
    <cellStyle name="40% - Accent5 7 4 5" xfId="9909" xr:uid="{00000000-0005-0000-0000-0000154C0000}"/>
    <cellStyle name="40% - Accent5 7 4 5 2" xfId="17867" xr:uid="{00000000-0005-0000-0000-0000164C0000}"/>
    <cellStyle name="40% - Accent5 7 4 5 2 2" xfId="41707" xr:uid="{55E1FF4C-3B03-4AC3-835E-1CAE718C5E71}"/>
    <cellStyle name="40% - Accent5 7 4 5 3" xfId="25811" xr:uid="{00000000-0005-0000-0000-0000174C0000}"/>
    <cellStyle name="40% - Accent5 7 4 5 3 2" xfId="49643" xr:uid="{A34C8B8B-947F-437B-83F0-093B4D37A8C0}"/>
    <cellStyle name="40% - Accent5 7 4 5 4" xfId="33766" xr:uid="{11A11AC0-716A-4D63-9E20-DC3450052CC2}"/>
    <cellStyle name="40% - Accent5 7 4 6" xfId="10805" xr:uid="{00000000-0005-0000-0000-0000184C0000}"/>
    <cellStyle name="40% - Accent5 7 4 6 2" xfId="34654" xr:uid="{2463CF3B-5F10-4877-A9AD-A1085E7B1E64}"/>
    <cellStyle name="40% - Accent5 7 4 7" xfId="18760" xr:uid="{00000000-0005-0000-0000-0000194C0000}"/>
    <cellStyle name="40% - Accent5 7 4 7 2" xfId="42592" xr:uid="{86DA159E-D7B8-4EA5-BE8E-0C5A30F98F01}"/>
    <cellStyle name="40% - Accent5 7 4 8" xfId="26712" xr:uid="{DEC67DC9-9C59-4A0A-A75D-3ACE7F42B113}"/>
    <cellStyle name="40% - Accent5 7 4_Exh G" xfId="3275" xr:uid="{00000000-0005-0000-0000-00001A4C0000}"/>
    <cellStyle name="40% - Accent5 7 5" xfId="1597" xr:uid="{00000000-0005-0000-0000-00001B4C0000}"/>
    <cellStyle name="40% - Accent5 7 5 2" xfId="5124" xr:uid="{00000000-0005-0000-0000-00001C4C0000}"/>
    <cellStyle name="40% - Accent5 7 5 2 2" xfId="8715" xr:uid="{00000000-0005-0000-0000-00001D4C0000}"/>
    <cellStyle name="40% - Accent5 7 5 2 2 2" xfId="16685" xr:uid="{00000000-0005-0000-0000-00001E4C0000}"/>
    <cellStyle name="40% - Accent5 7 5 2 2 2 2" xfId="40527" xr:uid="{CE3D706B-1C85-4511-A159-66B465FFA3DA}"/>
    <cellStyle name="40% - Accent5 7 5 2 2 3" xfId="24631" xr:uid="{00000000-0005-0000-0000-00001F4C0000}"/>
    <cellStyle name="40% - Accent5 7 5 2 2 3 2" xfId="48463" xr:uid="{7A713885-2298-4FEC-BE5A-2A87853A7CFD}"/>
    <cellStyle name="40% - Accent5 7 5 2 2 4" xfId="32586" xr:uid="{76E44652-578E-4F2C-8C6A-3B0D9D78D9DA}"/>
    <cellStyle name="40% - Accent5 7 5 2 3" xfId="13147" xr:uid="{00000000-0005-0000-0000-0000204C0000}"/>
    <cellStyle name="40% - Accent5 7 5 2 3 2" xfId="36996" xr:uid="{E90D59F1-4F23-44DE-B849-7CAFEC86B3A8}"/>
    <cellStyle name="40% - Accent5 7 5 2 4" xfId="21102" xr:uid="{00000000-0005-0000-0000-0000214C0000}"/>
    <cellStyle name="40% - Accent5 7 5 2 4 2" xfId="44934" xr:uid="{FDA61CDD-2E95-472E-A24F-286D622CD317}"/>
    <cellStyle name="40% - Accent5 7 5 2 5" xfId="29055" xr:uid="{1D88A39D-A87F-403B-9970-7FAF4EF4FE54}"/>
    <cellStyle name="40% - Accent5 7 5 3" xfId="6956" xr:uid="{00000000-0005-0000-0000-0000224C0000}"/>
    <cellStyle name="40% - Accent5 7 5 3 2" xfId="14927" xr:uid="{00000000-0005-0000-0000-0000234C0000}"/>
    <cellStyle name="40% - Accent5 7 5 3 2 2" xfId="38769" xr:uid="{5148E69B-FB35-4603-94C7-C9163F430C87}"/>
    <cellStyle name="40% - Accent5 7 5 3 3" xfId="22874" xr:uid="{00000000-0005-0000-0000-0000244C0000}"/>
    <cellStyle name="40% - Accent5 7 5 3 3 2" xfId="46706" xr:uid="{3B46DF2D-DB0D-46CB-859B-DADC8C4262FF}"/>
    <cellStyle name="40% - Accent5 7 5 3 4" xfId="30828" xr:uid="{DE2343B8-F3CE-4E0A-A5CD-9587EF565E7A}"/>
    <cellStyle name="40% - Accent5 7 5 4" xfId="11391" xr:uid="{00000000-0005-0000-0000-0000254C0000}"/>
    <cellStyle name="40% - Accent5 7 5 4 2" xfId="35240" xr:uid="{E82FDFD1-3789-48AF-A19A-E3B8D97F7AF2}"/>
    <cellStyle name="40% - Accent5 7 5 5" xfId="19346" xr:uid="{00000000-0005-0000-0000-0000264C0000}"/>
    <cellStyle name="40% - Accent5 7 5 5 2" xfId="43178" xr:uid="{B548BB7B-97FA-4BBC-850D-4F3FEA9E40D7}"/>
    <cellStyle name="40% - Accent5 7 5 6" xfId="27298" xr:uid="{EB8EB256-972E-444A-8081-A135EDC8E572}"/>
    <cellStyle name="40% - Accent5 7 5_Exh G" xfId="3277" xr:uid="{00000000-0005-0000-0000-0000274C0000}"/>
    <cellStyle name="40% - Accent5 7 6" xfId="4245" xr:uid="{00000000-0005-0000-0000-0000284C0000}"/>
    <cellStyle name="40% - Accent5 7 6 2" xfId="7837" xr:uid="{00000000-0005-0000-0000-0000294C0000}"/>
    <cellStyle name="40% - Accent5 7 6 2 2" xfId="15807" xr:uid="{00000000-0005-0000-0000-00002A4C0000}"/>
    <cellStyle name="40% - Accent5 7 6 2 2 2" xfId="39649" xr:uid="{6C7879E6-9938-4CD1-A279-14BECB7BA2A1}"/>
    <cellStyle name="40% - Accent5 7 6 2 3" xfId="23753" xr:uid="{00000000-0005-0000-0000-00002B4C0000}"/>
    <cellStyle name="40% - Accent5 7 6 2 3 2" xfId="47585" xr:uid="{5D5881DA-53B5-4886-AEA6-A89886ACB3F0}"/>
    <cellStyle name="40% - Accent5 7 6 2 4" xfId="31708" xr:uid="{DFC22F3F-D059-4F3A-86AE-934C765E27BD}"/>
    <cellStyle name="40% - Accent5 7 6 3" xfId="12269" xr:uid="{00000000-0005-0000-0000-00002C4C0000}"/>
    <cellStyle name="40% - Accent5 7 6 3 2" xfId="36118" xr:uid="{C67AD166-E83E-4E81-898A-AF84E02C027C}"/>
    <cellStyle name="40% - Accent5 7 6 4" xfId="20224" xr:uid="{00000000-0005-0000-0000-00002D4C0000}"/>
    <cellStyle name="40% - Accent5 7 6 4 2" xfId="44056" xr:uid="{DFA459B8-361E-4976-B07B-A580470B85FB}"/>
    <cellStyle name="40% - Accent5 7 6 5" xfId="28177" xr:uid="{DCFEBEBF-A86B-45EF-81DB-F859739843FB}"/>
    <cellStyle name="40% - Accent5 7 7" xfId="6065" xr:uid="{00000000-0005-0000-0000-00002E4C0000}"/>
    <cellStyle name="40% - Accent5 7 7 2" xfId="14048" xr:uid="{00000000-0005-0000-0000-00002F4C0000}"/>
    <cellStyle name="40% - Accent5 7 7 2 2" xfId="37891" xr:uid="{82273633-0BD3-463A-98CE-4C0C09EF3808}"/>
    <cellStyle name="40% - Accent5 7 7 3" xfId="21996" xr:uid="{00000000-0005-0000-0000-0000304C0000}"/>
    <cellStyle name="40% - Accent5 7 7 3 2" xfId="45828" xr:uid="{43082989-E892-4C37-9D52-C0A75B662620}"/>
    <cellStyle name="40% - Accent5 7 7 4" xfId="29950" xr:uid="{198FD816-E64E-49DE-8F54-3254A22BEB29}"/>
    <cellStyle name="40% - Accent5 7 8" xfId="9617" xr:uid="{00000000-0005-0000-0000-0000314C0000}"/>
    <cellStyle name="40% - Accent5 7 8 2" xfId="17575" xr:uid="{00000000-0005-0000-0000-0000324C0000}"/>
    <cellStyle name="40% - Accent5 7 8 2 2" xfId="41415" xr:uid="{A6D19509-2CC8-4683-BBCF-74B8065095D0}"/>
    <cellStyle name="40% - Accent5 7 8 3" xfId="25519" xr:uid="{00000000-0005-0000-0000-0000334C0000}"/>
    <cellStyle name="40% - Accent5 7 8 3 2" xfId="49351" xr:uid="{9FAF391E-AC9E-4B7B-9C42-A8101A8B9F08}"/>
    <cellStyle name="40% - Accent5 7 8 4" xfId="33474" xr:uid="{190FE69E-DE43-44C1-9B10-F66B3DBE91D9}"/>
    <cellStyle name="40% - Accent5 7 9" xfId="10513" xr:uid="{00000000-0005-0000-0000-0000344C0000}"/>
    <cellStyle name="40% - Accent5 7 9 2" xfId="34362" xr:uid="{9AB2B685-FBF4-4CDE-B1B5-A9336C63FBE5}"/>
    <cellStyle name="40% - Accent5 7_Exh G" xfId="3268" xr:uid="{00000000-0005-0000-0000-0000354C0000}"/>
    <cellStyle name="40% - Accent5 8" xfId="575" xr:uid="{00000000-0005-0000-0000-0000364C0000}"/>
    <cellStyle name="40% - Accent5 8 10" xfId="18472" xr:uid="{00000000-0005-0000-0000-0000374C0000}"/>
    <cellStyle name="40% - Accent5 8 10 2" xfId="42304" xr:uid="{84CC0F5E-5D86-42B5-B184-50FDFF073F0B}"/>
    <cellStyle name="40% - Accent5 8 11" xfId="26424" xr:uid="{60A65F71-40FA-46F3-A5EA-C6633B87866F}"/>
    <cellStyle name="40% - Accent5 8 2" xfId="576" xr:uid="{00000000-0005-0000-0000-0000384C0000}"/>
    <cellStyle name="40% - Accent5 8 2 2" xfId="577" xr:uid="{00000000-0005-0000-0000-0000394C0000}"/>
    <cellStyle name="40% - Accent5 8 2 2 2" xfId="1603" xr:uid="{00000000-0005-0000-0000-00003A4C0000}"/>
    <cellStyle name="40% - Accent5 8 2 2 2 2" xfId="5130" xr:uid="{00000000-0005-0000-0000-00003B4C0000}"/>
    <cellStyle name="40% - Accent5 8 2 2 2 2 2" xfId="8721" xr:uid="{00000000-0005-0000-0000-00003C4C0000}"/>
    <cellStyle name="40% - Accent5 8 2 2 2 2 2 2" xfId="16691" xr:uid="{00000000-0005-0000-0000-00003D4C0000}"/>
    <cellStyle name="40% - Accent5 8 2 2 2 2 2 2 2" xfId="40533" xr:uid="{97F3D30F-9E37-4986-BD52-05AB87276322}"/>
    <cellStyle name="40% - Accent5 8 2 2 2 2 2 3" xfId="24637" xr:uid="{00000000-0005-0000-0000-00003E4C0000}"/>
    <cellStyle name="40% - Accent5 8 2 2 2 2 2 3 2" xfId="48469" xr:uid="{B91384B1-BB70-4C83-A401-C94B71DC25CD}"/>
    <cellStyle name="40% - Accent5 8 2 2 2 2 2 4" xfId="32592" xr:uid="{7624EE9E-BCD1-4231-BF9F-0A6D44588D9F}"/>
    <cellStyle name="40% - Accent5 8 2 2 2 2 3" xfId="13153" xr:uid="{00000000-0005-0000-0000-00003F4C0000}"/>
    <cellStyle name="40% - Accent5 8 2 2 2 2 3 2" xfId="37002" xr:uid="{08ADCFFB-DA4E-4575-851C-2B19A1318B5B}"/>
    <cellStyle name="40% - Accent5 8 2 2 2 2 4" xfId="21108" xr:uid="{00000000-0005-0000-0000-0000404C0000}"/>
    <cellStyle name="40% - Accent5 8 2 2 2 2 4 2" xfId="44940" xr:uid="{B4BBF208-682A-4CC9-8801-29350ABB3CA2}"/>
    <cellStyle name="40% - Accent5 8 2 2 2 2 5" xfId="29061" xr:uid="{3719385B-FC86-4DCF-BE9B-2B92D86B7029}"/>
    <cellStyle name="40% - Accent5 8 2 2 2 3" xfId="6962" xr:uid="{00000000-0005-0000-0000-0000414C0000}"/>
    <cellStyle name="40% - Accent5 8 2 2 2 3 2" xfId="14933" xr:uid="{00000000-0005-0000-0000-0000424C0000}"/>
    <cellStyle name="40% - Accent5 8 2 2 2 3 2 2" xfId="38775" xr:uid="{C7461522-CB8C-486B-B7EE-EF51F34B189A}"/>
    <cellStyle name="40% - Accent5 8 2 2 2 3 3" xfId="22880" xr:uid="{00000000-0005-0000-0000-0000434C0000}"/>
    <cellStyle name="40% - Accent5 8 2 2 2 3 3 2" xfId="46712" xr:uid="{11AD8314-A783-4D51-897E-984404F633D3}"/>
    <cellStyle name="40% - Accent5 8 2 2 2 3 4" xfId="30834" xr:uid="{48D06511-4559-446D-BF92-2380804D5C8B}"/>
    <cellStyle name="40% - Accent5 8 2 2 2 4" xfId="11397" xr:uid="{00000000-0005-0000-0000-0000444C0000}"/>
    <cellStyle name="40% - Accent5 8 2 2 2 4 2" xfId="35246" xr:uid="{37DAE65C-C0B2-4FDA-90B7-78F6A1894B36}"/>
    <cellStyle name="40% - Accent5 8 2 2 2 5" xfId="19352" xr:uid="{00000000-0005-0000-0000-0000454C0000}"/>
    <cellStyle name="40% - Accent5 8 2 2 2 5 2" xfId="43184" xr:uid="{F8DBC2AE-0BCA-45F4-9B46-3B07B1A76426}"/>
    <cellStyle name="40% - Accent5 8 2 2 2 6" xfId="27304" xr:uid="{35EDC5FD-C9BD-4752-89B7-ADDB9DD42047}"/>
    <cellStyle name="40% - Accent5 8 2 2 2_Exh G" xfId="3281" xr:uid="{00000000-0005-0000-0000-0000464C0000}"/>
    <cellStyle name="40% - Accent5 8 2 2 3" xfId="4251" xr:uid="{00000000-0005-0000-0000-0000474C0000}"/>
    <cellStyle name="40% - Accent5 8 2 2 3 2" xfId="7843" xr:uid="{00000000-0005-0000-0000-0000484C0000}"/>
    <cellStyle name="40% - Accent5 8 2 2 3 2 2" xfId="15813" xr:uid="{00000000-0005-0000-0000-0000494C0000}"/>
    <cellStyle name="40% - Accent5 8 2 2 3 2 2 2" xfId="39655" xr:uid="{6A1830E2-BAF4-411D-B745-6C5D65335379}"/>
    <cellStyle name="40% - Accent5 8 2 2 3 2 3" xfId="23759" xr:uid="{00000000-0005-0000-0000-00004A4C0000}"/>
    <cellStyle name="40% - Accent5 8 2 2 3 2 3 2" xfId="47591" xr:uid="{1BB30CA1-81CD-4D77-B2E0-FB8D0DAD00EF}"/>
    <cellStyle name="40% - Accent5 8 2 2 3 2 4" xfId="31714" xr:uid="{955233CC-6DEF-4D4F-8468-7C5143072C12}"/>
    <cellStyle name="40% - Accent5 8 2 2 3 3" xfId="12275" xr:uid="{00000000-0005-0000-0000-00004B4C0000}"/>
    <cellStyle name="40% - Accent5 8 2 2 3 3 2" xfId="36124" xr:uid="{27247FC9-7BEE-49E9-BA58-4BD4D25588FB}"/>
    <cellStyle name="40% - Accent5 8 2 2 3 4" xfId="20230" xr:uid="{00000000-0005-0000-0000-00004C4C0000}"/>
    <cellStyle name="40% - Accent5 8 2 2 3 4 2" xfId="44062" xr:uid="{881C498B-09F0-4F62-B2CB-0E700DA21C14}"/>
    <cellStyle name="40% - Accent5 8 2 2 3 5" xfId="28183" xr:uid="{4A72D6D1-59A5-4293-8D8B-29B253AD225D}"/>
    <cellStyle name="40% - Accent5 8 2 2 4" xfId="6071" xr:uid="{00000000-0005-0000-0000-00004D4C0000}"/>
    <cellStyle name="40% - Accent5 8 2 2 4 2" xfId="14054" xr:uid="{00000000-0005-0000-0000-00004E4C0000}"/>
    <cellStyle name="40% - Accent5 8 2 2 4 2 2" xfId="37897" xr:uid="{34279685-9D08-4F76-9917-F5BFFAF4A8BE}"/>
    <cellStyle name="40% - Accent5 8 2 2 4 3" xfId="22002" xr:uid="{00000000-0005-0000-0000-00004F4C0000}"/>
    <cellStyle name="40% - Accent5 8 2 2 4 3 2" xfId="45834" xr:uid="{944E6662-C259-46DC-B12B-4C2735169DA3}"/>
    <cellStyle name="40% - Accent5 8 2 2 4 4" xfId="29956" xr:uid="{3FF91488-50B7-4C33-B80B-5D58E413B417}"/>
    <cellStyle name="40% - Accent5 8 2 2 5" xfId="9623" xr:uid="{00000000-0005-0000-0000-0000504C0000}"/>
    <cellStyle name="40% - Accent5 8 2 2 5 2" xfId="17581" xr:uid="{00000000-0005-0000-0000-0000514C0000}"/>
    <cellStyle name="40% - Accent5 8 2 2 5 2 2" xfId="41421" xr:uid="{A7BA8D11-29A6-4907-91E3-2FF508B6504B}"/>
    <cellStyle name="40% - Accent5 8 2 2 5 3" xfId="25525" xr:uid="{00000000-0005-0000-0000-0000524C0000}"/>
    <cellStyle name="40% - Accent5 8 2 2 5 3 2" xfId="49357" xr:uid="{C1F29BD9-71A8-4DE2-AE04-2E394328BE6A}"/>
    <cellStyle name="40% - Accent5 8 2 2 5 4" xfId="33480" xr:uid="{65052A5E-D2C1-4F77-BD18-88FDC8C9F3B1}"/>
    <cellStyle name="40% - Accent5 8 2 2 6" xfId="10519" xr:uid="{00000000-0005-0000-0000-0000534C0000}"/>
    <cellStyle name="40% - Accent5 8 2 2 6 2" xfId="34368" xr:uid="{2E13C159-ED25-47C7-9CD9-C2BBB22A614B}"/>
    <cellStyle name="40% - Accent5 8 2 2 7" xfId="18474" xr:uid="{00000000-0005-0000-0000-0000544C0000}"/>
    <cellStyle name="40% - Accent5 8 2 2 7 2" xfId="42306" xr:uid="{F95943D4-68EE-44D0-9865-6002279EAE2F}"/>
    <cellStyle name="40% - Accent5 8 2 2 8" xfId="26426" xr:uid="{D5C74E87-C2E7-4491-8F8E-4636C232BB39}"/>
    <cellStyle name="40% - Accent5 8 2 2_Exh G" xfId="3280" xr:uid="{00000000-0005-0000-0000-0000554C0000}"/>
    <cellStyle name="40% - Accent5 8 2 3" xfId="1602" xr:uid="{00000000-0005-0000-0000-0000564C0000}"/>
    <cellStyle name="40% - Accent5 8 2 3 2" xfId="5129" xr:uid="{00000000-0005-0000-0000-0000574C0000}"/>
    <cellStyle name="40% - Accent5 8 2 3 2 2" xfId="8720" xr:uid="{00000000-0005-0000-0000-0000584C0000}"/>
    <cellStyle name="40% - Accent5 8 2 3 2 2 2" xfId="16690" xr:uid="{00000000-0005-0000-0000-0000594C0000}"/>
    <cellStyle name="40% - Accent5 8 2 3 2 2 2 2" xfId="40532" xr:uid="{C7CDF7BA-C6B4-4051-BFCE-1B154BCCC4DA}"/>
    <cellStyle name="40% - Accent5 8 2 3 2 2 3" xfId="24636" xr:uid="{00000000-0005-0000-0000-00005A4C0000}"/>
    <cellStyle name="40% - Accent5 8 2 3 2 2 3 2" xfId="48468" xr:uid="{C7C96FBE-48F1-4FC2-B3B3-7839A294882D}"/>
    <cellStyle name="40% - Accent5 8 2 3 2 2 4" xfId="32591" xr:uid="{12B3D5D5-D856-46C0-8FAA-06A3C7002057}"/>
    <cellStyle name="40% - Accent5 8 2 3 2 3" xfId="13152" xr:uid="{00000000-0005-0000-0000-00005B4C0000}"/>
    <cellStyle name="40% - Accent5 8 2 3 2 3 2" xfId="37001" xr:uid="{E6AE5D99-300A-4B44-BAF8-0A1414E69D6D}"/>
    <cellStyle name="40% - Accent5 8 2 3 2 4" xfId="21107" xr:uid="{00000000-0005-0000-0000-00005C4C0000}"/>
    <cellStyle name="40% - Accent5 8 2 3 2 4 2" xfId="44939" xr:uid="{7C734206-B1F6-4F5E-B05F-BE70C8B86501}"/>
    <cellStyle name="40% - Accent5 8 2 3 2 5" xfId="29060" xr:uid="{77F85809-2032-4D0C-9CBC-8E7DC07893DF}"/>
    <cellStyle name="40% - Accent5 8 2 3 3" xfId="6961" xr:uid="{00000000-0005-0000-0000-00005D4C0000}"/>
    <cellStyle name="40% - Accent5 8 2 3 3 2" xfId="14932" xr:uid="{00000000-0005-0000-0000-00005E4C0000}"/>
    <cellStyle name="40% - Accent5 8 2 3 3 2 2" xfId="38774" xr:uid="{3ECCE71D-13E4-4226-822E-9EFC4DB53C24}"/>
    <cellStyle name="40% - Accent5 8 2 3 3 3" xfId="22879" xr:uid="{00000000-0005-0000-0000-00005F4C0000}"/>
    <cellStyle name="40% - Accent5 8 2 3 3 3 2" xfId="46711" xr:uid="{56815E90-B271-4DDF-8EDF-58F7B32000DC}"/>
    <cellStyle name="40% - Accent5 8 2 3 3 4" xfId="30833" xr:uid="{CDB73BCC-0D4E-4FA5-838B-FC4A7A2DA40A}"/>
    <cellStyle name="40% - Accent5 8 2 3 4" xfId="11396" xr:uid="{00000000-0005-0000-0000-0000604C0000}"/>
    <cellStyle name="40% - Accent5 8 2 3 4 2" xfId="35245" xr:uid="{1D003E76-5CAA-4309-8CC4-199C67B11E30}"/>
    <cellStyle name="40% - Accent5 8 2 3 5" xfId="19351" xr:uid="{00000000-0005-0000-0000-0000614C0000}"/>
    <cellStyle name="40% - Accent5 8 2 3 5 2" xfId="43183" xr:uid="{612FD2DD-B8E8-49A4-9168-AE183CBE0CBF}"/>
    <cellStyle name="40% - Accent5 8 2 3 6" xfId="27303" xr:uid="{A00E036C-25A3-4235-8364-560D6C0C184C}"/>
    <cellStyle name="40% - Accent5 8 2 3_Exh G" xfId="3282" xr:uid="{00000000-0005-0000-0000-0000624C0000}"/>
    <cellStyle name="40% - Accent5 8 2 4" xfId="4250" xr:uid="{00000000-0005-0000-0000-0000634C0000}"/>
    <cellStyle name="40% - Accent5 8 2 4 2" xfId="7842" xr:uid="{00000000-0005-0000-0000-0000644C0000}"/>
    <cellStyle name="40% - Accent5 8 2 4 2 2" xfId="15812" xr:uid="{00000000-0005-0000-0000-0000654C0000}"/>
    <cellStyle name="40% - Accent5 8 2 4 2 2 2" xfId="39654" xr:uid="{370D60E1-EA86-43EF-B453-A06E95B005E7}"/>
    <cellStyle name="40% - Accent5 8 2 4 2 3" xfId="23758" xr:uid="{00000000-0005-0000-0000-0000664C0000}"/>
    <cellStyle name="40% - Accent5 8 2 4 2 3 2" xfId="47590" xr:uid="{8B13B014-0630-4415-AF31-665E9E72E486}"/>
    <cellStyle name="40% - Accent5 8 2 4 2 4" xfId="31713" xr:uid="{FC0851B2-E2DC-4A08-9AB8-ADFA911E601E}"/>
    <cellStyle name="40% - Accent5 8 2 4 3" xfId="12274" xr:uid="{00000000-0005-0000-0000-0000674C0000}"/>
    <cellStyle name="40% - Accent5 8 2 4 3 2" xfId="36123" xr:uid="{FCDE0E4F-A96A-4DDB-AEFF-D7467AAD77AD}"/>
    <cellStyle name="40% - Accent5 8 2 4 4" xfId="20229" xr:uid="{00000000-0005-0000-0000-0000684C0000}"/>
    <cellStyle name="40% - Accent5 8 2 4 4 2" xfId="44061" xr:uid="{111AF880-7B7A-4812-AFC6-DC504A43B07E}"/>
    <cellStyle name="40% - Accent5 8 2 4 5" xfId="28182" xr:uid="{90F3B8DA-8A1D-4FE4-B41C-F698A7A4C543}"/>
    <cellStyle name="40% - Accent5 8 2 5" xfId="6070" xr:uid="{00000000-0005-0000-0000-0000694C0000}"/>
    <cellStyle name="40% - Accent5 8 2 5 2" xfId="14053" xr:uid="{00000000-0005-0000-0000-00006A4C0000}"/>
    <cellStyle name="40% - Accent5 8 2 5 2 2" xfId="37896" xr:uid="{BB4353C2-AD78-473B-86D9-B85FA1514292}"/>
    <cellStyle name="40% - Accent5 8 2 5 3" xfId="22001" xr:uid="{00000000-0005-0000-0000-00006B4C0000}"/>
    <cellStyle name="40% - Accent5 8 2 5 3 2" xfId="45833" xr:uid="{3D1125F2-FF39-4ECF-A5AD-3E8419D2909B}"/>
    <cellStyle name="40% - Accent5 8 2 5 4" xfId="29955" xr:uid="{0E6B0BE5-A3D6-4B39-8AB9-EB5EEA0C373E}"/>
    <cellStyle name="40% - Accent5 8 2 6" xfId="9622" xr:uid="{00000000-0005-0000-0000-00006C4C0000}"/>
    <cellStyle name="40% - Accent5 8 2 6 2" xfId="17580" xr:uid="{00000000-0005-0000-0000-00006D4C0000}"/>
    <cellStyle name="40% - Accent5 8 2 6 2 2" xfId="41420" xr:uid="{4B216589-6275-4ACB-BB87-B080A6ACA85B}"/>
    <cellStyle name="40% - Accent5 8 2 6 3" xfId="25524" xr:uid="{00000000-0005-0000-0000-00006E4C0000}"/>
    <cellStyle name="40% - Accent5 8 2 6 3 2" xfId="49356" xr:uid="{2D8EF267-8B32-4B4C-8479-FF9AAD384472}"/>
    <cellStyle name="40% - Accent5 8 2 6 4" xfId="33479" xr:uid="{DD177052-FBC7-45BC-BF9D-27F553A32BEF}"/>
    <cellStyle name="40% - Accent5 8 2 7" xfId="10518" xr:uid="{00000000-0005-0000-0000-00006F4C0000}"/>
    <cellStyle name="40% - Accent5 8 2 7 2" xfId="34367" xr:uid="{BB79B618-FD78-4EE1-AC1A-85724409196E}"/>
    <cellStyle name="40% - Accent5 8 2 8" xfId="18473" xr:uid="{00000000-0005-0000-0000-0000704C0000}"/>
    <cellStyle name="40% - Accent5 8 2 8 2" xfId="42305" xr:uid="{588421D4-7A33-4966-9084-50C76626CD09}"/>
    <cellStyle name="40% - Accent5 8 2 9" xfId="26425" xr:uid="{A98B3D34-029D-45FE-A167-CC802CDD0D06}"/>
    <cellStyle name="40% - Accent5 8 2_Exh G" xfId="3279" xr:uid="{00000000-0005-0000-0000-0000714C0000}"/>
    <cellStyle name="40% - Accent5 8 3" xfId="578" xr:uid="{00000000-0005-0000-0000-0000724C0000}"/>
    <cellStyle name="40% - Accent5 8 3 2" xfId="1604" xr:uid="{00000000-0005-0000-0000-0000734C0000}"/>
    <cellStyle name="40% - Accent5 8 3 2 2" xfId="5131" xr:uid="{00000000-0005-0000-0000-0000744C0000}"/>
    <cellStyle name="40% - Accent5 8 3 2 2 2" xfId="8722" xr:uid="{00000000-0005-0000-0000-0000754C0000}"/>
    <cellStyle name="40% - Accent5 8 3 2 2 2 2" xfId="16692" xr:uid="{00000000-0005-0000-0000-0000764C0000}"/>
    <cellStyle name="40% - Accent5 8 3 2 2 2 2 2" xfId="40534" xr:uid="{61EB7B7C-C820-415F-B42E-F734DE9B120E}"/>
    <cellStyle name="40% - Accent5 8 3 2 2 2 3" xfId="24638" xr:uid="{00000000-0005-0000-0000-0000774C0000}"/>
    <cellStyle name="40% - Accent5 8 3 2 2 2 3 2" xfId="48470" xr:uid="{2D7FE4C4-C4EF-4426-AC5A-F78D41162547}"/>
    <cellStyle name="40% - Accent5 8 3 2 2 2 4" xfId="32593" xr:uid="{54E19C36-44DA-407D-8F5C-F31062D21FE6}"/>
    <cellStyle name="40% - Accent5 8 3 2 2 3" xfId="13154" xr:uid="{00000000-0005-0000-0000-0000784C0000}"/>
    <cellStyle name="40% - Accent5 8 3 2 2 3 2" xfId="37003" xr:uid="{AF4CE46F-DF98-4724-90B7-451EEA8628F8}"/>
    <cellStyle name="40% - Accent5 8 3 2 2 4" xfId="21109" xr:uid="{00000000-0005-0000-0000-0000794C0000}"/>
    <cellStyle name="40% - Accent5 8 3 2 2 4 2" xfId="44941" xr:uid="{72B0D7F7-476B-436F-A92F-39CE868A15FD}"/>
    <cellStyle name="40% - Accent5 8 3 2 2 5" xfId="29062" xr:uid="{44FF03CE-2EA4-4478-BA17-90D77A9AC006}"/>
    <cellStyle name="40% - Accent5 8 3 2 3" xfId="6963" xr:uid="{00000000-0005-0000-0000-00007A4C0000}"/>
    <cellStyle name="40% - Accent5 8 3 2 3 2" xfId="14934" xr:uid="{00000000-0005-0000-0000-00007B4C0000}"/>
    <cellStyle name="40% - Accent5 8 3 2 3 2 2" xfId="38776" xr:uid="{38050A85-A80E-4648-B70F-9875E75F92E4}"/>
    <cellStyle name="40% - Accent5 8 3 2 3 3" xfId="22881" xr:uid="{00000000-0005-0000-0000-00007C4C0000}"/>
    <cellStyle name="40% - Accent5 8 3 2 3 3 2" xfId="46713" xr:uid="{058A7CFE-07B4-49C7-B1CE-EF40B86F5E1F}"/>
    <cellStyle name="40% - Accent5 8 3 2 3 4" xfId="30835" xr:uid="{BA90799E-B5A8-405B-A1F8-175D09041219}"/>
    <cellStyle name="40% - Accent5 8 3 2 4" xfId="11398" xr:uid="{00000000-0005-0000-0000-00007D4C0000}"/>
    <cellStyle name="40% - Accent5 8 3 2 4 2" xfId="35247" xr:uid="{2853AD38-E001-4CDA-A26E-2C38ADA52F10}"/>
    <cellStyle name="40% - Accent5 8 3 2 5" xfId="19353" xr:uid="{00000000-0005-0000-0000-00007E4C0000}"/>
    <cellStyle name="40% - Accent5 8 3 2 5 2" xfId="43185" xr:uid="{7557118B-1CCB-4EC2-A9BF-554CF879A654}"/>
    <cellStyle name="40% - Accent5 8 3 2 6" xfId="27305" xr:uid="{CBEA79C5-16D4-4D3C-864A-46EB504B7BFC}"/>
    <cellStyle name="40% - Accent5 8 3 2_Exh G" xfId="3284" xr:uid="{00000000-0005-0000-0000-00007F4C0000}"/>
    <cellStyle name="40% - Accent5 8 3 3" xfId="4252" xr:uid="{00000000-0005-0000-0000-0000804C0000}"/>
    <cellStyle name="40% - Accent5 8 3 3 2" xfId="7844" xr:uid="{00000000-0005-0000-0000-0000814C0000}"/>
    <cellStyle name="40% - Accent5 8 3 3 2 2" xfId="15814" xr:uid="{00000000-0005-0000-0000-0000824C0000}"/>
    <cellStyle name="40% - Accent5 8 3 3 2 2 2" xfId="39656" xr:uid="{8285E2DE-94AA-4C6F-A355-2A8202A2270A}"/>
    <cellStyle name="40% - Accent5 8 3 3 2 3" xfId="23760" xr:uid="{00000000-0005-0000-0000-0000834C0000}"/>
    <cellStyle name="40% - Accent5 8 3 3 2 3 2" xfId="47592" xr:uid="{AC3C77D0-C445-4284-B3B0-1388745EF1EF}"/>
    <cellStyle name="40% - Accent5 8 3 3 2 4" xfId="31715" xr:uid="{72A75011-BBEF-4631-906F-A233B2FE5F24}"/>
    <cellStyle name="40% - Accent5 8 3 3 3" xfId="12276" xr:uid="{00000000-0005-0000-0000-0000844C0000}"/>
    <cellStyle name="40% - Accent5 8 3 3 3 2" xfId="36125" xr:uid="{F1D8DF13-E9F7-41A2-BDF1-BABDCDEB877A}"/>
    <cellStyle name="40% - Accent5 8 3 3 4" xfId="20231" xr:uid="{00000000-0005-0000-0000-0000854C0000}"/>
    <cellStyle name="40% - Accent5 8 3 3 4 2" xfId="44063" xr:uid="{89911F81-5985-4A52-B5DA-BCF12202D42A}"/>
    <cellStyle name="40% - Accent5 8 3 3 5" xfId="28184" xr:uid="{B80BF7C8-476B-4938-ADE4-B495EE7BAE3D}"/>
    <cellStyle name="40% - Accent5 8 3 4" xfId="6072" xr:uid="{00000000-0005-0000-0000-0000864C0000}"/>
    <cellStyle name="40% - Accent5 8 3 4 2" xfId="14055" xr:uid="{00000000-0005-0000-0000-0000874C0000}"/>
    <cellStyle name="40% - Accent5 8 3 4 2 2" xfId="37898" xr:uid="{57B95608-6330-4D29-8FC9-E1F6A071C1DC}"/>
    <cellStyle name="40% - Accent5 8 3 4 3" xfId="22003" xr:uid="{00000000-0005-0000-0000-0000884C0000}"/>
    <cellStyle name="40% - Accent5 8 3 4 3 2" xfId="45835" xr:uid="{060F0FC5-85A0-4088-8C47-943A71993961}"/>
    <cellStyle name="40% - Accent5 8 3 4 4" xfId="29957" xr:uid="{3324FF22-AAA5-4045-8169-A441CCCBBF5A}"/>
    <cellStyle name="40% - Accent5 8 3 5" xfId="9624" xr:uid="{00000000-0005-0000-0000-0000894C0000}"/>
    <cellStyle name="40% - Accent5 8 3 5 2" xfId="17582" xr:uid="{00000000-0005-0000-0000-00008A4C0000}"/>
    <cellStyle name="40% - Accent5 8 3 5 2 2" xfId="41422" xr:uid="{68E190ED-27D8-420E-859B-54C91CAC4186}"/>
    <cellStyle name="40% - Accent5 8 3 5 3" xfId="25526" xr:uid="{00000000-0005-0000-0000-00008B4C0000}"/>
    <cellStyle name="40% - Accent5 8 3 5 3 2" xfId="49358" xr:uid="{4013EB64-5B2A-42CC-837B-5582797D9C70}"/>
    <cellStyle name="40% - Accent5 8 3 5 4" xfId="33481" xr:uid="{AD790205-7D0B-49A7-97CF-A32928FDB5EF}"/>
    <cellStyle name="40% - Accent5 8 3 6" xfId="10520" xr:uid="{00000000-0005-0000-0000-00008C4C0000}"/>
    <cellStyle name="40% - Accent5 8 3 6 2" xfId="34369" xr:uid="{A314C168-303E-40BD-BE04-C6EB8D6B384F}"/>
    <cellStyle name="40% - Accent5 8 3 7" xfId="18475" xr:uid="{00000000-0005-0000-0000-00008D4C0000}"/>
    <cellStyle name="40% - Accent5 8 3 7 2" xfId="42307" xr:uid="{1707AA22-ADD6-4E8D-A468-8F4282AA29DA}"/>
    <cellStyle name="40% - Accent5 8 3 8" xfId="26427" xr:uid="{E61A8FF0-71D6-4A1B-A940-B09C0A521DFF}"/>
    <cellStyle name="40% - Accent5 8 3_Exh G" xfId="3283" xr:uid="{00000000-0005-0000-0000-00008E4C0000}"/>
    <cellStyle name="40% - Accent5 8 4" xfId="989" xr:uid="{00000000-0005-0000-0000-00008F4C0000}"/>
    <cellStyle name="40% - Accent5 8 4 2" xfId="1900" xr:uid="{00000000-0005-0000-0000-0000904C0000}"/>
    <cellStyle name="40% - Accent5 8 4 2 2" xfId="5417" xr:uid="{00000000-0005-0000-0000-0000914C0000}"/>
    <cellStyle name="40% - Accent5 8 4 2 2 2" xfId="9008" xr:uid="{00000000-0005-0000-0000-0000924C0000}"/>
    <cellStyle name="40% - Accent5 8 4 2 2 2 2" xfId="16978" xr:uid="{00000000-0005-0000-0000-0000934C0000}"/>
    <cellStyle name="40% - Accent5 8 4 2 2 2 2 2" xfId="40820" xr:uid="{7B96839B-E72A-4FA8-A593-AD83F0305E28}"/>
    <cellStyle name="40% - Accent5 8 4 2 2 2 3" xfId="24924" xr:uid="{00000000-0005-0000-0000-0000944C0000}"/>
    <cellStyle name="40% - Accent5 8 4 2 2 2 3 2" xfId="48756" xr:uid="{10E64564-58A7-4A32-86A0-58E517973BA5}"/>
    <cellStyle name="40% - Accent5 8 4 2 2 2 4" xfId="32879" xr:uid="{B49A00A7-1F37-49F7-B631-98E7E3864AEB}"/>
    <cellStyle name="40% - Accent5 8 4 2 2 3" xfId="13440" xr:uid="{00000000-0005-0000-0000-0000954C0000}"/>
    <cellStyle name="40% - Accent5 8 4 2 2 3 2" xfId="37289" xr:uid="{C557618A-1A70-4463-B225-F8B4A8D7708E}"/>
    <cellStyle name="40% - Accent5 8 4 2 2 4" xfId="21395" xr:uid="{00000000-0005-0000-0000-0000964C0000}"/>
    <cellStyle name="40% - Accent5 8 4 2 2 4 2" xfId="45227" xr:uid="{4CCEAAAE-61EB-4B29-877A-BD0CEFA66483}"/>
    <cellStyle name="40% - Accent5 8 4 2 2 5" xfId="29348" xr:uid="{26B1AD32-3AEB-4591-8E4D-BAA992ECF093}"/>
    <cellStyle name="40% - Accent5 8 4 2 3" xfId="7249" xr:uid="{00000000-0005-0000-0000-0000974C0000}"/>
    <cellStyle name="40% - Accent5 8 4 2 3 2" xfId="15220" xr:uid="{00000000-0005-0000-0000-0000984C0000}"/>
    <cellStyle name="40% - Accent5 8 4 2 3 2 2" xfId="39062" xr:uid="{77CD83DB-730D-451F-85CC-7CE9913B3A30}"/>
    <cellStyle name="40% - Accent5 8 4 2 3 3" xfId="23167" xr:uid="{00000000-0005-0000-0000-0000994C0000}"/>
    <cellStyle name="40% - Accent5 8 4 2 3 3 2" xfId="46999" xr:uid="{8A80DAD3-EF6E-4ABD-8406-94B87057C35C}"/>
    <cellStyle name="40% - Accent5 8 4 2 3 4" xfId="31121" xr:uid="{D247CC58-A1E6-47F0-821D-E0660CA08B04}"/>
    <cellStyle name="40% - Accent5 8 4 2 4" xfId="11684" xr:uid="{00000000-0005-0000-0000-00009A4C0000}"/>
    <cellStyle name="40% - Accent5 8 4 2 4 2" xfId="35533" xr:uid="{3BE4E5B2-1262-4438-8C5B-CEC17EE6529E}"/>
    <cellStyle name="40% - Accent5 8 4 2 5" xfId="19639" xr:uid="{00000000-0005-0000-0000-00009B4C0000}"/>
    <cellStyle name="40% - Accent5 8 4 2 5 2" xfId="43471" xr:uid="{CF33FA03-856D-496D-8993-2D1D79CD0CA9}"/>
    <cellStyle name="40% - Accent5 8 4 2 6" xfId="27591" xr:uid="{C49B448A-4E4E-4558-BA9F-190B2677F3FC}"/>
    <cellStyle name="40% - Accent5 8 4 2_Exh G" xfId="3286" xr:uid="{00000000-0005-0000-0000-00009C4C0000}"/>
    <cellStyle name="40% - Accent5 8 4 3" xfId="4538" xr:uid="{00000000-0005-0000-0000-00009D4C0000}"/>
    <cellStyle name="40% - Accent5 8 4 3 2" xfId="8130" xr:uid="{00000000-0005-0000-0000-00009E4C0000}"/>
    <cellStyle name="40% - Accent5 8 4 3 2 2" xfId="16100" xr:uid="{00000000-0005-0000-0000-00009F4C0000}"/>
    <cellStyle name="40% - Accent5 8 4 3 2 2 2" xfId="39942" xr:uid="{29794F70-F969-4B59-A049-38F1E9E411E2}"/>
    <cellStyle name="40% - Accent5 8 4 3 2 3" xfId="24046" xr:uid="{00000000-0005-0000-0000-0000A04C0000}"/>
    <cellStyle name="40% - Accent5 8 4 3 2 3 2" xfId="47878" xr:uid="{BCEFEAB0-916B-4F64-8AF4-1A3E3355DF10}"/>
    <cellStyle name="40% - Accent5 8 4 3 2 4" xfId="32001" xr:uid="{0F356E40-D670-498B-9837-9973752B7533}"/>
    <cellStyle name="40% - Accent5 8 4 3 3" xfId="12562" xr:uid="{00000000-0005-0000-0000-0000A14C0000}"/>
    <cellStyle name="40% - Accent5 8 4 3 3 2" xfId="36411" xr:uid="{F41D700C-7CB7-487B-B7F1-FFE8D902D7C1}"/>
    <cellStyle name="40% - Accent5 8 4 3 4" xfId="20517" xr:uid="{00000000-0005-0000-0000-0000A24C0000}"/>
    <cellStyle name="40% - Accent5 8 4 3 4 2" xfId="44349" xr:uid="{47409FDC-A49F-47BA-B2D5-CB8D1725FAE6}"/>
    <cellStyle name="40% - Accent5 8 4 3 5" xfId="28470" xr:uid="{5500EF1A-1272-4589-BEB5-7D96A3E3C500}"/>
    <cellStyle name="40% - Accent5 8 4 4" xfId="6368" xr:uid="{00000000-0005-0000-0000-0000A34C0000}"/>
    <cellStyle name="40% - Accent5 8 4 4 2" xfId="14342" xr:uid="{00000000-0005-0000-0000-0000A44C0000}"/>
    <cellStyle name="40% - Accent5 8 4 4 2 2" xfId="38184" xr:uid="{D3588784-4B1C-4907-BF19-E3FB4C5A0B3D}"/>
    <cellStyle name="40% - Accent5 8 4 4 3" xfId="22289" xr:uid="{00000000-0005-0000-0000-0000A54C0000}"/>
    <cellStyle name="40% - Accent5 8 4 4 3 2" xfId="46121" xr:uid="{868E1C3C-C018-4371-9A92-11B161EE4FCD}"/>
    <cellStyle name="40% - Accent5 8 4 4 4" xfId="30243" xr:uid="{4F1B1DFA-F32E-4397-998A-CDD3B729DB01}"/>
    <cellStyle name="40% - Accent5 8 4 5" xfId="9910" xr:uid="{00000000-0005-0000-0000-0000A64C0000}"/>
    <cellStyle name="40% - Accent5 8 4 5 2" xfId="17868" xr:uid="{00000000-0005-0000-0000-0000A74C0000}"/>
    <cellStyle name="40% - Accent5 8 4 5 2 2" xfId="41708" xr:uid="{02A8C895-E118-45B2-80B7-39C12310CE6C}"/>
    <cellStyle name="40% - Accent5 8 4 5 3" xfId="25812" xr:uid="{00000000-0005-0000-0000-0000A84C0000}"/>
    <cellStyle name="40% - Accent5 8 4 5 3 2" xfId="49644" xr:uid="{D4828D8F-23C1-4445-93FC-275507DAF0CF}"/>
    <cellStyle name="40% - Accent5 8 4 5 4" xfId="33767" xr:uid="{B4CEF06C-9FB6-4A8D-992F-A3422C88ADF4}"/>
    <cellStyle name="40% - Accent5 8 4 6" xfId="10806" xr:uid="{00000000-0005-0000-0000-0000A94C0000}"/>
    <cellStyle name="40% - Accent5 8 4 6 2" xfId="34655" xr:uid="{7C95BAA6-355F-4C3B-8F69-DFE89EE7F0EF}"/>
    <cellStyle name="40% - Accent5 8 4 7" xfId="18761" xr:uid="{00000000-0005-0000-0000-0000AA4C0000}"/>
    <cellStyle name="40% - Accent5 8 4 7 2" xfId="42593" xr:uid="{2B11FC0C-1571-4540-B6B6-DE434EBB299A}"/>
    <cellStyle name="40% - Accent5 8 4 8" xfId="26713" xr:uid="{0CB47FCA-76B6-452F-B482-8F46441BC0AE}"/>
    <cellStyle name="40% - Accent5 8 4_Exh G" xfId="3285" xr:uid="{00000000-0005-0000-0000-0000AB4C0000}"/>
    <cellStyle name="40% - Accent5 8 5" xfId="1601" xr:uid="{00000000-0005-0000-0000-0000AC4C0000}"/>
    <cellStyle name="40% - Accent5 8 5 2" xfId="5128" xr:uid="{00000000-0005-0000-0000-0000AD4C0000}"/>
    <cellStyle name="40% - Accent5 8 5 2 2" xfId="8719" xr:uid="{00000000-0005-0000-0000-0000AE4C0000}"/>
    <cellStyle name="40% - Accent5 8 5 2 2 2" xfId="16689" xr:uid="{00000000-0005-0000-0000-0000AF4C0000}"/>
    <cellStyle name="40% - Accent5 8 5 2 2 2 2" xfId="40531" xr:uid="{AC49C6AF-138E-4AA2-9EB0-D04FCF62DE91}"/>
    <cellStyle name="40% - Accent5 8 5 2 2 3" xfId="24635" xr:uid="{00000000-0005-0000-0000-0000B04C0000}"/>
    <cellStyle name="40% - Accent5 8 5 2 2 3 2" xfId="48467" xr:uid="{42A35AAD-F559-419C-9A9A-B8BC702EB146}"/>
    <cellStyle name="40% - Accent5 8 5 2 2 4" xfId="32590" xr:uid="{23F83694-0E6B-473A-B1DD-86723CE18415}"/>
    <cellStyle name="40% - Accent5 8 5 2 3" xfId="13151" xr:uid="{00000000-0005-0000-0000-0000B14C0000}"/>
    <cellStyle name="40% - Accent5 8 5 2 3 2" xfId="37000" xr:uid="{B8A310C1-5BC0-4B3A-B74C-24024C064F0E}"/>
    <cellStyle name="40% - Accent5 8 5 2 4" xfId="21106" xr:uid="{00000000-0005-0000-0000-0000B24C0000}"/>
    <cellStyle name="40% - Accent5 8 5 2 4 2" xfId="44938" xr:uid="{7041DF8F-4CA2-41A3-8349-9A0A999A1FAD}"/>
    <cellStyle name="40% - Accent5 8 5 2 5" xfId="29059" xr:uid="{D53429D9-4B8A-4DEB-A884-221131CB5944}"/>
    <cellStyle name="40% - Accent5 8 5 3" xfId="6960" xr:uid="{00000000-0005-0000-0000-0000B34C0000}"/>
    <cellStyle name="40% - Accent5 8 5 3 2" xfId="14931" xr:uid="{00000000-0005-0000-0000-0000B44C0000}"/>
    <cellStyle name="40% - Accent5 8 5 3 2 2" xfId="38773" xr:uid="{70BC0A4D-190F-49F5-8DD0-7E521C5DB737}"/>
    <cellStyle name="40% - Accent5 8 5 3 3" xfId="22878" xr:uid="{00000000-0005-0000-0000-0000B54C0000}"/>
    <cellStyle name="40% - Accent5 8 5 3 3 2" xfId="46710" xr:uid="{3BE15638-9C22-44B5-B98E-00B700F3F37C}"/>
    <cellStyle name="40% - Accent5 8 5 3 4" xfId="30832" xr:uid="{7946462C-93C2-4DF5-9C80-7E1DF25AC9BE}"/>
    <cellStyle name="40% - Accent5 8 5 4" xfId="11395" xr:uid="{00000000-0005-0000-0000-0000B64C0000}"/>
    <cellStyle name="40% - Accent5 8 5 4 2" xfId="35244" xr:uid="{9F4CBEB1-F11F-420B-BC7F-EEE761169AA2}"/>
    <cellStyle name="40% - Accent5 8 5 5" xfId="19350" xr:uid="{00000000-0005-0000-0000-0000B74C0000}"/>
    <cellStyle name="40% - Accent5 8 5 5 2" xfId="43182" xr:uid="{DBE815D7-5571-41AF-A14F-290D991F9774}"/>
    <cellStyle name="40% - Accent5 8 5 6" xfId="27302" xr:uid="{F06BE6EF-05E9-421B-A2B6-5395F72D4B0B}"/>
    <cellStyle name="40% - Accent5 8 5_Exh G" xfId="3287" xr:uid="{00000000-0005-0000-0000-0000B84C0000}"/>
    <cellStyle name="40% - Accent5 8 6" xfId="4249" xr:uid="{00000000-0005-0000-0000-0000B94C0000}"/>
    <cellStyle name="40% - Accent5 8 6 2" xfId="7841" xr:uid="{00000000-0005-0000-0000-0000BA4C0000}"/>
    <cellStyle name="40% - Accent5 8 6 2 2" xfId="15811" xr:uid="{00000000-0005-0000-0000-0000BB4C0000}"/>
    <cellStyle name="40% - Accent5 8 6 2 2 2" xfId="39653" xr:uid="{D74FC331-76AE-406D-A39A-5F341E19A55A}"/>
    <cellStyle name="40% - Accent5 8 6 2 3" xfId="23757" xr:uid="{00000000-0005-0000-0000-0000BC4C0000}"/>
    <cellStyle name="40% - Accent5 8 6 2 3 2" xfId="47589" xr:uid="{61D5C5C2-366A-41AA-A409-FC18C3A163F7}"/>
    <cellStyle name="40% - Accent5 8 6 2 4" xfId="31712" xr:uid="{C442B8AE-96ED-4D87-9D98-66FB489F8197}"/>
    <cellStyle name="40% - Accent5 8 6 3" xfId="12273" xr:uid="{00000000-0005-0000-0000-0000BD4C0000}"/>
    <cellStyle name="40% - Accent5 8 6 3 2" xfId="36122" xr:uid="{E8C37E92-B445-4182-BB18-362FDC813AC3}"/>
    <cellStyle name="40% - Accent5 8 6 4" xfId="20228" xr:uid="{00000000-0005-0000-0000-0000BE4C0000}"/>
    <cellStyle name="40% - Accent5 8 6 4 2" xfId="44060" xr:uid="{2B3B5415-48C6-4EA1-809B-FD029D874D1A}"/>
    <cellStyle name="40% - Accent5 8 6 5" xfId="28181" xr:uid="{2DDF6397-5B22-48ED-BE58-8B20090C8EC3}"/>
    <cellStyle name="40% - Accent5 8 7" xfId="6069" xr:uid="{00000000-0005-0000-0000-0000BF4C0000}"/>
    <cellStyle name="40% - Accent5 8 7 2" xfId="14052" xr:uid="{00000000-0005-0000-0000-0000C04C0000}"/>
    <cellStyle name="40% - Accent5 8 7 2 2" xfId="37895" xr:uid="{FD1D5C5A-237F-4383-A315-7AEE9ACB11FA}"/>
    <cellStyle name="40% - Accent5 8 7 3" xfId="22000" xr:uid="{00000000-0005-0000-0000-0000C14C0000}"/>
    <cellStyle name="40% - Accent5 8 7 3 2" xfId="45832" xr:uid="{769744BF-71B8-4028-B21D-3FB367D56492}"/>
    <cellStyle name="40% - Accent5 8 7 4" xfId="29954" xr:uid="{4AB7642D-1724-44E6-8ED3-95B9FB85648E}"/>
    <cellStyle name="40% - Accent5 8 8" xfId="9621" xr:uid="{00000000-0005-0000-0000-0000C24C0000}"/>
    <cellStyle name="40% - Accent5 8 8 2" xfId="17579" xr:uid="{00000000-0005-0000-0000-0000C34C0000}"/>
    <cellStyle name="40% - Accent5 8 8 2 2" xfId="41419" xr:uid="{BE8D785A-5CAD-4229-9407-85DBD4C4B186}"/>
    <cellStyle name="40% - Accent5 8 8 3" xfId="25523" xr:uid="{00000000-0005-0000-0000-0000C44C0000}"/>
    <cellStyle name="40% - Accent5 8 8 3 2" xfId="49355" xr:uid="{C38E2616-2CE5-4E72-B0F5-7737E52264F0}"/>
    <cellStyle name="40% - Accent5 8 8 4" xfId="33478" xr:uid="{47E0DACD-7C6D-42D1-B779-F27DCD4DCC9F}"/>
    <cellStyle name="40% - Accent5 8 9" xfId="10517" xr:uid="{00000000-0005-0000-0000-0000C54C0000}"/>
    <cellStyle name="40% - Accent5 8 9 2" xfId="34366" xr:uid="{8F8DD2D3-FA05-4914-BBF7-9999D2D1CA46}"/>
    <cellStyle name="40% - Accent5 8_Exh G" xfId="3278" xr:uid="{00000000-0005-0000-0000-0000C64C0000}"/>
    <cellStyle name="40% - Accent5 9" xfId="579" xr:uid="{00000000-0005-0000-0000-0000C74C0000}"/>
    <cellStyle name="40% - Accent5 9 10" xfId="18476" xr:uid="{00000000-0005-0000-0000-0000C84C0000}"/>
    <cellStyle name="40% - Accent5 9 10 2" xfId="42308" xr:uid="{ECB4BA20-8AF9-40AE-8942-57957BF861CB}"/>
    <cellStyle name="40% - Accent5 9 11" xfId="26428" xr:uid="{2A251C95-5C92-4FE2-AE1C-466A15D79BE3}"/>
    <cellStyle name="40% - Accent5 9 2" xfId="580" xr:uid="{00000000-0005-0000-0000-0000C94C0000}"/>
    <cellStyle name="40% - Accent5 9 2 2" xfId="581" xr:uid="{00000000-0005-0000-0000-0000CA4C0000}"/>
    <cellStyle name="40% - Accent5 9 2 2 2" xfId="1607" xr:uid="{00000000-0005-0000-0000-0000CB4C0000}"/>
    <cellStyle name="40% - Accent5 9 2 2 2 2" xfId="5134" xr:uid="{00000000-0005-0000-0000-0000CC4C0000}"/>
    <cellStyle name="40% - Accent5 9 2 2 2 2 2" xfId="8725" xr:uid="{00000000-0005-0000-0000-0000CD4C0000}"/>
    <cellStyle name="40% - Accent5 9 2 2 2 2 2 2" xfId="16695" xr:uid="{00000000-0005-0000-0000-0000CE4C0000}"/>
    <cellStyle name="40% - Accent5 9 2 2 2 2 2 2 2" xfId="40537" xr:uid="{CEB74AFB-45C7-4FD7-82C2-7D713205E393}"/>
    <cellStyle name="40% - Accent5 9 2 2 2 2 2 3" xfId="24641" xr:uid="{00000000-0005-0000-0000-0000CF4C0000}"/>
    <cellStyle name="40% - Accent5 9 2 2 2 2 2 3 2" xfId="48473" xr:uid="{2AD1266D-3CA4-4A01-86DB-13ECD366F527}"/>
    <cellStyle name="40% - Accent5 9 2 2 2 2 2 4" xfId="32596" xr:uid="{D30A1DFE-D5E5-4BBF-AE19-014136DA50CA}"/>
    <cellStyle name="40% - Accent5 9 2 2 2 2 3" xfId="13157" xr:uid="{00000000-0005-0000-0000-0000D04C0000}"/>
    <cellStyle name="40% - Accent5 9 2 2 2 2 3 2" xfId="37006" xr:uid="{A6932214-2486-497B-8498-856AC512CEB9}"/>
    <cellStyle name="40% - Accent5 9 2 2 2 2 4" xfId="21112" xr:uid="{00000000-0005-0000-0000-0000D14C0000}"/>
    <cellStyle name="40% - Accent5 9 2 2 2 2 4 2" xfId="44944" xr:uid="{A280A1BB-00EB-4001-B1CB-B6C88053387C}"/>
    <cellStyle name="40% - Accent5 9 2 2 2 2 5" xfId="29065" xr:uid="{A7B58CCE-0829-49F0-A9D9-4A02FE53ECC9}"/>
    <cellStyle name="40% - Accent5 9 2 2 2 3" xfId="6966" xr:uid="{00000000-0005-0000-0000-0000D24C0000}"/>
    <cellStyle name="40% - Accent5 9 2 2 2 3 2" xfId="14937" xr:uid="{00000000-0005-0000-0000-0000D34C0000}"/>
    <cellStyle name="40% - Accent5 9 2 2 2 3 2 2" xfId="38779" xr:uid="{54DD9B3B-AE90-480A-B071-5D7593A1DF1E}"/>
    <cellStyle name="40% - Accent5 9 2 2 2 3 3" xfId="22884" xr:uid="{00000000-0005-0000-0000-0000D44C0000}"/>
    <cellStyle name="40% - Accent5 9 2 2 2 3 3 2" xfId="46716" xr:uid="{E9AF3761-35F5-4826-BA0F-FD4D1D63CA07}"/>
    <cellStyle name="40% - Accent5 9 2 2 2 3 4" xfId="30838" xr:uid="{FD8F78EF-C8E3-471F-BBE2-24416F1EAD8C}"/>
    <cellStyle name="40% - Accent5 9 2 2 2 4" xfId="11401" xr:uid="{00000000-0005-0000-0000-0000D54C0000}"/>
    <cellStyle name="40% - Accent5 9 2 2 2 4 2" xfId="35250" xr:uid="{134C05DB-6AEA-4DD8-90F8-AEDD1852AFD3}"/>
    <cellStyle name="40% - Accent5 9 2 2 2 5" xfId="19356" xr:uid="{00000000-0005-0000-0000-0000D64C0000}"/>
    <cellStyle name="40% - Accent5 9 2 2 2 5 2" xfId="43188" xr:uid="{319E0C85-CEA9-4AA9-A5AB-2FF004BDAA42}"/>
    <cellStyle name="40% - Accent5 9 2 2 2 6" xfId="27308" xr:uid="{C9CC1B44-5118-450F-BBFB-9F9CF3047D7C}"/>
    <cellStyle name="40% - Accent5 9 2 2 2_Exh G" xfId="3291" xr:uid="{00000000-0005-0000-0000-0000D74C0000}"/>
    <cellStyle name="40% - Accent5 9 2 2 3" xfId="4255" xr:uid="{00000000-0005-0000-0000-0000D84C0000}"/>
    <cellStyle name="40% - Accent5 9 2 2 3 2" xfId="7847" xr:uid="{00000000-0005-0000-0000-0000D94C0000}"/>
    <cellStyle name="40% - Accent5 9 2 2 3 2 2" xfId="15817" xr:uid="{00000000-0005-0000-0000-0000DA4C0000}"/>
    <cellStyle name="40% - Accent5 9 2 2 3 2 2 2" xfId="39659" xr:uid="{A6CB75BF-1448-4806-A2D8-997560B52DB6}"/>
    <cellStyle name="40% - Accent5 9 2 2 3 2 3" xfId="23763" xr:uid="{00000000-0005-0000-0000-0000DB4C0000}"/>
    <cellStyle name="40% - Accent5 9 2 2 3 2 3 2" xfId="47595" xr:uid="{4F3D162C-B196-4233-AA01-5390F45DB77F}"/>
    <cellStyle name="40% - Accent5 9 2 2 3 2 4" xfId="31718" xr:uid="{5EDFF96B-CBB1-4A73-8E7B-B59B6E969C37}"/>
    <cellStyle name="40% - Accent5 9 2 2 3 3" xfId="12279" xr:uid="{00000000-0005-0000-0000-0000DC4C0000}"/>
    <cellStyle name="40% - Accent5 9 2 2 3 3 2" xfId="36128" xr:uid="{72E30458-A954-469D-A933-93A35D9F7013}"/>
    <cellStyle name="40% - Accent5 9 2 2 3 4" xfId="20234" xr:uid="{00000000-0005-0000-0000-0000DD4C0000}"/>
    <cellStyle name="40% - Accent5 9 2 2 3 4 2" xfId="44066" xr:uid="{9BD621BD-983A-4ECF-B1CA-30E8182C198F}"/>
    <cellStyle name="40% - Accent5 9 2 2 3 5" xfId="28187" xr:uid="{CDB70587-87B2-4CDD-B477-6F9CC7F01FA3}"/>
    <cellStyle name="40% - Accent5 9 2 2 4" xfId="6075" xr:uid="{00000000-0005-0000-0000-0000DE4C0000}"/>
    <cellStyle name="40% - Accent5 9 2 2 4 2" xfId="14058" xr:uid="{00000000-0005-0000-0000-0000DF4C0000}"/>
    <cellStyle name="40% - Accent5 9 2 2 4 2 2" xfId="37901" xr:uid="{3EE66EA7-5F52-4D4D-9AE6-FF1CB77600C0}"/>
    <cellStyle name="40% - Accent5 9 2 2 4 3" xfId="22006" xr:uid="{00000000-0005-0000-0000-0000E04C0000}"/>
    <cellStyle name="40% - Accent5 9 2 2 4 3 2" xfId="45838" xr:uid="{6FC96E19-9BEA-4F9F-9F68-A8E1E088E7F5}"/>
    <cellStyle name="40% - Accent5 9 2 2 4 4" xfId="29960" xr:uid="{7AA711BE-218E-4FBD-9A81-020BF9230591}"/>
    <cellStyle name="40% - Accent5 9 2 2 5" xfId="9627" xr:uid="{00000000-0005-0000-0000-0000E14C0000}"/>
    <cellStyle name="40% - Accent5 9 2 2 5 2" xfId="17585" xr:uid="{00000000-0005-0000-0000-0000E24C0000}"/>
    <cellStyle name="40% - Accent5 9 2 2 5 2 2" xfId="41425" xr:uid="{F117A8F7-1DD2-4779-B1FA-BE1966E44FB9}"/>
    <cellStyle name="40% - Accent5 9 2 2 5 3" xfId="25529" xr:uid="{00000000-0005-0000-0000-0000E34C0000}"/>
    <cellStyle name="40% - Accent5 9 2 2 5 3 2" xfId="49361" xr:uid="{E6C08396-28A9-454F-9C30-93D61D114193}"/>
    <cellStyle name="40% - Accent5 9 2 2 5 4" xfId="33484" xr:uid="{A4AA1364-039D-441A-89AC-71096C967D54}"/>
    <cellStyle name="40% - Accent5 9 2 2 6" xfId="10523" xr:uid="{00000000-0005-0000-0000-0000E44C0000}"/>
    <cellStyle name="40% - Accent5 9 2 2 6 2" xfId="34372" xr:uid="{5891A413-2E40-4876-A405-2B0A5C1715FD}"/>
    <cellStyle name="40% - Accent5 9 2 2 7" xfId="18478" xr:uid="{00000000-0005-0000-0000-0000E54C0000}"/>
    <cellStyle name="40% - Accent5 9 2 2 7 2" xfId="42310" xr:uid="{FC35BCF2-1449-4125-B0E1-9C8407A3A528}"/>
    <cellStyle name="40% - Accent5 9 2 2 8" xfId="26430" xr:uid="{EB950302-A916-4E73-B5F7-86A17ADD4CD4}"/>
    <cellStyle name="40% - Accent5 9 2 2_Exh G" xfId="3290" xr:uid="{00000000-0005-0000-0000-0000E64C0000}"/>
    <cellStyle name="40% - Accent5 9 2 3" xfId="1606" xr:uid="{00000000-0005-0000-0000-0000E74C0000}"/>
    <cellStyle name="40% - Accent5 9 2 3 2" xfId="5133" xr:uid="{00000000-0005-0000-0000-0000E84C0000}"/>
    <cellStyle name="40% - Accent5 9 2 3 2 2" xfId="8724" xr:uid="{00000000-0005-0000-0000-0000E94C0000}"/>
    <cellStyle name="40% - Accent5 9 2 3 2 2 2" xfId="16694" xr:uid="{00000000-0005-0000-0000-0000EA4C0000}"/>
    <cellStyle name="40% - Accent5 9 2 3 2 2 2 2" xfId="40536" xr:uid="{9F3417ED-A4BF-4E38-A7FD-0EFB56099828}"/>
    <cellStyle name="40% - Accent5 9 2 3 2 2 3" xfId="24640" xr:uid="{00000000-0005-0000-0000-0000EB4C0000}"/>
    <cellStyle name="40% - Accent5 9 2 3 2 2 3 2" xfId="48472" xr:uid="{CA3CA4B4-5BF5-49DD-B675-0A02BECC4F22}"/>
    <cellStyle name="40% - Accent5 9 2 3 2 2 4" xfId="32595" xr:uid="{FA829564-5DE3-4E23-B434-1A25569F5EB8}"/>
    <cellStyle name="40% - Accent5 9 2 3 2 3" xfId="13156" xr:uid="{00000000-0005-0000-0000-0000EC4C0000}"/>
    <cellStyle name="40% - Accent5 9 2 3 2 3 2" xfId="37005" xr:uid="{9B1E6C8E-8993-4F2E-9340-6EE07E7A6F6B}"/>
    <cellStyle name="40% - Accent5 9 2 3 2 4" xfId="21111" xr:uid="{00000000-0005-0000-0000-0000ED4C0000}"/>
    <cellStyle name="40% - Accent5 9 2 3 2 4 2" xfId="44943" xr:uid="{FB840EB8-E23D-4230-A630-9A8E324F59F7}"/>
    <cellStyle name="40% - Accent5 9 2 3 2 5" xfId="29064" xr:uid="{CA0DB543-79FB-455A-B7C2-E8EE36A4D017}"/>
    <cellStyle name="40% - Accent5 9 2 3 3" xfId="6965" xr:uid="{00000000-0005-0000-0000-0000EE4C0000}"/>
    <cellStyle name="40% - Accent5 9 2 3 3 2" xfId="14936" xr:uid="{00000000-0005-0000-0000-0000EF4C0000}"/>
    <cellStyle name="40% - Accent5 9 2 3 3 2 2" xfId="38778" xr:uid="{44CFD495-4F28-4366-BBFE-3ABB5BD07B17}"/>
    <cellStyle name="40% - Accent5 9 2 3 3 3" xfId="22883" xr:uid="{00000000-0005-0000-0000-0000F04C0000}"/>
    <cellStyle name="40% - Accent5 9 2 3 3 3 2" xfId="46715" xr:uid="{DFA42092-BD3F-4C93-8F98-B59DA138FB16}"/>
    <cellStyle name="40% - Accent5 9 2 3 3 4" xfId="30837" xr:uid="{EB520378-5001-4113-97EC-74B9B4DA6A13}"/>
    <cellStyle name="40% - Accent5 9 2 3 4" xfId="11400" xr:uid="{00000000-0005-0000-0000-0000F14C0000}"/>
    <cellStyle name="40% - Accent5 9 2 3 4 2" xfId="35249" xr:uid="{83B0D163-0961-449F-BC40-09719AD6BFDA}"/>
    <cellStyle name="40% - Accent5 9 2 3 5" xfId="19355" xr:uid="{00000000-0005-0000-0000-0000F24C0000}"/>
    <cellStyle name="40% - Accent5 9 2 3 5 2" xfId="43187" xr:uid="{1F45ACD1-DAE7-4FE0-A17E-A33FEF04F5AE}"/>
    <cellStyle name="40% - Accent5 9 2 3 6" xfId="27307" xr:uid="{04EBF33B-F13E-4759-98F3-B0CC4ED46195}"/>
    <cellStyle name="40% - Accent5 9 2 3_Exh G" xfId="3292" xr:uid="{00000000-0005-0000-0000-0000F34C0000}"/>
    <cellStyle name="40% - Accent5 9 2 4" xfId="4254" xr:uid="{00000000-0005-0000-0000-0000F44C0000}"/>
    <cellStyle name="40% - Accent5 9 2 4 2" xfId="7846" xr:uid="{00000000-0005-0000-0000-0000F54C0000}"/>
    <cellStyle name="40% - Accent5 9 2 4 2 2" xfId="15816" xr:uid="{00000000-0005-0000-0000-0000F64C0000}"/>
    <cellStyle name="40% - Accent5 9 2 4 2 2 2" xfId="39658" xr:uid="{4657AA95-9F4D-4857-8C32-FA19C47EB364}"/>
    <cellStyle name="40% - Accent5 9 2 4 2 3" xfId="23762" xr:uid="{00000000-0005-0000-0000-0000F74C0000}"/>
    <cellStyle name="40% - Accent5 9 2 4 2 3 2" xfId="47594" xr:uid="{BE7DF9A1-8C7A-4F14-8A40-EF69A589DAA4}"/>
    <cellStyle name="40% - Accent5 9 2 4 2 4" xfId="31717" xr:uid="{2CADB211-C1B6-45A4-A879-3AB52EF2020B}"/>
    <cellStyle name="40% - Accent5 9 2 4 3" xfId="12278" xr:uid="{00000000-0005-0000-0000-0000F84C0000}"/>
    <cellStyle name="40% - Accent5 9 2 4 3 2" xfId="36127" xr:uid="{CD47DF97-4D15-462C-9910-F2FAAAEDDC54}"/>
    <cellStyle name="40% - Accent5 9 2 4 4" xfId="20233" xr:uid="{00000000-0005-0000-0000-0000F94C0000}"/>
    <cellStyle name="40% - Accent5 9 2 4 4 2" xfId="44065" xr:uid="{63F65B17-8C18-4F5A-95BC-7B98F1F7F308}"/>
    <cellStyle name="40% - Accent5 9 2 4 5" xfId="28186" xr:uid="{E7B8911E-AFA9-49BC-97DC-FF926B42585A}"/>
    <cellStyle name="40% - Accent5 9 2 5" xfId="6074" xr:uid="{00000000-0005-0000-0000-0000FA4C0000}"/>
    <cellStyle name="40% - Accent5 9 2 5 2" xfId="14057" xr:uid="{00000000-0005-0000-0000-0000FB4C0000}"/>
    <cellStyle name="40% - Accent5 9 2 5 2 2" xfId="37900" xr:uid="{729DE18E-1B54-4B9C-9A6C-849A73697DF3}"/>
    <cellStyle name="40% - Accent5 9 2 5 3" xfId="22005" xr:uid="{00000000-0005-0000-0000-0000FC4C0000}"/>
    <cellStyle name="40% - Accent5 9 2 5 3 2" xfId="45837" xr:uid="{F35CDF1A-07E8-4087-9C52-DF34119FF098}"/>
    <cellStyle name="40% - Accent5 9 2 5 4" xfId="29959" xr:uid="{B531FF00-B6E6-4FB1-871F-9CC29C79ECA0}"/>
    <cellStyle name="40% - Accent5 9 2 6" xfId="9626" xr:uid="{00000000-0005-0000-0000-0000FD4C0000}"/>
    <cellStyle name="40% - Accent5 9 2 6 2" xfId="17584" xr:uid="{00000000-0005-0000-0000-0000FE4C0000}"/>
    <cellStyle name="40% - Accent5 9 2 6 2 2" xfId="41424" xr:uid="{78B8270F-E997-459C-AE3A-3B3EAE432DF4}"/>
    <cellStyle name="40% - Accent5 9 2 6 3" xfId="25528" xr:uid="{00000000-0005-0000-0000-0000FF4C0000}"/>
    <cellStyle name="40% - Accent5 9 2 6 3 2" xfId="49360" xr:uid="{C9B7DE33-1C9C-4906-BB8A-CEB9DBED428B}"/>
    <cellStyle name="40% - Accent5 9 2 6 4" xfId="33483" xr:uid="{28024A9F-E70E-46B3-B3AE-70D427B31675}"/>
    <cellStyle name="40% - Accent5 9 2 7" xfId="10522" xr:uid="{00000000-0005-0000-0000-0000004D0000}"/>
    <cellStyle name="40% - Accent5 9 2 7 2" xfId="34371" xr:uid="{08BCA83B-81BE-47AF-B1BB-0DC1281BF3BC}"/>
    <cellStyle name="40% - Accent5 9 2 8" xfId="18477" xr:uid="{00000000-0005-0000-0000-0000014D0000}"/>
    <cellStyle name="40% - Accent5 9 2 8 2" xfId="42309" xr:uid="{FE23BEE4-E175-4422-BC72-0D19FF5BF501}"/>
    <cellStyle name="40% - Accent5 9 2 9" xfId="26429" xr:uid="{954EF352-947C-40E6-920B-937F0677444D}"/>
    <cellStyle name="40% - Accent5 9 2_Exh G" xfId="3289" xr:uid="{00000000-0005-0000-0000-0000024D0000}"/>
    <cellStyle name="40% - Accent5 9 3" xfId="582" xr:uid="{00000000-0005-0000-0000-0000034D0000}"/>
    <cellStyle name="40% - Accent5 9 3 2" xfId="1608" xr:uid="{00000000-0005-0000-0000-0000044D0000}"/>
    <cellStyle name="40% - Accent5 9 3 2 2" xfId="5135" xr:uid="{00000000-0005-0000-0000-0000054D0000}"/>
    <cellStyle name="40% - Accent5 9 3 2 2 2" xfId="8726" xr:uid="{00000000-0005-0000-0000-0000064D0000}"/>
    <cellStyle name="40% - Accent5 9 3 2 2 2 2" xfId="16696" xr:uid="{00000000-0005-0000-0000-0000074D0000}"/>
    <cellStyle name="40% - Accent5 9 3 2 2 2 2 2" xfId="40538" xr:uid="{F8597B1A-394A-4B79-989D-D409784BF646}"/>
    <cellStyle name="40% - Accent5 9 3 2 2 2 3" xfId="24642" xr:uid="{00000000-0005-0000-0000-0000084D0000}"/>
    <cellStyle name="40% - Accent5 9 3 2 2 2 3 2" xfId="48474" xr:uid="{A765DBE7-D5D3-4BCF-BED2-FF8C750864E4}"/>
    <cellStyle name="40% - Accent5 9 3 2 2 2 4" xfId="32597" xr:uid="{0C2ED9A5-AAB0-4E57-85EA-F55B36C703F5}"/>
    <cellStyle name="40% - Accent5 9 3 2 2 3" xfId="13158" xr:uid="{00000000-0005-0000-0000-0000094D0000}"/>
    <cellStyle name="40% - Accent5 9 3 2 2 3 2" xfId="37007" xr:uid="{91F32945-AC3F-44C1-AAAE-DAB18A88C74D}"/>
    <cellStyle name="40% - Accent5 9 3 2 2 4" xfId="21113" xr:uid="{00000000-0005-0000-0000-00000A4D0000}"/>
    <cellStyle name="40% - Accent5 9 3 2 2 4 2" xfId="44945" xr:uid="{2F550443-DADB-4989-9F2A-CB4DB381461E}"/>
    <cellStyle name="40% - Accent5 9 3 2 2 5" xfId="29066" xr:uid="{214DB4B8-ED17-4B8E-AB15-1E0CE8BD7EDA}"/>
    <cellStyle name="40% - Accent5 9 3 2 3" xfId="6967" xr:uid="{00000000-0005-0000-0000-00000B4D0000}"/>
    <cellStyle name="40% - Accent5 9 3 2 3 2" xfId="14938" xr:uid="{00000000-0005-0000-0000-00000C4D0000}"/>
    <cellStyle name="40% - Accent5 9 3 2 3 2 2" xfId="38780" xr:uid="{A7F1580F-F215-4CEC-820F-6A380248836F}"/>
    <cellStyle name="40% - Accent5 9 3 2 3 3" xfId="22885" xr:uid="{00000000-0005-0000-0000-00000D4D0000}"/>
    <cellStyle name="40% - Accent5 9 3 2 3 3 2" xfId="46717" xr:uid="{716D0CB4-448B-49EB-BFD2-8BB292369DEA}"/>
    <cellStyle name="40% - Accent5 9 3 2 3 4" xfId="30839" xr:uid="{06F0C258-B7FF-4488-94A5-08E4623407FC}"/>
    <cellStyle name="40% - Accent5 9 3 2 4" xfId="11402" xr:uid="{00000000-0005-0000-0000-00000E4D0000}"/>
    <cellStyle name="40% - Accent5 9 3 2 4 2" xfId="35251" xr:uid="{1C26DA3F-826D-4C04-8623-0B47EB47DD4F}"/>
    <cellStyle name="40% - Accent5 9 3 2 5" xfId="19357" xr:uid="{00000000-0005-0000-0000-00000F4D0000}"/>
    <cellStyle name="40% - Accent5 9 3 2 5 2" xfId="43189" xr:uid="{14074548-CD86-4290-90FF-DEB7625757E6}"/>
    <cellStyle name="40% - Accent5 9 3 2 6" xfId="27309" xr:uid="{E35FBC75-25F2-4403-9EEA-45ADA6A54C6E}"/>
    <cellStyle name="40% - Accent5 9 3 2_Exh G" xfId="3294" xr:uid="{00000000-0005-0000-0000-0000104D0000}"/>
    <cellStyle name="40% - Accent5 9 3 3" xfId="4256" xr:uid="{00000000-0005-0000-0000-0000114D0000}"/>
    <cellStyle name="40% - Accent5 9 3 3 2" xfId="7848" xr:uid="{00000000-0005-0000-0000-0000124D0000}"/>
    <cellStyle name="40% - Accent5 9 3 3 2 2" xfId="15818" xr:uid="{00000000-0005-0000-0000-0000134D0000}"/>
    <cellStyle name="40% - Accent5 9 3 3 2 2 2" xfId="39660" xr:uid="{4C472E82-0BE2-4D41-8DE1-879C135D3AA5}"/>
    <cellStyle name="40% - Accent5 9 3 3 2 3" xfId="23764" xr:uid="{00000000-0005-0000-0000-0000144D0000}"/>
    <cellStyle name="40% - Accent5 9 3 3 2 3 2" xfId="47596" xr:uid="{0FF8DD89-0B29-4E40-A389-3F1F687D5804}"/>
    <cellStyle name="40% - Accent5 9 3 3 2 4" xfId="31719" xr:uid="{23ADD6D5-616E-4461-808C-E933797BADB7}"/>
    <cellStyle name="40% - Accent5 9 3 3 3" xfId="12280" xr:uid="{00000000-0005-0000-0000-0000154D0000}"/>
    <cellStyle name="40% - Accent5 9 3 3 3 2" xfId="36129" xr:uid="{FFA96F02-5854-4F0B-BD4E-466F3B04C67D}"/>
    <cellStyle name="40% - Accent5 9 3 3 4" xfId="20235" xr:uid="{00000000-0005-0000-0000-0000164D0000}"/>
    <cellStyle name="40% - Accent5 9 3 3 4 2" xfId="44067" xr:uid="{EB275F12-01BA-4653-8B55-F3DC7626EF16}"/>
    <cellStyle name="40% - Accent5 9 3 3 5" xfId="28188" xr:uid="{891FA43E-9D97-459A-B098-1A2DBA48765E}"/>
    <cellStyle name="40% - Accent5 9 3 4" xfId="6076" xr:uid="{00000000-0005-0000-0000-0000174D0000}"/>
    <cellStyle name="40% - Accent5 9 3 4 2" xfId="14059" xr:uid="{00000000-0005-0000-0000-0000184D0000}"/>
    <cellStyle name="40% - Accent5 9 3 4 2 2" xfId="37902" xr:uid="{35F811B0-7701-4C8E-9212-CAF57CA1BF76}"/>
    <cellStyle name="40% - Accent5 9 3 4 3" xfId="22007" xr:uid="{00000000-0005-0000-0000-0000194D0000}"/>
    <cellStyle name="40% - Accent5 9 3 4 3 2" xfId="45839" xr:uid="{5AB86D6A-1FA0-45C7-9B32-457FA23E3485}"/>
    <cellStyle name="40% - Accent5 9 3 4 4" xfId="29961" xr:uid="{38C595A5-D117-494D-B748-B5A720716F59}"/>
    <cellStyle name="40% - Accent5 9 3 5" xfId="9628" xr:uid="{00000000-0005-0000-0000-00001A4D0000}"/>
    <cellStyle name="40% - Accent5 9 3 5 2" xfId="17586" xr:uid="{00000000-0005-0000-0000-00001B4D0000}"/>
    <cellStyle name="40% - Accent5 9 3 5 2 2" xfId="41426" xr:uid="{EF77CE5B-4DBF-42E7-A9DA-72709C896534}"/>
    <cellStyle name="40% - Accent5 9 3 5 3" xfId="25530" xr:uid="{00000000-0005-0000-0000-00001C4D0000}"/>
    <cellStyle name="40% - Accent5 9 3 5 3 2" xfId="49362" xr:uid="{B190632B-1FCF-494E-BE6F-338D969EA7C4}"/>
    <cellStyle name="40% - Accent5 9 3 5 4" xfId="33485" xr:uid="{632CD9AD-6947-43EE-9C89-E75075EFA772}"/>
    <cellStyle name="40% - Accent5 9 3 6" xfId="10524" xr:uid="{00000000-0005-0000-0000-00001D4D0000}"/>
    <cellStyle name="40% - Accent5 9 3 6 2" xfId="34373" xr:uid="{2493AF86-F17C-4457-A7D4-245E3AF84C26}"/>
    <cellStyle name="40% - Accent5 9 3 7" xfId="18479" xr:uid="{00000000-0005-0000-0000-00001E4D0000}"/>
    <cellStyle name="40% - Accent5 9 3 7 2" xfId="42311" xr:uid="{7F315C65-5182-413F-81EF-F2AE235BDFE4}"/>
    <cellStyle name="40% - Accent5 9 3 8" xfId="26431" xr:uid="{BD293D93-4F67-4F1E-8926-CD21A48207AA}"/>
    <cellStyle name="40% - Accent5 9 3_Exh G" xfId="3293" xr:uid="{00000000-0005-0000-0000-00001F4D0000}"/>
    <cellStyle name="40% - Accent5 9 4" xfId="990" xr:uid="{00000000-0005-0000-0000-0000204D0000}"/>
    <cellStyle name="40% - Accent5 9 4 2" xfId="1901" xr:uid="{00000000-0005-0000-0000-0000214D0000}"/>
    <cellStyle name="40% - Accent5 9 4 2 2" xfId="5418" xr:uid="{00000000-0005-0000-0000-0000224D0000}"/>
    <cellStyle name="40% - Accent5 9 4 2 2 2" xfId="9009" xr:uid="{00000000-0005-0000-0000-0000234D0000}"/>
    <cellStyle name="40% - Accent5 9 4 2 2 2 2" xfId="16979" xr:uid="{00000000-0005-0000-0000-0000244D0000}"/>
    <cellStyle name="40% - Accent5 9 4 2 2 2 2 2" xfId="40821" xr:uid="{99FF4BEE-FD38-4B0A-97EF-9CE659974105}"/>
    <cellStyle name="40% - Accent5 9 4 2 2 2 3" xfId="24925" xr:uid="{00000000-0005-0000-0000-0000254D0000}"/>
    <cellStyle name="40% - Accent5 9 4 2 2 2 3 2" xfId="48757" xr:uid="{10F23E5C-D511-4DC9-9EB3-B5C4372EFC96}"/>
    <cellStyle name="40% - Accent5 9 4 2 2 2 4" xfId="32880" xr:uid="{8DA697E1-79F7-4719-8256-71EEF7DA710A}"/>
    <cellStyle name="40% - Accent5 9 4 2 2 3" xfId="13441" xr:uid="{00000000-0005-0000-0000-0000264D0000}"/>
    <cellStyle name="40% - Accent5 9 4 2 2 3 2" xfId="37290" xr:uid="{C6F51D04-1D3E-4073-921D-B3D041600BDB}"/>
    <cellStyle name="40% - Accent5 9 4 2 2 4" xfId="21396" xr:uid="{00000000-0005-0000-0000-0000274D0000}"/>
    <cellStyle name="40% - Accent5 9 4 2 2 4 2" xfId="45228" xr:uid="{390C43EE-963A-4CFF-9358-59A63E5F30CA}"/>
    <cellStyle name="40% - Accent5 9 4 2 2 5" xfId="29349" xr:uid="{8E6183E2-E85E-4D6C-922E-5FB9060C89F4}"/>
    <cellStyle name="40% - Accent5 9 4 2 3" xfId="7250" xr:uid="{00000000-0005-0000-0000-0000284D0000}"/>
    <cellStyle name="40% - Accent5 9 4 2 3 2" xfId="15221" xr:uid="{00000000-0005-0000-0000-0000294D0000}"/>
    <cellStyle name="40% - Accent5 9 4 2 3 2 2" xfId="39063" xr:uid="{CE8FF175-669E-4A26-BE7D-9C169E533751}"/>
    <cellStyle name="40% - Accent5 9 4 2 3 3" xfId="23168" xr:uid="{00000000-0005-0000-0000-00002A4D0000}"/>
    <cellStyle name="40% - Accent5 9 4 2 3 3 2" xfId="47000" xr:uid="{47255CFE-D2E9-446B-84F5-98D60460A8E1}"/>
    <cellStyle name="40% - Accent5 9 4 2 3 4" xfId="31122" xr:uid="{036AB6A1-F915-4121-9ECE-BA8AFCDBDB67}"/>
    <cellStyle name="40% - Accent5 9 4 2 4" xfId="11685" xr:uid="{00000000-0005-0000-0000-00002B4D0000}"/>
    <cellStyle name="40% - Accent5 9 4 2 4 2" xfId="35534" xr:uid="{520BF24B-525F-43FE-8AC1-A6DA27CCDC87}"/>
    <cellStyle name="40% - Accent5 9 4 2 5" xfId="19640" xr:uid="{00000000-0005-0000-0000-00002C4D0000}"/>
    <cellStyle name="40% - Accent5 9 4 2 5 2" xfId="43472" xr:uid="{73B33FF9-5B25-4A20-AC9D-837C8584E0B6}"/>
    <cellStyle name="40% - Accent5 9 4 2 6" xfId="27592" xr:uid="{420A6279-2C2F-422A-895C-5FBD0F5BE643}"/>
    <cellStyle name="40% - Accent5 9 4 2_Exh G" xfId="3296" xr:uid="{00000000-0005-0000-0000-00002D4D0000}"/>
    <cellStyle name="40% - Accent5 9 4 3" xfId="4539" xr:uid="{00000000-0005-0000-0000-00002E4D0000}"/>
    <cellStyle name="40% - Accent5 9 4 3 2" xfId="8131" xr:uid="{00000000-0005-0000-0000-00002F4D0000}"/>
    <cellStyle name="40% - Accent5 9 4 3 2 2" xfId="16101" xr:uid="{00000000-0005-0000-0000-0000304D0000}"/>
    <cellStyle name="40% - Accent5 9 4 3 2 2 2" xfId="39943" xr:uid="{EF9A2801-457A-4311-8116-F4EE64B1389F}"/>
    <cellStyle name="40% - Accent5 9 4 3 2 3" xfId="24047" xr:uid="{00000000-0005-0000-0000-0000314D0000}"/>
    <cellStyle name="40% - Accent5 9 4 3 2 3 2" xfId="47879" xr:uid="{3F9160B9-4960-4A18-8475-959A4F5C1E8D}"/>
    <cellStyle name="40% - Accent5 9 4 3 2 4" xfId="32002" xr:uid="{9270C98A-15B6-4EE7-BBB6-7181C0EFEF59}"/>
    <cellStyle name="40% - Accent5 9 4 3 3" xfId="12563" xr:uid="{00000000-0005-0000-0000-0000324D0000}"/>
    <cellStyle name="40% - Accent5 9 4 3 3 2" xfId="36412" xr:uid="{2B4532A8-CAF3-49BE-8254-6BE89B816709}"/>
    <cellStyle name="40% - Accent5 9 4 3 4" xfId="20518" xr:uid="{00000000-0005-0000-0000-0000334D0000}"/>
    <cellStyle name="40% - Accent5 9 4 3 4 2" xfId="44350" xr:uid="{2B4DE510-8ADF-45C3-9689-A5F13EC16734}"/>
    <cellStyle name="40% - Accent5 9 4 3 5" xfId="28471" xr:uid="{2D18E0D0-3594-432A-85DD-7F639CE0D08B}"/>
    <cellStyle name="40% - Accent5 9 4 4" xfId="6369" xr:uid="{00000000-0005-0000-0000-0000344D0000}"/>
    <cellStyle name="40% - Accent5 9 4 4 2" xfId="14343" xr:uid="{00000000-0005-0000-0000-0000354D0000}"/>
    <cellStyle name="40% - Accent5 9 4 4 2 2" xfId="38185" xr:uid="{7C1F210A-7F6C-45E2-A027-E630DC3723A7}"/>
    <cellStyle name="40% - Accent5 9 4 4 3" xfId="22290" xr:uid="{00000000-0005-0000-0000-0000364D0000}"/>
    <cellStyle name="40% - Accent5 9 4 4 3 2" xfId="46122" xr:uid="{55BF6308-C09C-4395-AEEE-AF74EB4E9804}"/>
    <cellStyle name="40% - Accent5 9 4 4 4" xfId="30244" xr:uid="{9EA96A3F-8669-4737-940E-1BFBA91D2192}"/>
    <cellStyle name="40% - Accent5 9 4 5" xfId="9911" xr:uid="{00000000-0005-0000-0000-0000374D0000}"/>
    <cellStyle name="40% - Accent5 9 4 5 2" xfId="17869" xr:uid="{00000000-0005-0000-0000-0000384D0000}"/>
    <cellStyle name="40% - Accent5 9 4 5 2 2" xfId="41709" xr:uid="{76785B13-65A9-4C2C-A1DF-78700D30C02E}"/>
    <cellStyle name="40% - Accent5 9 4 5 3" xfId="25813" xr:uid="{00000000-0005-0000-0000-0000394D0000}"/>
    <cellStyle name="40% - Accent5 9 4 5 3 2" xfId="49645" xr:uid="{A146CFA3-8AF6-4280-A086-3120FC715B96}"/>
    <cellStyle name="40% - Accent5 9 4 5 4" xfId="33768" xr:uid="{A5748F4B-BFAF-4781-8D9F-00FC03FF191C}"/>
    <cellStyle name="40% - Accent5 9 4 6" xfId="10807" xr:uid="{00000000-0005-0000-0000-00003A4D0000}"/>
    <cellStyle name="40% - Accent5 9 4 6 2" xfId="34656" xr:uid="{848C6713-BAAE-45CA-994A-45F3E7D29DFC}"/>
    <cellStyle name="40% - Accent5 9 4 7" xfId="18762" xr:uid="{00000000-0005-0000-0000-00003B4D0000}"/>
    <cellStyle name="40% - Accent5 9 4 7 2" xfId="42594" xr:uid="{B5670182-CA85-4E99-9F15-06A1918D03E7}"/>
    <cellStyle name="40% - Accent5 9 4 8" xfId="26714" xr:uid="{958E50B5-1CE6-45D1-B699-23E2B066CCEB}"/>
    <cellStyle name="40% - Accent5 9 4_Exh G" xfId="3295" xr:uid="{00000000-0005-0000-0000-00003C4D0000}"/>
    <cellStyle name="40% - Accent5 9 5" xfId="1605" xr:uid="{00000000-0005-0000-0000-00003D4D0000}"/>
    <cellStyle name="40% - Accent5 9 5 2" xfId="5132" xr:uid="{00000000-0005-0000-0000-00003E4D0000}"/>
    <cellStyle name="40% - Accent5 9 5 2 2" xfId="8723" xr:uid="{00000000-0005-0000-0000-00003F4D0000}"/>
    <cellStyle name="40% - Accent5 9 5 2 2 2" xfId="16693" xr:uid="{00000000-0005-0000-0000-0000404D0000}"/>
    <cellStyle name="40% - Accent5 9 5 2 2 2 2" xfId="40535" xr:uid="{BB2112EA-8A8C-428D-B465-B3C56A2EE0A4}"/>
    <cellStyle name="40% - Accent5 9 5 2 2 3" xfId="24639" xr:uid="{00000000-0005-0000-0000-0000414D0000}"/>
    <cellStyle name="40% - Accent5 9 5 2 2 3 2" xfId="48471" xr:uid="{3897833D-B32D-401E-8923-806180EE426E}"/>
    <cellStyle name="40% - Accent5 9 5 2 2 4" xfId="32594" xr:uid="{2D9A225B-499D-4BD5-8D5F-FAC0D49F2E9E}"/>
    <cellStyle name="40% - Accent5 9 5 2 3" xfId="13155" xr:uid="{00000000-0005-0000-0000-0000424D0000}"/>
    <cellStyle name="40% - Accent5 9 5 2 3 2" xfId="37004" xr:uid="{EC58B889-F670-4787-889E-5AE45F815E35}"/>
    <cellStyle name="40% - Accent5 9 5 2 4" xfId="21110" xr:uid="{00000000-0005-0000-0000-0000434D0000}"/>
    <cellStyle name="40% - Accent5 9 5 2 4 2" xfId="44942" xr:uid="{8A61B736-453C-4A59-A5DB-1F9FE618E79A}"/>
    <cellStyle name="40% - Accent5 9 5 2 5" xfId="29063" xr:uid="{EE1BF42E-5581-4303-B42D-2FAD8CF44CCF}"/>
    <cellStyle name="40% - Accent5 9 5 3" xfId="6964" xr:uid="{00000000-0005-0000-0000-0000444D0000}"/>
    <cellStyle name="40% - Accent5 9 5 3 2" xfId="14935" xr:uid="{00000000-0005-0000-0000-0000454D0000}"/>
    <cellStyle name="40% - Accent5 9 5 3 2 2" xfId="38777" xr:uid="{5C03B44A-9E68-4982-944A-33BE587C12DD}"/>
    <cellStyle name="40% - Accent5 9 5 3 3" xfId="22882" xr:uid="{00000000-0005-0000-0000-0000464D0000}"/>
    <cellStyle name="40% - Accent5 9 5 3 3 2" xfId="46714" xr:uid="{ABED6D17-C427-4A82-AF60-639D6FDF0306}"/>
    <cellStyle name="40% - Accent5 9 5 3 4" xfId="30836" xr:uid="{28AAEE3D-26B4-41C4-9081-9C57D47B7540}"/>
    <cellStyle name="40% - Accent5 9 5 4" xfId="11399" xr:uid="{00000000-0005-0000-0000-0000474D0000}"/>
    <cellStyle name="40% - Accent5 9 5 4 2" xfId="35248" xr:uid="{B343A9B8-F9E3-4B8C-9C04-F869A5A9154B}"/>
    <cellStyle name="40% - Accent5 9 5 5" xfId="19354" xr:uid="{00000000-0005-0000-0000-0000484D0000}"/>
    <cellStyle name="40% - Accent5 9 5 5 2" xfId="43186" xr:uid="{FA6E44A8-B7A8-4555-8845-08AC0EF139C8}"/>
    <cellStyle name="40% - Accent5 9 5 6" xfId="27306" xr:uid="{794945D2-872E-4D32-A346-167C89113F9B}"/>
    <cellStyle name="40% - Accent5 9 5_Exh G" xfId="3297" xr:uid="{00000000-0005-0000-0000-0000494D0000}"/>
    <cellStyle name="40% - Accent5 9 6" xfId="4253" xr:uid="{00000000-0005-0000-0000-00004A4D0000}"/>
    <cellStyle name="40% - Accent5 9 6 2" xfId="7845" xr:uid="{00000000-0005-0000-0000-00004B4D0000}"/>
    <cellStyle name="40% - Accent5 9 6 2 2" xfId="15815" xr:uid="{00000000-0005-0000-0000-00004C4D0000}"/>
    <cellStyle name="40% - Accent5 9 6 2 2 2" xfId="39657" xr:uid="{B61D4CB4-2F43-4A95-9D07-B724917A5675}"/>
    <cellStyle name="40% - Accent5 9 6 2 3" xfId="23761" xr:uid="{00000000-0005-0000-0000-00004D4D0000}"/>
    <cellStyle name="40% - Accent5 9 6 2 3 2" xfId="47593" xr:uid="{7D825926-2A66-485B-9E62-E3EA54756530}"/>
    <cellStyle name="40% - Accent5 9 6 2 4" xfId="31716" xr:uid="{B43CE5BD-F8B5-48FD-9FAE-6D06E13EBB19}"/>
    <cellStyle name="40% - Accent5 9 6 3" xfId="12277" xr:uid="{00000000-0005-0000-0000-00004E4D0000}"/>
    <cellStyle name="40% - Accent5 9 6 3 2" xfId="36126" xr:uid="{794B724D-22D2-47FC-8729-8FE304F36DEC}"/>
    <cellStyle name="40% - Accent5 9 6 4" xfId="20232" xr:uid="{00000000-0005-0000-0000-00004F4D0000}"/>
    <cellStyle name="40% - Accent5 9 6 4 2" xfId="44064" xr:uid="{83D654D6-B8AC-4159-9BE0-451CD3BB6414}"/>
    <cellStyle name="40% - Accent5 9 6 5" xfId="28185" xr:uid="{E1947BA1-FFB4-4056-9B79-237B12F163F5}"/>
    <cellStyle name="40% - Accent5 9 7" xfId="6073" xr:uid="{00000000-0005-0000-0000-0000504D0000}"/>
    <cellStyle name="40% - Accent5 9 7 2" xfId="14056" xr:uid="{00000000-0005-0000-0000-0000514D0000}"/>
    <cellStyle name="40% - Accent5 9 7 2 2" xfId="37899" xr:uid="{2E0E5D5B-395B-42C6-9016-333A3277FE4C}"/>
    <cellStyle name="40% - Accent5 9 7 3" xfId="22004" xr:uid="{00000000-0005-0000-0000-0000524D0000}"/>
    <cellStyle name="40% - Accent5 9 7 3 2" xfId="45836" xr:uid="{293074ED-145E-462F-84B6-FA175E474ED1}"/>
    <cellStyle name="40% - Accent5 9 7 4" xfId="29958" xr:uid="{16CB0D22-3F2D-4885-BCB1-7C636FD705F3}"/>
    <cellStyle name="40% - Accent5 9 8" xfId="9625" xr:uid="{00000000-0005-0000-0000-0000534D0000}"/>
    <cellStyle name="40% - Accent5 9 8 2" xfId="17583" xr:uid="{00000000-0005-0000-0000-0000544D0000}"/>
    <cellStyle name="40% - Accent5 9 8 2 2" xfId="41423" xr:uid="{5BA5669E-B7B0-4920-92AC-4ED23EC7D09A}"/>
    <cellStyle name="40% - Accent5 9 8 3" xfId="25527" xr:uid="{00000000-0005-0000-0000-0000554D0000}"/>
    <cellStyle name="40% - Accent5 9 8 3 2" xfId="49359" xr:uid="{C71646DE-88E0-43F8-9171-7845A2DDEBA6}"/>
    <cellStyle name="40% - Accent5 9 8 4" xfId="33482" xr:uid="{14211868-2712-4914-AA68-26169FAE3224}"/>
    <cellStyle name="40% - Accent5 9 9" xfId="10521" xr:uid="{00000000-0005-0000-0000-0000564D0000}"/>
    <cellStyle name="40% - Accent5 9 9 2" xfId="34370" xr:uid="{99A2D7A7-5B17-4E9C-AB6E-A2DAAD4D65ED}"/>
    <cellStyle name="40% - Accent5 9_Exh G" xfId="3288" xr:uid="{00000000-0005-0000-0000-0000574D0000}"/>
    <cellStyle name="40% - Accent6" xfId="49696" builtinId="51" customBuiltin="1"/>
    <cellStyle name="40% - Accent6 10" xfId="583" xr:uid="{00000000-0005-0000-0000-0000584D0000}"/>
    <cellStyle name="40% - Accent6 10 10" xfId="18480" xr:uid="{00000000-0005-0000-0000-0000594D0000}"/>
    <cellStyle name="40% - Accent6 10 10 2" xfId="42312" xr:uid="{711E9522-E500-4D4B-8799-42EEA5F9F38D}"/>
    <cellStyle name="40% - Accent6 10 11" xfId="26432" xr:uid="{859CCBE5-55CF-4AFE-AF47-CF27AEBDF0F2}"/>
    <cellStyle name="40% - Accent6 10 2" xfId="584" xr:uid="{00000000-0005-0000-0000-00005A4D0000}"/>
    <cellStyle name="40% - Accent6 10 2 2" xfId="585" xr:uid="{00000000-0005-0000-0000-00005B4D0000}"/>
    <cellStyle name="40% - Accent6 10 2 2 2" xfId="1611" xr:uid="{00000000-0005-0000-0000-00005C4D0000}"/>
    <cellStyle name="40% - Accent6 10 2 2 2 2" xfId="5138" xr:uid="{00000000-0005-0000-0000-00005D4D0000}"/>
    <cellStyle name="40% - Accent6 10 2 2 2 2 2" xfId="8729" xr:uid="{00000000-0005-0000-0000-00005E4D0000}"/>
    <cellStyle name="40% - Accent6 10 2 2 2 2 2 2" xfId="16699" xr:uid="{00000000-0005-0000-0000-00005F4D0000}"/>
    <cellStyle name="40% - Accent6 10 2 2 2 2 2 2 2" xfId="40541" xr:uid="{704BCE6D-5196-4B89-991F-B00A7F7C24D2}"/>
    <cellStyle name="40% - Accent6 10 2 2 2 2 2 3" xfId="24645" xr:uid="{00000000-0005-0000-0000-0000604D0000}"/>
    <cellStyle name="40% - Accent6 10 2 2 2 2 2 3 2" xfId="48477" xr:uid="{1DE7F05C-3166-46C5-8157-CE4FFD8E18B8}"/>
    <cellStyle name="40% - Accent6 10 2 2 2 2 2 4" xfId="32600" xr:uid="{48A17AB4-DB52-4CEA-8A9F-8941E4BB10A7}"/>
    <cellStyle name="40% - Accent6 10 2 2 2 2 3" xfId="13161" xr:uid="{00000000-0005-0000-0000-0000614D0000}"/>
    <cellStyle name="40% - Accent6 10 2 2 2 2 3 2" xfId="37010" xr:uid="{65944BD8-60DF-451F-8F57-EED20C194AA6}"/>
    <cellStyle name="40% - Accent6 10 2 2 2 2 4" xfId="21116" xr:uid="{00000000-0005-0000-0000-0000624D0000}"/>
    <cellStyle name="40% - Accent6 10 2 2 2 2 4 2" xfId="44948" xr:uid="{D49A86DD-3C2E-49E8-9E8D-D0DA872B4A97}"/>
    <cellStyle name="40% - Accent6 10 2 2 2 2 5" xfId="29069" xr:uid="{2C6AA7C2-77F9-4798-831A-31767D06FFD3}"/>
    <cellStyle name="40% - Accent6 10 2 2 2 3" xfId="6970" xr:uid="{00000000-0005-0000-0000-0000634D0000}"/>
    <cellStyle name="40% - Accent6 10 2 2 2 3 2" xfId="14941" xr:uid="{00000000-0005-0000-0000-0000644D0000}"/>
    <cellStyle name="40% - Accent6 10 2 2 2 3 2 2" xfId="38783" xr:uid="{19B5A5B6-BA32-46B5-A490-BCF782488790}"/>
    <cellStyle name="40% - Accent6 10 2 2 2 3 3" xfId="22888" xr:uid="{00000000-0005-0000-0000-0000654D0000}"/>
    <cellStyle name="40% - Accent6 10 2 2 2 3 3 2" xfId="46720" xr:uid="{835DC7D9-D15A-4A8B-A0D1-E075649C9079}"/>
    <cellStyle name="40% - Accent6 10 2 2 2 3 4" xfId="30842" xr:uid="{99D5B102-6794-43C3-BB1C-744014A4F179}"/>
    <cellStyle name="40% - Accent6 10 2 2 2 4" xfId="11405" xr:uid="{00000000-0005-0000-0000-0000664D0000}"/>
    <cellStyle name="40% - Accent6 10 2 2 2 4 2" xfId="35254" xr:uid="{6EBDF403-3BD6-46B2-97B1-A0745514513F}"/>
    <cellStyle name="40% - Accent6 10 2 2 2 5" xfId="19360" xr:uid="{00000000-0005-0000-0000-0000674D0000}"/>
    <cellStyle name="40% - Accent6 10 2 2 2 5 2" xfId="43192" xr:uid="{D1021EA1-7C0E-45FD-9A8A-15217D24B809}"/>
    <cellStyle name="40% - Accent6 10 2 2 2 6" xfId="27312" xr:uid="{6CFF244C-7019-4201-B0FC-D00F76459C1D}"/>
    <cellStyle name="40% - Accent6 10 2 2 2_Exh G" xfId="3301" xr:uid="{00000000-0005-0000-0000-0000684D0000}"/>
    <cellStyle name="40% - Accent6 10 2 2 3" xfId="4259" xr:uid="{00000000-0005-0000-0000-0000694D0000}"/>
    <cellStyle name="40% - Accent6 10 2 2 3 2" xfId="7851" xr:uid="{00000000-0005-0000-0000-00006A4D0000}"/>
    <cellStyle name="40% - Accent6 10 2 2 3 2 2" xfId="15821" xr:uid="{00000000-0005-0000-0000-00006B4D0000}"/>
    <cellStyle name="40% - Accent6 10 2 2 3 2 2 2" xfId="39663" xr:uid="{7C0CAD97-8E2A-4E4C-9B7F-0C944669F9DD}"/>
    <cellStyle name="40% - Accent6 10 2 2 3 2 3" xfId="23767" xr:uid="{00000000-0005-0000-0000-00006C4D0000}"/>
    <cellStyle name="40% - Accent6 10 2 2 3 2 3 2" xfId="47599" xr:uid="{ECD7772C-8F2E-4315-BD96-293398818724}"/>
    <cellStyle name="40% - Accent6 10 2 2 3 2 4" xfId="31722" xr:uid="{A1B9EA16-6578-4ADF-A63C-771EEAF57D36}"/>
    <cellStyle name="40% - Accent6 10 2 2 3 3" xfId="12283" xr:uid="{00000000-0005-0000-0000-00006D4D0000}"/>
    <cellStyle name="40% - Accent6 10 2 2 3 3 2" xfId="36132" xr:uid="{A2BC2E53-94A2-4E5A-B266-5DA7B4A44BBD}"/>
    <cellStyle name="40% - Accent6 10 2 2 3 4" xfId="20238" xr:uid="{00000000-0005-0000-0000-00006E4D0000}"/>
    <cellStyle name="40% - Accent6 10 2 2 3 4 2" xfId="44070" xr:uid="{5EC8C6DD-A8AF-49FC-A71A-A27185A4847B}"/>
    <cellStyle name="40% - Accent6 10 2 2 3 5" xfId="28191" xr:uid="{65969554-1CBE-4AE0-A25A-788249BEA433}"/>
    <cellStyle name="40% - Accent6 10 2 2 4" xfId="6079" xr:uid="{00000000-0005-0000-0000-00006F4D0000}"/>
    <cellStyle name="40% - Accent6 10 2 2 4 2" xfId="14062" xr:uid="{00000000-0005-0000-0000-0000704D0000}"/>
    <cellStyle name="40% - Accent6 10 2 2 4 2 2" xfId="37905" xr:uid="{66FDBCB9-7529-4C4C-A2B8-3B3D66254021}"/>
    <cellStyle name="40% - Accent6 10 2 2 4 3" xfId="22010" xr:uid="{00000000-0005-0000-0000-0000714D0000}"/>
    <cellStyle name="40% - Accent6 10 2 2 4 3 2" xfId="45842" xr:uid="{0636D5B3-FDDB-419C-A3F3-CD5654EC1226}"/>
    <cellStyle name="40% - Accent6 10 2 2 4 4" xfId="29964" xr:uid="{893E5BC9-C782-42FE-B563-FFB69EB49FF2}"/>
    <cellStyle name="40% - Accent6 10 2 2 5" xfId="9631" xr:uid="{00000000-0005-0000-0000-0000724D0000}"/>
    <cellStyle name="40% - Accent6 10 2 2 5 2" xfId="17589" xr:uid="{00000000-0005-0000-0000-0000734D0000}"/>
    <cellStyle name="40% - Accent6 10 2 2 5 2 2" xfId="41429" xr:uid="{13FA3367-E009-4D08-B852-BDD18FEE8132}"/>
    <cellStyle name="40% - Accent6 10 2 2 5 3" xfId="25533" xr:uid="{00000000-0005-0000-0000-0000744D0000}"/>
    <cellStyle name="40% - Accent6 10 2 2 5 3 2" xfId="49365" xr:uid="{1FF19894-8FE3-4A6D-BAA5-4E455D76A9EA}"/>
    <cellStyle name="40% - Accent6 10 2 2 5 4" xfId="33488" xr:uid="{0A9E1CA7-DBF5-412E-B4CF-86343A5E42E2}"/>
    <cellStyle name="40% - Accent6 10 2 2 6" xfId="10527" xr:uid="{00000000-0005-0000-0000-0000754D0000}"/>
    <cellStyle name="40% - Accent6 10 2 2 6 2" xfId="34376" xr:uid="{B7827EAF-2855-4C43-9284-3DE01C637A88}"/>
    <cellStyle name="40% - Accent6 10 2 2 7" xfId="18482" xr:uid="{00000000-0005-0000-0000-0000764D0000}"/>
    <cellStyle name="40% - Accent6 10 2 2 7 2" xfId="42314" xr:uid="{FDA4659F-BDFC-4E33-A9B8-69A6B0B0F43E}"/>
    <cellStyle name="40% - Accent6 10 2 2 8" xfId="26434" xr:uid="{79D38505-941C-4188-AC0B-B38C32FB9245}"/>
    <cellStyle name="40% - Accent6 10 2 2_Exh G" xfId="3300" xr:uid="{00000000-0005-0000-0000-0000774D0000}"/>
    <cellStyle name="40% - Accent6 10 2 3" xfId="1610" xr:uid="{00000000-0005-0000-0000-0000784D0000}"/>
    <cellStyle name="40% - Accent6 10 2 3 2" xfId="5137" xr:uid="{00000000-0005-0000-0000-0000794D0000}"/>
    <cellStyle name="40% - Accent6 10 2 3 2 2" xfId="8728" xr:uid="{00000000-0005-0000-0000-00007A4D0000}"/>
    <cellStyle name="40% - Accent6 10 2 3 2 2 2" xfId="16698" xr:uid="{00000000-0005-0000-0000-00007B4D0000}"/>
    <cellStyle name="40% - Accent6 10 2 3 2 2 2 2" xfId="40540" xr:uid="{1EBA7996-7126-4F74-98DF-E4030034B882}"/>
    <cellStyle name="40% - Accent6 10 2 3 2 2 3" xfId="24644" xr:uid="{00000000-0005-0000-0000-00007C4D0000}"/>
    <cellStyle name="40% - Accent6 10 2 3 2 2 3 2" xfId="48476" xr:uid="{23A8F3FB-E3AD-40C4-83CC-5394C155138A}"/>
    <cellStyle name="40% - Accent6 10 2 3 2 2 4" xfId="32599" xr:uid="{1CE8BD68-533C-405A-A1A7-17ECF5083550}"/>
    <cellStyle name="40% - Accent6 10 2 3 2 3" xfId="13160" xr:uid="{00000000-0005-0000-0000-00007D4D0000}"/>
    <cellStyle name="40% - Accent6 10 2 3 2 3 2" xfId="37009" xr:uid="{1A302752-3769-4DBA-AE09-56C968ECD897}"/>
    <cellStyle name="40% - Accent6 10 2 3 2 4" xfId="21115" xr:uid="{00000000-0005-0000-0000-00007E4D0000}"/>
    <cellStyle name="40% - Accent6 10 2 3 2 4 2" xfId="44947" xr:uid="{07587F63-96F3-447B-B768-A71D2B85F6FF}"/>
    <cellStyle name="40% - Accent6 10 2 3 2 5" xfId="29068" xr:uid="{59B8AA5E-F043-46EC-81DE-7AE19C579519}"/>
    <cellStyle name="40% - Accent6 10 2 3 3" xfId="6969" xr:uid="{00000000-0005-0000-0000-00007F4D0000}"/>
    <cellStyle name="40% - Accent6 10 2 3 3 2" xfId="14940" xr:uid="{00000000-0005-0000-0000-0000804D0000}"/>
    <cellStyle name="40% - Accent6 10 2 3 3 2 2" xfId="38782" xr:uid="{671AA9B3-7F30-41E1-B798-BA3E016CC789}"/>
    <cellStyle name="40% - Accent6 10 2 3 3 3" xfId="22887" xr:uid="{00000000-0005-0000-0000-0000814D0000}"/>
    <cellStyle name="40% - Accent6 10 2 3 3 3 2" xfId="46719" xr:uid="{7558957D-817E-4237-8FC2-2E9025F597ED}"/>
    <cellStyle name="40% - Accent6 10 2 3 3 4" xfId="30841" xr:uid="{BD7A4D71-933F-43ED-8157-E1B95940BB8F}"/>
    <cellStyle name="40% - Accent6 10 2 3 4" xfId="11404" xr:uid="{00000000-0005-0000-0000-0000824D0000}"/>
    <cellStyle name="40% - Accent6 10 2 3 4 2" xfId="35253" xr:uid="{D66C6FE3-66EA-4C2F-9E87-B268D810F36B}"/>
    <cellStyle name="40% - Accent6 10 2 3 5" xfId="19359" xr:uid="{00000000-0005-0000-0000-0000834D0000}"/>
    <cellStyle name="40% - Accent6 10 2 3 5 2" xfId="43191" xr:uid="{C2F774FF-0CD6-464F-825F-E56D54E04159}"/>
    <cellStyle name="40% - Accent6 10 2 3 6" xfId="27311" xr:uid="{AD46EBAD-96C3-401B-BE6D-07E2D28ACB16}"/>
    <cellStyle name="40% - Accent6 10 2 3_Exh G" xfId="3302" xr:uid="{00000000-0005-0000-0000-0000844D0000}"/>
    <cellStyle name="40% - Accent6 10 2 4" xfId="4258" xr:uid="{00000000-0005-0000-0000-0000854D0000}"/>
    <cellStyle name="40% - Accent6 10 2 4 2" xfId="7850" xr:uid="{00000000-0005-0000-0000-0000864D0000}"/>
    <cellStyle name="40% - Accent6 10 2 4 2 2" xfId="15820" xr:uid="{00000000-0005-0000-0000-0000874D0000}"/>
    <cellStyle name="40% - Accent6 10 2 4 2 2 2" xfId="39662" xr:uid="{0A1FC345-8295-43EF-B89C-11374E2164F7}"/>
    <cellStyle name="40% - Accent6 10 2 4 2 3" xfId="23766" xr:uid="{00000000-0005-0000-0000-0000884D0000}"/>
    <cellStyle name="40% - Accent6 10 2 4 2 3 2" xfId="47598" xr:uid="{5363513F-8EF7-4EE2-9932-D4301C8D6948}"/>
    <cellStyle name="40% - Accent6 10 2 4 2 4" xfId="31721" xr:uid="{F474397D-118C-4B2A-9A92-FB8ED229FFDF}"/>
    <cellStyle name="40% - Accent6 10 2 4 3" xfId="12282" xr:uid="{00000000-0005-0000-0000-0000894D0000}"/>
    <cellStyle name="40% - Accent6 10 2 4 3 2" xfId="36131" xr:uid="{9B22239E-AAB8-4716-AC3C-B5CF83EBFF22}"/>
    <cellStyle name="40% - Accent6 10 2 4 4" xfId="20237" xr:uid="{00000000-0005-0000-0000-00008A4D0000}"/>
    <cellStyle name="40% - Accent6 10 2 4 4 2" xfId="44069" xr:uid="{C2AD7C6D-4930-4071-93CE-35216B7CA815}"/>
    <cellStyle name="40% - Accent6 10 2 4 5" xfId="28190" xr:uid="{C12D5C4D-91B9-4D71-BFBE-11EE47E5B023}"/>
    <cellStyle name="40% - Accent6 10 2 5" xfId="6078" xr:uid="{00000000-0005-0000-0000-00008B4D0000}"/>
    <cellStyle name="40% - Accent6 10 2 5 2" xfId="14061" xr:uid="{00000000-0005-0000-0000-00008C4D0000}"/>
    <cellStyle name="40% - Accent6 10 2 5 2 2" xfId="37904" xr:uid="{A2321A46-1BC5-471F-BBED-A61C900EA991}"/>
    <cellStyle name="40% - Accent6 10 2 5 3" xfId="22009" xr:uid="{00000000-0005-0000-0000-00008D4D0000}"/>
    <cellStyle name="40% - Accent6 10 2 5 3 2" xfId="45841" xr:uid="{2A6A6599-7646-4CE6-8451-FD518BC7A9D2}"/>
    <cellStyle name="40% - Accent6 10 2 5 4" xfId="29963" xr:uid="{D1617804-4D02-4BD1-9AED-037E9B3622A8}"/>
    <cellStyle name="40% - Accent6 10 2 6" xfId="9630" xr:uid="{00000000-0005-0000-0000-00008E4D0000}"/>
    <cellStyle name="40% - Accent6 10 2 6 2" xfId="17588" xr:uid="{00000000-0005-0000-0000-00008F4D0000}"/>
    <cellStyle name="40% - Accent6 10 2 6 2 2" xfId="41428" xr:uid="{100398E3-1937-446C-8D80-8AE0DB196FB0}"/>
    <cellStyle name="40% - Accent6 10 2 6 3" xfId="25532" xr:uid="{00000000-0005-0000-0000-0000904D0000}"/>
    <cellStyle name="40% - Accent6 10 2 6 3 2" xfId="49364" xr:uid="{15D52DE6-4FD6-4DA7-82E4-E415D8017D6B}"/>
    <cellStyle name="40% - Accent6 10 2 6 4" xfId="33487" xr:uid="{286811BA-E7BB-497E-8F99-2F2EA680375F}"/>
    <cellStyle name="40% - Accent6 10 2 7" xfId="10526" xr:uid="{00000000-0005-0000-0000-0000914D0000}"/>
    <cellStyle name="40% - Accent6 10 2 7 2" xfId="34375" xr:uid="{80B2DA4D-E252-495D-B1C1-7AA8579A900A}"/>
    <cellStyle name="40% - Accent6 10 2 8" xfId="18481" xr:uid="{00000000-0005-0000-0000-0000924D0000}"/>
    <cellStyle name="40% - Accent6 10 2 8 2" xfId="42313" xr:uid="{08808FF0-705B-42F6-9384-01F0F6D78804}"/>
    <cellStyle name="40% - Accent6 10 2 9" xfId="26433" xr:uid="{936C8368-07B9-404D-9BF9-6BB6DA67A78E}"/>
    <cellStyle name="40% - Accent6 10 2_Exh G" xfId="3299" xr:uid="{00000000-0005-0000-0000-0000934D0000}"/>
    <cellStyle name="40% - Accent6 10 3" xfId="586" xr:uid="{00000000-0005-0000-0000-0000944D0000}"/>
    <cellStyle name="40% - Accent6 10 3 2" xfId="1612" xr:uid="{00000000-0005-0000-0000-0000954D0000}"/>
    <cellStyle name="40% - Accent6 10 3 2 2" xfId="5139" xr:uid="{00000000-0005-0000-0000-0000964D0000}"/>
    <cellStyle name="40% - Accent6 10 3 2 2 2" xfId="8730" xr:uid="{00000000-0005-0000-0000-0000974D0000}"/>
    <cellStyle name="40% - Accent6 10 3 2 2 2 2" xfId="16700" xr:uid="{00000000-0005-0000-0000-0000984D0000}"/>
    <cellStyle name="40% - Accent6 10 3 2 2 2 2 2" xfId="40542" xr:uid="{56F0456A-DA32-4CA2-81FB-38A5A35A4DF1}"/>
    <cellStyle name="40% - Accent6 10 3 2 2 2 3" xfId="24646" xr:uid="{00000000-0005-0000-0000-0000994D0000}"/>
    <cellStyle name="40% - Accent6 10 3 2 2 2 3 2" xfId="48478" xr:uid="{44F7D573-0984-4EB8-BE14-2D6B00D94E93}"/>
    <cellStyle name="40% - Accent6 10 3 2 2 2 4" xfId="32601" xr:uid="{3514905D-A50D-453F-A80B-330C10D596C2}"/>
    <cellStyle name="40% - Accent6 10 3 2 2 3" xfId="13162" xr:uid="{00000000-0005-0000-0000-00009A4D0000}"/>
    <cellStyle name="40% - Accent6 10 3 2 2 3 2" xfId="37011" xr:uid="{24455027-61FC-4041-9A84-0EBCB64E0B33}"/>
    <cellStyle name="40% - Accent6 10 3 2 2 4" xfId="21117" xr:uid="{00000000-0005-0000-0000-00009B4D0000}"/>
    <cellStyle name="40% - Accent6 10 3 2 2 4 2" xfId="44949" xr:uid="{D85F6D1D-898B-434B-8045-86DC5416E092}"/>
    <cellStyle name="40% - Accent6 10 3 2 2 5" xfId="29070" xr:uid="{47C349ED-4877-4B56-B2DE-95616B0BEFCB}"/>
    <cellStyle name="40% - Accent6 10 3 2 3" xfId="6971" xr:uid="{00000000-0005-0000-0000-00009C4D0000}"/>
    <cellStyle name="40% - Accent6 10 3 2 3 2" xfId="14942" xr:uid="{00000000-0005-0000-0000-00009D4D0000}"/>
    <cellStyle name="40% - Accent6 10 3 2 3 2 2" xfId="38784" xr:uid="{D16C46C1-B904-41BD-A8E8-E32B3E62F336}"/>
    <cellStyle name="40% - Accent6 10 3 2 3 3" xfId="22889" xr:uid="{00000000-0005-0000-0000-00009E4D0000}"/>
    <cellStyle name="40% - Accent6 10 3 2 3 3 2" xfId="46721" xr:uid="{4222BDE3-02C7-48DA-B72F-628AD99AE6BE}"/>
    <cellStyle name="40% - Accent6 10 3 2 3 4" xfId="30843" xr:uid="{2A75152B-827F-4796-A721-1CC843374AFA}"/>
    <cellStyle name="40% - Accent6 10 3 2 4" xfId="11406" xr:uid="{00000000-0005-0000-0000-00009F4D0000}"/>
    <cellStyle name="40% - Accent6 10 3 2 4 2" xfId="35255" xr:uid="{0D505FC1-B726-4EBA-B61C-8008006D96CE}"/>
    <cellStyle name="40% - Accent6 10 3 2 5" xfId="19361" xr:uid="{00000000-0005-0000-0000-0000A04D0000}"/>
    <cellStyle name="40% - Accent6 10 3 2 5 2" xfId="43193" xr:uid="{90DDA907-7005-4396-98A4-2A404FD4F99A}"/>
    <cellStyle name="40% - Accent6 10 3 2 6" xfId="27313" xr:uid="{1FF29AD1-8486-4099-955D-465157D0CF7C}"/>
    <cellStyle name="40% - Accent6 10 3 2_Exh G" xfId="3304" xr:uid="{00000000-0005-0000-0000-0000A14D0000}"/>
    <cellStyle name="40% - Accent6 10 3 3" xfId="4260" xr:uid="{00000000-0005-0000-0000-0000A24D0000}"/>
    <cellStyle name="40% - Accent6 10 3 3 2" xfId="7852" xr:uid="{00000000-0005-0000-0000-0000A34D0000}"/>
    <cellStyle name="40% - Accent6 10 3 3 2 2" xfId="15822" xr:uid="{00000000-0005-0000-0000-0000A44D0000}"/>
    <cellStyle name="40% - Accent6 10 3 3 2 2 2" xfId="39664" xr:uid="{5E5A45B3-F9F9-4C5D-A49C-DC7E16E063DA}"/>
    <cellStyle name="40% - Accent6 10 3 3 2 3" xfId="23768" xr:uid="{00000000-0005-0000-0000-0000A54D0000}"/>
    <cellStyle name="40% - Accent6 10 3 3 2 3 2" xfId="47600" xr:uid="{F123159D-2115-41AC-8353-DF02EEFCE9F5}"/>
    <cellStyle name="40% - Accent6 10 3 3 2 4" xfId="31723" xr:uid="{839762B2-8BFC-47BC-8622-D4A86BD56613}"/>
    <cellStyle name="40% - Accent6 10 3 3 3" xfId="12284" xr:uid="{00000000-0005-0000-0000-0000A64D0000}"/>
    <cellStyle name="40% - Accent6 10 3 3 3 2" xfId="36133" xr:uid="{0F91BC2E-D1B3-43C2-B87B-F4C18BCC20F3}"/>
    <cellStyle name="40% - Accent6 10 3 3 4" xfId="20239" xr:uid="{00000000-0005-0000-0000-0000A74D0000}"/>
    <cellStyle name="40% - Accent6 10 3 3 4 2" xfId="44071" xr:uid="{4863DFD4-143D-4B93-BFFC-08DABD5FBB72}"/>
    <cellStyle name="40% - Accent6 10 3 3 5" xfId="28192" xr:uid="{0CA154AC-A69B-440E-815F-076D08DB67D7}"/>
    <cellStyle name="40% - Accent6 10 3 4" xfId="6080" xr:uid="{00000000-0005-0000-0000-0000A84D0000}"/>
    <cellStyle name="40% - Accent6 10 3 4 2" xfId="14063" xr:uid="{00000000-0005-0000-0000-0000A94D0000}"/>
    <cellStyle name="40% - Accent6 10 3 4 2 2" xfId="37906" xr:uid="{F8237FBF-CB5A-4BD6-BCF1-1DFB205C5ED2}"/>
    <cellStyle name="40% - Accent6 10 3 4 3" xfId="22011" xr:uid="{00000000-0005-0000-0000-0000AA4D0000}"/>
    <cellStyle name="40% - Accent6 10 3 4 3 2" xfId="45843" xr:uid="{8E6E31C0-2359-445C-88FB-A2FA60DD9CF9}"/>
    <cellStyle name="40% - Accent6 10 3 4 4" xfId="29965" xr:uid="{635C1856-778B-45E3-994F-FDD1573B989B}"/>
    <cellStyle name="40% - Accent6 10 3 5" xfId="9632" xr:uid="{00000000-0005-0000-0000-0000AB4D0000}"/>
    <cellStyle name="40% - Accent6 10 3 5 2" xfId="17590" xr:uid="{00000000-0005-0000-0000-0000AC4D0000}"/>
    <cellStyle name="40% - Accent6 10 3 5 2 2" xfId="41430" xr:uid="{576FE573-2CF6-41E2-BFF8-745FBA9E371D}"/>
    <cellStyle name="40% - Accent6 10 3 5 3" xfId="25534" xr:uid="{00000000-0005-0000-0000-0000AD4D0000}"/>
    <cellStyle name="40% - Accent6 10 3 5 3 2" xfId="49366" xr:uid="{6FE0173D-6BD9-40C1-A20A-0FA6CC8494FB}"/>
    <cellStyle name="40% - Accent6 10 3 5 4" xfId="33489" xr:uid="{723F72D0-4E47-4520-85E1-04E5C92E3CCE}"/>
    <cellStyle name="40% - Accent6 10 3 6" xfId="10528" xr:uid="{00000000-0005-0000-0000-0000AE4D0000}"/>
    <cellStyle name="40% - Accent6 10 3 6 2" xfId="34377" xr:uid="{EE71F9A6-5CDB-44FE-84CD-B5A7059BF091}"/>
    <cellStyle name="40% - Accent6 10 3 7" xfId="18483" xr:uid="{00000000-0005-0000-0000-0000AF4D0000}"/>
    <cellStyle name="40% - Accent6 10 3 7 2" xfId="42315" xr:uid="{97D7E2B1-2FAF-40AC-A8C2-96A3E7D45AEF}"/>
    <cellStyle name="40% - Accent6 10 3 8" xfId="26435" xr:uid="{31C001CC-0454-42EF-9207-F22BBF81813A}"/>
    <cellStyle name="40% - Accent6 10 3_Exh G" xfId="3303" xr:uid="{00000000-0005-0000-0000-0000B04D0000}"/>
    <cellStyle name="40% - Accent6 10 4" xfId="991" xr:uid="{00000000-0005-0000-0000-0000B14D0000}"/>
    <cellStyle name="40% - Accent6 10 5" xfId="1609" xr:uid="{00000000-0005-0000-0000-0000B24D0000}"/>
    <cellStyle name="40% - Accent6 10 5 2" xfId="5136" xr:uid="{00000000-0005-0000-0000-0000B34D0000}"/>
    <cellStyle name="40% - Accent6 10 5 2 2" xfId="8727" xr:uid="{00000000-0005-0000-0000-0000B44D0000}"/>
    <cellStyle name="40% - Accent6 10 5 2 2 2" xfId="16697" xr:uid="{00000000-0005-0000-0000-0000B54D0000}"/>
    <cellStyle name="40% - Accent6 10 5 2 2 2 2" xfId="40539" xr:uid="{12CBA9D7-6E4D-4806-A003-72AFA6F69C9B}"/>
    <cellStyle name="40% - Accent6 10 5 2 2 3" xfId="24643" xr:uid="{00000000-0005-0000-0000-0000B64D0000}"/>
    <cellStyle name="40% - Accent6 10 5 2 2 3 2" xfId="48475" xr:uid="{55C5F541-57CB-48CD-A950-6BAFA6553884}"/>
    <cellStyle name="40% - Accent6 10 5 2 2 4" xfId="32598" xr:uid="{B64685CF-4723-4A93-BE0F-75F60D14A1D8}"/>
    <cellStyle name="40% - Accent6 10 5 2 3" xfId="13159" xr:uid="{00000000-0005-0000-0000-0000B74D0000}"/>
    <cellStyle name="40% - Accent6 10 5 2 3 2" xfId="37008" xr:uid="{A7FDEF32-8A9A-4AFA-A744-6CA54240FBF5}"/>
    <cellStyle name="40% - Accent6 10 5 2 4" xfId="21114" xr:uid="{00000000-0005-0000-0000-0000B84D0000}"/>
    <cellStyle name="40% - Accent6 10 5 2 4 2" xfId="44946" xr:uid="{09A95014-BD58-4F67-B3B4-74D9A4739918}"/>
    <cellStyle name="40% - Accent6 10 5 2 5" xfId="29067" xr:uid="{15D30809-0AAC-4B53-92B6-DF37B97919DB}"/>
    <cellStyle name="40% - Accent6 10 5 3" xfId="6968" xr:uid="{00000000-0005-0000-0000-0000B94D0000}"/>
    <cellStyle name="40% - Accent6 10 5 3 2" xfId="14939" xr:uid="{00000000-0005-0000-0000-0000BA4D0000}"/>
    <cellStyle name="40% - Accent6 10 5 3 2 2" xfId="38781" xr:uid="{1C0318FD-34BA-4086-970C-6F843E59BB1E}"/>
    <cellStyle name="40% - Accent6 10 5 3 3" xfId="22886" xr:uid="{00000000-0005-0000-0000-0000BB4D0000}"/>
    <cellStyle name="40% - Accent6 10 5 3 3 2" xfId="46718" xr:uid="{C5F08704-680A-46A0-BC80-E2C90204E00E}"/>
    <cellStyle name="40% - Accent6 10 5 3 4" xfId="30840" xr:uid="{814721FD-A385-44A8-BC7A-27286DE733AD}"/>
    <cellStyle name="40% - Accent6 10 5 4" xfId="11403" xr:uid="{00000000-0005-0000-0000-0000BC4D0000}"/>
    <cellStyle name="40% - Accent6 10 5 4 2" xfId="35252" xr:uid="{B62792AA-46A9-4381-A0A9-52699FF2F61A}"/>
    <cellStyle name="40% - Accent6 10 5 5" xfId="19358" xr:uid="{00000000-0005-0000-0000-0000BD4D0000}"/>
    <cellStyle name="40% - Accent6 10 5 5 2" xfId="43190" xr:uid="{1D6E915A-5F05-42F4-9988-EAC1E007CE2D}"/>
    <cellStyle name="40% - Accent6 10 5 6" xfId="27310" xr:uid="{9D26519A-1F4B-49B9-BE01-6F2A1CF5F749}"/>
    <cellStyle name="40% - Accent6 10 5_Exh G" xfId="3305" xr:uid="{00000000-0005-0000-0000-0000BE4D0000}"/>
    <cellStyle name="40% - Accent6 10 6" xfId="4257" xr:uid="{00000000-0005-0000-0000-0000BF4D0000}"/>
    <cellStyle name="40% - Accent6 10 6 2" xfId="7849" xr:uid="{00000000-0005-0000-0000-0000C04D0000}"/>
    <cellStyle name="40% - Accent6 10 6 2 2" xfId="15819" xr:uid="{00000000-0005-0000-0000-0000C14D0000}"/>
    <cellStyle name="40% - Accent6 10 6 2 2 2" xfId="39661" xr:uid="{76688DAB-A65C-41BB-A878-B97AEC131549}"/>
    <cellStyle name="40% - Accent6 10 6 2 3" xfId="23765" xr:uid="{00000000-0005-0000-0000-0000C24D0000}"/>
    <cellStyle name="40% - Accent6 10 6 2 3 2" xfId="47597" xr:uid="{44EAE260-37A4-41A2-82F3-F8F8A87EC728}"/>
    <cellStyle name="40% - Accent6 10 6 2 4" xfId="31720" xr:uid="{D3B66A57-4541-4376-BBF6-465DDB0F68DF}"/>
    <cellStyle name="40% - Accent6 10 6 3" xfId="12281" xr:uid="{00000000-0005-0000-0000-0000C34D0000}"/>
    <cellStyle name="40% - Accent6 10 6 3 2" xfId="36130" xr:uid="{CD0FA8CC-8BE2-4D0B-AF8E-0C78155EE11F}"/>
    <cellStyle name="40% - Accent6 10 6 4" xfId="20236" xr:uid="{00000000-0005-0000-0000-0000C44D0000}"/>
    <cellStyle name="40% - Accent6 10 6 4 2" xfId="44068" xr:uid="{9C62DD88-1F4D-4CDE-9F07-AFD882FDABB8}"/>
    <cellStyle name="40% - Accent6 10 6 5" xfId="28189" xr:uid="{41EF9CE4-438E-41DE-89F3-28025554C006}"/>
    <cellStyle name="40% - Accent6 10 7" xfId="6077" xr:uid="{00000000-0005-0000-0000-0000C54D0000}"/>
    <cellStyle name="40% - Accent6 10 7 2" xfId="14060" xr:uid="{00000000-0005-0000-0000-0000C64D0000}"/>
    <cellStyle name="40% - Accent6 10 7 2 2" xfId="37903" xr:uid="{1F178808-073D-4ECA-B738-C5B3778726F0}"/>
    <cellStyle name="40% - Accent6 10 7 3" xfId="22008" xr:uid="{00000000-0005-0000-0000-0000C74D0000}"/>
    <cellStyle name="40% - Accent6 10 7 3 2" xfId="45840" xr:uid="{C13440B2-0A5D-4646-B59F-530359AE16EE}"/>
    <cellStyle name="40% - Accent6 10 7 4" xfId="29962" xr:uid="{2C997FEE-3A80-4388-A461-F3A9F09FAF32}"/>
    <cellStyle name="40% - Accent6 10 8" xfId="9629" xr:uid="{00000000-0005-0000-0000-0000C84D0000}"/>
    <cellStyle name="40% - Accent6 10 8 2" xfId="17587" xr:uid="{00000000-0005-0000-0000-0000C94D0000}"/>
    <cellStyle name="40% - Accent6 10 8 2 2" xfId="41427" xr:uid="{5B8BD411-3118-49DD-9714-59DC0D0CF483}"/>
    <cellStyle name="40% - Accent6 10 8 3" xfId="25531" xr:uid="{00000000-0005-0000-0000-0000CA4D0000}"/>
    <cellStyle name="40% - Accent6 10 8 3 2" xfId="49363" xr:uid="{690CBF9F-520A-4358-B45D-F7B7CDC56CB8}"/>
    <cellStyle name="40% - Accent6 10 8 4" xfId="33486" xr:uid="{FACB211D-66BE-48B6-8C0F-FC15F69D55A8}"/>
    <cellStyle name="40% - Accent6 10 9" xfId="10525" xr:uid="{00000000-0005-0000-0000-0000CB4D0000}"/>
    <cellStyle name="40% - Accent6 10 9 2" xfId="34374" xr:uid="{220E7DCF-523B-45AB-88B6-24AB05DE958C}"/>
    <cellStyle name="40% - Accent6 10_Exh G" xfId="3298" xr:uid="{00000000-0005-0000-0000-0000CC4D0000}"/>
    <cellStyle name="40% - Accent6 11" xfId="587" xr:uid="{00000000-0005-0000-0000-0000CD4D0000}"/>
    <cellStyle name="40% - Accent6 11 10" xfId="26436" xr:uid="{4A3139DD-6FB2-4D47-8EC1-CF7625379295}"/>
    <cellStyle name="40% - Accent6 11 2" xfId="588" xr:uid="{00000000-0005-0000-0000-0000CE4D0000}"/>
    <cellStyle name="40% - Accent6 11 2 2" xfId="589" xr:uid="{00000000-0005-0000-0000-0000CF4D0000}"/>
    <cellStyle name="40% - Accent6 11 2 2 2" xfId="1615" xr:uid="{00000000-0005-0000-0000-0000D04D0000}"/>
    <cellStyle name="40% - Accent6 11 2 2 2 2" xfId="5142" xr:uid="{00000000-0005-0000-0000-0000D14D0000}"/>
    <cellStyle name="40% - Accent6 11 2 2 2 2 2" xfId="8733" xr:uid="{00000000-0005-0000-0000-0000D24D0000}"/>
    <cellStyle name="40% - Accent6 11 2 2 2 2 2 2" xfId="16703" xr:uid="{00000000-0005-0000-0000-0000D34D0000}"/>
    <cellStyle name="40% - Accent6 11 2 2 2 2 2 2 2" xfId="40545" xr:uid="{B80BF61D-CC6A-4D37-80B2-01F5ADBB7FC9}"/>
    <cellStyle name="40% - Accent6 11 2 2 2 2 2 3" xfId="24649" xr:uid="{00000000-0005-0000-0000-0000D44D0000}"/>
    <cellStyle name="40% - Accent6 11 2 2 2 2 2 3 2" xfId="48481" xr:uid="{0657BA20-1F6A-4DE3-B383-46DB1E537167}"/>
    <cellStyle name="40% - Accent6 11 2 2 2 2 2 4" xfId="32604" xr:uid="{E905AD80-9F6D-470C-8690-3E9FDC9A207E}"/>
    <cellStyle name="40% - Accent6 11 2 2 2 2 3" xfId="13165" xr:uid="{00000000-0005-0000-0000-0000D54D0000}"/>
    <cellStyle name="40% - Accent6 11 2 2 2 2 3 2" xfId="37014" xr:uid="{073CDDDC-05E3-46F2-A2F4-847774A80A3E}"/>
    <cellStyle name="40% - Accent6 11 2 2 2 2 4" xfId="21120" xr:uid="{00000000-0005-0000-0000-0000D64D0000}"/>
    <cellStyle name="40% - Accent6 11 2 2 2 2 4 2" xfId="44952" xr:uid="{70CE5366-6AC8-47DC-84FE-7AD1A1A70F89}"/>
    <cellStyle name="40% - Accent6 11 2 2 2 2 5" xfId="29073" xr:uid="{0655B802-9252-46EC-98BB-646CFA2EF2FE}"/>
    <cellStyle name="40% - Accent6 11 2 2 2 3" xfId="6974" xr:uid="{00000000-0005-0000-0000-0000D74D0000}"/>
    <cellStyle name="40% - Accent6 11 2 2 2 3 2" xfId="14945" xr:uid="{00000000-0005-0000-0000-0000D84D0000}"/>
    <cellStyle name="40% - Accent6 11 2 2 2 3 2 2" xfId="38787" xr:uid="{F60AA926-7B27-4449-9098-129C810E40E4}"/>
    <cellStyle name="40% - Accent6 11 2 2 2 3 3" xfId="22892" xr:uid="{00000000-0005-0000-0000-0000D94D0000}"/>
    <cellStyle name="40% - Accent6 11 2 2 2 3 3 2" xfId="46724" xr:uid="{2B4FD8E7-3674-40E3-9958-70EAF14AB4E3}"/>
    <cellStyle name="40% - Accent6 11 2 2 2 3 4" xfId="30846" xr:uid="{824DA858-B39D-474F-B9BA-71AA54E99507}"/>
    <cellStyle name="40% - Accent6 11 2 2 2 4" xfId="11409" xr:uid="{00000000-0005-0000-0000-0000DA4D0000}"/>
    <cellStyle name="40% - Accent6 11 2 2 2 4 2" xfId="35258" xr:uid="{0E4F9A97-1DF7-41A4-ABC5-0774D5266DB9}"/>
    <cellStyle name="40% - Accent6 11 2 2 2 5" xfId="19364" xr:uid="{00000000-0005-0000-0000-0000DB4D0000}"/>
    <cellStyle name="40% - Accent6 11 2 2 2 5 2" xfId="43196" xr:uid="{E7ACB8C0-CAE0-45F2-B3B8-1AD2C143C87A}"/>
    <cellStyle name="40% - Accent6 11 2 2 2 6" xfId="27316" xr:uid="{E79708CE-0F9C-4D08-804F-312C85AD42F5}"/>
    <cellStyle name="40% - Accent6 11 2 2 2_Exh G" xfId="3309" xr:uid="{00000000-0005-0000-0000-0000DC4D0000}"/>
    <cellStyle name="40% - Accent6 11 2 2 3" xfId="4263" xr:uid="{00000000-0005-0000-0000-0000DD4D0000}"/>
    <cellStyle name="40% - Accent6 11 2 2 3 2" xfId="7855" xr:uid="{00000000-0005-0000-0000-0000DE4D0000}"/>
    <cellStyle name="40% - Accent6 11 2 2 3 2 2" xfId="15825" xr:uid="{00000000-0005-0000-0000-0000DF4D0000}"/>
    <cellStyle name="40% - Accent6 11 2 2 3 2 2 2" xfId="39667" xr:uid="{15C3C64F-5DD8-4FEB-9209-71975A202692}"/>
    <cellStyle name="40% - Accent6 11 2 2 3 2 3" xfId="23771" xr:uid="{00000000-0005-0000-0000-0000E04D0000}"/>
    <cellStyle name="40% - Accent6 11 2 2 3 2 3 2" xfId="47603" xr:uid="{65F47ADF-FCAE-49AC-9ECE-864D957BB08D}"/>
    <cellStyle name="40% - Accent6 11 2 2 3 2 4" xfId="31726" xr:uid="{0C962DE3-F64D-465B-8AD9-C69A2CFCF5E5}"/>
    <cellStyle name="40% - Accent6 11 2 2 3 3" xfId="12287" xr:uid="{00000000-0005-0000-0000-0000E14D0000}"/>
    <cellStyle name="40% - Accent6 11 2 2 3 3 2" xfId="36136" xr:uid="{07951154-08AE-4957-BFAE-01539F720E9B}"/>
    <cellStyle name="40% - Accent6 11 2 2 3 4" xfId="20242" xr:uid="{00000000-0005-0000-0000-0000E24D0000}"/>
    <cellStyle name="40% - Accent6 11 2 2 3 4 2" xfId="44074" xr:uid="{03622DAE-8126-4D4F-981C-419509A8CF5E}"/>
    <cellStyle name="40% - Accent6 11 2 2 3 5" xfId="28195" xr:uid="{9E28213C-5E97-4595-9BAF-77A97B0E6F1A}"/>
    <cellStyle name="40% - Accent6 11 2 2 4" xfId="6083" xr:uid="{00000000-0005-0000-0000-0000E34D0000}"/>
    <cellStyle name="40% - Accent6 11 2 2 4 2" xfId="14066" xr:uid="{00000000-0005-0000-0000-0000E44D0000}"/>
    <cellStyle name="40% - Accent6 11 2 2 4 2 2" xfId="37909" xr:uid="{5AB37C4A-6693-499E-9168-29F8BDF7A3C5}"/>
    <cellStyle name="40% - Accent6 11 2 2 4 3" xfId="22014" xr:uid="{00000000-0005-0000-0000-0000E54D0000}"/>
    <cellStyle name="40% - Accent6 11 2 2 4 3 2" xfId="45846" xr:uid="{91619AA6-0773-41B2-A233-81B6073F43FE}"/>
    <cellStyle name="40% - Accent6 11 2 2 4 4" xfId="29968" xr:uid="{D4441B7E-E064-44AA-9839-FA96E8A5308D}"/>
    <cellStyle name="40% - Accent6 11 2 2 5" xfId="9635" xr:uid="{00000000-0005-0000-0000-0000E64D0000}"/>
    <cellStyle name="40% - Accent6 11 2 2 5 2" xfId="17593" xr:uid="{00000000-0005-0000-0000-0000E74D0000}"/>
    <cellStyle name="40% - Accent6 11 2 2 5 2 2" xfId="41433" xr:uid="{83AE5343-40B4-438F-B199-6987BBAA5E0F}"/>
    <cellStyle name="40% - Accent6 11 2 2 5 3" xfId="25537" xr:uid="{00000000-0005-0000-0000-0000E84D0000}"/>
    <cellStyle name="40% - Accent6 11 2 2 5 3 2" xfId="49369" xr:uid="{9CEABE42-FBAA-4ACE-A6BE-0842B58D85CA}"/>
    <cellStyle name="40% - Accent6 11 2 2 5 4" xfId="33492" xr:uid="{B510FAAF-F640-4E70-A57B-CE7E21D7F1F9}"/>
    <cellStyle name="40% - Accent6 11 2 2 6" xfId="10531" xr:uid="{00000000-0005-0000-0000-0000E94D0000}"/>
    <cellStyle name="40% - Accent6 11 2 2 6 2" xfId="34380" xr:uid="{5EE5C6D4-5280-4D5D-BED0-7085CF3B5CD4}"/>
    <cellStyle name="40% - Accent6 11 2 2 7" xfId="18486" xr:uid="{00000000-0005-0000-0000-0000EA4D0000}"/>
    <cellStyle name="40% - Accent6 11 2 2 7 2" xfId="42318" xr:uid="{4270BE51-60EF-4D61-85ED-235BD3B706FA}"/>
    <cellStyle name="40% - Accent6 11 2 2 8" xfId="26438" xr:uid="{0E5DB2D3-F706-48C5-A7A4-BB4F7E19BB30}"/>
    <cellStyle name="40% - Accent6 11 2 2_Exh G" xfId="3308" xr:uid="{00000000-0005-0000-0000-0000EB4D0000}"/>
    <cellStyle name="40% - Accent6 11 2 3" xfId="1614" xr:uid="{00000000-0005-0000-0000-0000EC4D0000}"/>
    <cellStyle name="40% - Accent6 11 2 3 2" xfId="5141" xr:uid="{00000000-0005-0000-0000-0000ED4D0000}"/>
    <cellStyle name="40% - Accent6 11 2 3 2 2" xfId="8732" xr:uid="{00000000-0005-0000-0000-0000EE4D0000}"/>
    <cellStyle name="40% - Accent6 11 2 3 2 2 2" xfId="16702" xr:uid="{00000000-0005-0000-0000-0000EF4D0000}"/>
    <cellStyle name="40% - Accent6 11 2 3 2 2 2 2" xfId="40544" xr:uid="{83BDD598-1850-430A-ACF4-593D6683AFEF}"/>
    <cellStyle name="40% - Accent6 11 2 3 2 2 3" xfId="24648" xr:uid="{00000000-0005-0000-0000-0000F04D0000}"/>
    <cellStyle name="40% - Accent6 11 2 3 2 2 3 2" xfId="48480" xr:uid="{2D7E2AB7-26D3-486F-823D-06D457443A7F}"/>
    <cellStyle name="40% - Accent6 11 2 3 2 2 4" xfId="32603" xr:uid="{63ADD42F-9CB3-4C21-9FB3-A72682BD9E85}"/>
    <cellStyle name="40% - Accent6 11 2 3 2 3" xfId="13164" xr:uid="{00000000-0005-0000-0000-0000F14D0000}"/>
    <cellStyle name="40% - Accent6 11 2 3 2 3 2" xfId="37013" xr:uid="{8711B3F6-D5D0-4FCD-880F-EA28633A8FC0}"/>
    <cellStyle name="40% - Accent6 11 2 3 2 4" xfId="21119" xr:uid="{00000000-0005-0000-0000-0000F24D0000}"/>
    <cellStyle name="40% - Accent6 11 2 3 2 4 2" xfId="44951" xr:uid="{993DC123-1F7F-484B-B763-359C20A9E8F6}"/>
    <cellStyle name="40% - Accent6 11 2 3 2 5" xfId="29072" xr:uid="{7B0BE791-25F4-416D-8CC5-4BE1A43ED912}"/>
    <cellStyle name="40% - Accent6 11 2 3 3" xfId="6973" xr:uid="{00000000-0005-0000-0000-0000F34D0000}"/>
    <cellStyle name="40% - Accent6 11 2 3 3 2" xfId="14944" xr:uid="{00000000-0005-0000-0000-0000F44D0000}"/>
    <cellStyle name="40% - Accent6 11 2 3 3 2 2" xfId="38786" xr:uid="{AFDD3730-7D0F-4D5E-A9FA-83E9A70DC099}"/>
    <cellStyle name="40% - Accent6 11 2 3 3 3" xfId="22891" xr:uid="{00000000-0005-0000-0000-0000F54D0000}"/>
    <cellStyle name="40% - Accent6 11 2 3 3 3 2" xfId="46723" xr:uid="{C750590E-DCBF-4923-AC27-C2CA80180AEF}"/>
    <cellStyle name="40% - Accent6 11 2 3 3 4" xfId="30845" xr:uid="{6888A365-A42F-4282-867B-8E1E6DF2D991}"/>
    <cellStyle name="40% - Accent6 11 2 3 4" xfId="11408" xr:uid="{00000000-0005-0000-0000-0000F64D0000}"/>
    <cellStyle name="40% - Accent6 11 2 3 4 2" xfId="35257" xr:uid="{AE758203-C690-42C2-8252-35E03428F465}"/>
    <cellStyle name="40% - Accent6 11 2 3 5" xfId="19363" xr:uid="{00000000-0005-0000-0000-0000F74D0000}"/>
    <cellStyle name="40% - Accent6 11 2 3 5 2" xfId="43195" xr:uid="{DF538288-E7D4-4140-892B-2FE94F5FE160}"/>
    <cellStyle name="40% - Accent6 11 2 3 6" xfId="27315" xr:uid="{8D8966B6-D2BB-40B1-8A34-FA65E52ECE7E}"/>
    <cellStyle name="40% - Accent6 11 2 3_Exh G" xfId="3310" xr:uid="{00000000-0005-0000-0000-0000F84D0000}"/>
    <cellStyle name="40% - Accent6 11 2 4" xfId="4262" xr:uid="{00000000-0005-0000-0000-0000F94D0000}"/>
    <cellStyle name="40% - Accent6 11 2 4 2" xfId="7854" xr:uid="{00000000-0005-0000-0000-0000FA4D0000}"/>
    <cellStyle name="40% - Accent6 11 2 4 2 2" xfId="15824" xr:uid="{00000000-0005-0000-0000-0000FB4D0000}"/>
    <cellStyle name="40% - Accent6 11 2 4 2 2 2" xfId="39666" xr:uid="{76D07E3E-F5EA-432C-98C9-84ABBA944496}"/>
    <cellStyle name="40% - Accent6 11 2 4 2 3" xfId="23770" xr:uid="{00000000-0005-0000-0000-0000FC4D0000}"/>
    <cellStyle name="40% - Accent6 11 2 4 2 3 2" xfId="47602" xr:uid="{6E20F50D-BB89-4CB5-A515-3E596E3B157E}"/>
    <cellStyle name="40% - Accent6 11 2 4 2 4" xfId="31725" xr:uid="{44170964-D4D3-4046-BC54-68BD6698D3AC}"/>
    <cellStyle name="40% - Accent6 11 2 4 3" xfId="12286" xr:uid="{00000000-0005-0000-0000-0000FD4D0000}"/>
    <cellStyle name="40% - Accent6 11 2 4 3 2" xfId="36135" xr:uid="{73D2A1F5-A638-4168-8E8D-801A54EEE91A}"/>
    <cellStyle name="40% - Accent6 11 2 4 4" xfId="20241" xr:uid="{00000000-0005-0000-0000-0000FE4D0000}"/>
    <cellStyle name="40% - Accent6 11 2 4 4 2" xfId="44073" xr:uid="{6DC24B3D-0EFE-4938-A038-B708DA3E1921}"/>
    <cellStyle name="40% - Accent6 11 2 4 5" xfId="28194" xr:uid="{AC656167-33BE-4E78-B478-AD2402F75BB3}"/>
    <cellStyle name="40% - Accent6 11 2 5" xfId="6082" xr:uid="{00000000-0005-0000-0000-0000FF4D0000}"/>
    <cellStyle name="40% - Accent6 11 2 5 2" xfId="14065" xr:uid="{00000000-0005-0000-0000-0000004E0000}"/>
    <cellStyle name="40% - Accent6 11 2 5 2 2" xfId="37908" xr:uid="{455B329F-8756-487A-AB64-3391E33C2F9F}"/>
    <cellStyle name="40% - Accent6 11 2 5 3" xfId="22013" xr:uid="{00000000-0005-0000-0000-0000014E0000}"/>
    <cellStyle name="40% - Accent6 11 2 5 3 2" xfId="45845" xr:uid="{DFD251B3-ABA9-42DA-97FF-5632A953EC16}"/>
    <cellStyle name="40% - Accent6 11 2 5 4" xfId="29967" xr:uid="{BCEBAA53-FBEC-4D66-8843-0502CD3CFD36}"/>
    <cellStyle name="40% - Accent6 11 2 6" xfId="9634" xr:uid="{00000000-0005-0000-0000-0000024E0000}"/>
    <cellStyle name="40% - Accent6 11 2 6 2" xfId="17592" xr:uid="{00000000-0005-0000-0000-0000034E0000}"/>
    <cellStyle name="40% - Accent6 11 2 6 2 2" xfId="41432" xr:uid="{CFCFC146-C6FF-4CFC-9D18-44566FBABC2C}"/>
    <cellStyle name="40% - Accent6 11 2 6 3" xfId="25536" xr:uid="{00000000-0005-0000-0000-0000044E0000}"/>
    <cellStyle name="40% - Accent6 11 2 6 3 2" xfId="49368" xr:uid="{A342492A-B15B-48F1-B0D7-6323B0D77084}"/>
    <cellStyle name="40% - Accent6 11 2 6 4" xfId="33491" xr:uid="{B1EC1D90-8D1A-4346-BD93-C7B046702672}"/>
    <cellStyle name="40% - Accent6 11 2 7" xfId="10530" xr:uid="{00000000-0005-0000-0000-0000054E0000}"/>
    <cellStyle name="40% - Accent6 11 2 7 2" xfId="34379" xr:uid="{489C1EF3-0444-4831-A500-0EF4F38E0F60}"/>
    <cellStyle name="40% - Accent6 11 2 8" xfId="18485" xr:uid="{00000000-0005-0000-0000-0000064E0000}"/>
    <cellStyle name="40% - Accent6 11 2 8 2" xfId="42317" xr:uid="{EFAA89E6-C72A-490C-8432-0B999A2AC7CB}"/>
    <cellStyle name="40% - Accent6 11 2 9" xfId="26437" xr:uid="{36D9E933-DF63-48F2-9398-B3087D7EF80D}"/>
    <cellStyle name="40% - Accent6 11 2_Exh G" xfId="3307" xr:uid="{00000000-0005-0000-0000-0000074E0000}"/>
    <cellStyle name="40% - Accent6 11 3" xfId="590" xr:uid="{00000000-0005-0000-0000-0000084E0000}"/>
    <cellStyle name="40% - Accent6 11 3 2" xfId="1616" xr:uid="{00000000-0005-0000-0000-0000094E0000}"/>
    <cellStyle name="40% - Accent6 11 3 2 2" xfId="5143" xr:uid="{00000000-0005-0000-0000-00000A4E0000}"/>
    <cellStyle name="40% - Accent6 11 3 2 2 2" xfId="8734" xr:uid="{00000000-0005-0000-0000-00000B4E0000}"/>
    <cellStyle name="40% - Accent6 11 3 2 2 2 2" xfId="16704" xr:uid="{00000000-0005-0000-0000-00000C4E0000}"/>
    <cellStyle name="40% - Accent6 11 3 2 2 2 2 2" xfId="40546" xr:uid="{4DB18539-1ED3-442E-B05B-42CD4E62CBCF}"/>
    <cellStyle name="40% - Accent6 11 3 2 2 2 3" xfId="24650" xr:uid="{00000000-0005-0000-0000-00000D4E0000}"/>
    <cellStyle name="40% - Accent6 11 3 2 2 2 3 2" xfId="48482" xr:uid="{46810ED8-DF6A-46C2-80E0-04AAEDABDCFF}"/>
    <cellStyle name="40% - Accent6 11 3 2 2 2 4" xfId="32605" xr:uid="{3B7CE559-6CD2-4D31-A96A-11361D4E425A}"/>
    <cellStyle name="40% - Accent6 11 3 2 2 3" xfId="13166" xr:uid="{00000000-0005-0000-0000-00000E4E0000}"/>
    <cellStyle name="40% - Accent6 11 3 2 2 3 2" xfId="37015" xr:uid="{9D736D82-D9F1-46E9-ACBB-39D1CDE0CEE9}"/>
    <cellStyle name="40% - Accent6 11 3 2 2 4" xfId="21121" xr:uid="{00000000-0005-0000-0000-00000F4E0000}"/>
    <cellStyle name="40% - Accent6 11 3 2 2 4 2" xfId="44953" xr:uid="{6089CA90-E8AE-452D-8C60-E153B0151720}"/>
    <cellStyle name="40% - Accent6 11 3 2 2 5" xfId="29074" xr:uid="{C44A14E9-F150-439F-A481-7DA456D5DE34}"/>
    <cellStyle name="40% - Accent6 11 3 2 3" xfId="6975" xr:uid="{00000000-0005-0000-0000-0000104E0000}"/>
    <cellStyle name="40% - Accent6 11 3 2 3 2" xfId="14946" xr:uid="{00000000-0005-0000-0000-0000114E0000}"/>
    <cellStyle name="40% - Accent6 11 3 2 3 2 2" xfId="38788" xr:uid="{C2A7BC0A-B07D-4013-81E6-3805B43FB611}"/>
    <cellStyle name="40% - Accent6 11 3 2 3 3" xfId="22893" xr:uid="{00000000-0005-0000-0000-0000124E0000}"/>
    <cellStyle name="40% - Accent6 11 3 2 3 3 2" xfId="46725" xr:uid="{C4087560-86C9-4E8A-82FC-FDF7095AB49D}"/>
    <cellStyle name="40% - Accent6 11 3 2 3 4" xfId="30847" xr:uid="{357385A2-37A3-4069-A251-A684A2CCA466}"/>
    <cellStyle name="40% - Accent6 11 3 2 4" xfId="11410" xr:uid="{00000000-0005-0000-0000-0000134E0000}"/>
    <cellStyle name="40% - Accent6 11 3 2 4 2" xfId="35259" xr:uid="{759F7AFA-EAB7-4F98-BAD2-85A764BAC2D1}"/>
    <cellStyle name="40% - Accent6 11 3 2 5" xfId="19365" xr:uid="{00000000-0005-0000-0000-0000144E0000}"/>
    <cellStyle name="40% - Accent6 11 3 2 5 2" xfId="43197" xr:uid="{55A35217-4C1F-4995-8C93-E8E7171B5BC2}"/>
    <cellStyle name="40% - Accent6 11 3 2 6" xfId="27317" xr:uid="{99A45488-0C24-46B7-9364-E455B6CF897F}"/>
    <cellStyle name="40% - Accent6 11 3 2_Exh G" xfId="3312" xr:uid="{00000000-0005-0000-0000-0000154E0000}"/>
    <cellStyle name="40% - Accent6 11 3 3" xfId="4264" xr:uid="{00000000-0005-0000-0000-0000164E0000}"/>
    <cellStyle name="40% - Accent6 11 3 3 2" xfId="7856" xr:uid="{00000000-0005-0000-0000-0000174E0000}"/>
    <cellStyle name="40% - Accent6 11 3 3 2 2" xfId="15826" xr:uid="{00000000-0005-0000-0000-0000184E0000}"/>
    <cellStyle name="40% - Accent6 11 3 3 2 2 2" xfId="39668" xr:uid="{7FA81BFB-D2D2-46F6-8F7A-10B3BED8FB97}"/>
    <cellStyle name="40% - Accent6 11 3 3 2 3" xfId="23772" xr:uid="{00000000-0005-0000-0000-0000194E0000}"/>
    <cellStyle name="40% - Accent6 11 3 3 2 3 2" xfId="47604" xr:uid="{F7533613-787D-48DD-9B32-F4D596D1A63F}"/>
    <cellStyle name="40% - Accent6 11 3 3 2 4" xfId="31727" xr:uid="{AD0C754A-5D28-4A39-8012-44CF738302A7}"/>
    <cellStyle name="40% - Accent6 11 3 3 3" xfId="12288" xr:uid="{00000000-0005-0000-0000-00001A4E0000}"/>
    <cellStyle name="40% - Accent6 11 3 3 3 2" xfId="36137" xr:uid="{3750AEF8-C6C0-4C55-941C-81EDFAA2EB12}"/>
    <cellStyle name="40% - Accent6 11 3 3 4" xfId="20243" xr:uid="{00000000-0005-0000-0000-00001B4E0000}"/>
    <cellStyle name="40% - Accent6 11 3 3 4 2" xfId="44075" xr:uid="{ACA4A2DF-1245-45C1-AB0C-EAAB408A25D7}"/>
    <cellStyle name="40% - Accent6 11 3 3 5" xfId="28196" xr:uid="{B99D9FF5-3D81-41D7-ADAA-49DED2B61DF9}"/>
    <cellStyle name="40% - Accent6 11 3 4" xfId="6084" xr:uid="{00000000-0005-0000-0000-00001C4E0000}"/>
    <cellStyle name="40% - Accent6 11 3 4 2" xfId="14067" xr:uid="{00000000-0005-0000-0000-00001D4E0000}"/>
    <cellStyle name="40% - Accent6 11 3 4 2 2" xfId="37910" xr:uid="{43315198-E63C-4EEA-901D-8AECC7701FFA}"/>
    <cellStyle name="40% - Accent6 11 3 4 3" xfId="22015" xr:uid="{00000000-0005-0000-0000-00001E4E0000}"/>
    <cellStyle name="40% - Accent6 11 3 4 3 2" xfId="45847" xr:uid="{2148B695-2A2B-42BE-A51C-CB4225ECD44D}"/>
    <cellStyle name="40% - Accent6 11 3 4 4" xfId="29969" xr:uid="{55914546-7111-4651-BEFB-CB73B69DC962}"/>
    <cellStyle name="40% - Accent6 11 3 5" xfId="9636" xr:uid="{00000000-0005-0000-0000-00001F4E0000}"/>
    <cellStyle name="40% - Accent6 11 3 5 2" xfId="17594" xr:uid="{00000000-0005-0000-0000-0000204E0000}"/>
    <cellStyle name="40% - Accent6 11 3 5 2 2" xfId="41434" xr:uid="{3BD550AA-1334-47A0-AE64-91D4AF7A8E15}"/>
    <cellStyle name="40% - Accent6 11 3 5 3" xfId="25538" xr:uid="{00000000-0005-0000-0000-0000214E0000}"/>
    <cellStyle name="40% - Accent6 11 3 5 3 2" xfId="49370" xr:uid="{46B45D6F-5E71-4F01-9921-D58D24C3426E}"/>
    <cellStyle name="40% - Accent6 11 3 5 4" xfId="33493" xr:uid="{ABEEA01B-6FAE-43AB-9D16-BE9FBECD96E1}"/>
    <cellStyle name="40% - Accent6 11 3 6" xfId="10532" xr:uid="{00000000-0005-0000-0000-0000224E0000}"/>
    <cellStyle name="40% - Accent6 11 3 6 2" xfId="34381" xr:uid="{DE6C507F-E39B-4CA2-9E71-DDC1FA8D1B4D}"/>
    <cellStyle name="40% - Accent6 11 3 7" xfId="18487" xr:uid="{00000000-0005-0000-0000-0000234E0000}"/>
    <cellStyle name="40% - Accent6 11 3 7 2" xfId="42319" xr:uid="{803372EB-9501-4212-B2FB-CE3F5E16FC5B}"/>
    <cellStyle name="40% - Accent6 11 3 8" xfId="26439" xr:uid="{0DD8FB62-EE63-489B-BAA6-227C788B1AC5}"/>
    <cellStyle name="40% - Accent6 11 3_Exh G" xfId="3311" xr:uid="{00000000-0005-0000-0000-0000244E0000}"/>
    <cellStyle name="40% - Accent6 11 4" xfId="1613" xr:uid="{00000000-0005-0000-0000-0000254E0000}"/>
    <cellStyle name="40% - Accent6 11 4 2" xfId="5140" xr:uid="{00000000-0005-0000-0000-0000264E0000}"/>
    <cellStyle name="40% - Accent6 11 4 2 2" xfId="8731" xr:uid="{00000000-0005-0000-0000-0000274E0000}"/>
    <cellStyle name="40% - Accent6 11 4 2 2 2" xfId="16701" xr:uid="{00000000-0005-0000-0000-0000284E0000}"/>
    <cellStyle name="40% - Accent6 11 4 2 2 2 2" xfId="40543" xr:uid="{696B0F06-2263-4974-820E-0D53C62326E7}"/>
    <cellStyle name="40% - Accent6 11 4 2 2 3" xfId="24647" xr:uid="{00000000-0005-0000-0000-0000294E0000}"/>
    <cellStyle name="40% - Accent6 11 4 2 2 3 2" xfId="48479" xr:uid="{01A03CA7-87DB-4162-A019-FF4768B5A114}"/>
    <cellStyle name="40% - Accent6 11 4 2 2 4" xfId="32602" xr:uid="{C89F8E62-1AF1-49AB-9147-076BAED31278}"/>
    <cellStyle name="40% - Accent6 11 4 2 3" xfId="13163" xr:uid="{00000000-0005-0000-0000-00002A4E0000}"/>
    <cellStyle name="40% - Accent6 11 4 2 3 2" xfId="37012" xr:uid="{51445915-73D6-4226-9B9F-840F6F336012}"/>
    <cellStyle name="40% - Accent6 11 4 2 4" xfId="21118" xr:uid="{00000000-0005-0000-0000-00002B4E0000}"/>
    <cellStyle name="40% - Accent6 11 4 2 4 2" xfId="44950" xr:uid="{252AC84A-7435-4318-BAC2-F13C8D34EC61}"/>
    <cellStyle name="40% - Accent6 11 4 2 5" xfId="29071" xr:uid="{24777F3A-80A5-47B6-AFA6-FF281E4CFCD0}"/>
    <cellStyle name="40% - Accent6 11 4 3" xfId="6972" xr:uid="{00000000-0005-0000-0000-00002C4E0000}"/>
    <cellStyle name="40% - Accent6 11 4 3 2" xfId="14943" xr:uid="{00000000-0005-0000-0000-00002D4E0000}"/>
    <cellStyle name="40% - Accent6 11 4 3 2 2" xfId="38785" xr:uid="{45004ADF-3B4C-49B6-AC31-5C35A941BC9D}"/>
    <cellStyle name="40% - Accent6 11 4 3 3" xfId="22890" xr:uid="{00000000-0005-0000-0000-00002E4E0000}"/>
    <cellStyle name="40% - Accent6 11 4 3 3 2" xfId="46722" xr:uid="{6C9683B1-8FC9-43BB-9C05-AE01D9266F6E}"/>
    <cellStyle name="40% - Accent6 11 4 3 4" xfId="30844" xr:uid="{2D94B5E9-E4CA-4842-9BCB-4A120CD792C8}"/>
    <cellStyle name="40% - Accent6 11 4 4" xfId="11407" xr:uid="{00000000-0005-0000-0000-00002F4E0000}"/>
    <cellStyle name="40% - Accent6 11 4 4 2" xfId="35256" xr:uid="{FC5C1E47-7BB2-49D4-A3D0-D5F60819A92B}"/>
    <cellStyle name="40% - Accent6 11 4 5" xfId="19362" xr:uid="{00000000-0005-0000-0000-0000304E0000}"/>
    <cellStyle name="40% - Accent6 11 4 5 2" xfId="43194" xr:uid="{E2628E14-2B86-4E63-BF0F-D95426E69D3C}"/>
    <cellStyle name="40% - Accent6 11 4 6" xfId="27314" xr:uid="{62A5A8B7-D09D-40AD-A05F-7853C8C3751B}"/>
    <cellStyle name="40% - Accent6 11 4_Exh G" xfId="3313" xr:uid="{00000000-0005-0000-0000-0000314E0000}"/>
    <cellStyle name="40% - Accent6 11 5" xfId="4261" xr:uid="{00000000-0005-0000-0000-0000324E0000}"/>
    <cellStyle name="40% - Accent6 11 5 2" xfId="7853" xr:uid="{00000000-0005-0000-0000-0000334E0000}"/>
    <cellStyle name="40% - Accent6 11 5 2 2" xfId="15823" xr:uid="{00000000-0005-0000-0000-0000344E0000}"/>
    <cellStyle name="40% - Accent6 11 5 2 2 2" xfId="39665" xr:uid="{E88FE910-F19B-42A7-975E-C790BCA2F2D3}"/>
    <cellStyle name="40% - Accent6 11 5 2 3" xfId="23769" xr:uid="{00000000-0005-0000-0000-0000354E0000}"/>
    <cellStyle name="40% - Accent6 11 5 2 3 2" xfId="47601" xr:uid="{5C4A288D-7A6A-4FFA-8AD5-382C02C1C98F}"/>
    <cellStyle name="40% - Accent6 11 5 2 4" xfId="31724" xr:uid="{EC47CDCC-63FD-4415-9A92-1967502E2EE8}"/>
    <cellStyle name="40% - Accent6 11 5 3" xfId="12285" xr:uid="{00000000-0005-0000-0000-0000364E0000}"/>
    <cellStyle name="40% - Accent6 11 5 3 2" xfId="36134" xr:uid="{6C09CCA7-6EB9-4871-8FD3-0FE7D0A3AD63}"/>
    <cellStyle name="40% - Accent6 11 5 4" xfId="20240" xr:uid="{00000000-0005-0000-0000-0000374E0000}"/>
    <cellStyle name="40% - Accent6 11 5 4 2" xfId="44072" xr:uid="{9FBA9EB3-6C32-4D28-B7D5-3EBA29991034}"/>
    <cellStyle name="40% - Accent6 11 5 5" xfId="28193" xr:uid="{D75D7011-24F6-48DC-921D-A33BB46DAC1D}"/>
    <cellStyle name="40% - Accent6 11 6" xfId="6081" xr:uid="{00000000-0005-0000-0000-0000384E0000}"/>
    <cellStyle name="40% - Accent6 11 6 2" xfId="14064" xr:uid="{00000000-0005-0000-0000-0000394E0000}"/>
    <cellStyle name="40% - Accent6 11 6 2 2" xfId="37907" xr:uid="{1E3396C9-F950-49C9-BFD3-24B5E48354F7}"/>
    <cellStyle name="40% - Accent6 11 6 3" xfId="22012" xr:uid="{00000000-0005-0000-0000-00003A4E0000}"/>
    <cellStyle name="40% - Accent6 11 6 3 2" xfId="45844" xr:uid="{DA1DF59F-1A1B-48F8-B84E-48AC73482200}"/>
    <cellStyle name="40% - Accent6 11 6 4" xfId="29966" xr:uid="{DAE70194-7C88-4DDF-B07B-913A55D04E0D}"/>
    <cellStyle name="40% - Accent6 11 7" xfId="9633" xr:uid="{00000000-0005-0000-0000-00003B4E0000}"/>
    <cellStyle name="40% - Accent6 11 7 2" xfId="17591" xr:uid="{00000000-0005-0000-0000-00003C4E0000}"/>
    <cellStyle name="40% - Accent6 11 7 2 2" xfId="41431" xr:uid="{3F008CEA-A3BC-47A8-8224-3B4BC80FFE85}"/>
    <cellStyle name="40% - Accent6 11 7 3" xfId="25535" xr:uid="{00000000-0005-0000-0000-00003D4E0000}"/>
    <cellStyle name="40% - Accent6 11 7 3 2" xfId="49367" xr:uid="{AA452C3E-D462-4A49-AFC2-A5D000B28027}"/>
    <cellStyle name="40% - Accent6 11 7 4" xfId="33490" xr:uid="{154529C9-3383-4041-B8D4-928E71B6DDBA}"/>
    <cellStyle name="40% - Accent6 11 8" xfId="10529" xr:uid="{00000000-0005-0000-0000-00003E4E0000}"/>
    <cellStyle name="40% - Accent6 11 8 2" xfId="34378" xr:uid="{CD06679E-49EC-42E4-B5A7-2A4858135C8E}"/>
    <cellStyle name="40% - Accent6 11 9" xfId="18484" xr:uid="{00000000-0005-0000-0000-00003F4E0000}"/>
    <cellStyle name="40% - Accent6 11 9 2" xfId="42316" xr:uid="{AA2EA53C-4866-41EA-B468-134DC39CA57A}"/>
    <cellStyle name="40% - Accent6 11_Exh G" xfId="3306" xr:uid="{00000000-0005-0000-0000-0000404E0000}"/>
    <cellStyle name="40% - Accent6 12" xfId="591" xr:uid="{00000000-0005-0000-0000-0000414E0000}"/>
    <cellStyle name="40% - Accent6 12 10" xfId="26440" xr:uid="{838669D4-E039-426D-BB80-31960C534BE0}"/>
    <cellStyle name="40% - Accent6 12 2" xfId="592" xr:uid="{00000000-0005-0000-0000-0000424E0000}"/>
    <cellStyle name="40% - Accent6 12 2 2" xfId="593" xr:uid="{00000000-0005-0000-0000-0000434E0000}"/>
    <cellStyle name="40% - Accent6 12 2 2 2" xfId="1619" xr:uid="{00000000-0005-0000-0000-0000444E0000}"/>
    <cellStyle name="40% - Accent6 12 2 2 2 2" xfId="5146" xr:uid="{00000000-0005-0000-0000-0000454E0000}"/>
    <cellStyle name="40% - Accent6 12 2 2 2 2 2" xfId="8737" xr:uid="{00000000-0005-0000-0000-0000464E0000}"/>
    <cellStyle name="40% - Accent6 12 2 2 2 2 2 2" xfId="16707" xr:uid="{00000000-0005-0000-0000-0000474E0000}"/>
    <cellStyle name="40% - Accent6 12 2 2 2 2 2 2 2" xfId="40549" xr:uid="{C903B7D4-DD60-4FCF-9811-117298C28414}"/>
    <cellStyle name="40% - Accent6 12 2 2 2 2 2 3" xfId="24653" xr:uid="{00000000-0005-0000-0000-0000484E0000}"/>
    <cellStyle name="40% - Accent6 12 2 2 2 2 2 3 2" xfId="48485" xr:uid="{F511C493-C576-4D17-8B64-EDD01764CF91}"/>
    <cellStyle name="40% - Accent6 12 2 2 2 2 2 4" xfId="32608" xr:uid="{8412EB2D-BA62-432E-8F06-B6522FAC5EBF}"/>
    <cellStyle name="40% - Accent6 12 2 2 2 2 3" xfId="13169" xr:uid="{00000000-0005-0000-0000-0000494E0000}"/>
    <cellStyle name="40% - Accent6 12 2 2 2 2 3 2" xfId="37018" xr:uid="{AD47CC54-959E-4F6B-808C-1A3E54ED4011}"/>
    <cellStyle name="40% - Accent6 12 2 2 2 2 4" xfId="21124" xr:uid="{00000000-0005-0000-0000-00004A4E0000}"/>
    <cellStyle name="40% - Accent6 12 2 2 2 2 4 2" xfId="44956" xr:uid="{929AABBE-1A0D-453F-A78C-5FF01F6472D9}"/>
    <cellStyle name="40% - Accent6 12 2 2 2 2 5" xfId="29077" xr:uid="{771EC530-3D90-4513-8969-CFE89C55B1B4}"/>
    <cellStyle name="40% - Accent6 12 2 2 2 3" xfId="6978" xr:uid="{00000000-0005-0000-0000-00004B4E0000}"/>
    <cellStyle name="40% - Accent6 12 2 2 2 3 2" xfId="14949" xr:uid="{00000000-0005-0000-0000-00004C4E0000}"/>
    <cellStyle name="40% - Accent6 12 2 2 2 3 2 2" xfId="38791" xr:uid="{CD32904B-188A-4D27-9697-0D2E225B1E90}"/>
    <cellStyle name="40% - Accent6 12 2 2 2 3 3" xfId="22896" xr:uid="{00000000-0005-0000-0000-00004D4E0000}"/>
    <cellStyle name="40% - Accent6 12 2 2 2 3 3 2" xfId="46728" xr:uid="{1AA49533-1F92-4A79-90BE-25258EB4CA8C}"/>
    <cellStyle name="40% - Accent6 12 2 2 2 3 4" xfId="30850" xr:uid="{5B38EC1B-FE48-4EAA-A6AA-57F6EC2866EA}"/>
    <cellStyle name="40% - Accent6 12 2 2 2 4" xfId="11413" xr:uid="{00000000-0005-0000-0000-00004E4E0000}"/>
    <cellStyle name="40% - Accent6 12 2 2 2 4 2" xfId="35262" xr:uid="{35271EDA-D142-46F7-BD2E-6B415A3489E2}"/>
    <cellStyle name="40% - Accent6 12 2 2 2 5" xfId="19368" xr:uid="{00000000-0005-0000-0000-00004F4E0000}"/>
    <cellStyle name="40% - Accent6 12 2 2 2 5 2" xfId="43200" xr:uid="{8ADF4032-F31B-42AE-832B-740BD195BD86}"/>
    <cellStyle name="40% - Accent6 12 2 2 2 6" xfId="27320" xr:uid="{79094F44-CB67-45E9-9143-CAFB296989B4}"/>
    <cellStyle name="40% - Accent6 12 2 2 2_Exh G" xfId="3317" xr:uid="{00000000-0005-0000-0000-0000504E0000}"/>
    <cellStyle name="40% - Accent6 12 2 2 3" xfId="4267" xr:uid="{00000000-0005-0000-0000-0000514E0000}"/>
    <cellStyle name="40% - Accent6 12 2 2 3 2" xfId="7859" xr:uid="{00000000-0005-0000-0000-0000524E0000}"/>
    <cellStyle name="40% - Accent6 12 2 2 3 2 2" xfId="15829" xr:uid="{00000000-0005-0000-0000-0000534E0000}"/>
    <cellStyle name="40% - Accent6 12 2 2 3 2 2 2" xfId="39671" xr:uid="{BC1B86D1-C84D-4C55-AB24-8B7C2B9EBA6A}"/>
    <cellStyle name="40% - Accent6 12 2 2 3 2 3" xfId="23775" xr:uid="{00000000-0005-0000-0000-0000544E0000}"/>
    <cellStyle name="40% - Accent6 12 2 2 3 2 3 2" xfId="47607" xr:uid="{C8175389-33AF-480A-8AD6-12DE91BC4FC3}"/>
    <cellStyle name="40% - Accent6 12 2 2 3 2 4" xfId="31730" xr:uid="{C912A2F6-97D2-43B7-B1A5-86E35230F411}"/>
    <cellStyle name="40% - Accent6 12 2 2 3 3" xfId="12291" xr:uid="{00000000-0005-0000-0000-0000554E0000}"/>
    <cellStyle name="40% - Accent6 12 2 2 3 3 2" xfId="36140" xr:uid="{19B230C9-5277-411E-9FF9-5A9C4D2BD52B}"/>
    <cellStyle name="40% - Accent6 12 2 2 3 4" xfId="20246" xr:uid="{00000000-0005-0000-0000-0000564E0000}"/>
    <cellStyle name="40% - Accent6 12 2 2 3 4 2" xfId="44078" xr:uid="{736BE086-2DD1-4EE6-A8B3-968CCC9AE958}"/>
    <cellStyle name="40% - Accent6 12 2 2 3 5" xfId="28199" xr:uid="{DAFB93FC-AC47-4189-A0B4-1CFE6DBAF831}"/>
    <cellStyle name="40% - Accent6 12 2 2 4" xfId="6087" xr:uid="{00000000-0005-0000-0000-0000574E0000}"/>
    <cellStyle name="40% - Accent6 12 2 2 4 2" xfId="14070" xr:uid="{00000000-0005-0000-0000-0000584E0000}"/>
    <cellStyle name="40% - Accent6 12 2 2 4 2 2" xfId="37913" xr:uid="{1AD9F2F7-98F1-4DDA-8915-936AE89552EF}"/>
    <cellStyle name="40% - Accent6 12 2 2 4 3" xfId="22018" xr:uid="{00000000-0005-0000-0000-0000594E0000}"/>
    <cellStyle name="40% - Accent6 12 2 2 4 3 2" xfId="45850" xr:uid="{CD130710-E485-4C9F-80E0-B9D14471B363}"/>
    <cellStyle name="40% - Accent6 12 2 2 4 4" xfId="29972" xr:uid="{A7364623-9903-4E9C-9E72-316A00CE1A7B}"/>
    <cellStyle name="40% - Accent6 12 2 2 5" xfId="9639" xr:uid="{00000000-0005-0000-0000-00005A4E0000}"/>
    <cellStyle name="40% - Accent6 12 2 2 5 2" xfId="17597" xr:uid="{00000000-0005-0000-0000-00005B4E0000}"/>
    <cellStyle name="40% - Accent6 12 2 2 5 2 2" xfId="41437" xr:uid="{7ED82BA8-2756-4793-BD82-135723B5E63F}"/>
    <cellStyle name="40% - Accent6 12 2 2 5 3" xfId="25541" xr:uid="{00000000-0005-0000-0000-00005C4E0000}"/>
    <cellStyle name="40% - Accent6 12 2 2 5 3 2" xfId="49373" xr:uid="{C0BE43A8-4B9D-4B72-84E9-5B3E4E0DAE60}"/>
    <cellStyle name="40% - Accent6 12 2 2 5 4" xfId="33496" xr:uid="{D930F811-ECF1-4294-A516-048AE53C6165}"/>
    <cellStyle name="40% - Accent6 12 2 2 6" xfId="10535" xr:uid="{00000000-0005-0000-0000-00005D4E0000}"/>
    <cellStyle name="40% - Accent6 12 2 2 6 2" xfId="34384" xr:uid="{1174482C-47D5-4649-BAB5-383F9277FA94}"/>
    <cellStyle name="40% - Accent6 12 2 2 7" xfId="18490" xr:uid="{00000000-0005-0000-0000-00005E4E0000}"/>
    <cellStyle name="40% - Accent6 12 2 2 7 2" xfId="42322" xr:uid="{FC14F1FD-9B91-45B9-9A62-78B16EFFC07F}"/>
    <cellStyle name="40% - Accent6 12 2 2 8" xfId="26442" xr:uid="{60B79F44-A83B-4DD8-A850-900A3A2E9D42}"/>
    <cellStyle name="40% - Accent6 12 2 2_Exh G" xfId="3316" xr:uid="{00000000-0005-0000-0000-00005F4E0000}"/>
    <cellStyle name="40% - Accent6 12 2 3" xfId="1618" xr:uid="{00000000-0005-0000-0000-0000604E0000}"/>
    <cellStyle name="40% - Accent6 12 2 3 2" xfId="5145" xr:uid="{00000000-0005-0000-0000-0000614E0000}"/>
    <cellStyle name="40% - Accent6 12 2 3 2 2" xfId="8736" xr:uid="{00000000-0005-0000-0000-0000624E0000}"/>
    <cellStyle name="40% - Accent6 12 2 3 2 2 2" xfId="16706" xr:uid="{00000000-0005-0000-0000-0000634E0000}"/>
    <cellStyle name="40% - Accent6 12 2 3 2 2 2 2" xfId="40548" xr:uid="{6AA8C190-2301-4189-AEAE-416B2CC0BF4D}"/>
    <cellStyle name="40% - Accent6 12 2 3 2 2 3" xfId="24652" xr:uid="{00000000-0005-0000-0000-0000644E0000}"/>
    <cellStyle name="40% - Accent6 12 2 3 2 2 3 2" xfId="48484" xr:uid="{D4218ACF-C178-4416-BA0F-3E4FDB8B7FD5}"/>
    <cellStyle name="40% - Accent6 12 2 3 2 2 4" xfId="32607" xr:uid="{CAEACF78-B1FC-4C0A-9529-909CC50BF87C}"/>
    <cellStyle name="40% - Accent6 12 2 3 2 3" xfId="13168" xr:uid="{00000000-0005-0000-0000-0000654E0000}"/>
    <cellStyle name="40% - Accent6 12 2 3 2 3 2" xfId="37017" xr:uid="{67DFA8D8-C22A-49AD-9D02-D5B5CA85E025}"/>
    <cellStyle name="40% - Accent6 12 2 3 2 4" xfId="21123" xr:uid="{00000000-0005-0000-0000-0000664E0000}"/>
    <cellStyle name="40% - Accent6 12 2 3 2 4 2" xfId="44955" xr:uid="{A80DBBBA-125D-4A20-BAEE-D3A40BDDFDC6}"/>
    <cellStyle name="40% - Accent6 12 2 3 2 5" xfId="29076" xr:uid="{334AB455-0E2D-4272-B379-2F3F5442779D}"/>
    <cellStyle name="40% - Accent6 12 2 3 3" xfId="6977" xr:uid="{00000000-0005-0000-0000-0000674E0000}"/>
    <cellStyle name="40% - Accent6 12 2 3 3 2" xfId="14948" xr:uid="{00000000-0005-0000-0000-0000684E0000}"/>
    <cellStyle name="40% - Accent6 12 2 3 3 2 2" xfId="38790" xr:uid="{EDD819BD-2BD2-4921-A1AF-BE59629EBEF1}"/>
    <cellStyle name="40% - Accent6 12 2 3 3 3" xfId="22895" xr:uid="{00000000-0005-0000-0000-0000694E0000}"/>
    <cellStyle name="40% - Accent6 12 2 3 3 3 2" xfId="46727" xr:uid="{32CB583D-FE73-42A8-9095-97C41787B343}"/>
    <cellStyle name="40% - Accent6 12 2 3 3 4" xfId="30849" xr:uid="{56F2F341-F1D0-496D-8AC4-0481B8E0D3FF}"/>
    <cellStyle name="40% - Accent6 12 2 3 4" xfId="11412" xr:uid="{00000000-0005-0000-0000-00006A4E0000}"/>
    <cellStyle name="40% - Accent6 12 2 3 4 2" xfId="35261" xr:uid="{B23016A5-D426-4EC6-BB9E-7C72E445A1B9}"/>
    <cellStyle name="40% - Accent6 12 2 3 5" xfId="19367" xr:uid="{00000000-0005-0000-0000-00006B4E0000}"/>
    <cellStyle name="40% - Accent6 12 2 3 5 2" xfId="43199" xr:uid="{1B259A7D-D47F-4844-9307-D1E849C543CE}"/>
    <cellStyle name="40% - Accent6 12 2 3 6" xfId="27319" xr:uid="{83338F7C-B3DF-415B-AD29-64896311A037}"/>
    <cellStyle name="40% - Accent6 12 2 3_Exh G" xfId="3318" xr:uid="{00000000-0005-0000-0000-00006C4E0000}"/>
    <cellStyle name="40% - Accent6 12 2 4" xfId="4266" xr:uid="{00000000-0005-0000-0000-00006D4E0000}"/>
    <cellStyle name="40% - Accent6 12 2 4 2" xfId="7858" xr:uid="{00000000-0005-0000-0000-00006E4E0000}"/>
    <cellStyle name="40% - Accent6 12 2 4 2 2" xfId="15828" xr:uid="{00000000-0005-0000-0000-00006F4E0000}"/>
    <cellStyle name="40% - Accent6 12 2 4 2 2 2" xfId="39670" xr:uid="{B604F74A-D90B-4653-A928-B54CABF76BFB}"/>
    <cellStyle name="40% - Accent6 12 2 4 2 3" xfId="23774" xr:uid="{00000000-0005-0000-0000-0000704E0000}"/>
    <cellStyle name="40% - Accent6 12 2 4 2 3 2" xfId="47606" xr:uid="{AB26A4BE-08F4-4E49-9EAA-17CF0BD65471}"/>
    <cellStyle name="40% - Accent6 12 2 4 2 4" xfId="31729" xr:uid="{CCBC793D-B8E6-4479-937B-B01A7F943A51}"/>
    <cellStyle name="40% - Accent6 12 2 4 3" xfId="12290" xr:uid="{00000000-0005-0000-0000-0000714E0000}"/>
    <cellStyle name="40% - Accent6 12 2 4 3 2" xfId="36139" xr:uid="{C0BB5CBA-5BAB-4689-AE3A-BDC55BBEE174}"/>
    <cellStyle name="40% - Accent6 12 2 4 4" xfId="20245" xr:uid="{00000000-0005-0000-0000-0000724E0000}"/>
    <cellStyle name="40% - Accent6 12 2 4 4 2" xfId="44077" xr:uid="{DEEA99DA-371A-4EC7-B48A-1B395DAB1D9B}"/>
    <cellStyle name="40% - Accent6 12 2 4 5" xfId="28198" xr:uid="{460F1B8E-9C0C-48C5-88BF-EDBCEA1BA08B}"/>
    <cellStyle name="40% - Accent6 12 2 5" xfId="6086" xr:uid="{00000000-0005-0000-0000-0000734E0000}"/>
    <cellStyle name="40% - Accent6 12 2 5 2" xfId="14069" xr:uid="{00000000-0005-0000-0000-0000744E0000}"/>
    <cellStyle name="40% - Accent6 12 2 5 2 2" xfId="37912" xr:uid="{EDF6898F-808F-4A36-AA0B-55A7FC7F24F6}"/>
    <cellStyle name="40% - Accent6 12 2 5 3" xfId="22017" xr:uid="{00000000-0005-0000-0000-0000754E0000}"/>
    <cellStyle name="40% - Accent6 12 2 5 3 2" xfId="45849" xr:uid="{B700D6DF-EBCD-45AD-83FA-FD4EE37F9F80}"/>
    <cellStyle name="40% - Accent6 12 2 5 4" xfId="29971" xr:uid="{6E6B8193-05AC-4B98-B314-605076D2FABB}"/>
    <cellStyle name="40% - Accent6 12 2 6" xfId="9638" xr:uid="{00000000-0005-0000-0000-0000764E0000}"/>
    <cellStyle name="40% - Accent6 12 2 6 2" xfId="17596" xr:uid="{00000000-0005-0000-0000-0000774E0000}"/>
    <cellStyle name="40% - Accent6 12 2 6 2 2" xfId="41436" xr:uid="{D2F54594-532D-44AE-B952-ACA3927FC91B}"/>
    <cellStyle name="40% - Accent6 12 2 6 3" xfId="25540" xr:uid="{00000000-0005-0000-0000-0000784E0000}"/>
    <cellStyle name="40% - Accent6 12 2 6 3 2" xfId="49372" xr:uid="{2675CA8C-CDE2-423B-81C1-CB254A688ABD}"/>
    <cellStyle name="40% - Accent6 12 2 6 4" xfId="33495" xr:uid="{EE0C75CC-DEDB-4AF7-9151-16299E7FBD30}"/>
    <cellStyle name="40% - Accent6 12 2 7" xfId="10534" xr:uid="{00000000-0005-0000-0000-0000794E0000}"/>
    <cellStyle name="40% - Accent6 12 2 7 2" xfId="34383" xr:uid="{9BC2FC3F-6D65-4F56-8E5C-C99782D2F3CD}"/>
    <cellStyle name="40% - Accent6 12 2 8" xfId="18489" xr:uid="{00000000-0005-0000-0000-00007A4E0000}"/>
    <cellStyle name="40% - Accent6 12 2 8 2" xfId="42321" xr:uid="{7E45734B-7C15-4000-8652-55A7F1A35CD5}"/>
    <cellStyle name="40% - Accent6 12 2 9" xfId="26441" xr:uid="{779D421B-7213-48EC-805D-4F21AF7219A0}"/>
    <cellStyle name="40% - Accent6 12 2_Exh G" xfId="3315" xr:uid="{00000000-0005-0000-0000-00007B4E0000}"/>
    <cellStyle name="40% - Accent6 12 3" xfId="594" xr:uid="{00000000-0005-0000-0000-00007C4E0000}"/>
    <cellStyle name="40% - Accent6 12 3 2" xfId="1620" xr:uid="{00000000-0005-0000-0000-00007D4E0000}"/>
    <cellStyle name="40% - Accent6 12 3 2 2" xfId="5147" xr:uid="{00000000-0005-0000-0000-00007E4E0000}"/>
    <cellStyle name="40% - Accent6 12 3 2 2 2" xfId="8738" xr:uid="{00000000-0005-0000-0000-00007F4E0000}"/>
    <cellStyle name="40% - Accent6 12 3 2 2 2 2" xfId="16708" xr:uid="{00000000-0005-0000-0000-0000804E0000}"/>
    <cellStyle name="40% - Accent6 12 3 2 2 2 2 2" xfId="40550" xr:uid="{AF9F1937-D4C7-4CB5-B866-2A1741793F8C}"/>
    <cellStyle name="40% - Accent6 12 3 2 2 2 3" xfId="24654" xr:uid="{00000000-0005-0000-0000-0000814E0000}"/>
    <cellStyle name="40% - Accent6 12 3 2 2 2 3 2" xfId="48486" xr:uid="{B1B2E8C0-E977-4479-A96A-18B224F12F04}"/>
    <cellStyle name="40% - Accent6 12 3 2 2 2 4" xfId="32609" xr:uid="{DFA9E4F6-38DF-4A4B-9513-37DA84089FD9}"/>
    <cellStyle name="40% - Accent6 12 3 2 2 3" xfId="13170" xr:uid="{00000000-0005-0000-0000-0000824E0000}"/>
    <cellStyle name="40% - Accent6 12 3 2 2 3 2" xfId="37019" xr:uid="{88767EA5-EF8A-4209-ABC5-7A38C65DC1C1}"/>
    <cellStyle name="40% - Accent6 12 3 2 2 4" xfId="21125" xr:uid="{00000000-0005-0000-0000-0000834E0000}"/>
    <cellStyle name="40% - Accent6 12 3 2 2 4 2" xfId="44957" xr:uid="{B8187AA5-F9AC-45E2-9549-C583B4E498A9}"/>
    <cellStyle name="40% - Accent6 12 3 2 2 5" xfId="29078" xr:uid="{FC662CD0-3031-4637-9A41-234F72D75CB9}"/>
    <cellStyle name="40% - Accent6 12 3 2 3" xfId="6979" xr:uid="{00000000-0005-0000-0000-0000844E0000}"/>
    <cellStyle name="40% - Accent6 12 3 2 3 2" xfId="14950" xr:uid="{00000000-0005-0000-0000-0000854E0000}"/>
    <cellStyle name="40% - Accent6 12 3 2 3 2 2" xfId="38792" xr:uid="{37EB941C-8467-41B3-905F-A72CF357F9BE}"/>
    <cellStyle name="40% - Accent6 12 3 2 3 3" xfId="22897" xr:uid="{00000000-0005-0000-0000-0000864E0000}"/>
    <cellStyle name="40% - Accent6 12 3 2 3 3 2" xfId="46729" xr:uid="{22E938C8-083D-40BC-B871-0A4CF9F596E8}"/>
    <cellStyle name="40% - Accent6 12 3 2 3 4" xfId="30851" xr:uid="{BA22233D-45BC-4025-B991-30C03019589D}"/>
    <cellStyle name="40% - Accent6 12 3 2 4" xfId="11414" xr:uid="{00000000-0005-0000-0000-0000874E0000}"/>
    <cellStyle name="40% - Accent6 12 3 2 4 2" xfId="35263" xr:uid="{7BD8FB5F-521B-47A9-B5ED-124C8570CF6D}"/>
    <cellStyle name="40% - Accent6 12 3 2 5" xfId="19369" xr:uid="{00000000-0005-0000-0000-0000884E0000}"/>
    <cellStyle name="40% - Accent6 12 3 2 5 2" xfId="43201" xr:uid="{26F2FB4F-7F36-40A9-B306-68993E6512EC}"/>
    <cellStyle name="40% - Accent6 12 3 2 6" xfId="27321" xr:uid="{CC59A57A-B85E-4041-B73C-2A70B7841C52}"/>
    <cellStyle name="40% - Accent6 12 3 2_Exh G" xfId="3320" xr:uid="{00000000-0005-0000-0000-0000894E0000}"/>
    <cellStyle name="40% - Accent6 12 3 3" xfId="4268" xr:uid="{00000000-0005-0000-0000-00008A4E0000}"/>
    <cellStyle name="40% - Accent6 12 3 3 2" xfId="7860" xr:uid="{00000000-0005-0000-0000-00008B4E0000}"/>
    <cellStyle name="40% - Accent6 12 3 3 2 2" xfId="15830" xr:uid="{00000000-0005-0000-0000-00008C4E0000}"/>
    <cellStyle name="40% - Accent6 12 3 3 2 2 2" xfId="39672" xr:uid="{31963C68-E3B3-4D53-8394-1BD2ACDC1E29}"/>
    <cellStyle name="40% - Accent6 12 3 3 2 3" xfId="23776" xr:uid="{00000000-0005-0000-0000-00008D4E0000}"/>
    <cellStyle name="40% - Accent6 12 3 3 2 3 2" xfId="47608" xr:uid="{7D16B79A-C184-4060-AC4A-712741A557D4}"/>
    <cellStyle name="40% - Accent6 12 3 3 2 4" xfId="31731" xr:uid="{927A3AC6-5793-40D7-BBBF-55D4BCA2562A}"/>
    <cellStyle name="40% - Accent6 12 3 3 3" xfId="12292" xr:uid="{00000000-0005-0000-0000-00008E4E0000}"/>
    <cellStyle name="40% - Accent6 12 3 3 3 2" xfId="36141" xr:uid="{DFDAC0FE-A652-4BBC-BABA-5FFAE046DCA0}"/>
    <cellStyle name="40% - Accent6 12 3 3 4" xfId="20247" xr:uid="{00000000-0005-0000-0000-00008F4E0000}"/>
    <cellStyle name="40% - Accent6 12 3 3 4 2" xfId="44079" xr:uid="{BDF78CC8-7EAD-4A70-B38B-C9F9DB34D3D8}"/>
    <cellStyle name="40% - Accent6 12 3 3 5" xfId="28200" xr:uid="{C48F767F-1224-4CFB-9B5B-748913120676}"/>
    <cellStyle name="40% - Accent6 12 3 4" xfId="6088" xr:uid="{00000000-0005-0000-0000-0000904E0000}"/>
    <cellStyle name="40% - Accent6 12 3 4 2" xfId="14071" xr:uid="{00000000-0005-0000-0000-0000914E0000}"/>
    <cellStyle name="40% - Accent6 12 3 4 2 2" xfId="37914" xr:uid="{BEF52A95-35BA-4944-9AE4-645E833211DD}"/>
    <cellStyle name="40% - Accent6 12 3 4 3" xfId="22019" xr:uid="{00000000-0005-0000-0000-0000924E0000}"/>
    <cellStyle name="40% - Accent6 12 3 4 3 2" xfId="45851" xr:uid="{3D87E29C-3E18-4173-BF86-FA173F8EB80C}"/>
    <cellStyle name="40% - Accent6 12 3 4 4" xfId="29973" xr:uid="{656F6EA9-D178-45BA-904D-2D3147103032}"/>
    <cellStyle name="40% - Accent6 12 3 5" xfId="9640" xr:uid="{00000000-0005-0000-0000-0000934E0000}"/>
    <cellStyle name="40% - Accent6 12 3 5 2" xfId="17598" xr:uid="{00000000-0005-0000-0000-0000944E0000}"/>
    <cellStyle name="40% - Accent6 12 3 5 2 2" xfId="41438" xr:uid="{2D37AD5D-1909-419B-B482-49AC25BE10C5}"/>
    <cellStyle name="40% - Accent6 12 3 5 3" xfId="25542" xr:uid="{00000000-0005-0000-0000-0000954E0000}"/>
    <cellStyle name="40% - Accent6 12 3 5 3 2" xfId="49374" xr:uid="{CCB5D460-CF55-4CAD-AAA8-867FCB0CD895}"/>
    <cellStyle name="40% - Accent6 12 3 5 4" xfId="33497" xr:uid="{6507054F-C4D2-4840-9275-2DDCA9698A8E}"/>
    <cellStyle name="40% - Accent6 12 3 6" xfId="10536" xr:uid="{00000000-0005-0000-0000-0000964E0000}"/>
    <cellStyle name="40% - Accent6 12 3 6 2" xfId="34385" xr:uid="{DF54314E-6892-4273-AB60-EEA6A997B844}"/>
    <cellStyle name="40% - Accent6 12 3 7" xfId="18491" xr:uid="{00000000-0005-0000-0000-0000974E0000}"/>
    <cellStyle name="40% - Accent6 12 3 7 2" xfId="42323" xr:uid="{9523C2CD-320A-4B9A-AFC6-9A764AF17C0B}"/>
    <cellStyle name="40% - Accent6 12 3 8" xfId="26443" xr:uid="{28BABC4E-B440-4C85-869D-624FE6B9D0D8}"/>
    <cellStyle name="40% - Accent6 12 3_Exh G" xfId="3319" xr:uid="{00000000-0005-0000-0000-0000984E0000}"/>
    <cellStyle name="40% - Accent6 12 4" xfId="1617" xr:uid="{00000000-0005-0000-0000-0000994E0000}"/>
    <cellStyle name="40% - Accent6 12 4 2" xfId="5144" xr:uid="{00000000-0005-0000-0000-00009A4E0000}"/>
    <cellStyle name="40% - Accent6 12 4 2 2" xfId="8735" xr:uid="{00000000-0005-0000-0000-00009B4E0000}"/>
    <cellStyle name="40% - Accent6 12 4 2 2 2" xfId="16705" xr:uid="{00000000-0005-0000-0000-00009C4E0000}"/>
    <cellStyle name="40% - Accent6 12 4 2 2 2 2" xfId="40547" xr:uid="{803D257E-7E12-4DF4-8F54-48664A03258D}"/>
    <cellStyle name="40% - Accent6 12 4 2 2 3" xfId="24651" xr:uid="{00000000-0005-0000-0000-00009D4E0000}"/>
    <cellStyle name="40% - Accent6 12 4 2 2 3 2" xfId="48483" xr:uid="{F797AD22-8B76-48D3-98AE-76BBE4784159}"/>
    <cellStyle name="40% - Accent6 12 4 2 2 4" xfId="32606" xr:uid="{275EAC53-C9E7-49A2-A712-455126F6FB3E}"/>
    <cellStyle name="40% - Accent6 12 4 2 3" xfId="13167" xr:uid="{00000000-0005-0000-0000-00009E4E0000}"/>
    <cellStyle name="40% - Accent6 12 4 2 3 2" xfId="37016" xr:uid="{10D16F25-D21A-4869-B985-B176667758C9}"/>
    <cellStyle name="40% - Accent6 12 4 2 4" xfId="21122" xr:uid="{00000000-0005-0000-0000-00009F4E0000}"/>
    <cellStyle name="40% - Accent6 12 4 2 4 2" xfId="44954" xr:uid="{B666E84A-AAC2-4FDD-86A0-01BC2A143CDC}"/>
    <cellStyle name="40% - Accent6 12 4 2 5" xfId="29075" xr:uid="{5A29F785-9036-4024-BB7E-BF610EED5B42}"/>
    <cellStyle name="40% - Accent6 12 4 3" xfId="6976" xr:uid="{00000000-0005-0000-0000-0000A04E0000}"/>
    <cellStyle name="40% - Accent6 12 4 3 2" xfId="14947" xr:uid="{00000000-0005-0000-0000-0000A14E0000}"/>
    <cellStyle name="40% - Accent6 12 4 3 2 2" xfId="38789" xr:uid="{07FDF0F0-B120-44D4-9C14-9689701B860B}"/>
    <cellStyle name="40% - Accent6 12 4 3 3" xfId="22894" xr:uid="{00000000-0005-0000-0000-0000A24E0000}"/>
    <cellStyle name="40% - Accent6 12 4 3 3 2" xfId="46726" xr:uid="{A08EB1B4-49EA-4E4A-BFDB-F627A4BD3F45}"/>
    <cellStyle name="40% - Accent6 12 4 3 4" xfId="30848" xr:uid="{5586122F-E3E7-41F9-8480-7F8E88730DA7}"/>
    <cellStyle name="40% - Accent6 12 4 4" xfId="11411" xr:uid="{00000000-0005-0000-0000-0000A34E0000}"/>
    <cellStyle name="40% - Accent6 12 4 4 2" xfId="35260" xr:uid="{4ABE757F-6295-4F2E-9950-0521578CF3F6}"/>
    <cellStyle name="40% - Accent6 12 4 5" xfId="19366" xr:uid="{00000000-0005-0000-0000-0000A44E0000}"/>
    <cellStyle name="40% - Accent6 12 4 5 2" xfId="43198" xr:uid="{3E990BF7-0920-4F38-806B-681CD4DA7FD6}"/>
    <cellStyle name="40% - Accent6 12 4 6" xfId="27318" xr:uid="{09219B32-2B38-4249-90A9-BA998C832343}"/>
    <cellStyle name="40% - Accent6 12 4_Exh G" xfId="3321" xr:uid="{00000000-0005-0000-0000-0000A54E0000}"/>
    <cellStyle name="40% - Accent6 12 5" xfId="4265" xr:uid="{00000000-0005-0000-0000-0000A64E0000}"/>
    <cellStyle name="40% - Accent6 12 5 2" xfId="7857" xr:uid="{00000000-0005-0000-0000-0000A74E0000}"/>
    <cellStyle name="40% - Accent6 12 5 2 2" xfId="15827" xr:uid="{00000000-0005-0000-0000-0000A84E0000}"/>
    <cellStyle name="40% - Accent6 12 5 2 2 2" xfId="39669" xr:uid="{6F292139-5F6A-4E2C-8099-A2E1F9660534}"/>
    <cellStyle name="40% - Accent6 12 5 2 3" xfId="23773" xr:uid="{00000000-0005-0000-0000-0000A94E0000}"/>
    <cellStyle name="40% - Accent6 12 5 2 3 2" xfId="47605" xr:uid="{44A4F26A-8786-49A9-8A73-BD67CA0836F7}"/>
    <cellStyle name="40% - Accent6 12 5 2 4" xfId="31728" xr:uid="{486BB3FF-23C6-42F1-A9C9-D7EDBC45446C}"/>
    <cellStyle name="40% - Accent6 12 5 3" xfId="12289" xr:uid="{00000000-0005-0000-0000-0000AA4E0000}"/>
    <cellStyle name="40% - Accent6 12 5 3 2" xfId="36138" xr:uid="{47D6E677-AC3F-46D6-8D6B-439B604B977B}"/>
    <cellStyle name="40% - Accent6 12 5 4" xfId="20244" xr:uid="{00000000-0005-0000-0000-0000AB4E0000}"/>
    <cellStyle name="40% - Accent6 12 5 4 2" xfId="44076" xr:uid="{69E590E1-5243-4B87-B925-7824A1956C16}"/>
    <cellStyle name="40% - Accent6 12 5 5" xfId="28197" xr:uid="{0B07C1BB-B18B-4A83-BDB7-587404CFBC55}"/>
    <cellStyle name="40% - Accent6 12 6" xfId="6085" xr:uid="{00000000-0005-0000-0000-0000AC4E0000}"/>
    <cellStyle name="40% - Accent6 12 6 2" xfId="14068" xr:uid="{00000000-0005-0000-0000-0000AD4E0000}"/>
    <cellStyle name="40% - Accent6 12 6 2 2" xfId="37911" xr:uid="{65688D79-1190-4AF4-A853-E38B9F5E0455}"/>
    <cellStyle name="40% - Accent6 12 6 3" xfId="22016" xr:uid="{00000000-0005-0000-0000-0000AE4E0000}"/>
    <cellStyle name="40% - Accent6 12 6 3 2" xfId="45848" xr:uid="{7AB81C59-0502-48E0-AA8A-59887CAD0401}"/>
    <cellStyle name="40% - Accent6 12 6 4" xfId="29970" xr:uid="{CBB2D579-52F7-478F-B8B7-6D3EB5597D51}"/>
    <cellStyle name="40% - Accent6 12 7" xfId="9637" xr:uid="{00000000-0005-0000-0000-0000AF4E0000}"/>
    <cellStyle name="40% - Accent6 12 7 2" xfId="17595" xr:uid="{00000000-0005-0000-0000-0000B04E0000}"/>
    <cellStyle name="40% - Accent6 12 7 2 2" xfId="41435" xr:uid="{7D55C233-E6E3-48CC-98E0-A9F68CF3EE4D}"/>
    <cellStyle name="40% - Accent6 12 7 3" xfId="25539" xr:uid="{00000000-0005-0000-0000-0000B14E0000}"/>
    <cellStyle name="40% - Accent6 12 7 3 2" xfId="49371" xr:uid="{B49DBB0A-3316-4CA1-9047-24B1260FE041}"/>
    <cellStyle name="40% - Accent6 12 7 4" xfId="33494" xr:uid="{3653BD26-F221-4C9D-86C1-4C6308369CF5}"/>
    <cellStyle name="40% - Accent6 12 8" xfId="10533" xr:uid="{00000000-0005-0000-0000-0000B24E0000}"/>
    <cellStyle name="40% - Accent6 12 8 2" xfId="34382" xr:uid="{1BA8D7EE-1483-43DE-83B8-B27F0545F6A6}"/>
    <cellStyle name="40% - Accent6 12 9" xfId="18488" xr:uid="{00000000-0005-0000-0000-0000B34E0000}"/>
    <cellStyle name="40% - Accent6 12 9 2" xfId="42320" xr:uid="{C22BC1ED-AE57-43AF-9E15-902386CAAC75}"/>
    <cellStyle name="40% - Accent6 12_Exh G" xfId="3314" xr:uid="{00000000-0005-0000-0000-0000B44E0000}"/>
    <cellStyle name="40% - Accent6 13" xfId="595" xr:uid="{00000000-0005-0000-0000-0000B54E0000}"/>
    <cellStyle name="40% - Accent6 13 10" xfId="26444" xr:uid="{BD8FF37D-1E8C-4B1A-99EB-01AB4C6172BB}"/>
    <cellStyle name="40% - Accent6 13 2" xfId="596" xr:uid="{00000000-0005-0000-0000-0000B64E0000}"/>
    <cellStyle name="40% - Accent6 13 2 2" xfId="597" xr:uid="{00000000-0005-0000-0000-0000B74E0000}"/>
    <cellStyle name="40% - Accent6 13 2 2 2" xfId="1623" xr:uid="{00000000-0005-0000-0000-0000B84E0000}"/>
    <cellStyle name="40% - Accent6 13 2 2 2 2" xfId="5150" xr:uid="{00000000-0005-0000-0000-0000B94E0000}"/>
    <cellStyle name="40% - Accent6 13 2 2 2 2 2" xfId="8741" xr:uid="{00000000-0005-0000-0000-0000BA4E0000}"/>
    <cellStyle name="40% - Accent6 13 2 2 2 2 2 2" xfId="16711" xr:uid="{00000000-0005-0000-0000-0000BB4E0000}"/>
    <cellStyle name="40% - Accent6 13 2 2 2 2 2 2 2" xfId="40553" xr:uid="{687EA56E-1FA6-483E-A77A-D695BA4019C7}"/>
    <cellStyle name="40% - Accent6 13 2 2 2 2 2 3" xfId="24657" xr:uid="{00000000-0005-0000-0000-0000BC4E0000}"/>
    <cellStyle name="40% - Accent6 13 2 2 2 2 2 3 2" xfId="48489" xr:uid="{BBF95A95-B010-48BE-A415-21C4A2F7817F}"/>
    <cellStyle name="40% - Accent6 13 2 2 2 2 2 4" xfId="32612" xr:uid="{9461BA1B-1C6E-45D4-A53F-D870B6C146DA}"/>
    <cellStyle name="40% - Accent6 13 2 2 2 2 3" xfId="13173" xr:uid="{00000000-0005-0000-0000-0000BD4E0000}"/>
    <cellStyle name="40% - Accent6 13 2 2 2 2 3 2" xfId="37022" xr:uid="{4857CBCC-D255-4386-991C-AFB780F680B2}"/>
    <cellStyle name="40% - Accent6 13 2 2 2 2 4" xfId="21128" xr:uid="{00000000-0005-0000-0000-0000BE4E0000}"/>
    <cellStyle name="40% - Accent6 13 2 2 2 2 4 2" xfId="44960" xr:uid="{FDC75A8B-0C2E-4D74-9C3C-E76DD6394BB2}"/>
    <cellStyle name="40% - Accent6 13 2 2 2 2 5" xfId="29081" xr:uid="{8134DD7F-7C1B-4661-9CDF-6D0002C0514F}"/>
    <cellStyle name="40% - Accent6 13 2 2 2 3" xfId="6982" xr:uid="{00000000-0005-0000-0000-0000BF4E0000}"/>
    <cellStyle name="40% - Accent6 13 2 2 2 3 2" xfId="14953" xr:uid="{00000000-0005-0000-0000-0000C04E0000}"/>
    <cellStyle name="40% - Accent6 13 2 2 2 3 2 2" xfId="38795" xr:uid="{FF4A03C4-B56E-43B2-9ED9-5A5153E2C2C5}"/>
    <cellStyle name="40% - Accent6 13 2 2 2 3 3" xfId="22900" xr:uid="{00000000-0005-0000-0000-0000C14E0000}"/>
    <cellStyle name="40% - Accent6 13 2 2 2 3 3 2" xfId="46732" xr:uid="{E398AF1B-C3B2-4B9E-98AA-2FAE37BF27AE}"/>
    <cellStyle name="40% - Accent6 13 2 2 2 3 4" xfId="30854" xr:uid="{C87F0359-4393-4760-BF25-78CE426F64B1}"/>
    <cellStyle name="40% - Accent6 13 2 2 2 4" xfId="11417" xr:uid="{00000000-0005-0000-0000-0000C24E0000}"/>
    <cellStyle name="40% - Accent6 13 2 2 2 4 2" xfId="35266" xr:uid="{9FC0424F-0746-4E4F-BDF1-FAA7053FCF9C}"/>
    <cellStyle name="40% - Accent6 13 2 2 2 5" xfId="19372" xr:uid="{00000000-0005-0000-0000-0000C34E0000}"/>
    <cellStyle name="40% - Accent6 13 2 2 2 5 2" xfId="43204" xr:uid="{A28346E1-7CCC-4699-9E11-79156EA1BEFB}"/>
    <cellStyle name="40% - Accent6 13 2 2 2 6" xfId="27324" xr:uid="{FDC04EDC-1FD2-4919-98E9-35D6AACEC64F}"/>
    <cellStyle name="40% - Accent6 13 2 2 2_Exh G" xfId="3325" xr:uid="{00000000-0005-0000-0000-0000C44E0000}"/>
    <cellStyle name="40% - Accent6 13 2 2 3" xfId="4271" xr:uid="{00000000-0005-0000-0000-0000C54E0000}"/>
    <cellStyle name="40% - Accent6 13 2 2 3 2" xfId="7863" xr:uid="{00000000-0005-0000-0000-0000C64E0000}"/>
    <cellStyle name="40% - Accent6 13 2 2 3 2 2" xfId="15833" xr:uid="{00000000-0005-0000-0000-0000C74E0000}"/>
    <cellStyle name="40% - Accent6 13 2 2 3 2 2 2" xfId="39675" xr:uid="{85345EAF-CF1F-4F9B-823F-FC0A2FEE606A}"/>
    <cellStyle name="40% - Accent6 13 2 2 3 2 3" xfId="23779" xr:uid="{00000000-0005-0000-0000-0000C84E0000}"/>
    <cellStyle name="40% - Accent6 13 2 2 3 2 3 2" xfId="47611" xr:uid="{65AA3BD9-7A0F-40EC-B03A-A6CBCD048E99}"/>
    <cellStyle name="40% - Accent6 13 2 2 3 2 4" xfId="31734" xr:uid="{3862C4B9-BDAA-44F1-B9F1-78FC2484C5A1}"/>
    <cellStyle name="40% - Accent6 13 2 2 3 3" xfId="12295" xr:uid="{00000000-0005-0000-0000-0000C94E0000}"/>
    <cellStyle name="40% - Accent6 13 2 2 3 3 2" xfId="36144" xr:uid="{3BAD96AB-D574-4049-996D-4A6103A50B16}"/>
    <cellStyle name="40% - Accent6 13 2 2 3 4" xfId="20250" xr:uid="{00000000-0005-0000-0000-0000CA4E0000}"/>
    <cellStyle name="40% - Accent6 13 2 2 3 4 2" xfId="44082" xr:uid="{F0BF1981-3A3B-48D4-BB51-86331DA49E70}"/>
    <cellStyle name="40% - Accent6 13 2 2 3 5" xfId="28203" xr:uid="{7298E4DF-5DCF-4A05-9BBE-9ED8C707DB74}"/>
    <cellStyle name="40% - Accent6 13 2 2 4" xfId="6091" xr:uid="{00000000-0005-0000-0000-0000CB4E0000}"/>
    <cellStyle name="40% - Accent6 13 2 2 4 2" xfId="14074" xr:uid="{00000000-0005-0000-0000-0000CC4E0000}"/>
    <cellStyle name="40% - Accent6 13 2 2 4 2 2" xfId="37917" xr:uid="{C38EAA28-E7F4-459E-A644-BD355214B00B}"/>
    <cellStyle name="40% - Accent6 13 2 2 4 3" xfId="22022" xr:uid="{00000000-0005-0000-0000-0000CD4E0000}"/>
    <cellStyle name="40% - Accent6 13 2 2 4 3 2" xfId="45854" xr:uid="{3C61CD33-ACA9-452D-8A7E-2452CA35CD76}"/>
    <cellStyle name="40% - Accent6 13 2 2 4 4" xfId="29976" xr:uid="{56C97C2C-ACBB-41A0-8C27-DF0085D4403B}"/>
    <cellStyle name="40% - Accent6 13 2 2 5" xfId="9643" xr:uid="{00000000-0005-0000-0000-0000CE4E0000}"/>
    <cellStyle name="40% - Accent6 13 2 2 5 2" xfId="17601" xr:uid="{00000000-0005-0000-0000-0000CF4E0000}"/>
    <cellStyle name="40% - Accent6 13 2 2 5 2 2" xfId="41441" xr:uid="{8BE12EFE-E946-48B5-B709-9DBAAAFD3F6B}"/>
    <cellStyle name="40% - Accent6 13 2 2 5 3" xfId="25545" xr:uid="{00000000-0005-0000-0000-0000D04E0000}"/>
    <cellStyle name="40% - Accent6 13 2 2 5 3 2" xfId="49377" xr:uid="{059EBFF4-65A3-404F-8318-5CEB1694C442}"/>
    <cellStyle name="40% - Accent6 13 2 2 5 4" xfId="33500" xr:uid="{7AE4A69B-EE44-4332-A540-FC75B7531B7C}"/>
    <cellStyle name="40% - Accent6 13 2 2 6" xfId="10539" xr:uid="{00000000-0005-0000-0000-0000D14E0000}"/>
    <cellStyle name="40% - Accent6 13 2 2 6 2" xfId="34388" xr:uid="{C0C87A0D-7C95-4926-B344-D08895F9CD95}"/>
    <cellStyle name="40% - Accent6 13 2 2 7" xfId="18494" xr:uid="{00000000-0005-0000-0000-0000D24E0000}"/>
    <cellStyle name="40% - Accent6 13 2 2 7 2" xfId="42326" xr:uid="{39871377-2FAA-4DBC-8C51-8E6756B7946A}"/>
    <cellStyle name="40% - Accent6 13 2 2 8" xfId="26446" xr:uid="{2C3E9769-00FB-474C-94E5-2CB0D5C34A95}"/>
    <cellStyle name="40% - Accent6 13 2 2_Exh G" xfId="3324" xr:uid="{00000000-0005-0000-0000-0000D34E0000}"/>
    <cellStyle name="40% - Accent6 13 2 3" xfId="1622" xr:uid="{00000000-0005-0000-0000-0000D44E0000}"/>
    <cellStyle name="40% - Accent6 13 2 3 2" xfId="5149" xr:uid="{00000000-0005-0000-0000-0000D54E0000}"/>
    <cellStyle name="40% - Accent6 13 2 3 2 2" xfId="8740" xr:uid="{00000000-0005-0000-0000-0000D64E0000}"/>
    <cellStyle name="40% - Accent6 13 2 3 2 2 2" xfId="16710" xr:uid="{00000000-0005-0000-0000-0000D74E0000}"/>
    <cellStyle name="40% - Accent6 13 2 3 2 2 2 2" xfId="40552" xr:uid="{110A90FC-FF9F-481C-8956-FFC0D8C9C9FA}"/>
    <cellStyle name="40% - Accent6 13 2 3 2 2 3" xfId="24656" xr:uid="{00000000-0005-0000-0000-0000D84E0000}"/>
    <cellStyle name="40% - Accent6 13 2 3 2 2 3 2" xfId="48488" xr:uid="{E30FAA49-BFA2-4494-B81A-46E5D778DE50}"/>
    <cellStyle name="40% - Accent6 13 2 3 2 2 4" xfId="32611" xr:uid="{8D85E1B2-5BEA-4737-B565-B0B6B81DD2DF}"/>
    <cellStyle name="40% - Accent6 13 2 3 2 3" xfId="13172" xr:uid="{00000000-0005-0000-0000-0000D94E0000}"/>
    <cellStyle name="40% - Accent6 13 2 3 2 3 2" xfId="37021" xr:uid="{22C1BC09-0FAF-413E-98F5-0166B3E0A228}"/>
    <cellStyle name="40% - Accent6 13 2 3 2 4" xfId="21127" xr:uid="{00000000-0005-0000-0000-0000DA4E0000}"/>
    <cellStyle name="40% - Accent6 13 2 3 2 4 2" xfId="44959" xr:uid="{8B8D96F7-9E84-4D69-9E4B-AD85710D1BA8}"/>
    <cellStyle name="40% - Accent6 13 2 3 2 5" xfId="29080" xr:uid="{8D95D218-8B60-40AF-8BF9-BD34F1C06675}"/>
    <cellStyle name="40% - Accent6 13 2 3 3" xfId="6981" xr:uid="{00000000-0005-0000-0000-0000DB4E0000}"/>
    <cellStyle name="40% - Accent6 13 2 3 3 2" xfId="14952" xr:uid="{00000000-0005-0000-0000-0000DC4E0000}"/>
    <cellStyle name="40% - Accent6 13 2 3 3 2 2" xfId="38794" xr:uid="{95E19137-B0A6-4ABD-8C68-D0E57EC03C65}"/>
    <cellStyle name="40% - Accent6 13 2 3 3 3" xfId="22899" xr:uid="{00000000-0005-0000-0000-0000DD4E0000}"/>
    <cellStyle name="40% - Accent6 13 2 3 3 3 2" xfId="46731" xr:uid="{D67DB538-4F33-4367-8D1C-B9F2844BD56E}"/>
    <cellStyle name="40% - Accent6 13 2 3 3 4" xfId="30853" xr:uid="{0DB19163-2E35-4805-BE9B-6CAEADE3A1FA}"/>
    <cellStyle name="40% - Accent6 13 2 3 4" xfId="11416" xr:uid="{00000000-0005-0000-0000-0000DE4E0000}"/>
    <cellStyle name="40% - Accent6 13 2 3 4 2" xfId="35265" xr:uid="{FA5A838B-0BDA-47E8-A96E-212258789F39}"/>
    <cellStyle name="40% - Accent6 13 2 3 5" xfId="19371" xr:uid="{00000000-0005-0000-0000-0000DF4E0000}"/>
    <cellStyle name="40% - Accent6 13 2 3 5 2" xfId="43203" xr:uid="{7CBC8007-D8FB-4D8F-BEBA-456FFF3A023B}"/>
    <cellStyle name="40% - Accent6 13 2 3 6" xfId="27323" xr:uid="{A8040863-0F5F-45DF-9001-79AE1BC918F7}"/>
    <cellStyle name="40% - Accent6 13 2 3_Exh G" xfId="3326" xr:uid="{00000000-0005-0000-0000-0000E04E0000}"/>
    <cellStyle name="40% - Accent6 13 2 4" xfId="4270" xr:uid="{00000000-0005-0000-0000-0000E14E0000}"/>
    <cellStyle name="40% - Accent6 13 2 4 2" xfId="7862" xr:uid="{00000000-0005-0000-0000-0000E24E0000}"/>
    <cellStyle name="40% - Accent6 13 2 4 2 2" xfId="15832" xr:uid="{00000000-0005-0000-0000-0000E34E0000}"/>
    <cellStyle name="40% - Accent6 13 2 4 2 2 2" xfId="39674" xr:uid="{2816BDFE-CD54-4DB3-B934-8BF063B26829}"/>
    <cellStyle name="40% - Accent6 13 2 4 2 3" xfId="23778" xr:uid="{00000000-0005-0000-0000-0000E44E0000}"/>
    <cellStyle name="40% - Accent6 13 2 4 2 3 2" xfId="47610" xr:uid="{602DE5AD-FD37-4217-94B0-C3DD46CFA56E}"/>
    <cellStyle name="40% - Accent6 13 2 4 2 4" xfId="31733" xr:uid="{0C1E4696-E4D3-42E7-B3DB-FB7BB875D22D}"/>
    <cellStyle name="40% - Accent6 13 2 4 3" xfId="12294" xr:uid="{00000000-0005-0000-0000-0000E54E0000}"/>
    <cellStyle name="40% - Accent6 13 2 4 3 2" xfId="36143" xr:uid="{F27BCF1B-30E3-4C1D-835C-22A19CE12B60}"/>
    <cellStyle name="40% - Accent6 13 2 4 4" xfId="20249" xr:uid="{00000000-0005-0000-0000-0000E64E0000}"/>
    <cellStyle name="40% - Accent6 13 2 4 4 2" xfId="44081" xr:uid="{A4158BB0-8443-4C1D-B094-9C76BEE0D57B}"/>
    <cellStyle name="40% - Accent6 13 2 4 5" xfId="28202" xr:uid="{A2F5B466-C202-4401-A182-1311D6543C0C}"/>
    <cellStyle name="40% - Accent6 13 2 5" xfId="6090" xr:uid="{00000000-0005-0000-0000-0000E74E0000}"/>
    <cellStyle name="40% - Accent6 13 2 5 2" xfId="14073" xr:uid="{00000000-0005-0000-0000-0000E84E0000}"/>
    <cellStyle name="40% - Accent6 13 2 5 2 2" xfId="37916" xr:uid="{812F4D51-B245-492F-8365-BF38E15EB70A}"/>
    <cellStyle name="40% - Accent6 13 2 5 3" xfId="22021" xr:uid="{00000000-0005-0000-0000-0000E94E0000}"/>
    <cellStyle name="40% - Accent6 13 2 5 3 2" xfId="45853" xr:uid="{CBEC5D54-9781-47F0-83D4-C7E3E8A37CF2}"/>
    <cellStyle name="40% - Accent6 13 2 5 4" xfId="29975" xr:uid="{F49092AF-383F-49D8-83FA-E0B741508A69}"/>
    <cellStyle name="40% - Accent6 13 2 6" xfId="9642" xr:uid="{00000000-0005-0000-0000-0000EA4E0000}"/>
    <cellStyle name="40% - Accent6 13 2 6 2" xfId="17600" xr:uid="{00000000-0005-0000-0000-0000EB4E0000}"/>
    <cellStyle name="40% - Accent6 13 2 6 2 2" xfId="41440" xr:uid="{49A21290-4701-4EAE-8297-F4264B873C01}"/>
    <cellStyle name="40% - Accent6 13 2 6 3" xfId="25544" xr:uid="{00000000-0005-0000-0000-0000EC4E0000}"/>
    <cellStyle name="40% - Accent6 13 2 6 3 2" xfId="49376" xr:uid="{A910BD7A-0C9F-4207-B119-B81A64D36330}"/>
    <cellStyle name="40% - Accent6 13 2 6 4" xfId="33499" xr:uid="{28330480-7CB3-4A66-8EB4-D4972F61A6B6}"/>
    <cellStyle name="40% - Accent6 13 2 7" xfId="10538" xr:uid="{00000000-0005-0000-0000-0000ED4E0000}"/>
    <cellStyle name="40% - Accent6 13 2 7 2" xfId="34387" xr:uid="{D28EDD39-AC1F-4207-AA45-BB7BB875963A}"/>
    <cellStyle name="40% - Accent6 13 2 8" xfId="18493" xr:uid="{00000000-0005-0000-0000-0000EE4E0000}"/>
    <cellStyle name="40% - Accent6 13 2 8 2" xfId="42325" xr:uid="{3C2FAE36-9334-4F7F-962C-4BFA8B8F4C1F}"/>
    <cellStyle name="40% - Accent6 13 2 9" xfId="26445" xr:uid="{26C618BB-D9C7-4BB1-BB95-8660F39E31CF}"/>
    <cellStyle name="40% - Accent6 13 2_Exh G" xfId="3323" xr:uid="{00000000-0005-0000-0000-0000EF4E0000}"/>
    <cellStyle name="40% - Accent6 13 3" xfId="598" xr:uid="{00000000-0005-0000-0000-0000F04E0000}"/>
    <cellStyle name="40% - Accent6 13 3 2" xfId="1624" xr:uid="{00000000-0005-0000-0000-0000F14E0000}"/>
    <cellStyle name="40% - Accent6 13 3 2 2" xfId="5151" xr:uid="{00000000-0005-0000-0000-0000F24E0000}"/>
    <cellStyle name="40% - Accent6 13 3 2 2 2" xfId="8742" xr:uid="{00000000-0005-0000-0000-0000F34E0000}"/>
    <cellStyle name="40% - Accent6 13 3 2 2 2 2" xfId="16712" xr:uid="{00000000-0005-0000-0000-0000F44E0000}"/>
    <cellStyle name="40% - Accent6 13 3 2 2 2 2 2" xfId="40554" xr:uid="{3C1B7537-8FAA-43F0-92AD-F51C1CE63A57}"/>
    <cellStyle name="40% - Accent6 13 3 2 2 2 3" xfId="24658" xr:uid="{00000000-0005-0000-0000-0000F54E0000}"/>
    <cellStyle name="40% - Accent6 13 3 2 2 2 3 2" xfId="48490" xr:uid="{E663D143-25B9-49CC-A927-00181DFEA14E}"/>
    <cellStyle name="40% - Accent6 13 3 2 2 2 4" xfId="32613" xr:uid="{A87CDEB4-40D1-40D8-B05A-87C504F58F72}"/>
    <cellStyle name="40% - Accent6 13 3 2 2 3" xfId="13174" xr:uid="{00000000-0005-0000-0000-0000F64E0000}"/>
    <cellStyle name="40% - Accent6 13 3 2 2 3 2" xfId="37023" xr:uid="{C1441AB9-446C-453D-9F29-9D02A501BE54}"/>
    <cellStyle name="40% - Accent6 13 3 2 2 4" xfId="21129" xr:uid="{00000000-0005-0000-0000-0000F74E0000}"/>
    <cellStyle name="40% - Accent6 13 3 2 2 4 2" xfId="44961" xr:uid="{1BD60D0E-2F1A-4AE7-A02C-A454DA985297}"/>
    <cellStyle name="40% - Accent6 13 3 2 2 5" xfId="29082" xr:uid="{B910B580-B0CE-447E-8446-3ABDC8858655}"/>
    <cellStyle name="40% - Accent6 13 3 2 3" xfId="6983" xr:uid="{00000000-0005-0000-0000-0000F84E0000}"/>
    <cellStyle name="40% - Accent6 13 3 2 3 2" xfId="14954" xr:uid="{00000000-0005-0000-0000-0000F94E0000}"/>
    <cellStyle name="40% - Accent6 13 3 2 3 2 2" xfId="38796" xr:uid="{810F274E-C2C6-498C-9C37-3D2010DCA6D8}"/>
    <cellStyle name="40% - Accent6 13 3 2 3 3" xfId="22901" xr:uid="{00000000-0005-0000-0000-0000FA4E0000}"/>
    <cellStyle name="40% - Accent6 13 3 2 3 3 2" xfId="46733" xr:uid="{FD0EB66C-C99F-4BD2-BD11-7B97DA66CCD5}"/>
    <cellStyle name="40% - Accent6 13 3 2 3 4" xfId="30855" xr:uid="{FD43B38B-9545-4350-8B18-709B8CFFBE62}"/>
    <cellStyle name="40% - Accent6 13 3 2 4" xfId="11418" xr:uid="{00000000-0005-0000-0000-0000FB4E0000}"/>
    <cellStyle name="40% - Accent6 13 3 2 4 2" xfId="35267" xr:uid="{6A7107C6-5DA5-4F5A-951A-456197BF25B3}"/>
    <cellStyle name="40% - Accent6 13 3 2 5" xfId="19373" xr:uid="{00000000-0005-0000-0000-0000FC4E0000}"/>
    <cellStyle name="40% - Accent6 13 3 2 5 2" xfId="43205" xr:uid="{5DE6EF7C-AFC4-47D7-9635-E4D99A41B6EA}"/>
    <cellStyle name="40% - Accent6 13 3 2 6" xfId="27325" xr:uid="{1EB46127-150F-4CEA-BB38-5B4D727FE063}"/>
    <cellStyle name="40% - Accent6 13 3 2_Exh G" xfId="3328" xr:uid="{00000000-0005-0000-0000-0000FD4E0000}"/>
    <cellStyle name="40% - Accent6 13 3 3" xfId="4272" xr:uid="{00000000-0005-0000-0000-0000FE4E0000}"/>
    <cellStyle name="40% - Accent6 13 3 3 2" xfId="7864" xr:uid="{00000000-0005-0000-0000-0000FF4E0000}"/>
    <cellStyle name="40% - Accent6 13 3 3 2 2" xfId="15834" xr:uid="{00000000-0005-0000-0000-0000004F0000}"/>
    <cellStyle name="40% - Accent6 13 3 3 2 2 2" xfId="39676" xr:uid="{881B940F-9F41-4F9B-B03F-B649D5A94573}"/>
    <cellStyle name="40% - Accent6 13 3 3 2 3" xfId="23780" xr:uid="{00000000-0005-0000-0000-0000014F0000}"/>
    <cellStyle name="40% - Accent6 13 3 3 2 3 2" xfId="47612" xr:uid="{30E0405D-6D35-4A87-8DAB-313D10DFF98A}"/>
    <cellStyle name="40% - Accent6 13 3 3 2 4" xfId="31735" xr:uid="{EFD8D327-3222-4656-85E1-32E65A78A164}"/>
    <cellStyle name="40% - Accent6 13 3 3 3" xfId="12296" xr:uid="{00000000-0005-0000-0000-0000024F0000}"/>
    <cellStyle name="40% - Accent6 13 3 3 3 2" xfId="36145" xr:uid="{F59FBCE7-6CC5-4A35-B946-489D177711E3}"/>
    <cellStyle name="40% - Accent6 13 3 3 4" xfId="20251" xr:uid="{00000000-0005-0000-0000-0000034F0000}"/>
    <cellStyle name="40% - Accent6 13 3 3 4 2" xfId="44083" xr:uid="{FACBB11D-D143-475D-B3D4-61042692E856}"/>
    <cellStyle name="40% - Accent6 13 3 3 5" xfId="28204" xr:uid="{A60B35C6-316F-45D7-B31A-70FC1623C15A}"/>
    <cellStyle name="40% - Accent6 13 3 4" xfId="6092" xr:uid="{00000000-0005-0000-0000-0000044F0000}"/>
    <cellStyle name="40% - Accent6 13 3 4 2" xfId="14075" xr:uid="{00000000-0005-0000-0000-0000054F0000}"/>
    <cellStyle name="40% - Accent6 13 3 4 2 2" xfId="37918" xr:uid="{CEA5ED9D-E4E7-4920-ABB8-FCDCA0EA6013}"/>
    <cellStyle name="40% - Accent6 13 3 4 3" xfId="22023" xr:uid="{00000000-0005-0000-0000-0000064F0000}"/>
    <cellStyle name="40% - Accent6 13 3 4 3 2" xfId="45855" xr:uid="{0070FAC9-6B0A-4423-A851-FF44EAB340EC}"/>
    <cellStyle name="40% - Accent6 13 3 4 4" xfId="29977" xr:uid="{D62880D8-5A93-4B13-8073-C0F2F1E09EC7}"/>
    <cellStyle name="40% - Accent6 13 3 5" xfId="9644" xr:uid="{00000000-0005-0000-0000-0000074F0000}"/>
    <cellStyle name="40% - Accent6 13 3 5 2" xfId="17602" xr:uid="{00000000-0005-0000-0000-0000084F0000}"/>
    <cellStyle name="40% - Accent6 13 3 5 2 2" xfId="41442" xr:uid="{4A36CB07-A234-4B76-BFB5-5E852B70ACFE}"/>
    <cellStyle name="40% - Accent6 13 3 5 3" xfId="25546" xr:uid="{00000000-0005-0000-0000-0000094F0000}"/>
    <cellStyle name="40% - Accent6 13 3 5 3 2" xfId="49378" xr:uid="{F72FDCD3-3848-489B-8737-9F58517AC825}"/>
    <cellStyle name="40% - Accent6 13 3 5 4" xfId="33501" xr:uid="{25566508-15B6-49E6-896E-1F065391EEF3}"/>
    <cellStyle name="40% - Accent6 13 3 6" xfId="10540" xr:uid="{00000000-0005-0000-0000-00000A4F0000}"/>
    <cellStyle name="40% - Accent6 13 3 6 2" xfId="34389" xr:uid="{799B287D-DEAA-4B83-A02B-4951B5552BD3}"/>
    <cellStyle name="40% - Accent6 13 3 7" xfId="18495" xr:uid="{00000000-0005-0000-0000-00000B4F0000}"/>
    <cellStyle name="40% - Accent6 13 3 7 2" xfId="42327" xr:uid="{42D6AF88-F634-44CE-B73C-E81C4F9ACE18}"/>
    <cellStyle name="40% - Accent6 13 3 8" xfId="26447" xr:uid="{E5D4DE1A-57CA-42D8-B5E2-06D2BD4DA666}"/>
    <cellStyle name="40% - Accent6 13 3_Exh G" xfId="3327" xr:uid="{00000000-0005-0000-0000-00000C4F0000}"/>
    <cellStyle name="40% - Accent6 13 4" xfId="1621" xr:uid="{00000000-0005-0000-0000-00000D4F0000}"/>
    <cellStyle name="40% - Accent6 13 4 2" xfId="5148" xr:uid="{00000000-0005-0000-0000-00000E4F0000}"/>
    <cellStyle name="40% - Accent6 13 4 2 2" xfId="8739" xr:uid="{00000000-0005-0000-0000-00000F4F0000}"/>
    <cellStyle name="40% - Accent6 13 4 2 2 2" xfId="16709" xr:uid="{00000000-0005-0000-0000-0000104F0000}"/>
    <cellStyle name="40% - Accent6 13 4 2 2 2 2" xfId="40551" xr:uid="{690885BE-9C09-4758-96F5-F08EA0448619}"/>
    <cellStyle name="40% - Accent6 13 4 2 2 3" xfId="24655" xr:uid="{00000000-0005-0000-0000-0000114F0000}"/>
    <cellStyle name="40% - Accent6 13 4 2 2 3 2" xfId="48487" xr:uid="{D7270F71-48B8-4535-8752-00863CD53D76}"/>
    <cellStyle name="40% - Accent6 13 4 2 2 4" xfId="32610" xr:uid="{8924E062-8451-43BD-B28B-1A3A768C565D}"/>
    <cellStyle name="40% - Accent6 13 4 2 3" xfId="13171" xr:uid="{00000000-0005-0000-0000-0000124F0000}"/>
    <cellStyle name="40% - Accent6 13 4 2 3 2" xfId="37020" xr:uid="{B2413D92-0A46-44BB-8ED8-59E31B0CBC0B}"/>
    <cellStyle name="40% - Accent6 13 4 2 4" xfId="21126" xr:uid="{00000000-0005-0000-0000-0000134F0000}"/>
    <cellStyle name="40% - Accent6 13 4 2 4 2" xfId="44958" xr:uid="{013A694F-8982-4248-AE73-4B7F0DC44091}"/>
    <cellStyle name="40% - Accent6 13 4 2 5" xfId="29079" xr:uid="{C909859D-4E66-406C-91D8-1C1F943A76DD}"/>
    <cellStyle name="40% - Accent6 13 4 3" xfId="6980" xr:uid="{00000000-0005-0000-0000-0000144F0000}"/>
    <cellStyle name="40% - Accent6 13 4 3 2" xfId="14951" xr:uid="{00000000-0005-0000-0000-0000154F0000}"/>
    <cellStyle name="40% - Accent6 13 4 3 2 2" xfId="38793" xr:uid="{4DA13CA1-DC9C-462D-9522-47B060D762E2}"/>
    <cellStyle name="40% - Accent6 13 4 3 3" xfId="22898" xr:uid="{00000000-0005-0000-0000-0000164F0000}"/>
    <cellStyle name="40% - Accent6 13 4 3 3 2" xfId="46730" xr:uid="{B67E7E79-C6F7-4B6B-8238-0B1BE4B89E60}"/>
    <cellStyle name="40% - Accent6 13 4 3 4" xfId="30852" xr:uid="{0ADCBF7D-2E71-4B19-980B-3F230E9B7F75}"/>
    <cellStyle name="40% - Accent6 13 4 4" xfId="11415" xr:uid="{00000000-0005-0000-0000-0000174F0000}"/>
    <cellStyle name="40% - Accent6 13 4 4 2" xfId="35264" xr:uid="{D7C634A9-ED30-4485-B310-3B005A3D456E}"/>
    <cellStyle name="40% - Accent6 13 4 5" xfId="19370" xr:uid="{00000000-0005-0000-0000-0000184F0000}"/>
    <cellStyle name="40% - Accent6 13 4 5 2" xfId="43202" xr:uid="{E990AC40-F40E-4A7C-8568-179DB737E745}"/>
    <cellStyle name="40% - Accent6 13 4 6" xfId="27322" xr:uid="{5138E3C7-6790-4E25-AD7F-92BDE872404C}"/>
    <cellStyle name="40% - Accent6 13 4_Exh G" xfId="3329" xr:uid="{00000000-0005-0000-0000-0000194F0000}"/>
    <cellStyle name="40% - Accent6 13 5" xfId="4269" xr:uid="{00000000-0005-0000-0000-00001A4F0000}"/>
    <cellStyle name="40% - Accent6 13 5 2" xfId="7861" xr:uid="{00000000-0005-0000-0000-00001B4F0000}"/>
    <cellStyle name="40% - Accent6 13 5 2 2" xfId="15831" xr:uid="{00000000-0005-0000-0000-00001C4F0000}"/>
    <cellStyle name="40% - Accent6 13 5 2 2 2" xfId="39673" xr:uid="{A347BF4B-A351-4F00-8A7B-E664D6AD9511}"/>
    <cellStyle name="40% - Accent6 13 5 2 3" xfId="23777" xr:uid="{00000000-0005-0000-0000-00001D4F0000}"/>
    <cellStyle name="40% - Accent6 13 5 2 3 2" xfId="47609" xr:uid="{1CD41C1B-B70E-41BB-B1F4-CF3C5892531C}"/>
    <cellStyle name="40% - Accent6 13 5 2 4" xfId="31732" xr:uid="{942E5366-B369-42B5-A160-808ECB6C6982}"/>
    <cellStyle name="40% - Accent6 13 5 3" xfId="12293" xr:uid="{00000000-0005-0000-0000-00001E4F0000}"/>
    <cellStyle name="40% - Accent6 13 5 3 2" xfId="36142" xr:uid="{2D78B08A-D6C2-4232-BFE3-F46676C0D0E8}"/>
    <cellStyle name="40% - Accent6 13 5 4" xfId="20248" xr:uid="{00000000-0005-0000-0000-00001F4F0000}"/>
    <cellStyle name="40% - Accent6 13 5 4 2" xfId="44080" xr:uid="{A8B528DB-5715-44A2-9390-3DE87149F61F}"/>
    <cellStyle name="40% - Accent6 13 5 5" xfId="28201" xr:uid="{08DAFFE3-5505-4A81-A0F3-B2F00BACCBFE}"/>
    <cellStyle name="40% - Accent6 13 6" xfId="6089" xr:uid="{00000000-0005-0000-0000-0000204F0000}"/>
    <cellStyle name="40% - Accent6 13 6 2" xfId="14072" xr:uid="{00000000-0005-0000-0000-0000214F0000}"/>
    <cellStyle name="40% - Accent6 13 6 2 2" xfId="37915" xr:uid="{E15EB9A4-CBB0-4190-BD4C-E23FB85AEC0D}"/>
    <cellStyle name="40% - Accent6 13 6 3" xfId="22020" xr:uid="{00000000-0005-0000-0000-0000224F0000}"/>
    <cellStyle name="40% - Accent6 13 6 3 2" xfId="45852" xr:uid="{18CA4BD7-1EEF-451B-8FDD-330B13C42230}"/>
    <cellStyle name="40% - Accent6 13 6 4" xfId="29974" xr:uid="{D3574647-1D60-424F-8011-DF8708B0607D}"/>
    <cellStyle name="40% - Accent6 13 7" xfId="9641" xr:uid="{00000000-0005-0000-0000-0000234F0000}"/>
    <cellStyle name="40% - Accent6 13 7 2" xfId="17599" xr:uid="{00000000-0005-0000-0000-0000244F0000}"/>
    <cellStyle name="40% - Accent6 13 7 2 2" xfId="41439" xr:uid="{D3A67D05-2DA0-4C58-AC75-0198A6D577C0}"/>
    <cellStyle name="40% - Accent6 13 7 3" xfId="25543" xr:uid="{00000000-0005-0000-0000-0000254F0000}"/>
    <cellStyle name="40% - Accent6 13 7 3 2" xfId="49375" xr:uid="{B11DBF0C-EF32-4F0D-AF73-B3889BA18105}"/>
    <cellStyle name="40% - Accent6 13 7 4" xfId="33498" xr:uid="{BCEA795E-FAFF-4B89-8573-C9E5DB8AC0EA}"/>
    <cellStyle name="40% - Accent6 13 8" xfId="10537" xr:uid="{00000000-0005-0000-0000-0000264F0000}"/>
    <cellStyle name="40% - Accent6 13 8 2" xfId="34386" xr:uid="{37C226D1-2EEE-4376-B5D0-C115088F04EE}"/>
    <cellStyle name="40% - Accent6 13 9" xfId="18492" xr:uid="{00000000-0005-0000-0000-0000274F0000}"/>
    <cellStyle name="40% - Accent6 13 9 2" xfId="42324" xr:uid="{93DEB3E3-1485-4313-AC37-E8042C74F228}"/>
    <cellStyle name="40% - Accent6 13_Exh G" xfId="3322" xr:uid="{00000000-0005-0000-0000-0000284F0000}"/>
    <cellStyle name="40% - Accent6 14" xfId="599" xr:uid="{00000000-0005-0000-0000-0000294F0000}"/>
    <cellStyle name="40% - Accent6 14 2" xfId="600" xr:uid="{00000000-0005-0000-0000-00002A4F0000}"/>
    <cellStyle name="40% - Accent6 14 2 2" xfId="1626" xr:uid="{00000000-0005-0000-0000-00002B4F0000}"/>
    <cellStyle name="40% - Accent6 14 2 2 2" xfId="5153" xr:uid="{00000000-0005-0000-0000-00002C4F0000}"/>
    <cellStyle name="40% - Accent6 14 2 2 2 2" xfId="8744" xr:uid="{00000000-0005-0000-0000-00002D4F0000}"/>
    <cellStyle name="40% - Accent6 14 2 2 2 2 2" xfId="16714" xr:uid="{00000000-0005-0000-0000-00002E4F0000}"/>
    <cellStyle name="40% - Accent6 14 2 2 2 2 2 2" xfId="40556" xr:uid="{54BE03F7-4747-43F1-8CFF-409227FB741F}"/>
    <cellStyle name="40% - Accent6 14 2 2 2 2 3" xfId="24660" xr:uid="{00000000-0005-0000-0000-00002F4F0000}"/>
    <cellStyle name="40% - Accent6 14 2 2 2 2 3 2" xfId="48492" xr:uid="{E0E54839-573F-4719-8F20-E86F7EC3B0DA}"/>
    <cellStyle name="40% - Accent6 14 2 2 2 2 4" xfId="32615" xr:uid="{F1F28B8B-5FF2-4C0A-8C04-0ADD01137F82}"/>
    <cellStyle name="40% - Accent6 14 2 2 2 3" xfId="13176" xr:uid="{00000000-0005-0000-0000-0000304F0000}"/>
    <cellStyle name="40% - Accent6 14 2 2 2 3 2" xfId="37025" xr:uid="{1AFC36B1-1870-41D4-AF6F-04259366DB06}"/>
    <cellStyle name="40% - Accent6 14 2 2 2 4" xfId="21131" xr:uid="{00000000-0005-0000-0000-0000314F0000}"/>
    <cellStyle name="40% - Accent6 14 2 2 2 4 2" xfId="44963" xr:uid="{A91D43CA-FB22-4128-AE59-71EFFA1B37CE}"/>
    <cellStyle name="40% - Accent6 14 2 2 2 5" xfId="29084" xr:uid="{CED1C5F0-60C8-42CC-B261-61A221B4256C}"/>
    <cellStyle name="40% - Accent6 14 2 2 3" xfId="6985" xr:uid="{00000000-0005-0000-0000-0000324F0000}"/>
    <cellStyle name="40% - Accent6 14 2 2 3 2" xfId="14956" xr:uid="{00000000-0005-0000-0000-0000334F0000}"/>
    <cellStyle name="40% - Accent6 14 2 2 3 2 2" xfId="38798" xr:uid="{5B17B0F7-136E-4902-AE72-E661C42F07EC}"/>
    <cellStyle name="40% - Accent6 14 2 2 3 3" xfId="22903" xr:uid="{00000000-0005-0000-0000-0000344F0000}"/>
    <cellStyle name="40% - Accent6 14 2 2 3 3 2" xfId="46735" xr:uid="{A086197B-74C6-4ECD-A13E-4F86234E7AC0}"/>
    <cellStyle name="40% - Accent6 14 2 2 3 4" xfId="30857" xr:uid="{05155DA2-9413-4311-8548-AAEEB25FD8C2}"/>
    <cellStyle name="40% - Accent6 14 2 2 4" xfId="11420" xr:uid="{00000000-0005-0000-0000-0000354F0000}"/>
    <cellStyle name="40% - Accent6 14 2 2 4 2" xfId="35269" xr:uid="{3B3667E2-A00C-4258-A91F-6C59C8B70277}"/>
    <cellStyle name="40% - Accent6 14 2 2 5" xfId="19375" xr:uid="{00000000-0005-0000-0000-0000364F0000}"/>
    <cellStyle name="40% - Accent6 14 2 2 5 2" xfId="43207" xr:uid="{5C12AEED-8178-418F-9446-57626B6B83F4}"/>
    <cellStyle name="40% - Accent6 14 2 2 6" xfId="27327" xr:uid="{A83373A6-948D-429C-BB50-AAB1F2F8E533}"/>
    <cellStyle name="40% - Accent6 14 2 2_Exh G" xfId="3332" xr:uid="{00000000-0005-0000-0000-0000374F0000}"/>
    <cellStyle name="40% - Accent6 14 2 3" xfId="4274" xr:uid="{00000000-0005-0000-0000-0000384F0000}"/>
    <cellStyle name="40% - Accent6 14 2 3 2" xfId="7866" xr:uid="{00000000-0005-0000-0000-0000394F0000}"/>
    <cellStyle name="40% - Accent6 14 2 3 2 2" xfId="15836" xr:uid="{00000000-0005-0000-0000-00003A4F0000}"/>
    <cellStyle name="40% - Accent6 14 2 3 2 2 2" xfId="39678" xr:uid="{6AC5FDE1-6B1D-41F4-ACFC-474F88A12427}"/>
    <cellStyle name="40% - Accent6 14 2 3 2 3" xfId="23782" xr:uid="{00000000-0005-0000-0000-00003B4F0000}"/>
    <cellStyle name="40% - Accent6 14 2 3 2 3 2" xfId="47614" xr:uid="{30A15886-A2F9-49FF-94EC-7AE3F502687D}"/>
    <cellStyle name="40% - Accent6 14 2 3 2 4" xfId="31737" xr:uid="{BBF962D8-65DB-4367-9974-6B7F3C546C65}"/>
    <cellStyle name="40% - Accent6 14 2 3 3" xfId="12298" xr:uid="{00000000-0005-0000-0000-00003C4F0000}"/>
    <cellStyle name="40% - Accent6 14 2 3 3 2" xfId="36147" xr:uid="{57C7C76D-61AA-4532-A447-2474CAE8B9BD}"/>
    <cellStyle name="40% - Accent6 14 2 3 4" xfId="20253" xr:uid="{00000000-0005-0000-0000-00003D4F0000}"/>
    <cellStyle name="40% - Accent6 14 2 3 4 2" xfId="44085" xr:uid="{A13C191F-0455-4B6A-88B5-9063C3C8CE4E}"/>
    <cellStyle name="40% - Accent6 14 2 3 5" xfId="28206" xr:uid="{7C67E300-5BE2-4CEA-BFD3-4AA074F0FE97}"/>
    <cellStyle name="40% - Accent6 14 2 4" xfId="6094" xr:uid="{00000000-0005-0000-0000-00003E4F0000}"/>
    <cellStyle name="40% - Accent6 14 2 4 2" xfId="14077" xr:uid="{00000000-0005-0000-0000-00003F4F0000}"/>
    <cellStyle name="40% - Accent6 14 2 4 2 2" xfId="37920" xr:uid="{FD1E5ECB-1131-4773-AD8D-D29DD9B9716F}"/>
    <cellStyle name="40% - Accent6 14 2 4 3" xfId="22025" xr:uid="{00000000-0005-0000-0000-0000404F0000}"/>
    <cellStyle name="40% - Accent6 14 2 4 3 2" xfId="45857" xr:uid="{A9127CDA-17DE-46F6-B1AC-E2864E0A5EF7}"/>
    <cellStyle name="40% - Accent6 14 2 4 4" xfId="29979" xr:uid="{64973D88-9E26-4B6F-A028-E1FE7DC1EED1}"/>
    <cellStyle name="40% - Accent6 14 2 5" xfId="9646" xr:uid="{00000000-0005-0000-0000-0000414F0000}"/>
    <cellStyle name="40% - Accent6 14 2 5 2" xfId="17604" xr:uid="{00000000-0005-0000-0000-0000424F0000}"/>
    <cellStyle name="40% - Accent6 14 2 5 2 2" xfId="41444" xr:uid="{ECB234DB-14E2-497B-B582-16E9BF3DF834}"/>
    <cellStyle name="40% - Accent6 14 2 5 3" xfId="25548" xr:uid="{00000000-0005-0000-0000-0000434F0000}"/>
    <cellStyle name="40% - Accent6 14 2 5 3 2" xfId="49380" xr:uid="{A37FDEAA-FB33-4FC5-B716-20FD06B760A7}"/>
    <cellStyle name="40% - Accent6 14 2 5 4" xfId="33503" xr:uid="{863817CC-6D18-4BD0-B12A-2A7E03D63110}"/>
    <cellStyle name="40% - Accent6 14 2 6" xfId="10542" xr:uid="{00000000-0005-0000-0000-0000444F0000}"/>
    <cellStyle name="40% - Accent6 14 2 6 2" xfId="34391" xr:uid="{03C49DEA-23C7-4899-A206-1FA84B75551D}"/>
    <cellStyle name="40% - Accent6 14 2 7" xfId="18497" xr:uid="{00000000-0005-0000-0000-0000454F0000}"/>
    <cellStyle name="40% - Accent6 14 2 7 2" xfId="42329" xr:uid="{E9077067-7074-4F02-87DA-815C5DEBDCB6}"/>
    <cellStyle name="40% - Accent6 14 2 8" xfId="26449" xr:uid="{1F8D13EE-859C-4088-B484-6B106A8A4757}"/>
    <cellStyle name="40% - Accent6 14 2_Exh G" xfId="3331" xr:uid="{00000000-0005-0000-0000-0000464F0000}"/>
    <cellStyle name="40% - Accent6 14 3" xfId="1625" xr:uid="{00000000-0005-0000-0000-0000474F0000}"/>
    <cellStyle name="40% - Accent6 14 3 2" xfId="5152" xr:uid="{00000000-0005-0000-0000-0000484F0000}"/>
    <cellStyle name="40% - Accent6 14 3 2 2" xfId="8743" xr:uid="{00000000-0005-0000-0000-0000494F0000}"/>
    <cellStyle name="40% - Accent6 14 3 2 2 2" xfId="16713" xr:uid="{00000000-0005-0000-0000-00004A4F0000}"/>
    <cellStyle name="40% - Accent6 14 3 2 2 2 2" xfId="40555" xr:uid="{84B68975-6A69-4297-B03C-6B9DEF8A5B5B}"/>
    <cellStyle name="40% - Accent6 14 3 2 2 3" xfId="24659" xr:uid="{00000000-0005-0000-0000-00004B4F0000}"/>
    <cellStyle name="40% - Accent6 14 3 2 2 3 2" xfId="48491" xr:uid="{6C82EB69-2341-48DD-AC16-5A79982982B9}"/>
    <cellStyle name="40% - Accent6 14 3 2 2 4" xfId="32614" xr:uid="{18B9A2EF-09F6-4B6B-8DFC-B74D95B9FD5A}"/>
    <cellStyle name="40% - Accent6 14 3 2 3" xfId="13175" xr:uid="{00000000-0005-0000-0000-00004C4F0000}"/>
    <cellStyle name="40% - Accent6 14 3 2 3 2" xfId="37024" xr:uid="{4D145607-E77E-4410-9975-16A4CA577A0B}"/>
    <cellStyle name="40% - Accent6 14 3 2 4" xfId="21130" xr:uid="{00000000-0005-0000-0000-00004D4F0000}"/>
    <cellStyle name="40% - Accent6 14 3 2 4 2" xfId="44962" xr:uid="{732D6C89-BB09-4381-B9D3-2070E54BAC5C}"/>
    <cellStyle name="40% - Accent6 14 3 2 5" xfId="29083" xr:uid="{ED4C7B5A-7CAF-43FD-9A88-B5F6A34BACB2}"/>
    <cellStyle name="40% - Accent6 14 3 3" xfId="6984" xr:uid="{00000000-0005-0000-0000-00004E4F0000}"/>
    <cellStyle name="40% - Accent6 14 3 3 2" xfId="14955" xr:uid="{00000000-0005-0000-0000-00004F4F0000}"/>
    <cellStyle name="40% - Accent6 14 3 3 2 2" xfId="38797" xr:uid="{712AB943-F848-4685-A18A-F76AF6039407}"/>
    <cellStyle name="40% - Accent6 14 3 3 3" xfId="22902" xr:uid="{00000000-0005-0000-0000-0000504F0000}"/>
    <cellStyle name="40% - Accent6 14 3 3 3 2" xfId="46734" xr:uid="{D89F9174-2688-4D8E-84F4-8308AFAD504F}"/>
    <cellStyle name="40% - Accent6 14 3 3 4" xfId="30856" xr:uid="{44920894-CB3D-4A49-90B4-1D9B592D6F15}"/>
    <cellStyle name="40% - Accent6 14 3 4" xfId="11419" xr:uid="{00000000-0005-0000-0000-0000514F0000}"/>
    <cellStyle name="40% - Accent6 14 3 4 2" xfId="35268" xr:uid="{0FC9706A-EAE3-4DB6-AEA4-E12C87E6C83B}"/>
    <cellStyle name="40% - Accent6 14 3 5" xfId="19374" xr:uid="{00000000-0005-0000-0000-0000524F0000}"/>
    <cellStyle name="40% - Accent6 14 3 5 2" xfId="43206" xr:uid="{48963939-FA55-4F67-93E9-53960190CE81}"/>
    <cellStyle name="40% - Accent6 14 3 6" xfId="27326" xr:uid="{361B0EDF-4B75-4904-A095-F068DCB050C1}"/>
    <cellStyle name="40% - Accent6 14 3_Exh G" xfId="3333" xr:uid="{00000000-0005-0000-0000-0000534F0000}"/>
    <cellStyle name="40% - Accent6 14 4" xfId="4273" xr:uid="{00000000-0005-0000-0000-0000544F0000}"/>
    <cellStyle name="40% - Accent6 14 4 2" xfId="7865" xr:uid="{00000000-0005-0000-0000-0000554F0000}"/>
    <cellStyle name="40% - Accent6 14 4 2 2" xfId="15835" xr:uid="{00000000-0005-0000-0000-0000564F0000}"/>
    <cellStyle name="40% - Accent6 14 4 2 2 2" xfId="39677" xr:uid="{8BCD82A1-C7E8-49EE-9A35-D34443EE3D9F}"/>
    <cellStyle name="40% - Accent6 14 4 2 3" xfId="23781" xr:uid="{00000000-0005-0000-0000-0000574F0000}"/>
    <cellStyle name="40% - Accent6 14 4 2 3 2" xfId="47613" xr:uid="{5B746F7B-64CA-4BE0-8348-273544489FC0}"/>
    <cellStyle name="40% - Accent6 14 4 2 4" xfId="31736" xr:uid="{8BFE80B6-84D7-45F7-B951-6CB5382ACE69}"/>
    <cellStyle name="40% - Accent6 14 4 3" xfId="12297" xr:uid="{00000000-0005-0000-0000-0000584F0000}"/>
    <cellStyle name="40% - Accent6 14 4 3 2" xfId="36146" xr:uid="{3501362A-BD02-4275-AD34-8344E02E1BD0}"/>
    <cellStyle name="40% - Accent6 14 4 4" xfId="20252" xr:uid="{00000000-0005-0000-0000-0000594F0000}"/>
    <cellStyle name="40% - Accent6 14 4 4 2" xfId="44084" xr:uid="{0D8E2ED4-8A17-4F60-A82A-0B54A08F9DB0}"/>
    <cellStyle name="40% - Accent6 14 4 5" xfId="28205" xr:uid="{512F533A-7D5F-4B11-93B9-1BB61B77D9E1}"/>
    <cellStyle name="40% - Accent6 14 5" xfId="6093" xr:uid="{00000000-0005-0000-0000-00005A4F0000}"/>
    <cellStyle name="40% - Accent6 14 5 2" xfId="14076" xr:uid="{00000000-0005-0000-0000-00005B4F0000}"/>
    <cellStyle name="40% - Accent6 14 5 2 2" xfId="37919" xr:uid="{D46EA710-869C-426E-A8FC-1B0F25906D8F}"/>
    <cellStyle name="40% - Accent6 14 5 3" xfId="22024" xr:uid="{00000000-0005-0000-0000-00005C4F0000}"/>
    <cellStyle name="40% - Accent6 14 5 3 2" xfId="45856" xr:uid="{BC5910F1-DA75-4DC8-ACB2-D27852F82319}"/>
    <cellStyle name="40% - Accent6 14 5 4" xfId="29978" xr:uid="{C91461BF-FB6E-47C2-9A7D-28AEAC96424C}"/>
    <cellStyle name="40% - Accent6 14 6" xfId="9645" xr:uid="{00000000-0005-0000-0000-00005D4F0000}"/>
    <cellStyle name="40% - Accent6 14 6 2" xfId="17603" xr:uid="{00000000-0005-0000-0000-00005E4F0000}"/>
    <cellStyle name="40% - Accent6 14 6 2 2" xfId="41443" xr:uid="{CDAC3103-B99F-439D-A582-D8D0F031F653}"/>
    <cellStyle name="40% - Accent6 14 6 3" xfId="25547" xr:uid="{00000000-0005-0000-0000-00005F4F0000}"/>
    <cellStyle name="40% - Accent6 14 6 3 2" xfId="49379" xr:uid="{092448B4-0F74-45A1-9C88-63A1FD717AB9}"/>
    <cellStyle name="40% - Accent6 14 6 4" xfId="33502" xr:uid="{488633EB-9FFD-40A1-8F87-363A71589E0E}"/>
    <cellStyle name="40% - Accent6 14 7" xfId="10541" xr:uid="{00000000-0005-0000-0000-0000604F0000}"/>
    <cellStyle name="40% - Accent6 14 7 2" xfId="34390" xr:uid="{061F3336-3CC0-462C-AE9C-AB57ACEA7425}"/>
    <cellStyle name="40% - Accent6 14 8" xfId="18496" xr:uid="{00000000-0005-0000-0000-0000614F0000}"/>
    <cellStyle name="40% - Accent6 14 8 2" xfId="42328" xr:uid="{5AC7B77C-827C-44D8-B7A8-80F80E282A17}"/>
    <cellStyle name="40% - Accent6 14 9" xfId="26448" xr:uid="{40684131-A3F8-439E-8783-81B604E60292}"/>
    <cellStyle name="40% - Accent6 14_Exh G" xfId="3330" xr:uid="{00000000-0005-0000-0000-0000624F0000}"/>
    <cellStyle name="40% - Accent6 15" xfId="601" xr:uid="{00000000-0005-0000-0000-0000634F0000}"/>
    <cellStyle name="40% - Accent6 15 2" xfId="1627" xr:uid="{00000000-0005-0000-0000-0000644F0000}"/>
    <cellStyle name="40% - Accent6 15 2 2" xfId="5154" xr:uid="{00000000-0005-0000-0000-0000654F0000}"/>
    <cellStyle name="40% - Accent6 15 2 2 2" xfId="8745" xr:uid="{00000000-0005-0000-0000-0000664F0000}"/>
    <cellStyle name="40% - Accent6 15 2 2 2 2" xfId="16715" xr:uid="{00000000-0005-0000-0000-0000674F0000}"/>
    <cellStyle name="40% - Accent6 15 2 2 2 2 2" xfId="40557" xr:uid="{AA0AF1E6-7D02-4AB8-8D4A-B76822EAFDD5}"/>
    <cellStyle name="40% - Accent6 15 2 2 2 3" xfId="24661" xr:uid="{00000000-0005-0000-0000-0000684F0000}"/>
    <cellStyle name="40% - Accent6 15 2 2 2 3 2" xfId="48493" xr:uid="{00134CBC-7960-4257-9EE5-19017FC49452}"/>
    <cellStyle name="40% - Accent6 15 2 2 2 4" xfId="32616" xr:uid="{BAE6E5DC-A89D-4533-A404-6F96BF2C9ABE}"/>
    <cellStyle name="40% - Accent6 15 2 2 3" xfId="13177" xr:uid="{00000000-0005-0000-0000-0000694F0000}"/>
    <cellStyle name="40% - Accent6 15 2 2 3 2" xfId="37026" xr:uid="{6E9CFC0D-C9C8-44B0-9533-579DCBF149A2}"/>
    <cellStyle name="40% - Accent6 15 2 2 4" xfId="21132" xr:uid="{00000000-0005-0000-0000-00006A4F0000}"/>
    <cellStyle name="40% - Accent6 15 2 2 4 2" xfId="44964" xr:uid="{1A37D55E-BC12-4FA3-AF31-DE12C95D5E68}"/>
    <cellStyle name="40% - Accent6 15 2 2 5" xfId="29085" xr:uid="{6C7DC56D-4102-420C-B30A-973FE0D7A609}"/>
    <cellStyle name="40% - Accent6 15 2 3" xfId="6986" xr:uid="{00000000-0005-0000-0000-00006B4F0000}"/>
    <cellStyle name="40% - Accent6 15 2 3 2" xfId="14957" xr:uid="{00000000-0005-0000-0000-00006C4F0000}"/>
    <cellStyle name="40% - Accent6 15 2 3 2 2" xfId="38799" xr:uid="{229CAE57-E992-4872-B826-EA1FD038A3FF}"/>
    <cellStyle name="40% - Accent6 15 2 3 3" xfId="22904" xr:uid="{00000000-0005-0000-0000-00006D4F0000}"/>
    <cellStyle name="40% - Accent6 15 2 3 3 2" xfId="46736" xr:uid="{E9D35DE3-8ACF-4508-BD52-EAB34B95ECB5}"/>
    <cellStyle name="40% - Accent6 15 2 3 4" xfId="30858" xr:uid="{6CE9CC83-687F-4442-A89D-EFCE65F0B244}"/>
    <cellStyle name="40% - Accent6 15 2 4" xfId="11421" xr:uid="{00000000-0005-0000-0000-00006E4F0000}"/>
    <cellStyle name="40% - Accent6 15 2 4 2" xfId="35270" xr:uid="{D0AC08A7-A5F0-4F2E-BD29-5BA2A3ACD69D}"/>
    <cellStyle name="40% - Accent6 15 2 5" xfId="19376" xr:uid="{00000000-0005-0000-0000-00006F4F0000}"/>
    <cellStyle name="40% - Accent6 15 2 5 2" xfId="43208" xr:uid="{02373AA5-BA7B-490E-ACC4-2034FE066633}"/>
    <cellStyle name="40% - Accent6 15 2 6" xfId="27328" xr:uid="{3439C69E-2669-4EE2-8131-29441448FABB}"/>
    <cellStyle name="40% - Accent6 15 2_Exh G" xfId="3335" xr:uid="{00000000-0005-0000-0000-0000704F0000}"/>
    <cellStyle name="40% - Accent6 15 3" xfId="4275" xr:uid="{00000000-0005-0000-0000-0000714F0000}"/>
    <cellStyle name="40% - Accent6 15 3 2" xfId="7867" xr:uid="{00000000-0005-0000-0000-0000724F0000}"/>
    <cellStyle name="40% - Accent6 15 3 2 2" xfId="15837" xr:uid="{00000000-0005-0000-0000-0000734F0000}"/>
    <cellStyle name="40% - Accent6 15 3 2 2 2" xfId="39679" xr:uid="{22B70888-0299-4C93-A87C-E9F63A9CAD9E}"/>
    <cellStyle name="40% - Accent6 15 3 2 3" xfId="23783" xr:uid="{00000000-0005-0000-0000-0000744F0000}"/>
    <cellStyle name="40% - Accent6 15 3 2 3 2" xfId="47615" xr:uid="{B7249B57-A007-4CBF-9267-69852F423A85}"/>
    <cellStyle name="40% - Accent6 15 3 2 4" xfId="31738" xr:uid="{FB5C66AF-EE0C-41C8-9843-5AFE8C815B6B}"/>
    <cellStyle name="40% - Accent6 15 3 3" xfId="12299" xr:uid="{00000000-0005-0000-0000-0000754F0000}"/>
    <cellStyle name="40% - Accent6 15 3 3 2" xfId="36148" xr:uid="{B23624E7-8C65-4D05-A448-CBE7CF8B2306}"/>
    <cellStyle name="40% - Accent6 15 3 4" xfId="20254" xr:uid="{00000000-0005-0000-0000-0000764F0000}"/>
    <cellStyle name="40% - Accent6 15 3 4 2" xfId="44086" xr:uid="{21B7BDB2-9EFB-41D2-AD97-08BB111299E0}"/>
    <cellStyle name="40% - Accent6 15 3 5" xfId="28207" xr:uid="{6AD5F9E5-4DCC-423C-A709-9016D6146C80}"/>
    <cellStyle name="40% - Accent6 15 4" xfId="6095" xr:uid="{00000000-0005-0000-0000-0000774F0000}"/>
    <cellStyle name="40% - Accent6 15 4 2" xfId="14078" xr:uid="{00000000-0005-0000-0000-0000784F0000}"/>
    <cellStyle name="40% - Accent6 15 4 2 2" xfId="37921" xr:uid="{16623FCC-D328-4D2C-999F-F49742044B22}"/>
    <cellStyle name="40% - Accent6 15 4 3" xfId="22026" xr:uid="{00000000-0005-0000-0000-0000794F0000}"/>
    <cellStyle name="40% - Accent6 15 4 3 2" xfId="45858" xr:uid="{D02C0ADC-69E5-48A9-AFBF-5E9A04EBBB51}"/>
    <cellStyle name="40% - Accent6 15 4 4" xfId="29980" xr:uid="{E4C4E25F-FDC5-4F8D-AB2F-F0178E70DB18}"/>
    <cellStyle name="40% - Accent6 15 5" xfId="9647" xr:uid="{00000000-0005-0000-0000-00007A4F0000}"/>
    <cellStyle name="40% - Accent6 15 5 2" xfId="17605" xr:uid="{00000000-0005-0000-0000-00007B4F0000}"/>
    <cellStyle name="40% - Accent6 15 5 2 2" xfId="41445" xr:uid="{2B64B88B-62C4-4186-8534-0DDB137B9CAF}"/>
    <cellStyle name="40% - Accent6 15 5 3" xfId="25549" xr:uid="{00000000-0005-0000-0000-00007C4F0000}"/>
    <cellStyle name="40% - Accent6 15 5 3 2" xfId="49381" xr:uid="{6F21AA96-4EDA-418E-A83E-EC3270AFBCFB}"/>
    <cellStyle name="40% - Accent6 15 5 4" xfId="33504" xr:uid="{3758FC94-F787-4319-92F8-AAD5402B03BE}"/>
    <cellStyle name="40% - Accent6 15 6" xfId="10543" xr:uid="{00000000-0005-0000-0000-00007D4F0000}"/>
    <cellStyle name="40% - Accent6 15 6 2" xfId="34392" xr:uid="{4084343F-DCD6-47D4-AAFA-19C010F925ED}"/>
    <cellStyle name="40% - Accent6 15 7" xfId="18498" xr:uid="{00000000-0005-0000-0000-00007E4F0000}"/>
    <cellStyle name="40% - Accent6 15 7 2" xfId="42330" xr:uid="{AABA78D8-FC27-4A78-BB06-D8CBDA99B2EA}"/>
    <cellStyle name="40% - Accent6 15 8" xfId="26450" xr:uid="{70597E3F-39ED-4FD9-8F58-5D904D1FEF6F}"/>
    <cellStyle name="40% - Accent6 15_Exh G" xfId="3334" xr:uid="{00000000-0005-0000-0000-00007F4F0000}"/>
    <cellStyle name="40% - Accent6 16" xfId="851" xr:uid="{00000000-0005-0000-0000-0000804F0000}"/>
    <cellStyle name="40% - Accent6 16 2" xfId="1786" xr:uid="{00000000-0005-0000-0000-0000814F0000}"/>
    <cellStyle name="40% - Accent6 16 2 2" xfId="5306" xr:uid="{00000000-0005-0000-0000-0000824F0000}"/>
    <cellStyle name="40% - Accent6 16 2 2 2" xfId="8897" xr:uid="{00000000-0005-0000-0000-0000834F0000}"/>
    <cellStyle name="40% - Accent6 16 2 2 2 2" xfId="16867" xr:uid="{00000000-0005-0000-0000-0000844F0000}"/>
    <cellStyle name="40% - Accent6 16 2 2 2 2 2" xfId="40709" xr:uid="{6BF90B9C-A18F-49CE-81A1-3002F59386E3}"/>
    <cellStyle name="40% - Accent6 16 2 2 2 3" xfId="24813" xr:uid="{00000000-0005-0000-0000-0000854F0000}"/>
    <cellStyle name="40% - Accent6 16 2 2 2 3 2" xfId="48645" xr:uid="{936EDFF9-E8EF-4A4D-862D-79397C6FB29B}"/>
    <cellStyle name="40% - Accent6 16 2 2 2 4" xfId="32768" xr:uid="{CB659100-3566-4DB6-8D22-F58A792C56B4}"/>
    <cellStyle name="40% - Accent6 16 2 2 3" xfId="13329" xr:uid="{00000000-0005-0000-0000-0000864F0000}"/>
    <cellStyle name="40% - Accent6 16 2 2 3 2" xfId="37178" xr:uid="{D49653FB-B60B-4C18-BA3E-3030DF37BC5C}"/>
    <cellStyle name="40% - Accent6 16 2 2 4" xfId="21284" xr:uid="{00000000-0005-0000-0000-0000874F0000}"/>
    <cellStyle name="40% - Accent6 16 2 2 4 2" xfId="45116" xr:uid="{D5FDCEEE-8AB2-45FA-9F67-07A6E1B64AB3}"/>
    <cellStyle name="40% - Accent6 16 2 2 5" xfId="29237" xr:uid="{307DC634-445D-4102-9271-FBA6F17811D2}"/>
    <cellStyle name="40% - Accent6 16 2 3" xfId="7138" xr:uid="{00000000-0005-0000-0000-0000884F0000}"/>
    <cellStyle name="40% - Accent6 16 2 3 2" xfId="15109" xr:uid="{00000000-0005-0000-0000-0000894F0000}"/>
    <cellStyle name="40% - Accent6 16 2 3 2 2" xfId="38951" xr:uid="{7D791E97-DF8F-4064-804B-DBE5FC8172D9}"/>
    <cellStyle name="40% - Accent6 16 2 3 3" xfId="23056" xr:uid="{00000000-0005-0000-0000-00008A4F0000}"/>
    <cellStyle name="40% - Accent6 16 2 3 3 2" xfId="46888" xr:uid="{90DE0E44-5670-4CB3-972E-8970B0717665}"/>
    <cellStyle name="40% - Accent6 16 2 3 4" xfId="31010" xr:uid="{A2CD1E5D-A3FE-429A-914F-3DB537D6CDC7}"/>
    <cellStyle name="40% - Accent6 16 2 4" xfId="11573" xr:uid="{00000000-0005-0000-0000-00008B4F0000}"/>
    <cellStyle name="40% - Accent6 16 2 4 2" xfId="35422" xr:uid="{AC325946-D885-4BA5-81DE-0DF8CE72AF6A}"/>
    <cellStyle name="40% - Accent6 16 2 5" xfId="19528" xr:uid="{00000000-0005-0000-0000-00008C4F0000}"/>
    <cellStyle name="40% - Accent6 16 2 5 2" xfId="43360" xr:uid="{2DFD7DB7-7535-4B1E-9EEB-222FBC8400BE}"/>
    <cellStyle name="40% - Accent6 16 2 6" xfId="27480" xr:uid="{16279FE3-0F97-4298-AE18-E81148E8AC10}"/>
    <cellStyle name="40% - Accent6 16 2_Exh G" xfId="3337" xr:uid="{00000000-0005-0000-0000-00008D4F0000}"/>
    <cellStyle name="40% - Accent6 16 3" xfId="4427" xr:uid="{00000000-0005-0000-0000-00008E4F0000}"/>
    <cellStyle name="40% - Accent6 16 3 2" xfId="8019" xr:uid="{00000000-0005-0000-0000-00008F4F0000}"/>
    <cellStyle name="40% - Accent6 16 3 2 2" xfId="15989" xr:uid="{00000000-0005-0000-0000-0000904F0000}"/>
    <cellStyle name="40% - Accent6 16 3 2 2 2" xfId="39831" xr:uid="{BFB5F1B5-0232-4C82-A44D-1B862F9A853F}"/>
    <cellStyle name="40% - Accent6 16 3 2 3" xfId="23935" xr:uid="{00000000-0005-0000-0000-0000914F0000}"/>
    <cellStyle name="40% - Accent6 16 3 2 3 2" xfId="47767" xr:uid="{9C0A2721-B9A1-4BC3-8588-6E598E8E03A6}"/>
    <cellStyle name="40% - Accent6 16 3 2 4" xfId="31890" xr:uid="{02E249AC-C630-46BA-A036-05B31966738D}"/>
    <cellStyle name="40% - Accent6 16 3 3" xfId="12451" xr:uid="{00000000-0005-0000-0000-0000924F0000}"/>
    <cellStyle name="40% - Accent6 16 3 3 2" xfId="36300" xr:uid="{3EDA14EE-963D-445C-9DBE-C515B1342758}"/>
    <cellStyle name="40% - Accent6 16 3 4" xfId="20406" xr:uid="{00000000-0005-0000-0000-0000934F0000}"/>
    <cellStyle name="40% - Accent6 16 3 4 2" xfId="44238" xr:uid="{666015CE-1FC3-472A-BDFB-5B06A1EECF26}"/>
    <cellStyle name="40% - Accent6 16 3 5" xfId="28359" xr:uid="{86865F4D-C901-4524-A01D-A4BF775494B3}"/>
    <cellStyle name="40% - Accent6 16 4" xfId="6257" xr:uid="{00000000-0005-0000-0000-0000944F0000}"/>
    <cellStyle name="40% - Accent6 16 4 2" xfId="14231" xr:uid="{00000000-0005-0000-0000-0000954F0000}"/>
    <cellStyle name="40% - Accent6 16 4 2 2" xfId="38073" xr:uid="{5C8C2345-D055-4EBD-B509-E89FBFF9A2AB}"/>
    <cellStyle name="40% - Accent6 16 4 3" xfId="22178" xr:uid="{00000000-0005-0000-0000-0000964F0000}"/>
    <cellStyle name="40% - Accent6 16 4 3 2" xfId="46010" xr:uid="{E6E3FBBA-C000-4499-BB9A-A69D3021D8A5}"/>
    <cellStyle name="40% - Accent6 16 4 4" xfId="30132" xr:uid="{62EC8CA9-E488-4ABF-AF71-DA56FD10A932}"/>
    <cellStyle name="40% - Accent6 16 5" xfId="9799" xr:uid="{00000000-0005-0000-0000-0000974F0000}"/>
    <cellStyle name="40% - Accent6 16 5 2" xfId="17757" xr:uid="{00000000-0005-0000-0000-0000984F0000}"/>
    <cellStyle name="40% - Accent6 16 5 2 2" xfId="41597" xr:uid="{52D17F3E-A79B-43B5-AFF6-3E023D04529E}"/>
    <cellStyle name="40% - Accent6 16 5 3" xfId="25701" xr:uid="{00000000-0005-0000-0000-0000994F0000}"/>
    <cellStyle name="40% - Accent6 16 5 3 2" xfId="49533" xr:uid="{DFC74780-16C6-4E7D-B766-7E3FAA5A037D}"/>
    <cellStyle name="40% - Accent6 16 5 4" xfId="33656" xr:uid="{2DEDE8C2-B90A-4A0D-8123-D5CCCF113DBD}"/>
    <cellStyle name="40% - Accent6 16 6" xfId="10695" xr:uid="{00000000-0005-0000-0000-00009A4F0000}"/>
    <cellStyle name="40% - Accent6 16 6 2" xfId="34544" xr:uid="{3D573962-D560-43A8-B2CF-C0918E93CFB5}"/>
    <cellStyle name="40% - Accent6 16 7" xfId="18650" xr:uid="{00000000-0005-0000-0000-00009B4F0000}"/>
    <cellStyle name="40% - Accent6 16 7 2" xfId="42482" xr:uid="{B0F578D6-AF57-40D4-A8D5-31D7B54337C3}"/>
    <cellStyle name="40% - Accent6 16 8" xfId="26602" xr:uid="{F4B5477C-01B5-40F9-B21D-F5D4045D6B8B}"/>
    <cellStyle name="40% - Accent6 16_Exh G" xfId="3336" xr:uid="{00000000-0005-0000-0000-00009C4F0000}"/>
    <cellStyle name="40% - Accent6 17" xfId="49794" xr:uid="{60AD41B5-0542-4FE1-8B26-83CEFE52DEAC}"/>
    <cellStyle name="40% - Accent6 18" xfId="49834" xr:uid="{B053EFAF-C35E-4EDC-9D6A-BFC5E9CAB3EB}"/>
    <cellStyle name="40% - Accent6 2" xfId="602" xr:uid="{00000000-0005-0000-0000-00009D4F0000}"/>
    <cellStyle name="40% - Accent6 2 10" xfId="18499" xr:uid="{00000000-0005-0000-0000-00009E4F0000}"/>
    <cellStyle name="40% - Accent6 2 10 2" xfId="42331" xr:uid="{5FF041EF-CE50-444F-A116-6F512827CA4F}"/>
    <cellStyle name="40% - Accent6 2 11" xfId="26451" xr:uid="{D93C9509-9238-4FC8-987E-CF1610111F58}"/>
    <cellStyle name="40% - Accent6 2 12" xfId="49779" xr:uid="{175283D7-0F46-41BF-8D02-EBBBCDC91C77}"/>
    <cellStyle name="40% - Accent6 2 13" xfId="49807" xr:uid="{E4A7DADC-2FAE-4279-B5E9-85ACB7F036E4}"/>
    <cellStyle name="40% - Accent6 2 14" xfId="49848" xr:uid="{6C5944FF-C688-4D9B-A4C2-7B16B905B80F}"/>
    <cellStyle name="40% - Accent6 2 2" xfId="603" xr:uid="{00000000-0005-0000-0000-00009F4F0000}"/>
    <cellStyle name="40% - Accent6 2 2 10" xfId="26452" xr:uid="{192F8296-3361-4498-ADE5-3F326A9B17D0}"/>
    <cellStyle name="40% - Accent6 2 2 2" xfId="604" xr:uid="{00000000-0005-0000-0000-0000A04F0000}"/>
    <cellStyle name="40% - Accent6 2 2 2 2" xfId="1630" xr:uid="{00000000-0005-0000-0000-0000A14F0000}"/>
    <cellStyle name="40% - Accent6 2 2 2 2 2" xfId="5157" xr:uid="{00000000-0005-0000-0000-0000A24F0000}"/>
    <cellStyle name="40% - Accent6 2 2 2 2 2 2" xfId="8748" xr:uid="{00000000-0005-0000-0000-0000A34F0000}"/>
    <cellStyle name="40% - Accent6 2 2 2 2 2 2 2" xfId="16718" xr:uid="{00000000-0005-0000-0000-0000A44F0000}"/>
    <cellStyle name="40% - Accent6 2 2 2 2 2 2 2 2" xfId="40560" xr:uid="{CD851387-620B-482D-AD05-65F956CAFAEA}"/>
    <cellStyle name="40% - Accent6 2 2 2 2 2 2 3" xfId="24664" xr:uid="{00000000-0005-0000-0000-0000A54F0000}"/>
    <cellStyle name="40% - Accent6 2 2 2 2 2 2 3 2" xfId="48496" xr:uid="{D5F4A459-4493-47CC-9870-72B5AD0EA324}"/>
    <cellStyle name="40% - Accent6 2 2 2 2 2 2 4" xfId="32619" xr:uid="{0B5C4C9D-A938-441A-89C8-49895E60807D}"/>
    <cellStyle name="40% - Accent6 2 2 2 2 2 3" xfId="13180" xr:uid="{00000000-0005-0000-0000-0000A64F0000}"/>
    <cellStyle name="40% - Accent6 2 2 2 2 2 3 2" xfId="37029" xr:uid="{C4E0D618-ACBE-460C-AFBC-8B94902F2D69}"/>
    <cellStyle name="40% - Accent6 2 2 2 2 2 4" xfId="21135" xr:uid="{00000000-0005-0000-0000-0000A74F0000}"/>
    <cellStyle name="40% - Accent6 2 2 2 2 2 4 2" xfId="44967" xr:uid="{E2DC602B-A25D-41F2-BDBB-61D8F716DD53}"/>
    <cellStyle name="40% - Accent6 2 2 2 2 2 5" xfId="29088" xr:uid="{EB1FDEA4-776C-46E9-89B0-9AAEC48575D4}"/>
    <cellStyle name="40% - Accent6 2 2 2 2 3" xfId="6989" xr:uid="{00000000-0005-0000-0000-0000A84F0000}"/>
    <cellStyle name="40% - Accent6 2 2 2 2 3 2" xfId="14960" xr:uid="{00000000-0005-0000-0000-0000A94F0000}"/>
    <cellStyle name="40% - Accent6 2 2 2 2 3 2 2" xfId="38802" xr:uid="{0D060449-CC96-4712-B232-375F149107C2}"/>
    <cellStyle name="40% - Accent6 2 2 2 2 3 3" xfId="22907" xr:uid="{00000000-0005-0000-0000-0000AA4F0000}"/>
    <cellStyle name="40% - Accent6 2 2 2 2 3 3 2" xfId="46739" xr:uid="{29520847-803C-4DE8-92C3-6505A1673F4B}"/>
    <cellStyle name="40% - Accent6 2 2 2 2 3 4" xfId="30861" xr:uid="{3384C2B0-0976-417F-B2F4-02F67FBEB379}"/>
    <cellStyle name="40% - Accent6 2 2 2 2 4" xfId="11424" xr:uid="{00000000-0005-0000-0000-0000AB4F0000}"/>
    <cellStyle name="40% - Accent6 2 2 2 2 4 2" xfId="35273" xr:uid="{016D12C0-64C8-4AC2-8372-DAED88AF549F}"/>
    <cellStyle name="40% - Accent6 2 2 2 2 5" xfId="19379" xr:uid="{00000000-0005-0000-0000-0000AC4F0000}"/>
    <cellStyle name="40% - Accent6 2 2 2 2 5 2" xfId="43211" xr:uid="{74737B67-2EFF-480B-B2F8-757682683FAB}"/>
    <cellStyle name="40% - Accent6 2 2 2 2 6" xfId="27331" xr:uid="{5974C96C-4F27-4F04-A453-DED02BC04EB8}"/>
    <cellStyle name="40% - Accent6 2 2 2 2_Exh G" xfId="3341" xr:uid="{00000000-0005-0000-0000-0000AD4F0000}"/>
    <cellStyle name="40% - Accent6 2 2 2 3" xfId="4278" xr:uid="{00000000-0005-0000-0000-0000AE4F0000}"/>
    <cellStyle name="40% - Accent6 2 2 2 3 2" xfId="7870" xr:uid="{00000000-0005-0000-0000-0000AF4F0000}"/>
    <cellStyle name="40% - Accent6 2 2 2 3 2 2" xfId="15840" xr:uid="{00000000-0005-0000-0000-0000B04F0000}"/>
    <cellStyle name="40% - Accent6 2 2 2 3 2 2 2" xfId="39682" xr:uid="{3C30CC71-2B3B-4964-AC6C-AE779AEBFF13}"/>
    <cellStyle name="40% - Accent6 2 2 2 3 2 3" xfId="23786" xr:uid="{00000000-0005-0000-0000-0000B14F0000}"/>
    <cellStyle name="40% - Accent6 2 2 2 3 2 3 2" xfId="47618" xr:uid="{49F6CE24-22FA-4426-A4B5-8A4E54E78C80}"/>
    <cellStyle name="40% - Accent6 2 2 2 3 2 4" xfId="31741" xr:uid="{A842E899-0C96-46D0-9336-B05C188129B8}"/>
    <cellStyle name="40% - Accent6 2 2 2 3 3" xfId="12302" xr:uid="{00000000-0005-0000-0000-0000B24F0000}"/>
    <cellStyle name="40% - Accent6 2 2 2 3 3 2" xfId="36151" xr:uid="{07896E57-A170-485F-9FD4-674DF250223B}"/>
    <cellStyle name="40% - Accent6 2 2 2 3 4" xfId="20257" xr:uid="{00000000-0005-0000-0000-0000B34F0000}"/>
    <cellStyle name="40% - Accent6 2 2 2 3 4 2" xfId="44089" xr:uid="{A577424B-C67E-4678-A700-61520A563DAE}"/>
    <cellStyle name="40% - Accent6 2 2 2 3 5" xfId="28210" xr:uid="{0A83A990-AAE3-4C3D-9FF6-6CD80957B2EF}"/>
    <cellStyle name="40% - Accent6 2 2 2 4" xfId="6098" xr:uid="{00000000-0005-0000-0000-0000B44F0000}"/>
    <cellStyle name="40% - Accent6 2 2 2 4 2" xfId="14081" xr:uid="{00000000-0005-0000-0000-0000B54F0000}"/>
    <cellStyle name="40% - Accent6 2 2 2 4 2 2" xfId="37924" xr:uid="{34A1DE59-0476-49B7-83E1-784F7DDC8339}"/>
    <cellStyle name="40% - Accent6 2 2 2 4 3" xfId="22029" xr:uid="{00000000-0005-0000-0000-0000B64F0000}"/>
    <cellStyle name="40% - Accent6 2 2 2 4 3 2" xfId="45861" xr:uid="{D2411554-DC84-484E-B22D-10ABBA0C1535}"/>
    <cellStyle name="40% - Accent6 2 2 2 4 4" xfId="29983" xr:uid="{15339FC7-EDAC-46D2-970D-627DDBC5A781}"/>
    <cellStyle name="40% - Accent6 2 2 2 5" xfId="9650" xr:uid="{00000000-0005-0000-0000-0000B74F0000}"/>
    <cellStyle name="40% - Accent6 2 2 2 5 2" xfId="17608" xr:uid="{00000000-0005-0000-0000-0000B84F0000}"/>
    <cellStyle name="40% - Accent6 2 2 2 5 2 2" xfId="41448" xr:uid="{818C43B5-FDA7-4AE1-BF15-41456CE398F0}"/>
    <cellStyle name="40% - Accent6 2 2 2 5 3" xfId="25552" xr:uid="{00000000-0005-0000-0000-0000B94F0000}"/>
    <cellStyle name="40% - Accent6 2 2 2 5 3 2" xfId="49384" xr:uid="{6FE336F7-37F5-457A-AFAD-D548CAE12F0A}"/>
    <cellStyle name="40% - Accent6 2 2 2 5 4" xfId="33507" xr:uid="{9BCB1B53-1B8F-457F-9CDA-DF6AD376C54B}"/>
    <cellStyle name="40% - Accent6 2 2 2 6" xfId="10546" xr:uid="{00000000-0005-0000-0000-0000BA4F0000}"/>
    <cellStyle name="40% - Accent6 2 2 2 6 2" xfId="34395" xr:uid="{79AD3B10-DBE0-4A2B-A246-B524883C887A}"/>
    <cellStyle name="40% - Accent6 2 2 2 7" xfId="18501" xr:uid="{00000000-0005-0000-0000-0000BB4F0000}"/>
    <cellStyle name="40% - Accent6 2 2 2 7 2" xfId="42333" xr:uid="{7488CE5A-DF2F-4254-BACA-2DBA64AF8D6D}"/>
    <cellStyle name="40% - Accent6 2 2 2 8" xfId="26453" xr:uid="{DC13BFFE-678B-4ED7-A92F-2535A0F7D071}"/>
    <cellStyle name="40% - Accent6 2 2 2_Exh G" xfId="3340" xr:uid="{00000000-0005-0000-0000-0000BC4F0000}"/>
    <cellStyle name="40% - Accent6 2 2 3" xfId="993" xr:uid="{00000000-0005-0000-0000-0000BD4F0000}"/>
    <cellStyle name="40% - Accent6 2 2 3 2" xfId="1903" xr:uid="{00000000-0005-0000-0000-0000BE4F0000}"/>
    <cellStyle name="40% - Accent6 2 2 3 2 2" xfId="5420" xr:uid="{00000000-0005-0000-0000-0000BF4F0000}"/>
    <cellStyle name="40% - Accent6 2 2 3 2 2 2" xfId="9011" xr:uid="{00000000-0005-0000-0000-0000C04F0000}"/>
    <cellStyle name="40% - Accent6 2 2 3 2 2 2 2" xfId="16981" xr:uid="{00000000-0005-0000-0000-0000C14F0000}"/>
    <cellStyle name="40% - Accent6 2 2 3 2 2 2 2 2" xfId="40823" xr:uid="{92E2F511-F3F2-485D-A089-68FB8BC4A8F8}"/>
    <cellStyle name="40% - Accent6 2 2 3 2 2 2 3" xfId="24927" xr:uid="{00000000-0005-0000-0000-0000C24F0000}"/>
    <cellStyle name="40% - Accent6 2 2 3 2 2 2 3 2" xfId="48759" xr:uid="{78E6C9EC-BD86-480C-8009-8A0F3B38A30A}"/>
    <cellStyle name="40% - Accent6 2 2 3 2 2 2 4" xfId="32882" xr:uid="{80A033E2-0752-49E6-B0B4-BF8EEB8F1F58}"/>
    <cellStyle name="40% - Accent6 2 2 3 2 2 3" xfId="13443" xr:uid="{00000000-0005-0000-0000-0000C34F0000}"/>
    <cellStyle name="40% - Accent6 2 2 3 2 2 3 2" xfId="37292" xr:uid="{92637EA3-13FE-4BFC-819D-5FD45230035F}"/>
    <cellStyle name="40% - Accent6 2 2 3 2 2 4" xfId="21398" xr:uid="{00000000-0005-0000-0000-0000C44F0000}"/>
    <cellStyle name="40% - Accent6 2 2 3 2 2 4 2" xfId="45230" xr:uid="{CEC2CED0-3E3A-4EAD-9A8D-7721DD242EDE}"/>
    <cellStyle name="40% - Accent6 2 2 3 2 2 5" xfId="29351" xr:uid="{6AEF02F6-B890-4D20-8253-F8A0A417714E}"/>
    <cellStyle name="40% - Accent6 2 2 3 2 3" xfId="7252" xr:uid="{00000000-0005-0000-0000-0000C54F0000}"/>
    <cellStyle name="40% - Accent6 2 2 3 2 3 2" xfId="15223" xr:uid="{00000000-0005-0000-0000-0000C64F0000}"/>
    <cellStyle name="40% - Accent6 2 2 3 2 3 2 2" xfId="39065" xr:uid="{5491F8B1-D9C1-412F-91C8-06521F97B2C3}"/>
    <cellStyle name="40% - Accent6 2 2 3 2 3 3" xfId="23170" xr:uid="{00000000-0005-0000-0000-0000C74F0000}"/>
    <cellStyle name="40% - Accent6 2 2 3 2 3 3 2" xfId="47002" xr:uid="{F469C348-AC8D-4D44-98B3-866EF090AB9D}"/>
    <cellStyle name="40% - Accent6 2 2 3 2 3 4" xfId="31124" xr:uid="{F1E47ABB-A6F0-4120-926A-1B8829852383}"/>
    <cellStyle name="40% - Accent6 2 2 3 2 4" xfId="11687" xr:uid="{00000000-0005-0000-0000-0000C84F0000}"/>
    <cellStyle name="40% - Accent6 2 2 3 2 4 2" xfId="35536" xr:uid="{2E65BC09-146B-4797-BCC5-9FB5824A8F6A}"/>
    <cellStyle name="40% - Accent6 2 2 3 2 5" xfId="19642" xr:uid="{00000000-0005-0000-0000-0000C94F0000}"/>
    <cellStyle name="40% - Accent6 2 2 3 2 5 2" xfId="43474" xr:uid="{C5E36A12-493C-4C9E-9758-06D936CD7B10}"/>
    <cellStyle name="40% - Accent6 2 2 3 2 6" xfId="27594" xr:uid="{AE59B789-7F96-4A44-B3B5-9A7777851519}"/>
    <cellStyle name="40% - Accent6 2 2 3 2_Exh G" xfId="3343" xr:uid="{00000000-0005-0000-0000-0000CA4F0000}"/>
    <cellStyle name="40% - Accent6 2 2 3 3" xfId="4541" xr:uid="{00000000-0005-0000-0000-0000CB4F0000}"/>
    <cellStyle name="40% - Accent6 2 2 3 3 2" xfId="8133" xr:uid="{00000000-0005-0000-0000-0000CC4F0000}"/>
    <cellStyle name="40% - Accent6 2 2 3 3 2 2" xfId="16103" xr:uid="{00000000-0005-0000-0000-0000CD4F0000}"/>
    <cellStyle name="40% - Accent6 2 2 3 3 2 2 2" xfId="39945" xr:uid="{597879F1-3B36-436C-AB2C-363A6A66B2EC}"/>
    <cellStyle name="40% - Accent6 2 2 3 3 2 3" xfId="24049" xr:uid="{00000000-0005-0000-0000-0000CE4F0000}"/>
    <cellStyle name="40% - Accent6 2 2 3 3 2 3 2" xfId="47881" xr:uid="{C6A46B81-64CA-42BC-95B3-0E115CB13CB5}"/>
    <cellStyle name="40% - Accent6 2 2 3 3 2 4" xfId="32004" xr:uid="{F3E44702-152D-4F44-BC18-18D8DA189E40}"/>
    <cellStyle name="40% - Accent6 2 2 3 3 3" xfId="12565" xr:uid="{00000000-0005-0000-0000-0000CF4F0000}"/>
    <cellStyle name="40% - Accent6 2 2 3 3 3 2" xfId="36414" xr:uid="{9DA805B0-238A-417A-9C16-FDB7AD0ED1A6}"/>
    <cellStyle name="40% - Accent6 2 2 3 3 4" xfId="20520" xr:uid="{00000000-0005-0000-0000-0000D04F0000}"/>
    <cellStyle name="40% - Accent6 2 2 3 3 4 2" xfId="44352" xr:uid="{1B5D4F49-D72A-4374-87C1-DD2254A2C2E5}"/>
    <cellStyle name="40% - Accent6 2 2 3 3 5" xfId="28473" xr:uid="{4E66315B-4C47-4074-AA44-29C9D8CF92CB}"/>
    <cellStyle name="40% - Accent6 2 2 3 4" xfId="6371" xr:uid="{00000000-0005-0000-0000-0000D14F0000}"/>
    <cellStyle name="40% - Accent6 2 2 3 4 2" xfId="14345" xr:uid="{00000000-0005-0000-0000-0000D24F0000}"/>
    <cellStyle name="40% - Accent6 2 2 3 4 2 2" xfId="38187" xr:uid="{C103F86B-D618-46F1-AF80-64FF97B10085}"/>
    <cellStyle name="40% - Accent6 2 2 3 4 3" xfId="22292" xr:uid="{00000000-0005-0000-0000-0000D34F0000}"/>
    <cellStyle name="40% - Accent6 2 2 3 4 3 2" xfId="46124" xr:uid="{AC009930-D884-4ECA-87AC-2EF16E0E034C}"/>
    <cellStyle name="40% - Accent6 2 2 3 4 4" xfId="30246" xr:uid="{2050C034-BA14-4424-B87B-F6CB04EFA1B9}"/>
    <cellStyle name="40% - Accent6 2 2 3 5" xfId="9913" xr:uid="{00000000-0005-0000-0000-0000D44F0000}"/>
    <cellStyle name="40% - Accent6 2 2 3 5 2" xfId="17871" xr:uid="{00000000-0005-0000-0000-0000D54F0000}"/>
    <cellStyle name="40% - Accent6 2 2 3 5 2 2" xfId="41711" xr:uid="{80638169-CF82-4C18-ADCE-14394A8831E0}"/>
    <cellStyle name="40% - Accent6 2 2 3 5 3" xfId="25815" xr:uid="{00000000-0005-0000-0000-0000D64F0000}"/>
    <cellStyle name="40% - Accent6 2 2 3 5 3 2" xfId="49647" xr:uid="{9576FAA3-B262-43B1-8617-D4A267D8FC18}"/>
    <cellStyle name="40% - Accent6 2 2 3 5 4" xfId="33770" xr:uid="{8810780F-F732-4D24-B31F-7ACC43211A08}"/>
    <cellStyle name="40% - Accent6 2 2 3 6" xfId="10809" xr:uid="{00000000-0005-0000-0000-0000D74F0000}"/>
    <cellStyle name="40% - Accent6 2 2 3 6 2" xfId="34658" xr:uid="{B389DA91-BEBF-467E-9BCE-8EEB0C7ED58B}"/>
    <cellStyle name="40% - Accent6 2 2 3 7" xfId="18764" xr:uid="{00000000-0005-0000-0000-0000D84F0000}"/>
    <cellStyle name="40% - Accent6 2 2 3 7 2" xfId="42596" xr:uid="{62B507EE-C278-4F20-A5C7-576CADA7AF5D}"/>
    <cellStyle name="40% - Accent6 2 2 3 8" xfId="26716" xr:uid="{7723A5CB-E822-45A9-B9D4-05EBCBD0A197}"/>
    <cellStyle name="40% - Accent6 2 2 3_Exh G" xfId="3342" xr:uid="{00000000-0005-0000-0000-0000D94F0000}"/>
    <cellStyle name="40% - Accent6 2 2 4" xfId="1629" xr:uid="{00000000-0005-0000-0000-0000DA4F0000}"/>
    <cellStyle name="40% - Accent6 2 2 4 2" xfId="5156" xr:uid="{00000000-0005-0000-0000-0000DB4F0000}"/>
    <cellStyle name="40% - Accent6 2 2 4 2 2" xfId="8747" xr:uid="{00000000-0005-0000-0000-0000DC4F0000}"/>
    <cellStyle name="40% - Accent6 2 2 4 2 2 2" xfId="16717" xr:uid="{00000000-0005-0000-0000-0000DD4F0000}"/>
    <cellStyle name="40% - Accent6 2 2 4 2 2 2 2" xfId="40559" xr:uid="{B34CF830-8DA6-4BEC-8530-9FDCAC5C081C}"/>
    <cellStyle name="40% - Accent6 2 2 4 2 2 3" xfId="24663" xr:uid="{00000000-0005-0000-0000-0000DE4F0000}"/>
    <cellStyle name="40% - Accent6 2 2 4 2 2 3 2" xfId="48495" xr:uid="{F04643DA-813A-4BBD-9B1D-06F155ACB946}"/>
    <cellStyle name="40% - Accent6 2 2 4 2 2 4" xfId="32618" xr:uid="{F3ED2823-828D-4D0C-817F-4BC69F1DF6EC}"/>
    <cellStyle name="40% - Accent6 2 2 4 2 3" xfId="13179" xr:uid="{00000000-0005-0000-0000-0000DF4F0000}"/>
    <cellStyle name="40% - Accent6 2 2 4 2 3 2" xfId="37028" xr:uid="{B2A00C70-25B0-4AD7-B6BF-37810F2364BC}"/>
    <cellStyle name="40% - Accent6 2 2 4 2 4" xfId="21134" xr:uid="{00000000-0005-0000-0000-0000E04F0000}"/>
    <cellStyle name="40% - Accent6 2 2 4 2 4 2" xfId="44966" xr:uid="{8FE7A1A2-F577-49C9-88B5-F258DC767E1D}"/>
    <cellStyle name="40% - Accent6 2 2 4 2 5" xfId="29087" xr:uid="{2F648A23-A6F9-4A3F-85F0-124F5BCD90C5}"/>
    <cellStyle name="40% - Accent6 2 2 4 3" xfId="6988" xr:uid="{00000000-0005-0000-0000-0000E14F0000}"/>
    <cellStyle name="40% - Accent6 2 2 4 3 2" xfId="14959" xr:uid="{00000000-0005-0000-0000-0000E24F0000}"/>
    <cellStyle name="40% - Accent6 2 2 4 3 2 2" xfId="38801" xr:uid="{1499494A-9196-4B7F-ACC3-5EE396617273}"/>
    <cellStyle name="40% - Accent6 2 2 4 3 3" xfId="22906" xr:uid="{00000000-0005-0000-0000-0000E34F0000}"/>
    <cellStyle name="40% - Accent6 2 2 4 3 3 2" xfId="46738" xr:uid="{FD882CC5-F33D-470A-A8D3-7CE628D8E0FA}"/>
    <cellStyle name="40% - Accent6 2 2 4 3 4" xfId="30860" xr:uid="{CDE861DC-C0DB-47FD-B0A5-57C1EBAF4A9C}"/>
    <cellStyle name="40% - Accent6 2 2 4 4" xfId="11423" xr:uid="{00000000-0005-0000-0000-0000E44F0000}"/>
    <cellStyle name="40% - Accent6 2 2 4 4 2" xfId="35272" xr:uid="{D2F3B6A6-60B8-480F-8804-2F3C977E1692}"/>
    <cellStyle name="40% - Accent6 2 2 4 5" xfId="19378" xr:uid="{00000000-0005-0000-0000-0000E54F0000}"/>
    <cellStyle name="40% - Accent6 2 2 4 5 2" xfId="43210" xr:uid="{75157F5D-C7D7-4E73-852F-5CED0E054D87}"/>
    <cellStyle name="40% - Accent6 2 2 4 6" xfId="27330" xr:uid="{DFE232E7-B9AE-4ECC-BE34-EAF6CED8C4E6}"/>
    <cellStyle name="40% - Accent6 2 2 4_Exh G" xfId="3344" xr:uid="{00000000-0005-0000-0000-0000E64F0000}"/>
    <cellStyle name="40% - Accent6 2 2 5" xfId="4277" xr:uid="{00000000-0005-0000-0000-0000E74F0000}"/>
    <cellStyle name="40% - Accent6 2 2 5 2" xfId="7869" xr:uid="{00000000-0005-0000-0000-0000E84F0000}"/>
    <cellStyle name="40% - Accent6 2 2 5 2 2" xfId="15839" xr:uid="{00000000-0005-0000-0000-0000E94F0000}"/>
    <cellStyle name="40% - Accent6 2 2 5 2 2 2" xfId="39681" xr:uid="{452C1CD2-A8F3-4286-80CB-F41779BD9AAB}"/>
    <cellStyle name="40% - Accent6 2 2 5 2 3" xfId="23785" xr:uid="{00000000-0005-0000-0000-0000EA4F0000}"/>
    <cellStyle name="40% - Accent6 2 2 5 2 3 2" xfId="47617" xr:uid="{3FA51536-9969-4CE8-B01E-8A164313662C}"/>
    <cellStyle name="40% - Accent6 2 2 5 2 4" xfId="31740" xr:uid="{DF88DD38-FC2F-4AD9-832D-FF3FDED351AB}"/>
    <cellStyle name="40% - Accent6 2 2 5 3" xfId="12301" xr:uid="{00000000-0005-0000-0000-0000EB4F0000}"/>
    <cellStyle name="40% - Accent6 2 2 5 3 2" xfId="36150" xr:uid="{4DEE56EA-3203-4833-868C-07AF9B75207B}"/>
    <cellStyle name="40% - Accent6 2 2 5 4" xfId="20256" xr:uid="{00000000-0005-0000-0000-0000EC4F0000}"/>
    <cellStyle name="40% - Accent6 2 2 5 4 2" xfId="44088" xr:uid="{8559EDAE-ADCA-44C0-93B7-9BE164874252}"/>
    <cellStyle name="40% - Accent6 2 2 5 5" xfId="28209" xr:uid="{7311A4F5-35E8-4B10-828B-863CAFA225CC}"/>
    <cellStyle name="40% - Accent6 2 2 6" xfId="6097" xr:uid="{00000000-0005-0000-0000-0000ED4F0000}"/>
    <cellStyle name="40% - Accent6 2 2 6 2" xfId="14080" xr:uid="{00000000-0005-0000-0000-0000EE4F0000}"/>
    <cellStyle name="40% - Accent6 2 2 6 2 2" xfId="37923" xr:uid="{A395C6A2-9368-45CF-B5E3-B1E90FC4B91B}"/>
    <cellStyle name="40% - Accent6 2 2 6 3" xfId="22028" xr:uid="{00000000-0005-0000-0000-0000EF4F0000}"/>
    <cellStyle name="40% - Accent6 2 2 6 3 2" xfId="45860" xr:uid="{A48B708C-8F68-4B50-B837-0B3D0F4AF2E8}"/>
    <cellStyle name="40% - Accent6 2 2 6 4" xfId="29982" xr:uid="{408E9FAF-BBF0-4908-BB32-593F94E54564}"/>
    <cellStyle name="40% - Accent6 2 2 7" xfId="9649" xr:uid="{00000000-0005-0000-0000-0000F04F0000}"/>
    <cellStyle name="40% - Accent6 2 2 7 2" xfId="17607" xr:uid="{00000000-0005-0000-0000-0000F14F0000}"/>
    <cellStyle name="40% - Accent6 2 2 7 2 2" xfId="41447" xr:uid="{89392616-BAB2-4AC1-929E-953123B352AA}"/>
    <cellStyle name="40% - Accent6 2 2 7 3" xfId="25551" xr:uid="{00000000-0005-0000-0000-0000F24F0000}"/>
    <cellStyle name="40% - Accent6 2 2 7 3 2" xfId="49383" xr:uid="{4640FED4-803A-4D2B-A6B6-B26FBFBE945A}"/>
    <cellStyle name="40% - Accent6 2 2 7 4" xfId="33506" xr:uid="{C3D0B778-7C89-4866-8112-D11E7145C04C}"/>
    <cellStyle name="40% - Accent6 2 2 8" xfId="10545" xr:uid="{00000000-0005-0000-0000-0000F34F0000}"/>
    <cellStyle name="40% - Accent6 2 2 8 2" xfId="34394" xr:uid="{D1C3ED96-2012-48E0-9B39-25FA37FB81A9}"/>
    <cellStyle name="40% - Accent6 2 2 9" xfId="18500" xr:uid="{00000000-0005-0000-0000-0000F44F0000}"/>
    <cellStyle name="40% - Accent6 2 2 9 2" xfId="42332" xr:uid="{B5200C83-FFA7-4353-889E-B1BE188E25F6}"/>
    <cellStyle name="40% - Accent6 2 2_Exh G" xfId="3339" xr:uid="{00000000-0005-0000-0000-0000F54F0000}"/>
    <cellStyle name="40% - Accent6 2 3" xfId="605" xr:uid="{00000000-0005-0000-0000-0000F64F0000}"/>
    <cellStyle name="40% - Accent6 2 3 2" xfId="1631" xr:uid="{00000000-0005-0000-0000-0000F74F0000}"/>
    <cellStyle name="40% - Accent6 2 3 2 2" xfId="5158" xr:uid="{00000000-0005-0000-0000-0000F84F0000}"/>
    <cellStyle name="40% - Accent6 2 3 2 2 2" xfId="8749" xr:uid="{00000000-0005-0000-0000-0000F94F0000}"/>
    <cellStyle name="40% - Accent6 2 3 2 2 2 2" xfId="16719" xr:uid="{00000000-0005-0000-0000-0000FA4F0000}"/>
    <cellStyle name="40% - Accent6 2 3 2 2 2 2 2" xfId="40561" xr:uid="{9A6D42DC-9AA5-487A-AE04-21D146EBD145}"/>
    <cellStyle name="40% - Accent6 2 3 2 2 2 3" xfId="24665" xr:uid="{00000000-0005-0000-0000-0000FB4F0000}"/>
    <cellStyle name="40% - Accent6 2 3 2 2 2 3 2" xfId="48497" xr:uid="{E910EE80-C296-4C81-9B36-634F08C3D0E1}"/>
    <cellStyle name="40% - Accent6 2 3 2 2 2 4" xfId="32620" xr:uid="{2A589C8C-720E-46B4-BCF0-1CD9073F4736}"/>
    <cellStyle name="40% - Accent6 2 3 2 2 3" xfId="13181" xr:uid="{00000000-0005-0000-0000-0000FC4F0000}"/>
    <cellStyle name="40% - Accent6 2 3 2 2 3 2" xfId="37030" xr:uid="{E7329E87-D2F3-4312-A91B-543732ED010F}"/>
    <cellStyle name="40% - Accent6 2 3 2 2 4" xfId="21136" xr:uid="{00000000-0005-0000-0000-0000FD4F0000}"/>
    <cellStyle name="40% - Accent6 2 3 2 2 4 2" xfId="44968" xr:uid="{31CD9FCE-E9B2-4EE2-BE90-B6F4507B4F55}"/>
    <cellStyle name="40% - Accent6 2 3 2 2 5" xfId="29089" xr:uid="{81D6DAB6-7D30-422B-AAF2-C297B0797BED}"/>
    <cellStyle name="40% - Accent6 2 3 2 3" xfId="6990" xr:uid="{00000000-0005-0000-0000-0000FE4F0000}"/>
    <cellStyle name="40% - Accent6 2 3 2 3 2" xfId="14961" xr:uid="{00000000-0005-0000-0000-0000FF4F0000}"/>
    <cellStyle name="40% - Accent6 2 3 2 3 2 2" xfId="38803" xr:uid="{125EEC2B-14F2-4FF4-ACB2-1EE76ECBE6F9}"/>
    <cellStyle name="40% - Accent6 2 3 2 3 3" xfId="22908" xr:uid="{00000000-0005-0000-0000-000000500000}"/>
    <cellStyle name="40% - Accent6 2 3 2 3 3 2" xfId="46740" xr:uid="{41105193-1125-459D-9004-A74B9C6D3054}"/>
    <cellStyle name="40% - Accent6 2 3 2 3 4" xfId="30862" xr:uid="{6D80BE45-78E8-4CE3-9FF9-B98EFCF695B1}"/>
    <cellStyle name="40% - Accent6 2 3 2 4" xfId="11425" xr:uid="{00000000-0005-0000-0000-000001500000}"/>
    <cellStyle name="40% - Accent6 2 3 2 4 2" xfId="35274" xr:uid="{7D613177-B954-4689-8330-DD11D0086EA6}"/>
    <cellStyle name="40% - Accent6 2 3 2 5" xfId="19380" xr:uid="{00000000-0005-0000-0000-000002500000}"/>
    <cellStyle name="40% - Accent6 2 3 2 5 2" xfId="43212" xr:uid="{4A17AEBA-FB61-4E6D-B7F3-B28220B8D55B}"/>
    <cellStyle name="40% - Accent6 2 3 2 6" xfId="27332" xr:uid="{53D0A9F6-41F1-4493-A7BF-5BFE1613EF95}"/>
    <cellStyle name="40% - Accent6 2 3 2_Exh G" xfId="3346" xr:uid="{00000000-0005-0000-0000-000003500000}"/>
    <cellStyle name="40% - Accent6 2 3 3" xfId="4279" xr:uid="{00000000-0005-0000-0000-000004500000}"/>
    <cellStyle name="40% - Accent6 2 3 3 2" xfId="7871" xr:uid="{00000000-0005-0000-0000-000005500000}"/>
    <cellStyle name="40% - Accent6 2 3 3 2 2" xfId="15841" xr:uid="{00000000-0005-0000-0000-000006500000}"/>
    <cellStyle name="40% - Accent6 2 3 3 2 2 2" xfId="39683" xr:uid="{3A13FAD6-16C1-4EE6-87E2-78A10D941A3A}"/>
    <cellStyle name="40% - Accent6 2 3 3 2 3" xfId="23787" xr:uid="{00000000-0005-0000-0000-000007500000}"/>
    <cellStyle name="40% - Accent6 2 3 3 2 3 2" xfId="47619" xr:uid="{559C39D7-9446-41FF-861E-DD9D9C275F26}"/>
    <cellStyle name="40% - Accent6 2 3 3 2 4" xfId="31742" xr:uid="{A229FEE6-FFC7-417A-8A8D-537E9D0A3316}"/>
    <cellStyle name="40% - Accent6 2 3 3 3" xfId="12303" xr:uid="{00000000-0005-0000-0000-000008500000}"/>
    <cellStyle name="40% - Accent6 2 3 3 3 2" xfId="36152" xr:uid="{B6F7C44F-E6E2-4539-BEA0-CAC75A7CCF88}"/>
    <cellStyle name="40% - Accent6 2 3 3 4" xfId="20258" xr:uid="{00000000-0005-0000-0000-000009500000}"/>
    <cellStyle name="40% - Accent6 2 3 3 4 2" xfId="44090" xr:uid="{78CD1330-3CA5-44B8-BA92-6416B47DC47F}"/>
    <cellStyle name="40% - Accent6 2 3 3 5" xfId="28211" xr:uid="{8ED40D9C-60B3-4AD4-B855-D73BB67D4252}"/>
    <cellStyle name="40% - Accent6 2 3 4" xfId="6099" xr:uid="{00000000-0005-0000-0000-00000A500000}"/>
    <cellStyle name="40% - Accent6 2 3 4 2" xfId="14082" xr:uid="{00000000-0005-0000-0000-00000B500000}"/>
    <cellStyle name="40% - Accent6 2 3 4 2 2" xfId="37925" xr:uid="{6DF4A13A-A008-4232-B30F-36B1C92C8027}"/>
    <cellStyle name="40% - Accent6 2 3 4 3" xfId="22030" xr:uid="{00000000-0005-0000-0000-00000C500000}"/>
    <cellStyle name="40% - Accent6 2 3 4 3 2" xfId="45862" xr:uid="{FCAFEE4B-FBD9-49EB-8248-509059A9625E}"/>
    <cellStyle name="40% - Accent6 2 3 4 4" xfId="29984" xr:uid="{7A581268-A1A0-4E1C-B1AF-C3203FA2C90B}"/>
    <cellStyle name="40% - Accent6 2 3 5" xfId="9651" xr:uid="{00000000-0005-0000-0000-00000D500000}"/>
    <cellStyle name="40% - Accent6 2 3 5 2" xfId="17609" xr:uid="{00000000-0005-0000-0000-00000E500000}"/>
    <cellStyle name="40% - Accent6 2 3 5 2 2" xfId="41449" xr:uid="{5A0463AB-62D5-4257-BFDD-FEC30ACD19E8}"/>
    <cellStyle name="40% - Accent6 2 3 5 3" xfId="25553" xr:uid="{00000000-0005-0000-0000-00000F500000}"/>
    <cellStyle name="40% - Accent6 2 3 5 3 2" xfId="49385" xr:uid="{094DAC3F-6478-4961-A89F-9AC5304F0A55}"/>
    <cellStyle name="40% - Accent6 2 3 5 4" xfId="33508" xr:uid="{EA425899-406D-42D6-8C83-7DCFA2B3C73F}"/>
    <cellStyle name="40% - Accent6 2 3 6" xfId="10547" xr:uid="{00000000-0005-0000-0000-000010500000}"/>
    <cellStyle name="40% - Accent6 2 3 6 2" xfId="34396" xr:uid="{8F14E62D-E6BF-4958-A462-3F3F8BEA5CF4}"/>
    <cellStyle name="40% - Accent6 2 3 7" xfId="18502" xr:uid="{00000000-0005-0000-0000-000011500000}"/>
    <cellStyle name="40% - Accent6 2 3 7 2" xfId="42334" xr:uid="{2AC5F2CD-364F-4DB4-85C0-B7909F3CD155}"/>
    <cellStyle name="40% - Accent6 2 3 8" xfId="26454" xr:uid="{26BBF15F-BF76-4564-AEBF-66E3CD6748C8}"/>
    <cellStyle name="40% - Accent6 2 3_Exh G" xfId="3345" xr:uid="{00000000-0005-0000-0000-000012500000}"/>
    <cellStyle name="40% - Accent6 2 4" xfId="992" xr:uid="{00000000-0005-0000-0000-000013500000}"/>
    <cellStyle name="40% - Accent6 2 4 2" xfId="1902" xr:uid="{00000000-0005-0000-0000-000014500000}"/>
    <cellStyle name="40% - Accent6 2 4 2 2" xfId="5419" xr:uid="{00000000-0005-0000-0000-000015500000}"/>
    <cellStyle name="40% - Accent6 2 4 2 2 2" xfId="9010" xr:uid="{00000000-0005-0000-0000-000016500000}"/>
    <cellStyle name="40% - Accent6 2 4 2 2 2 2" xfId="16980" xr:uid="{00000000-0005-0000-0000-000017500000}"/>
    <cellStyle name="40% - Accent6 2 4 2 2 2 2 2" xfId="40822" xr:uid="{EDE0A371-19F7-4092-9EA1-6A9565183AD7}"/>
    <cellStyle name="40% - Accent6 2 4 2 2 2 3" xfId="24926" xr:uid="{00000000-0005-0000-0000-000018500000}"/>
    <cellStyle name="40% - Accent6 2 4 2 2 2 3 2" xfId="48758" xr:uid="{9F7B1345-51EF-4AE5-9794-DDE550F8AD66}"/>
    <cellStyle name="40% - Accent6 2 4 2 2 2 4" xfId="32881" xr:uid="{12228A7D-CD85-40B5-8832-2942207CF734}"/>
    <cellStyle name="40% - Accent6 2 4 2 2 3" xfId="13442" xr:uid="{00000000-0005-0000-0000-000019500000}"/>
    <cellStyle name="40% - Accent6 2 4 2 2 3 2" xfId="37291" xr:uid="{F9C8D3CB-DB39-4803-9789-32397AF14A97}"/>
    <cellStyle name="40% - Accent6 2 4 2 2 4" xfId="21397" xr:uid="{00000000-0005-0000-0000-00001A500000}"/>
    <cellStyle name="40% - Accent6 2 4 2 2 4 2" xfId="45229" xr:uid="{2FC6A38C-099A-4F1C-87C4-996676514824}"/>
    <cellStyle name="40% - Accent6 2 4 2 2 5" xfId="29350" xr:uid="{9C6F60CA-EF5B-443B-B228-770ADDD8ED5F}"/>
    <cellStyle name="40% - Accent6 2 4 2 3" xfId="7251" xr:uid="{00000000-0005-0000-0000-00001B500000}"/>
    <cellStyle name="40% - Accent6 2 4 2 3 2" xfId="15222" xr:uid="{00000000-0005-0000-0000-00001C500000}"/>
    <cellStyle name="40% - Accent6 2 4 2 3 2 2" xfId="39064" xr:uid="{5DAC30A8-5AC1-40F7-8E98-22AFBD2195CA}"/>
    <cellStyle name="40% - Accent6 2 4 2 3 3" xfId="23169" xr:uid="{00000000-0005-0000-0000-00001D500000}"/>
    <cellStyle name="40% - Accent6 2 4 2 3 3 2" xfId="47001" xr:uid="{D03F8FA7-FCA6-4543-81F5-75CD8CC595F9}"/>
    <cellStyle name="40% - Accent6 2 4 2 3 4" xfId="31123" xr:uid="{AF13B4D7-2548-414B-9E1C-8E622A0992E0}"/>
    <cellStyle name="40% - Accent6 2 4 2 4" xfId="11686" xr:uid="{00000000-0005-0000-0000-00001E500000}"/>
    <cellStyle name="40% - Accent6 2 4 2 4 2" xfId="35535" xr:uid="{9136739B-9A55-44AD-8E58-F37A1A6F2001}"/>
    <cellStyle name="40% - Accent6 2 4 2 5" xfId="19641" xr:uid="{00000000-0005-0000-0000-00001F500000}"/>
    <cellStyle name="40% - Accent6 2 4 2 5 2" xfId="43473" xr:uid="{504F4D3C-4E02-4289-93C6-E0A287DD32B5}"/>
    <cellStyle name="40% - Accent6 2 4 2 6" xfId="27593" xr:uid="{4248D35E-A3F1-4629-BC8D-D247723D897E}"/>
    <cellStyle name="40% - Accent6 2 4 2_Exh G" xfId="3348" xr:uid="{00000000-0005-0000-0000-000020500000}"/>
    <cellStyle name="40% - Accent6 2 4 3" xfId="4540" xr:uid="{00000000-0005-0000-0000-000021500000}"/>
    <cellStyle name="40% - Accent6 2 4 3 2" xfId="8132" xr:uid="{00000000-0005-0000-0000-000022500000}"/>
    <cellStyle name="40% - Accent6 2 4 3 2 2" xfId="16102" xr:uid="{00000000-0005-0000-0000-000023500000}"/>
    <cellStyle name="40% - Accent6 2 4 3 2 2 2" xfId="39944" xr:uid="{E7D53730-549D-4C97-8AFB-006E33F88BDE}"/>
    <cellStyle name="40% - Accent6 2 4 3 2 3" xfId="24048" xr:uid="{00000000-0005-0000-0000-000024500000}"/>
    <cellStyle name="40% - Accent6 2 4 3 2 3 2" xfId="47880" xr:uid="{FC4BC907-799F-4A19-8F05-F57A7D800611}"/>
    <cellStyle name="40% - Accent6 2 4 3 2 4" xfId="32003" xr:uid="{D0F0FDFC-0382-4211-B531-EA24F89C0BF9}"/>
    <cellStyle name="40% - Accent6 2 4 3 3" xfId="12564" xr:uid="{00000000-0005-0000-0000-000025500000}"/>
    <cellStyle name="40% - Accent6 2 4 3 3 2" xfId="36413" xr:uid="{2202397F-D517-4BD2-BEA9-7F79B826E014}"/>
    <cellStyle name="40% - Accent6 2 4 3 4" xfId="20519" xr:uid="{00000000-0005-0000-0000-000026500000}"/>
    <cellStyle name="40% - Accent6 2 4 3 4 2" xfId="44351" xr:uid="{1A79527D-EF50-4E70-B7BD-DDCA575F246A}"/>
    <cellStyle name="40% - Accent6 2 4 3 5" xfId="28472" xr:uid="{5E32DAC9-3DF8-416E-8767-2CE6D1E27CB8}"/>
    <cellStyle name="40% - Accent6 2 4 4" xfId="6370" xr:uid="{00000000-0005-0000-0000-000027500000}"/>
    <cellStyle name="40% - Accent6 2 4 4 2" xfId="14344" xr:uid="{00000000-0005-0000-0000-000028500000}"/>
    <cellStyle name="40% - Accent6 2 4 4 2 2" xfId="38186" xr:uid="{A6457EA7-9880-411B-A1A8-6EABE80ADAF1}"/>
    <cellStyle name="40% - Accent6 2 4 4 3" xfId="22291" xr:uid="{00000000-0005-0000-0000-000029500000}"/>
    <cellStyle name="40% - Accent6 2 4 4 3 2" xfId="46123" xr:uid="{C33D3268-9F29-4458-AE15-61C071D76530}"/>
    <cellStyle name="40% - Accent6 2 4 4 4" xfId="30245" xr:uid="{B59C47C2-4618-47AB-99B2-1D8CA3DF2B74}"/>
    <cellStyle name="40% - Accent6 2 4 5" xfId="9912" xr:uid="{00000000-0005-0000-0000-00002A500000}"/>
    <cellStyle name="40% - Accent6 2 4 5 2" xfId="17870" xr:uid="{00000000-0005-0000-0000-00002B500000}"/>
    <cellStyle name="40% - Accent6 2 4 5 2 2" xfId="41710" xr:uid="{8ECF5975-E440-407E-96F8-67E573D94FC4}"/>
    <cellStyle name="40% - Accent6 2 4 5 3" xfId="25814" xr:uid="{00000000-0005-0000-0000-00002C500000}"/>
    <cellStyle name="40% - Accent6 2 4 5 3 2" xfId="49646" xr:uid="{BFEE44EB-CAA7-421E-8F60-059BEAAB6FD0}"/>
    <cellStyle name="40% - Accent6 2 4 5 4" xfId="33769" xr:uid="{A404773B-3DF5-4462-BA02-21F5FDCF5002}"/>
    <cellStyle name="40% - Accent6 2 4 6" xfId="10808" xr:uid="{00000000-0005-0000-0000-00002D500000}"/>
    <cellStyle name="40% - Accent6 2 4 6 2" xfId="34657" xr:uid="{0E82D043-0DA9-432B-965D-0E469A681C81}"/>
    <cellStyle name="40% - Accent6 2 4 7" xfId="18763" xr:uid="{00000000-0005-0000-0000-00002E500000}"/>
    <cellStyle name="40% - Accent6 2 4 7 2" xfId="42595" xr:uid="{3274C5A6-5F4B-4EE4-906B-AD5291DB2AA5}"/>
    <cellStyle name="40% - Accent6 2 4 8" xfId="26715" xr:uid="{E33FB468-A554-4B77-BC09-D842A5A59023}"/>
    <cellStyle name="40% - Accent6 2 4_Exh G" xfId="3347" xr:uid="{00000000-0005-0000-0000-00002F500000}"/>
    <cellStyle name="40% - Accent6 2 5" xfId="1628" xr:uid="{00000000-0005-0000-0000-000030500000}"/>
    <cellStyle name="40% - Accent6 2 5 2" xfId="5155" xr:uid="{00000000-0005-0000-0000-000031500000}"/>
    <cellStyle name="40% - Accent6 2 5 2 2" xfId="8746" xr:uid="{00000000-0005-0000-0000-000032500000}"/>
    <cellStyle name="40% - Accent6 2 5 2 2 2" xfId="16716" xr:uid="{00000000-0005-0000-0000-000033500000}"/>
    <cellStyle name="40% - Accent6 2 5 2 2 2 2" xfId="40558" xr:uid="{E8AF5AD7-E4F4-4A22-85BA-3FBABC14E012}"/>
    <cellStyle name="40% - Accent6 2 5 2 2 3" xfId="24662" xr:uid="{00000000-0005-0000-0000-000034500000}"/>
    <cellStyle name="40% - Accent6 2 5 2 2 3 2" xfId="48494" xr:uid="{2DF777C4-6799-41CB-9ABE-9C9EC13E834B}"/>
    <cellStyle name="40% - Accent6 2 5 2 2 4" xfId="32617" xr:uid="{15A5795F-BB17-49A4-8020-15800AA8B782}"/>
    <cellStyle name="40% - Accent6 2 5 2 3" xfId="13178" xr:uid="{00000000-0005-0000-0000-000035500000}"/>
    <cellStyle name="40% - Accent6 2 5 2 3 2" xfId="37027" xr:uid="{607789A1-84C4-4BCD-ABC8-2BB7E7702B93}"/>
    <cellStyle name="40% - Accent6 2 5 2 4" xfId="21133" xr:uid="{00000000-0005-0000-0000-000036500000}"/>
    <cellStyle name="40% - Accent6 2 5 2 4 2" xfId="44965" xr:uid="{72FECBC7-29E9-41DF-A7E4-3A9D09DCA2E7}"/>
    <cellStyle name="40% - Accent6 2 5 2 5" xfId="29086" xr:uid="{EF8BF902-EC45-435D-8E2B-0F1FD6915CDF}"/>
    <cellStyle name="40% - Accent6 2 5 3" xfId="6987" xr:uid="{00000000-0005-0000-0000-000037500000}"/>
    <cellStyle name="40% - Accent6 2 5 3 2" xfId="14958" xr:uid="{00000000-0005-0000-0000-000038500000}"/>
    <cellStyle name="40% - Accent6 2 5 3 2 2" xfId="38800" xr:uid="{41C672BB-7FB3-4EBD-8B92-8B93C97ADF01}"/>
    <cellStyle name="40% - Accent6 2 5 3 3" xfId="22905" xr:uid="{00000000-0005-0000-0000-000039500000}"/>
    <cellStyle name="40% - Accent6 2 5 3 3 2" xfId="46737" xr:uid="{1FDB1FE8-DCA5-46FE-B400-B238635A43A5}"/>
    <cellStyle name="40% - Accent6 2 5 3 4" xfId="30859" xr:uid="{F2649440-AF0B-43A4-A629-FD201D7D496F}"/>
    <cellStyle name="40% - Accent6 2 5 4" xfId="11422" xr:uid="{00000000-0005-0000-0000-00003A500000}"/>
    <cellStyle name="40% - Accent6 2 5 4 2" xfId="35271" xr:uid="{1D895AE6-EF32-4EE2-A6C4-8C4D1BE38C13}"/>
    <cellStyle name="40% - Accent6 2 5 5" xfId="19377" xr:uid="{00000000-0005-0000-0000-00003B500000}"/>
    <cellStyle name="40% - Accent6 2 5 5 2" xfId="43209" xr:uid="{56C2BB4A-FD3C-4570-B005-AECDD2148CF9}"/>
    <cellStyle name="40% - Accent6 2 5 6" xfId="27329" xr:uid="{0FDA655D-132B-4C8D-8DF5-49E396B1BD89}"/>
    <cellStyle name="40% - Accent6 2 5_Exh G" xfId="3349" xr:uid="{00000000-0005-0000-0000-00003C500000}"/>
    <cellStyle name="40% - Accent6 2 6" xfId="4276" xr:uid="{00000000-0005-0000-0000-00003D500000}"/>
    <cellStyle name="40% - Accent6 2 6 2" xfId="7868" xr:uid="{00000000-0005-0000-0000-00003E500000}"/>
    <cellStyle name="40% - Accent6 2 6 2 2" xfId="15838" xr:uid="{00000000-0005-0000-0000-00003F500000}"/>
    <cellStyle name="40% - Accent6 2 6 2 2 2" xfId="39680" xr:uid="{D7D99038-40B3-460E-A4B8-BCF83EC70D6B}"/>
    <cellStyle name="40% - Accent6 2 6 2 3" xfId="23784" xr:uid="{00000000-0005-0000-0000-000040500000}"/>
    <cellStyle name="40% - Accent6 2 6 2 3 2" xfId="47616" xr:uid="{8CB813BA-446B-47BD-A421-E367EE9ACCE9}"/>
    <cellStyle name="40% - Accent6 2 6 2 4" xfId="31739" xr:uid="{CD299C41-738D-4C84-9280-FB43282F0560}"/>
    <cellStyle name="40% - Accent6 2 6 3" xfId="12300" xr:uid="{00000000-0005-0000-0000-000041500000}"/>
    <cellStyle name="40% - Accent6 2 6 3 2" xfId="36149" xr:uid="{A06A3684-610B-4C0C-B148-FCB02E5C6F73}"/>
    <cellStyle name="40% - Accent6 2 6 4" xfId="20255" xr:uid="{00000000-0005-0000-0000-000042500000}"/>
    <cellStyle name="40% - Accent6 2 6 4 2" xfId="44087" xr:uid="{6679C25D-FE13-4141-8F7C-ED6A712CC6C0}"/>
    <cellStyle name="40% - Accent6 2 6 5" xfId="28208" xr:uid="{35FE7DD1-C5D1-4DE2-BD09-2DC7D7AEB43B}"/>
    <cellStyle name="40% - Accent6 2 7" xfId="6096" xr:uid="{00000000-0005-0000-0000-000043500000}"/>
    <cellStyle name="40% - Accent6 2 7 2" xfId="14079" xr:uid="{00000000-0005-0000-0000-000044500000}"/>
    <cellStyle name="40% - Accent6 2 7 2 2" xfId="37922" xr:uid="{365DB7C7-A70F-44C4-AE10-6163342C61CA}"/>
    <cellStyle name="40% - Accent6 2 7 3" xfId="22027" xr:uid="{00000000-0005-0000-0000-000045500000}"/>
    <cellStyle name="40% - Accent6 2 7 3 2" xfId="45859" xr:uid="{E1767211-2083-41FD-9958-19653FC43DDC}"/>
    <cellStyle name="40% - Accent6 2 7 4" xfId="29981" xr:uid="{0D7F0C37-9117-4C2D-9A44-B976FBC340E4}"/>
    <cellStyle name="40% - Accent6 2 8" xfId="9648" xr:uid="{00000000-0005-0000-0000-000046500000}"/>
    <cellStyle name="40% - Accent6 2 8 2" xfId="17606" xr:uid="{00000000-0005-0000-0000-000047500000}"/>
    <cellStyle name="40% - Accent6 2 8 2 2" xfId="41446" xr:uid="{53A74AB6-9A9A-4E6D-8ED5-1E1550DB4757}"/>
    <cellStyle name="40% - Accent6 2 8 3" xfId="25550" xr:uid="{00000000-0005-0000-0000-000048500000}"/>
    <cellStyle name="40% - Accent6 2 8 3 2" xfId="49382" xr:uid="{20F2414E-894F-4A99-9646-E4EF6BF9B1C5}"/>
    <cellStyle name="40% - Accent6 2 8 4" xfId="33505" xr:uid="{C38FBC85-C6D0-444E-95D2-2D3ADE60E08C}"/>
    <cellStyle name="40% - Accent6 2 9" xfId="10544" xr:uid="{00000000-0005-0000-0000-000049500000}"/>
    <cellStyle name="40% - Accent6 2 9 2" xfId="34393" xr:uid="{A6AB9402-D7E8-4FD4-BE12-288DAF134A1C}"/>
    <cellStyle name="40% - Accent6 2_Exh G" xfId="3338" xr:uid="{00000000-0005-0000-0000-00004A500000}"/>
    <cellStyle name="40% - Accent6 3" xfId="606" xr:uid="{00000000-0005-0000-0000-00004B500000}"/>
    <cellStyle name="40% - Accent6 3 10" xfId="18503" xr:uid="{00000000-0005-0000-0000-00004C500000}"/>
    <cellStyle name="40% - Accent6 3 10 2" xfId="42335" xr:uid="{ED179ECE-3E59-41C5-A925-5F9704E094A5}"/>
    <cellStyle name="40% - Accent6 3 11" xfId="26455" xr:uid="{DE378BB5-6DF7-4264-91FB-70CC211A16CD}"/>
    <cellStyle name="40% - Accent6 3 12" xfId="49765" xr:uid="{DC3A46B5-4EAF-4E11-8C9A-2EB334DF966A}"/>
    <cellStyle name="40% - Accent6 3 13" xfId="49819" xr:uid="{73E4ADF5-EEDD-49EB-9881-6910580C8D2B}"/>
    <cellStyle name="40% - Accent6 3 2" xfId="607" xr:uid="{00000000-0005-0000-0000-00004D500000}"/>
    <cellStyle name="40% - Accent6 3 2 10" xfId="26456" xr:uid="{FAF63C38-5226-4CC5-8863-29E3FDB6D3D9}"/>
    <cellStyle name="40% - Accent6 3 2 2" xfId="608" xr:uid="{00000000-0005-0000-0000-00004E500000}"/>
    <cellStyle name="40% - Accent6 3 2 2 2" xfId="1634" xr:uid="{00000000-0005-0000-0000-00004F500000}"/>
    <cellStyle name="40% - Accent6 3 2 2 2 2" xfId="5161" xr:uid="{00000000-0005-0000-0000-000050500000}"/>
    <cellStyle name="40% - Accent6 3 2 2 2 2 2" xfId="8752" xr:uid="{00000000-0005-0000-0000-000051500000}"/>
    <cellStyle name="40% - Accent6 3 2 2 2 2 2 2" xfId="16722" xr:uid="{00000000-0005-0000-0000-000052500000}"/>
    <cellStyle name="40% - Accent6 3 2 2 2 2 2 2 2" xfId="40564" xr:uid="{749B2BC3-3D98-4822-BFC5-9D824EA1E35A}"/>
    <cellStyle name="40% - Accent6 3 2 2 2 2 2 3" xfId="24668" xr:uid="{00000000-0005-0000-0000-000053500000}"/>
    <cellStyle name="40% - Accent6 3 2 2 2 2 2 3 2" xfId="48500" xr:uid="{7F6B221F-0D3F-4687-9925-64C2D9DD6A7A}"/>
    <cellStyle name="40% - Accent6 3 2 2 2 2 2 4" xfId="32623" xr:uid="{08E148C2-369E-4FE8-BE2F-197237C7B8F8}"/>
    <cellStyle name="40% - Accent6 3 2 2 2 2 3" xfId="13184" xr:uid="{00000000-0005-0000-0000-000054500000}"/>
    <cellStyle name="40% - Accent6 3 2 2 2 2 3 2" xfId="37033" xr:uid="{78B6D18B-0434-4BD9-BD92-7B49655C68F8}"/>
    <cellStyle name="40% - Accent6 3 2 2 2 2 4" xfId="21139" xr:uid="{00000000-0005-0000-0000-000055500000}"/>
    <cellStyle name="40% - Accent6 3 2 2 2 2 4 2" xfId="44971" xr:uid="{C13A035D-4978-45B6-93FE-765DD96A777D}"/>
    <cellStyle name="40% - Accent6 3 2 2 2 2 5" xfId="29092" xr:uid="{D0788C64-2BF3-43DB-9856-3AB165DCA994}"/>
    <cellStyle name="40% - Accent6 3 2 2 2 3" xfId="6993" xr:uid="{00000000-0005-0000-0000-000056500000}"/>
    <cellStyle name="40% - Accent6 3 2 2 2 3 2" xfId="14964" xr:uid="{00000000-0005-0000-0000-000057500000}"/>
    <cellStyle name="40% - Accent6 3 2 2 2 3 2 2" xfId="38806" xr:uid="{F549EE15-5AC0-438C-960C-5B727DF444DA}"/>
    <cellStyle name="40% - Accent6 3 2 2 2 3 3" xfId="22911" xr:uid="{00000000-0005-0000-0000-000058500000}"/>
    <cellStyle name="40% - Accent6 3 2 2 2 3 3 2" xfId="46743" xr:uid="{DA7BDE21-F895-48EB-A6E2-00EA9B4CFC0F}"/>
    <cellStyle name="40% - Accent6 3 2 2 2 3 4" xfId="30865" xr:uid="{0740F41B-A497-4235-B010-E0AF6A9117D2}"/>
    <cellStyle name="40% - Accent6 3 2 2 2 4" xfId="11428" xr:uid="{00000000-0005-0000-0000-000059500000}"/>
    <cellStyle name="40% - Accent6 3 2 2 2 4 2" xfId="35277" xr:uid="{4528134B-0C14-4EAF-A832-54E4B6DDB9B3}"/>
    <cellStyle name="40% - Accent6 3 2 2 2 5" xfId="19383" xr:uid="{00000000-0005-0000-0000-00005A500000}"/>
    <cellStyle name="40% - Accent6 3 2 2 2 5 2" xfId="43215" xr:uid="{A894472D-F649-4E97-AE7C-27C3D5CE8597}"/>
    <cellStyle name="40% - Accent6 3 2 2 2 6" xfId="27335" xr:uid="{82296D70-61AF-4BA4-89E1-AA44FA513770}"/>
    <cellStyle name="40% - Accent6 3 2 2 2_Exh G" xfId="3353" xr:uid="{00000000-0005-0000-0000-00005B500000}"/>
    <cellStyle name="40% - Accent6 3 2 2 3" xfId="4282" xr:uid="{00000000-0005-0000-0000-00005C500000}"/>
    <cellStyle name="40% - Accent6 3 2 2 3 2" xfId="7874" xr:uid="{00000000-0005-0000-0000-00005D500000}"/>
    <cellStyle name="40% - Accent6 3 2 2 3 2 2" xfId="15844" xr:uid="{00000000-0005-0000-0000-00005E500000}"/>
    <cellStyle name="40% - Accent6 3 2 2 3 2 2 2" xfId="39686" xr:uid="{7AE1AA2A-D2C2-447F-8DFD-2BE31608F989}"/>
    <cellStyle name="40% - Accent6 3 2 2 3 2 3" xfId="23790" xr:uid="{00000000-0005-0000-0000-00005F500000}"/>
    <cellStyle name="40% - Accent6 3 2 2 3 2 3 2" xfId="47622" xr:uid="{1B545B99-1CC5-4E1C-8342-AD7418EA5C39}"/>
    <cellStyle name="40% - Accent6 3 2 2 3 2 4" xfId="31745" xr:uid="{2EF6B657-FF2B-4A7A-9AB7-4BFA0BACEF81}"/>
    <cellStyle name="40% - Accent6 3 2 2 3 3" xfId="12306" xr:uid="{00000000-0005-0000-0000-000060500000}"/>
    <cellStyle name="40% - Accent6 3 2 2 3 3 2" xfId="36155" xr:uid="{02936483-CE93-4523-8866-95DC75E65DFB}"/>
    <cellStyle name="40% - Accent6 3 2 2 3 4" xfId="20261" xr:uid="{00000000-0005-0000-0000-000061500000}"/>
    <cellStyle name="40% - Accent6 3 2 2 3 4 2" xfId="44093" xr:uid="{5F67C393-FE36-48B5-9FFB-641509800990}"/>
    <cellStyle name="40% - Accent6 3 2 2 3 5" xfId="28214" xr:uid="{9D43893C-B068-4DDC-8BCA-CE481AC5635D}"/>
    <cellStyle name="40% - Accent6 3 2 2 4" xfId="6102" xr:uid="{00000000-0005-0000-0000-000062500000}"/>
    <cellStyle name="40% - Accent6 3 2 2 4 2" xfId="14085" xr:uid="{00000000-0005-0000-0000-000063500000}"/>
    <cellStyle name="40% - Accent6 3 2 2 4 2 2" xfId="37928" xr:uid="{7DC6A1E4-5C1D-40FD-93AE-CDE0CF5C5D55}"/>
    <cellStyle name="40% - Accent6 3 2 2 4 3" xfId="22033" xr:uid="{00000000-0005-0000-0000-000064500000}"/>
    <cellStyle name="40% - Accent6 3 2 2 4 3 2" xfId="45865" xr:uid="{F863B094-8B1B-4011-838E-99F2124D84D9}"/>
    <cellStyle name="40% - Accent6 3 2 2 4 4" xfId="29987" xr:uid="{0AEA1CB5-D804-497F-AE0B-97BA9AAC2619}"/>
    <cellStyle name="40% - Accent6 3 2 2 5" xfId="9654" xr:uid="{00000000-0005-0000-0000-000065500000}"/>
    <cellStyle name="40% - Accent6 3 2 2 5 2" xfId="17612" xr:uid="{00000000-0005-0000-0000-000066500000}"/>
    <cellStyle name="40% - Accent6 3 2 2 5 2 2" xfId="41452" xr:uid="{52F0A6D6-D107-463B-A675-64F1E66B4EAE}"/>
    <cellStyle name="40% - Accent6 3 2 2 5 3" xfId="25556" xr:uid="{00000000-0005-0000-0000-000067500000}"/>
    <cellStyle name="40% - Accent6 3 2 2 5 3 2" xfId="49388" xr:uid="{0A805B59-95EE-434E-910D-33E4F20CCA5B}"/>
    <cellStyle name="40% - Accent6 3 2 2 5 4" xfId="33511" xr:uid="{FE6DED5F-7118-47A5-BF79-D6EEF2830E68}"/>
    <cellStyle name="40% - Accent6 3 2 2 6" xfId="10550" xr:uid="{00000000-0005-0000-0000-000068500000}"/>
    <cellStyle name="40% - Accent6 3 2 2 6 2" xfId="34399" xr:uid="{5396B941-C847-4E79-A759-8E2941FEE7CD}"/>
    <cellStyle name="40% - Accent6 3 2 2 7" xfId="18505" xr:uid="{00000000-0005-0000-0000-000069500000}"/>
    <cellStyle name="40% - Accent6 3 2 2 7 2" xfId="42337" xr:uid="{81704ECA-6A14-4D46-A618-B1198BF6DAB5}"/>
    <cellStyle name="40% - Accent6 3 2 2 8" xfId="26457" xr:uid="{E6C63614-57CE-4020-925C-DD3A3DC8F593}"/>
    <cellStyle name="40% - Accent6 3 2 2_Exh G" xfId="3352" xr:uid="{00000000-0005-0000-0000-00006A500000}"/>
    <cellStyle name="40% - Accent6 3 2 3" xfId="995" xr:uid="{00000000-0005-0000-0000-00006B500000}"/>
    <cellStyle name="40% - Accent6 3 2 3 2" xfId="1905" xr:uid="{00000000-0005-0000-0000-00006C500000}"/>
    <cellStyle name="40% - Accent6 3 2 3 2 2" xfId="5422" xr:uid="{00000000-0005-0000-0000-00006D500000}"/>
    <cellStyle name="40% - Accent6 3 2 3 2 2 2" xfId="9013" xr:uid="{00000000-0005-0000-0000-00006E500000}"/>
    <cellStyle name="40% - Accent6 3 2 3 2 2 2 2" xfId="16983" xr:uid="{00000000-0005-0000-0000-00006F500000}"/>
    <cellStyle name="40% - Accent6 3 2 3 2 2 2 2 2" xfId="40825" xr:uid="{6F4300BB-3DBC-4CFA-9E45-B854E1A8375A}"/>
    <cellStyle name="40% - Accent6 3 2 3 2 2 2 3" xfId="24929" xr:uid="{00000000-0005-0000-0000-000070500000}"/>
    <cellStyle name="40% - Accent6 3 2 3 2 2 2 3 2" xfId="48761" xr:uid="{C19F4356-848B-4D83-9211-1C47AD21EDB5}"/>
    <cellStyle name="40% - Accent6 3 2 3 2 2 2 4" xfId="32884" xr:uid="{52F1AADE-C6B4-4E77-A71F-36B033A42CEF}"/>
    <cellStyle name="40% - Accent6 3 2 3 2 2 3" xfId="13445" xr:uid="{00000000-0005-0000-0000-000071500000}"/>
    <cellStyle name="40% - Accent6 3 2 3 2 2 3 2" xfId="37294" xr:uid="{8F27F693-B32B-4CD2-8F6F-4D18A2B27442}"/>
    <cellStyle name="40% - Accent6 3 2 3 2 2 4" xfId="21400" xr:uid="{00000000-0005-0000-0000-000072500000}"/>
    <cellStyle name="40% - Accent6 3 2 3 2 2 4 2" xfId="45232" xr:uid="{24225DF7-C4D2-4B03-B51B-FE49419706C1}"/>
    <cellStyle name="40% - Accent6 3 2 3 2 2 5" xfId="29353" xr:uid="{5EEBFF25-99D8-4077-B4F3-7BE9907590AF}"/>
    <cellStyle name="40% - Accent6 3 2 3 2 3" xfId="7254" xr:uid="{00000000-0005-0000-0000-000073500000}"/>
    <cellStyle name="40% - Accent6 3 2 3 2 3 2" xfId="15225" xr:uid="{00000000-0005-0000-0000-000074500000}"/>
    <cellStyle name="40% - Accent6 3 2 3 2 3 2 2" xfId="39067" xr:uid="{9B8127A8-603C-461C-AFFA-5F7FC1DDBBD8}"/>
    <cellStyle name="40% - Accent6 3 2 3 2 3 3" xfId="23172" xr:uid="{00000000-0005-0000-0000-000075500000}"/>
    <cellStyle name="40% - Accent6 3 2 3 2 3 3 2" xfId="47004" xr:uid="{5844FA93-BC8E-4707-A425-039CFC3C1CB5}"/>
    <cellStyle name="40% - Accent6 3 2 3 2 3 4" xfId="31126" xr:uid="{FFD75291-1380-4FA7-8D99-C21F1EAB6B7E}"/>
    <cellStyle name="40% - Accent6 3 2 3 2 4" xfId="11689" xr:uid="{00000000-0005-0000-0000-000076500000}"/>
    <cellStyle name="40% - Accent6 3 2 3 2 4 2" xfId="35538" xr:uid="{DECEE99C-1874-4D98-AAF6-DA1A29D9396E}"/>
    <cellStyle name="40% - Accent6 3 2 3 2 5" xfId="19644" xr:uid="{00000000-0005-0000-0000-000077500000}"/>
    <cellStyle name="40% - Accent6 3 2 3 2 5 2" xfId="43476" xr:uid="{8DBD2DE1-084C-4872-A4B5-102886F79E31}"/>
    <cellStyle name="40% - Accent6 3 2 3 2 6" xfId="27596" xr:uid="{19C76554-2680-4E69-95DF-D929305DB77F}"/>
    <cellStyle name="40% - Accent6 3 2 3 2_Exh G" xfId="3355" xr:uid="{00000000-0005-0000-0000-000078500000}"/>
    <cellStyle name="40% - Accent6 3 2 3 3" xfId="4543" xr:uid="{00000000-0005-0000-0000-000079500000}"/>
    <cellStyle name="40% - Accent6 3 2 3 3 2" xfId="8135" xr:uid="{00000000-0005-0000-0000-00007A500000}"/>
    <cellStyle name="40% - Accent6 3 2 3 3 2 2" xfId="16105" xr:uid="{00000000-0005-0000-0000-00007B500000}"/>
    <cellStyle name="40% - Accent6 3 2 3 3 2 2 2" xfId="39947" xr:uid="{C1ED38F7-8AD5-425F-B7F8-8715E534C4A9}"/>
    <cellStyle name="40% - Accent6 3 2 3 3 2 3" xfId="24051" xr:uid="{00000000-0005-0000-0000-00007C500000}"/>
    <cellStyle name="40% - Accent6 3 2 3 3 2 3 2" xfId="47883" xr:uid="{263E6A77-80C5-42E8-8D87-0D56510742BB}"/>
    <cellStyle name="40% - Accent6 3 2 3 3 2 4" xfId="32006" xr:uid="{705D4E86-4C1D-4947-9457-6DE6F9533708}"/>
    <cellStyle name="40% - Accent6 3 2 3 3 3" xfId="12567" xr:uid="{00000000-0005-0000-0000-00007D500000}"/>
    <cellStyle name="40% - Accent6 3 2 3 3 3 2" xfId="36416" xr:uid="{9BE98E0F-9A7E-466D-A8B8-EB4DCB0CC34E}"/>
    <cellStyle name="40% - Accent6 3 2 3 3 4" xfId="20522" xr:uid="{00000000-0005-0000-0000-00007E500000}"/>
    <cellStyle name="40% - Accent6 3 2 3 3 4 2" xfId="44354" xr:uid="{533CB998-2182-4F73-B49D-5AA63E801D5E}"/>
    <cellStyle name="40% - Accent6 3 2 3 3 5" xfId="28475" xr:uid="{9730647F-4EBA-4136-B95E-CAB849511F2B}"/>
    <cellStyle name="40% - Accent6 3 2 3 4" xfId="6373" xr:uid="{00000000-0005-0000-0000-00007F500000}"/>
    <cellStyle name="40% - Accent6 3 2 3 4 2" xfId="14347" xr:uid="{00000000-0005-0000-0000-000080500000}"/>
    <cellStyle name="40% - Accent6 3 2 3 4 2 2" xfId="38189" xr:uid="{8E4E2544-A3FD-49B2-AC06-274B486AE028}"/>
    <cellStyle name="40% - Accent6 3 2 3 4 3" xfId="22294" xr:uid="{00000000-0005-0000-0000-000081500000}"/>
    <cellStyle name="40% - Accent6 3 2 3 4 3 2" xfId="46126" xr:uid="{C488D37F-DA1D-4588-B3FD-4F5816A09E6D}"/>
    <cellStyle name="40% - Accent6 3 2 3 4 4" xfId="30248" xr:uid="{557451F0-6E16-4099-8FF2-374F27FE6B8E}"/>
    <cellStyle name="40% - Accent6 3 2 3 5" xfId="9915" xr:uid="{00000000-0005-0000-0000-000082500000}"/>
    <cellStyle name="40% - Accent6 3 2 3 5 2" xfId="17873" xr:uid="{00000000-0005-0000-0000-000083500000}"/>
    <cellStyle name="40% - Accent6 3 2 3 5 2 2" xfId="41713" xr:uid="{8B04EFBC-4DE8-400A-9AF7-E916BABF6816}"/>
    <cellStyle name="40% - Accent6 3 2 3 5 3" xfId="25817" xr:uid="{00000000-0005-0000-0000-000084500000}"/>
    <cellStyle name="40% - Accent6 3 2 3 5 3 2" xfId="49649" xr:uid="{6793384E-355E-47F6-BBA6-92DBD16F5A0F}"/>
    <cellStyle name="40% - Accent6 3 2 3 5 4" xfId="33772" xr:uid="{654C7F14-B192-40D5-B24B-2EC86A92B1D1}"/>
    <cellStyle name="40% - Accent6 3 2 3 6" xfId="10811" xr:uid="{00000000-0005-0000-0000-000085500000}"/>
    <cellStyle name="40% - Accent6 3 2 3 6 2" xfId="34660" xr:uid="{18113516-05D3-48FB-B321-6F73242C1AF3}"/>
    <cellStyle name="40% - Accent6 3 2 3 7" xfId="18766" xr:uid="{00000000-0005-0000-0000-000086500000}"/>
    <cellStyle name="40% - Accent6 3 2 3 7 2" xfId="42598" xr:uid="{F1011FE8-D421-4334-AD0C-A7DD01FCE605}"/>
    <cellStyle name="40% - Accent6 3 2 3 8" xfId="26718" xr:uid="{6FE996C2-504D-4F67-AC18-42423854B326}"/>
    <cellStyle name="40% - Accent6 3 2 3_Exh G" xfId="3354" xr:uid="{00000000-0005-0000-0000-000087500000}"/>
    <cellStyle name="40% - Accent6 3 2 4" xfId="1633" xr:uid="{00000000-0005-0000-0000-000088500000}"/>
    <cellStyle name="40% - Accent6 3 2 4 2" xfId="5160" xr:uid="{00000000-0005-0000-0000-000089500000}"/>
    <cellStyle name="40% - Accent6 3 2 4 2 2" xfId="8751" xr:uid="{00000000-0005-0000-0000-00008A500000}"/>
    <cellStyle name="40% - Accent6 3 2 4 2 2 2" xfId="16721" xr:uid="{00000000-0005-0000-0000-00008B500000}"/>
    <cellStyle name="40% - Accent6 3 2 4 2 2 2 2" xfId="40563" xr:uid="{1D8419A5-3FE4-42C3-9638-15906D1122B4}"/>
    <cellStyle name="40% - Accent6 3 2 4 2 2 3" xfId="24667" xr:uid="{00000000-0005-0000-0000-00008C500000}"/>
    <cellStyle name="40% - Accent6 3 2 4 2 2 3 2" xfId="48499" xr:uid="{C9F9FA28-90CC-4A69-A7A1-57100D7BE31B}"/>
    <cellStyle name="40% - Accent6 3 2 4 2 2 4" xfId="32622" xr:uid="{723A51AA-1535-4AD9-AE13-E9F4622F88C5}"/>
    <cellStyle name="40% - Accent6 3 2 4 2 3" xfId="13183" xr:uid="{00000000-0005-0000-0000-00008D500000}"/>
    <cellStyle name="40% - Accent6 3 2 4 2 3 2" xfId="37032" xr:uid="{B9EF425C-A607-4D31-AFA4-6D28D7D600A8}"/>
    <cellStyle name="40% - Accent6 3 2 4 2 4" xfId="21138" xr:uid="{00000000-0005-0000-0000-00008E500000}"/>
    <cellStyle name="40% - Accent6 3 2 4 2 4 2" xfId="44970" xr:uid="{B5D7490A-4F71-4E9D-8BE8-81089C4A735A}"/>
    <cellStyle name="40% - Accent6 3 2 4 2 5" xfId="29091" xr:uid="{B4B32EA0-362B-4E12-931D-672E5B7B71E3}"/>
    <cellStyle name="40% - Accent6 3 2 4 3" xfId="6992" xr:uid="{00000000-0005-0000-0000-00008F500000}"/>
    <cellStyle name="40% - Accent6 3 2 4 3 2" xfId="14963" xr:uid="{00000000-0005-0000-0000-000090500000}"/>
    <cellStyle name="40% - Accent6 3 2 4 3 2 2" xfId="38805" xr:uid="{73CEA714-7343-41A0-8FC0-FE08961DD6E9}"/>
    <cellStyle name="40% - Accent6 3 2 4 3 3" xfId="22910" xr:uid="{00000000-0005-0000-0000-000091500000}"/>
    <cellStyle name="40% - Accent6 3 2 4 3 3 2" xfId="46742" xr:uid="{C63B6FBF-A2A4-4B2C-81C5-CAFE35D80A45}"/>
    <cellStyle name="40% - Accent6 3 2 4 3 4" xfId="30864" xr:uid="{474C94AD-4330-45FC-94DA-3BF42A7A1C2D}"/>
    <cellStyle name="40% - Accent6 3 2 4 4" xfId="11427" xr:uid="{00000000-0005-0000-0000-000092500000}"/>
    <cellStyle name="40% - Accent6 3 2 4 4 2" xfId="35276" xr:uid="{55B8D664-4B02-4991-A185-F563856C525E}"/>
    <cellStyle name="40% - Accent6 3 2 4 5" xfId="19382" xr:uid="{00000000-0005-0000-0000-000093500000}"/>
    <cellStyle name="40% - Accent6 3 2 4 5 2" xfId="43214" xr:uid="{426C7735-C03E-46E2-BC3F-7DB2D4093422}"/>
    <cellStyle name="40% - Accent6 3 2 4 6" xfId="27334" xr:uid="{471BB871-9D53-401D-9B66-F526F94E19AD}"/>
    <cellStyle name="40% - Accent6 3 2 4_Exh G" xfId="3356" xr:uid="{00000000-0005-0000-0000-000094500000}"/>
    <cellStyle name="40% - Accent6 3 2 5" xfId="4281" xr:uid="{00000000-0005-0000-0000-000095500000}"/>
    <cellStyle name="40% - Accent6 3 2 5 2" xfId="7873" xr:uid="{00000000-0005-0000-0000-000096500000}"/>
    <cellStyle name="40% - Accent6 3 2 5 2 2" xfId="15843" xr:uid="{00000000-0005-0000-0000-000097500000}"/>
    <cellStyle name="40% - Accent6 3 2 5 2 2 2" xfId="39685" xr:uid="{04E63727-DF5F-4174-B731-4AB78412F36A}"/>
    <cellStyle name="40% - Accent6 3 2 5 2 3" xfId="23789" xr:uid="{00000000-0005-0000-0000-000098500000}"/>
    <cellStyle name="40% - Accent6 3 2 5 2 3 2" xfId="47621" xr:uid="{0756A74D-7E47-4BA5-8689-2140A39B92AF}"/>
    <cellStyle name="40% - Accent6 3 2 5 2 4" xfId="31744" xr:uid="{2A449A52-6BC2-433C-A506-105D67401A8C}"/>
    <cellStyle name="40% - Accent6 3 2 5 3" xfId="12305" xr:uid="{00000000-0005-0000-0000-000099500000}"/>
    <cellStyle name="40% - Accent6 3 2 5 3 2" xfId="36154" xr:uid="{C82A37F8-CD5A-48C9-AA84-CA6AFF7E6F1B}"/>
    <cellStyle name="40% - Accent6 3 2 5 4" xfId="20260" xr:uid="{00000000-0005-0000-0000-00009A500000}"/>
    <cellStyle name="40% - Accent6 3 2 5 4 2" xfId="44092" xr:uid="{A149329F-A0C7-4507-B603-BDDDFD1BDDEA}"/>
    <cellStyle name="40% - Accent6 3 2 5 5" xfId="28213" xr:uid="{4846405B-653B-4A51-BE7B-4835D9C9CA2A}"/>
    <cellStyle name="40% - Accent6 3 2 6" xfId="6101" xr:uid="{00000000-0005-0000-0000-00009B500000}"/>
    <cellStyle name="40% - Accent6 3 2 6 2" xfId="14084" xr:uid="{00000000-0005-0000-0000-00009C500000}"/>
    <cellStyle name="40% - Accent6 3 2 6 2 2" xfId="37927" xr:uid="{387253D6-48A9-405E-AFD7-A3E170144E1E}"/>
    <cellStyle name="40% - Accent6 3 2 6 3" xfId="22032" xr:uid="{00000000-0005-0000-0000-00009D500000}"/>
    <cellStyle name="40% - Accent6 3 2 6 3 2" xfId="45864" xr:uid="{48CE4A02-92FD-4FBF-AF17-27131132E9BF}"/>
    <cellStyle name="40% - Accent6 3 2 6 4" xfId="29986" xr:uid="{18303C00-509C-40AC-B0FB-92271C3320D8}"/>
    <cellStyle name="40% - Accent6 3 2 7" xfId="9653" xr:uid="{00000000-0005-0000-0000-00009E500000}"/>
    <cellStyle name="40% - Accent6 3 2 7 2" xfId="17611" xr:uid="{00000000-0005-0000-0000-00009F500000}"/>
    <cellStyle name="40% - Accent6 3 2 7 2 2" xfId="41451" xr:uid="{7DEA49FB-0A91-4598-A10D-0452ABA15142}"/>
    <cellStyle name="40% - Accent6 3 2 7 3" xfId="25555" xr:uid="{00000000-0005-0000-0000-0000A0500000}"/>
    <cellStyle name="40% - Accent6 3 2 7 3 2" xfId="49387" xr:uid="{D59F577D-5120-479F-BE4B-054F8AA196E0}"/>
    <cellStyle name="40% - Accent6 3 2 7 4" xfId="33510" xr:uid="{6D9E63DD-9F5D-4374-A430-21559AA8EC2C}"/>
    <cellStyle name="40% - Accent6 3 2 8" xfId="10549" xr:uid="{00000000-0005-0000-0000-0000A1500000}"/>
    <cellStyle name="40% - Accent6 3 2 8 2" xfId="34398" xr:uid="{E5B5EC6D-AE53-4F42-938D-4AE84FC3EE5F}"/>
    <cellStyle name="40% - Accent6 3 2 9" xfId="18504" xr:uid="{00000000-0005-0000-0000-0000A2500000}"/>
    <cellStyle name="40% - Accent6 3 2 9 2" xfId="42336" xr:uid="{E9B5F682-F820-40E3-861B-019D52086546}"/>
    <cellStyle name="40% - Accent6 3 2_Exh G" xfId="3351" xr:uid="{00000000-0005-0000-0000-0000A3500000}"/>
    <cellStyle name="40% - Accent6 3 3" xfId="609" xr:uid="{00000000-0005-0000-0000-0000A4500000}"/>
    <cellStyle name="40% - Accent6 3 3 2" xfId="1635" xr:uid="{00000000-0005-0000-0000-0000A5500000}"/>
    <cellStyle name="40% - Accent6 3 3 2 2" xfId="5162" xr:uid="{00000000-0005-0000-0000-0000A6500000}"/>
    <cellStyle name="40% - Accent6 3 3 2 2 2" xfId="8753" xr:uid="{00000000-0005-0000-0000-0000A7500000}"/>
    <cellStyle name="40% - Accent6 3 3 2 2 2 2" xfId="16723" xr:uid="{00000000-0005-0000-0000-0000A8500000}"/>
    <cellStyle name="40% - Accent6 3 3 2 2 2 2 2" xfId="40565" xr:uid="{0ED7A1BD-0402-419A-8ED1-3171841BF06A}"/>
    <cellStyle name="40% - Accent6 3 3 2 2 2 3" xfId="24669" xr:uid="{00000000-0005-0000-0000-0000A9500000}"/>
    <cellStyle name="40% - Accent6 3 3 2 2 2 3 2" xfId="48501" xr:uid="{6A194D71-05BE-46A2-98C4-E1E2599EC5AD}"/>
    <cellStyle name="40% - Accent6 3 3 2 2 2 4" xfId="32624" xr:uid="{3B70E7D7-DD9C-4EAB-B4AD-F13D7826401F}"/>
    <cellStyle name="40% - Accent6 3 3 2 2 3" xfId="13185" xr:uid="{00000000-0005-0000-0000-0000AA500000}"/>
    <cellStyle name="40% - Accent6 3 3 2 2 3 2" xfId="37034" xr:uid="{6BC675DE-5102-4074-9153-13A1A082F12D}"/>
    <cellStyle name="40% - Accent6 3 3 2 2 4" xfId="21140" xr:uid="{00000000-0005-0000-0000-0000AB500000}"/>
    <cellStyle name="40% - Accent6 3 3 2 2 4 2" xfId="44972" xr:uid="{1E0BAD41-E2B3-460B-859F-4C1C9EDE5F7C}"/>
    <cellStyle name="40% - Accent6 3 3 2 2 5" xfId="29093" xr:uid="{A7B7868B-82AF-443D-937B-E18EAB5C53BE}"/>
    <cellStyle name="40% - Accent6 3 3 2 3" xfId="6994" xr:uid="{00000000-0005-0000-0000-0000AC500000}"/>
    <cellStyle name="40% - Accent6 3 3 2 3 2" xfId="14965" xr:uid="{00000000-0005-0000-0000-0000AD500000}"/>
    <cellStyle name="40% - Accent6 3 3 2 3 2 2" xfId="38807" xr:uid="{C45EAD56-64BB-4C6B-ACDF-AC2A41F98FD5}"/>
    <cellStyle name="40% - Accent6 3 3 2 3 3" xfId="22912" xr:uid="{00000000-0005-0000-0000-0000AE500000}"/>
    <cellStyle name="40% - Accent6 3 3 2 3 3 2" xfId="46744" xr:uid="{FCF39C67-92AE-4B1E-9664-93B9E0DF38A6}"/>
    <cellStyle name="40% - Accent6 3 3 2 3 4" xfId="30866" xr:uid="{CA8436A2-4F03-4EBD-9CF9-E205F50BC975}"/>
    <cellStyle name="40% - Accent6 3 3 2 4" xfId="11429" xr:uid="{00000000-0005-0000-0000-0000AF500000}"/>
    <cellStyle name="40% - Accent6 3 3 2 4 2" xfId="35278" xr:uid="{D1B64DC0-EF99-4204-BCA7-09184676BAA8}"/>
    <cellStyle name="40% - Accent6 3 3 2 5" xfId="19384" xr:uid="{00000000-0005-0000-0000-0000B0500000}"/>
    <cellStyle name="40% - Accent6 3 3 2 5 2" xfId="43216" xr:uid="{760542C3-5A45-410D-B06D-B3804720AD72}"/>
    <cellStyle name="40% - Accent6 3 3 2 6" xfId="27336" xr:uid="{D2CE6724-E786-4128-866E-3AF6B1C71D59}"/>
    <cellStyle name="40% - Accent6 3 3 2_Exh G" xfId="3358" xr:uid="{00000000-0005-0000-0000-0000B1500000}"/>
    <cellStyle name="40% - Accent6 3 3 3" xfId="4283" xr:uid="{00000000-0005-0000-0000-0000B2500000}"/>
    <cellStyle name="40% - Accent6 3 3 3 2" xfId="7875" xr:uid="{00000000-0005-0000-0000-0000B3500000}"/>
    <cellStyle name="40% - Accent6 3 3 3 2 2" xfId="15845" xr:uid="{00000000-0005-0000-0000-0000B4500000}"/>
    <cellStyle name="40% - Accent6 3 3 3 2 2 2" xfId="39687" xr:uid="{C14CE241-34DB-43C3-AD9F-5508E28999D1}"/>
    <cellStyle name="40% - Accent6 3 3 3 2 3" xfId="23791" xr:uid="{00000000-0005-0000-0000-0000B5500000}"/>
    <cellStyle name="40% - Accent6 3 3 3 2 3 2" xfId="47623" xr:uid="{9535510F-4462-4C46-A5B6-251DD2C28AE6}"/>
    <cellStyle name="40% - Accent6 3 3 3 2 4" xfId="31746" xr:uid="{AA3BA393-EF3A-43BD-8416-1F34BE90F2FA}"/>
    <cellStyle name="40% - Accent6 3 3 3 3" xfId="12307" xr:uid="{00000000-0005-0000-0000-0000B6500000}"/>
    <cellStyle name="40% - Accent6 3 3 3 3 2" xfId="36156" xr:uid="{F88DC779-E2C2-4996-BCF9-A98C7928BE74}"/>
    <cellStyle name="40% - Accent6 3 3 3 4" xfId="20262" xr:uid="{00000000-0005-0000-0000-0000B7500000}"/>
    <cellStyle name="40% - Accent6 3 3 3 4 2" xfId="44094" xr:uid="{244997DF-802F-45BC-9A7C-BF685175EF20}"/>
    <cellStyle name="40% - Accent6 3 3 3 5" xfId="28215" xr:uid="{5A69778B-83F7-4300-8F8C-5CE6769684AB}"/>
    <cellStyle name="40% - Accent6 3 3 4" xfId="6103" xr:uid="{00000000-0005-0000-0000-0000B8500000}"/>
    <cellStyle name="40% - Accent6 3 3 4 2" xfId="14086" xr:uid="{00000000-0005-0000-0000-0000B9500000}"/>
    <cellStyle name="40% - Accent6 3 3 4 2 2" xfId="37929" xr:uid="{F0AA9854-55BA-475E-9FD8-C08E7B11FBA3}"/>
    <cellStyle name="40% - Accent6 3 3 4 3" xfId="22034" xr:uid="{00000000-0005-0000-0000-0000BA500000}"/>
    <cellStyle name="40% - Accent6 3 3 4 3 2" xfId="45866" xr:uid="{7738EAE0-9482-4A30-B758-FE675F8D6D1E}"/>
    <cellStyle name="40% - Accent6 3 3 4 4" xfId="29988" xr:uid="{DE453C16-632D-4DFE-AE11-B7A4ECAC5353}"/>
    <cellStyle name="40% - Accent6 3 3 5" xfId="9655" xr:uid="{00000000-0005-0000-0000-0000BB500000}"/>
    <cellStyle name="40% - Accent6 3 3 5 2" xfId="17613" xr:uid="{00000000-0005-0000-0000-0000BC500000}"/>
    <cellStyle name="40% - Accent6 3 3 5 2 2" xfId="41453" xr:uid="{38E4B7A4-8661-4A6A-AE9E-15AC8DC292EE}"/>
    <cellStyle name="40% - Accent6 3 3 5 3" xfId="25557" xr:uid="{00000000-0005-0000-0000-0000BD500000}"/>
    <cellStyle name="40% - Accent6 3 3 5 3 2" xfId="49389" xr:uid="{170CDDF6-C2A2-44C8-8A92-F357AA27BD7F}"/>
    <cellStyle name="40% - Accent6 3 3 5 4" xfId="33512" xr:uid="{109BB603-084C-4249-A2CD-A43F0BC5ABA4}"/>
    <cellStyle name="40% - Accent6 3 3 6" xfId="10551" xr:uid="{00000000-0005-0000-0000-0000BE500000}"/>
    <cellStyle name="40% - Accent6 3 3 6 2" xfId="34400" xr:uid="{B2ECA3B4-B5CA-476F-8BEC-30CBCB580F25}"/>
    <cellStyle name="40% - Accent6 3 3 7" xfId="18506" xr:uid="{00000000-0005-0000-0000-0000BF500000}"/>
    <cellStyle name="40% - Accent6 3 3 7 2" xfId="42338" xr:uid="{B7874429-3B7C-4867-BFA6-D7C24EC29928}"/>
    <cellStyle name="40% - Accent6 3 3 8" xfId="26458" xr:uid="{C5A2593A-A2DA-4DDC-96D8-348A23799574}"/>
    <cellStyle name="40% - Accent6 3 3_Exh G" xfId="3357" xr:uid="{00000000-0005-0000-0000-0000C0500000}"/>
    <cellStyle name="40% - Accent6 3 4" xfId="994" xr:uid="{00000000-0005-0000-0000-0000C1500000}"/>
    <cellStyle name="40% - Accent6 3 4 2" xfId="1904" xr:uid="{00000000-0005-0000-0000-0000C2500000}"/>
    <cellStyle name="40% - Accent6 3 4 2 2" xfId="5421" xr:uid="{00000000-0005-0000-0000-0000C3500000}"/>
    <cellStyle name="40% - Accent6 3 4 2 2 2" xfId="9012" xr:uid="{00000000-0005-0000-0000-0000C4500000}"/>
    <cellStyle name="40% - Accent6 3 4 2 2 2 2" xfId="16982" xr:uid="{00000000-0005-0000-0000-0000C5500000}"/>
    <cellStyle name="40% - Accent6 3 4 2 2 2 2 2" xfId="40824" xr:uid="{A65CA1A7-A7B6-4109-B6CD-9E3719BF2813}"/>
    <cellStyle name="40% - Accent6 3 4 2 2 2 3" xfId="24928" xr:uid="{00000000-0005-0000-0000-0000C6500000}"/>
    <cellStyle name="40% - Accent6 3 4 2 2 2 3 2" xfId="48760" xr:uid="{286788A1-24DE-4612-AFB4-89D58EED5A46}"/>
    <cellStyle name="40% - Accent6 3 4 2 2 2 4" xfId="32883" xr:uid="{1E6C2240-948B-4C95-B39B-5BAEF115CA2B}"/>
    <cellStyle name="40% - Accent6 3 4 2 2 3" xfId="13444" xr:uid="{00000000-0005-0000-0000-0000C7500000}"/>
    <cellStyle name="40% - Accent6 3 4 2 2 3 2" xfId="37293" xr:uid="{AA4EF23F-DFDC-4F06-8F2C-3D458697CCE0}"/>
    <cellStyle name="40% - Accent6 3 4 2 2 4" xfId="21399" xr:uid="{00000000-0005-0000-0000-0000C8500000}"/>
    <cellStyle name="40% - Accent6 3 4 2 2 4 2" xfId="45231" xr:uid="{EAE9E66C-C589-4DD4-8EF9-D5864291F7E7}"/>
    <cellStyle name="40% - Accent6 3 4 2 2 5" xfId="29352" xr:uid="{9B894ADE-2192-4E5E-AC4A-B34847B28281}"/>
    <cellStyle name="40% - Accent6 3 4 2 3" xfId="7253" xr:uid="{00000000-0005-0000-0000-0000C9500000}"/>
    <cellStyle name="40% - Accent6 3 4 2 3 2" xfId="15224" xr:uid="{00000000-0005-0000-0000-0000CA500000}"/>
    <cellStyle name="40% - Accent6 3 4 2 3 2 2" xfId="39066" xr:uid="{09E17CBD-7FBD-4BF7-8826-A1FDF95DEFE3}"/>
    <cellStyle name="40% - Accent6 3 4 2 3 3" xfId="23171" xr:uid="{00000000-0005-0000-0000-0000CB500000}"/>
    <cellStyle name="40% - Accent6 3 4 2 3 3 2" xfId="47003" xr:uid="{D4A622B2-4AB1-401C-B747-4C27243F79B0}"/>
    <cellStyle name="40% - Accent6 3 4 2 3 4" xfId="31125" xr:uid="{D951D9E9-7B7A-4A2A-AE83-F4DD15BE8A3F}"/>
    <cellStyle name="40% - Accent6 3 4 2 4" xfId="11688" xr:uid="{00000000-0005-0000-0000-0000CC500000}"/>
    <cellStyle name="40% - Accent6 3 4 2 4 2" xfId="35537" xr:uid="{23D9B7F2-1724-44B7-A282-8D2513165888}"/>
    <cellStyle name="40% - Accent6 3 4 2 5" xfId="19643" xr:uid="{00000000-0005-0000-0000-0000CD500000}"/>
    <cellStyle name="40% - Accent6 3 4 2 5 2" xfId="43475" xr:uid="{9A6A504B-4177-4B2F-B5F7-56F3B38AA224}"/>
    <cellStyle name="40% - Accent6 3 4 2 6" xfId="27595" xr:uid="{7165C0B1-AEE7-4BA7-9D61-8B3B6B64E8C5}"/>
    <cellStyle name="40% - Accent6 3 4 2_Exh G" xfId="3360" xr:uid="{00000000-0005-0000-0000-0000CE500000}"/>
    <cellStyle name="40% - Accent6 3 4 3" xfId="4542" xr:uid="{00000000-0005-0000-0000-0000CF500000}"/>
    <cellStyle name="40% - Accent6 3 4 3 2" xfId="8134" xr:uid="{00000000-0005-0000-0000-0000D0500000}"/>
    <cellStyle name="40% - Accent6 3 4 3 2 2" xfId="16104" xr:uid="{00000000-0005-0000-0000-0000D1500000}"/>
    <cellStyle name="40% - Accent6 3 4 3 2 2 2" xfId="39946" xr:uid="{E0E2F42E-AE47-4AC1-BAAD-459621D1FF23}"/>
    <cellStyle name="40% - Accent6 3 4 3 2 3" xfId="24050" xr:uid="{00000000-0005-0000-0000-0000D2500000}"/>
    <cellStyle name="40% - Accent6 3 4 3 2 3 2" xfId="47882" xr:uid="{92E3CF3F-00D7-4161-9E99-5019712E7461}"/>
    <cellStyle name="40% - Accent6 3 4 3 2 4" xfId="32005" xr:uid="{8D90DED0-7432-40C9-A8BF-1FEDE3D978C6}"/>
    <cellStyle name="40% - Accent6 3 4 3 3" xfId="12566" xr:uid="{00000000-0005-0000-0000-0000D3500000}"/>
    <cellStyle name="40% - Accent6 3 4 3 3 2" xfId="36415" xr:uid="{DB43D3B0-3BEC-4BDC-BAE5-6AB55196AD5A}"/>
    <cellStyle name="40% - Accent6 3 4 3 4" xfId="20521" xr:uid="{00000000-0005-0000-0000-0000D4500000}"/>
    <cellStyle name="40% - Accent6 3 4 3 4 2" xfId="44353" xr:uid="{E44066DA-160E-4F9F-918A-C010EC0FE611}"/>
    <cellStyle name="40% - Accent6 3 4 3 5" xfId="28474" xr:uid="{BCCF89CD-FD52-4CBF-99CD-F72BCD1DEE3F}"/>
    <cellStyle name="40% - Accent6 3 4 4" xfId="6372" xr:uid="{00000000-0005-0000-0000-0000D5500000}"/>
    <cellStyle name="40% - Accent6 3 4 4 2" xfId="14346" xr:uid="{00000000-0005-0000-0000-0000D6500000}"/>
    <cellStyle name="40% - Accent6 3 4 4 2 2" xfId="38188" xr:uid="{D86E8EA4-A502-4CDE-8B45-CEA2B8E7F19A}"/>
    <cellStyle name="40% - Accent6 3 4 4 3" xfId="22293" xr:uid="{00000000-0005-0000-0000-0000D7500000}"/>
    <cellStyle name="40% - Accent6 3 4 4 3 2" xfId="46125" xr:uid="{4EE29BA0-836F-4567-AFBD-EE60E712FF30}"/>
    <cellStyle name="40% - Accent6 3 4 4 4" xfId="30247" xr:uid="{A2FA0D9E-5361-48D9-B04B-AC0CDF019360}"/>
    <cellStyle name="40% - Accent6 3 4 5" xfId="9914" xr:uid="{00000000-0005-0000-0000-0000D8500000}"/>
    <cellStyle name="40% - Accent6 3 4 5 2" xfId="17872" xr:uid="{00000000-0005-0000-0000-0000D9500000}"/>
    <cellStyle name="40% - Accent6 3 4 5 2 2" xfId="41712" xr:uid="{5D6B915A-6509-4FAE-BD48-F98148C73371}"/>
    <cellStyle name="40% - Accent6 3 4 5 3" xfId="25816" xr:uid="{00000000-0005-0000-0000-0000DA500000}"/>
    <cellStyle name="40% - Accent6 3 4 5 3 2" xfId="49648" xr:uid="{76703A81-176F-4980-ADC0-FB4A53D1860C}"/>
    <cellStyle name="40% - Accent6 3 4 5 4" xfId="33771" xr:uid="{15F4340D-CE35-462A-902C-B22B5F36BDF3}"/>
    <cellStyle name="40% - Accent6 3 4 6" xfId="10810" xr:uid="{00000000-0005-0000-0000-0000DB500000}"/>
    <cellStyle name="40% - Accent6 3 4 6 2" xfId="34659" xr:uid="{D094C6E4-6072-4645-83C2-B8D40FC56FC6}"/>
    <cellStyle name="40% - Accent6 3 4 7" xfId="18765" xr:uid="{00000000-0005-0000-0000-0000DC500000}"/>
    <cellStyle name="40% - Accent6 3 4 7 2" xfId="42597" xr:uid="{FF9481D0-FAD5-4F9B-A0FE-C54E6067C4FD}"/>
    <cellStyle name="40% - Accent6 3 4 8" xfId="26717" xr:uid="{8030D0BF-2450-4DC6-9C15-B345708EFBB6}"/>
    <cellStyle name="40% - Accent6 3 4_Exh G" xfId="3359" xr:uid="{00000000-0005-0000-0000-0000DD500000}"/>
    <cellStyle name="40% - Accent6 3 5" xfId="1632" xr:uid="{00000000-0005-0000-0000-0000DE500000}"/>
    <cellStyle name="40% - Accent6 3 5 2" xfId="5159" xr:uid="{00000000-0005-0000-0000-0000DF500000}"/>
    <cellStyle name="40% - Accent6 3 5 2 2" xfId="8750" xr:uid="{00000000-0005-0000-0000-0000E0500000}"/>
    <cellStyle name="40% - Accent6 3 5 2 2 2" xfId="16720" xr:uid="{00000000-0005-0000-0000-0000E1500000}"/>
    <cellStyle name="40% - Accent6 3 5 2 2 2 2" xfId="40562" xr:uid="{746B1F3F-030D-4ED9-B6BA-46AF4D1391FD}"/>
    <cellStyle name="40% - Accent6 3 5 2 2 3" xfId="24666" xr:uid="{00000000-0005-0000-0000-0000E2500000}"/>
    <cellStyle name="40% - Accent6 3 5 2 2 3 2" xfId="48498" xr:uid="{025B0876-220C-4983-9F60-44CE49608308}"/>
    <cellStyle name="40% - Accent6 3 5 2 2 4" xfId="32621" xr:uid="{5C8D41BD-5B91-48B5-B003-43D43AA76649}"/>
    <cellStyle name="40% - Accent6 3 5 2 3" xfId="13182" xr:uid="{00000000-0005-0000-0000-0000E3500000}"/>
    <cellStyle name="40% - Accent6 3 5 2 3 2" xfId="37031" xr:uid="{99A8BA62-4E43-41D9-AF4A-410F4894DDD2}"/>
    <cellStyle name="40% - Accent6 3 5 2 4" xfId="21137" xr:uid="{00000000-0005-0000-0000-0000E4500000}"/>
    <cellStyle name="40% - Accent6 3 5 2 4 2" xfId="44969" xr:uid="{0828AC8A-BA82-4EC7-A6B2-DF4706F4E3D5}"/>
    <cellStyle name="40% - Accent6 3 5 2 5" xfId="29090" xr:uid="{6F3F733C-D738-4FB3-9520-CAEB64646592}"/>
    <cellStyle name="40% - Accent6 3 5 3" xfId="6991" xr:uid="{00000000-0005-0000-0000-0000E5500000}"/>
    <cellStyle name="40% - Accent6 3 5 3 2" xfId="14962" xr:uid="{00000000-0005-0000-0000-0000E6500000}"/>
    <cellStyle name="40% - Accent6 3 5 3 2 2" xfId="38804" xr:uid="{5D878F42-8883-4C17-849E-34167E57A17A}"/>
    <cellStyle name="40% - Accent6 3 5 3 3" xfId="22909" xr:uid="{00000000-0005-0000-0000-0000E7500000}"/>
    <cellStyle name="40% - Accent6 3 5 3 3 2" xfId="46741" xr:uid="{7DE609BB-43F2-4B17-A249-80E138DF02C2}"/>
    <cellStyle name="40% - Accent6 3 5 3 4" xfId="30863" xr:uid="{DDDDF15F-550A-4B9D-B7D6-A6934E796613}"/>
    <cellStyle name="40% - Accent6 3 5 4" xfId="11426" xr:uid="{00000000-0005-0000-0000-0000E8500000}"/>
    <cellStyle name="40% - Accent6 3 5 4 2" xfId="35275" xr:uid="{5C169740-BE9F-4484-8DAC-0A470E7AAED4}"/>
    <cellStyle name="40% - Accent6 3 5 5" xfId="19381" xr:uid="{00000000-0005-0000-0000-0000E9500000}"/>
    <cellStyle name="40% - Accent6 3 5 5 2" xfId="43213" xr:uid="{3AC271D7-1FD1-4E37-AF4D-EA1A64F6FCE0}"/>
    <cellStyle name="40% - Accent6 3 5 6" xfId="27333" xr:uid="{6D2F0A0F-F270-4066-9A6D-37CA3B8682D3}"/>
    <cellStyle name="40% - Accent6 3 5_Exh G" xfId="3361" xr:uid="{00000000-0005-0000-0000-0000EA500000}"/>
    <cellStyle name="40% - Accent6 3 6" xfId="4280" xr:uid="{00000000-0005-0000-0000-0000EB500000}"/>
    <cellStyle name="40% - Accent6 3 6 2" xfId="7872" xr:uid="{00000000-0005-0000-0000-0000EC500000}"/>
    <cellStyle name="40% - Accent6 3 6 2 2" xfId="15842" xr:uid="{00000000-0005-0000-0000-0000ED500000}"/>
    <cellStyle name="40% - Accent6 3 6 2 2 2" xfId="39684" xr:uid="{99BBEC8E-4CA1-4B50-92FF-15C3A681DC04}"/>
    <cellStyle name="40% - Accent6 3 6 2 3" xfId="23788" xr:uid="{00000000-0005-0000-0000-0000EE500000}"/>
    <cellStyle name="40% - Accent6 3 6 2 3 2" xfId="47620" xr:uid="{5F8892B0-4993-4D1B-9BF0-7DEF8F112C49}"/>
    <cellStyle name="40% - Accent6 3 6 2 4" xfId="31743" xr:uid="{C64F866A-B81A-46CB-A6FF-19C07F3A15AC}"/>
    <cellStyle name="40% - Accent6 3 6 3" xfId="12304" xr:uid="{00000000-0005-0000-0000-0000EF500000}"/>
    <cellStyle name="40% - Accent6 3 6 3 2" xfId="36153" xr:uid="{A6F43EB9-7EFB-4A2F-902E-EE9CC9B8592D}"/>
    <cellStyle name="40% - Accent6 3 6 4" xfId="20259" xr:uid="{00000000-0005-0000-0000-0000F0500000}"/>
    <cellStyle name="40% - Accent6 3 6 4 2" xfId="44091" xr:uid="{0FB52BE3-2D85-48BD-A47E-5D3A617280E3}"/>
    <cellStyle name="40% - Accent6 3 6 5" xfId="28212" xr:uid="{334693B9-03D7-4B4C-A76F-8378EBCB9004}"/>
    <cellStyle name="40% - Accent6 3 7" xfId="6100" xr:uid="{00000000-0005-0000-0000-0000F1500000}"/>
    <cellStyle name="40% - Accent6 3 7 2" xfId="14083" xr:uid="{00000000-0005-0000-0000-0000F2500000}"/>
    <cellStyle name="40% - Accent6 3 7 2 2" xfId="37926" xr:uid="{FCD519DE-5D39-4B65-8579-58263C6DF5F4}"/>
    <cellStyle name="40% - Accent6 3 7 3" xfId="22031" xr:uid="{00000000-0005-0000-0000-0000F3500000}"/>
    <cellStyle name="40% - Accent6 3 7 3 2" xfId="45863" xr:uid="{1D072422-C4E2-4102-B6AF-A6A87ECB5123}"/>
    <cellStyle name="40% - Accent6 3 7 4" xfId="29985" xr:uid="{DD1F0CB0-F99F-48B0-B417-05AAB11D43DA}"/>
    <cellStyle name="40% - Accent6 3 8" xfId="9652" xr:uid="{00000000-0005-0000-0000-0000F4500000}"/>
    <cellStyle name="40% - Accent6 3 8 2" xfId="17610" xr:uid="{00000000-0005-0000-0000-0000F5500000}"/>
    <cellStyle name="40% - Accent6 3 8 2 2" xfId="41450" xr:uid="{12709D2D-DA6B-4BEB-AA12-0AF45067312A}"/>
    <cellStyle name="40% - Accent6 3 8 3" xfId="25554" xr:uid="{00000000-0005-0000-0000-0000F6500000}"/>
    <cellStyle name="40% - Accent6 3 8 3 2" xfId="49386" xr:uid="{420F8A2E-AA5C-498B-BD9C-71CF6BB19423}"/>
    <cellStyle name="40% - Accent6 3 8 4" xfId="33509" xr:uid="{642681FD-17A6-4515-9180-2823C71F7A82}"/>
    <cellStyle name="40% - Accent6 3 9" xfId="10548" xr:uid="{00000000-0005-0000-0000-0000F7500000}"/>
    <cellStyle name="40% - Accent6 3 9 2" xfId="34397" xr:uid="{15DA9398-1414-4D97-A841-A68A5BC80A4B}"/>
    <cellStyle name="40% - Accent6 3_Exh G" xfId="3350" xr:uid="{00000000-0005-0000-0000-0000F8500000}"/>
    <cellStyle name="40% - Accent6 4" xfId="610" xr:uid="{00000000-0005-0000-0000-0000F9500000}"/>
    <cellStyle name="40% - Accent6 4 10" xfId="18507" xr:uid="{00000000-0005-0000-0000-0000FA500000}"/>
    <cellStyle name="40% - Accent6 4 10 2" xfId="42339" xr:uid="{6FD748B1-57EC-42E4-B019-2FD866D14311}"/>
    <cellStyle name="40% - Accent6 4 11" xfId="26459" xr:uid="{7B55A2BC-3896-4A20-9D70-CE149F7B9962}"/>
    <cellStyle name="40% - Accent6 4 2" xfId="611" xr:uid="{00000000-0005-0000-0000-0000FB500000}"/>
    <cellStyle name="40% - Accent6 4 2 10" xfId="26460" xr:uid="{28807FF4-B1D1-4A1F-A3F6-5473D5F27B28}"/>
    <cellStyle name="40% - Accent6 4 2 2" xfId="612" xr:uid="{00000000-0005-0000-0000-0000FC500000}"/>
    <cellStyle name="40% - Accent6 4 2 2 2" xfId="1638" xr:uid="{00000000-0005-0000-0000-0000FD500000}"/>
    <cellStyle name="40% - Accent6 4 2 2 2 2" xfId="5165" xr:uid="{00000000-0005-0000-0000-0000FE500000}"/>
    <cellStyle name="40% - Accent6 4 2 2 2 2 2" xfId="8756" xr:uid="{00000000-0005-0000-0000-0000FF500000}"/>
    <cellStyle name="40% - Accent6 4 2 2 2 2 2 2" xfId="16726" xr:uid="{00000000-0005-0000-0000-000000510000}"/>
    <cellStyle name="40% - Accent6 4 2 2 2 2 2 2 2" xfId="40568" xr:uid="{CC67D155-9288-44C3-BE67-0D982094A631}"/>
    <cellStyle name="40% - Accent6 4 2 2 2 2 2 3" xfId="24672" xr:uid="{00000000-0005-0000-0000-000001510000}"/>
    <cellStyle name="40% - Accent6 4 2 2 2 2 2 3 2" xfId="48504" xr:uid="{75F84C03-98A0-4F3A-9928-7B0DC338DD75}"/>
    <cellStyle name="40% - Accent6 4 2 2 2 2 2 4" xfId="32627" xr:uid="{C92E9FE8-B565-4E2D-969E-F76426A34598}"/>
    <cellStyle name="40% - Accent6 4 2 2 2 2 3" xfId="13188" xr:uid="{00000000-0005-0000-0000-000002510000}"/>
    <cellStyle name="40% - Accent6 4 2 2 2 2 3 2" xfId="37037" xr:uid="{D574968F-A7B9-4009-A937-6055A3E02618}"/>
    <cellStyle name="40% - Accent6 4 2 2 2 2 4" xfId="21143" xr:uid="{00000000-0005-0000-0000-000003510000}"/>
    <cellStyle name="40% - Accent6 4 2 2 2 2 4 2" xfId="44975" xr:uid="{A7B43D28-9B93-4C5B-BD34-469F4A58F137}"/>
    <cellStyle name="40% - Accent6 4 2 2 2 2 5" xfId="29096" xr:uid="{CB9DC330-7983-4A1E-9F0E-8E34B945CDFA}"/>
    <cellStyle name="40% - Accent6 4 2 2 2 3" xfId="6997" xr:uid="{00000000-0005-0000-0000-000004510000}"/>
    <cellStyle name="40% - Accent6 4 2 2 2 3 2" xfId="14968" xr:uid="{00000000-0005-0000-0000-000005510000}"/>
    <cellStyle name="40% - Accent6 4 2 2 2 3 2 2" xfId="38810" xr:uid="{D2E5409B-D0CB-46D1-AED2-5525FDEE5DEF}"/>
    <cellStyle name="40% - Accent6 4 2 2 2 3 3" xfId="22915" xr:uid="{00000000-0005-0000-0000-000006510000}"/>
    <cellStyle name="40% - Accent6 4 2 2 2 3 3 2" xfId="46747" xr:uid="{384D9D34-0276-4DB4-92B1-80769309C33C}"/>
    <cellStyle name="40% - Accent6 4 2 2 2 3 4" xfId="30869" xr:uid="{E52E9D89-1F18-429D-BEC3-DE2F88FD7492}"/>
    <cellStyle name="40% - Accent6 4 2 2 2 4" xfId="11432" xr:uid="{00000000-0005-0000-0000-000007510000}"/>
    <cellStyle name="40% - Accent6 4 2 2 2 4 2" xfId="35281" xr:uid="{286A73E7-6C6A-40CF-8199-FA5DCA8B7592}"/>
    <cellStyle name="40% - Accent6 4 2 2 2 5" xfId="19387" xr:uid="{00000000-0005-0000-0000-000008510000}"/>
    <cellStyle name="40% - Accent6 4 2 2 2 5 2" xfId="43219" xr:uid="{EF79CF26-1995-4328-81E8-E93BB9CB7D60}"/>
    <cellStyle name="40% - Accent6 4 2 2 2 6" xfId="27339" xr:uid="{A8D1B89B-9307-4DD2-8FED-ECDDD6FE4D90}"/>
    <cellStyle name="40% - Accent6 4 2 2 2_Exh G" xfId="3365" xr:uid="{00000000-0005-0000-0000-000009510000}"/>
    <cellStyle name="40% - Accent6 4 2 2 3" xfId="4286" xr:uid="{00000000-0005-0000-0000-00000A510000}"/>
    <cellStyle name="40% - Accent6 4 2 2 3 2" xfId="7878" xr:uid="{00000000-0005-0000-0000-00000B510000}"/>
    <cellStyle name="40% - Accent6 4 2 2 3 2 2" xfId="15848" xr:uid="{00000000-0005-0000-0000-00000C510000}"/>
    <cellStyle name="40% - Accent6 4 2 2 3 2 2 2" xfId="39690" xr:uid="{86C8958B-CBF2-4E0A-B137-5C364622391A}"/>
    <cellStyle name="40% - Accent6 4 2 2 3 2 3" xfId="23794" xr:uid="{00000000-0005-0000-0000-00000D510000}"/>
    <cellStyle name="40% - Accent6 4 2 2 3 2 3 2" xfId="47626" xr:uid="{617E82F5-01A6-46F3-A078-247EB7B35621}"/>
    <cellStyle name="40% - Accent6 4 2 2 3 2 4" xfId="31749" xr:uid="{0C5BA2F9-0E0F-42AD-B130-F1A5C4077376}"/>
    <cellStyle name="40% - Accent6 4 2 2 3 3" xfId="12310" xr:uid="{00000000-0005-0000-0000-00000E510000}"/>
    <cellStyle name="40% - Accent6 4 2 2 3 3 2" xfId="36159" xr:uid="{1CF0C9DB-2D8F-47DD-BDDC-6AFC57D45747}"/>
    <cellStyle name="40% - Accent6 4 2 2 3 4" xfId="20265" xr:uid="{00000000-0005-0000-0000-00000F510000}"/>
    <cellStyle name="40% - Accent6 4 2 2 3 4 2" xfId="44097" xr:uid="{B9772989-848C-4205-8654-5F0C26DE00E8}"/>
    <cellStyle name="40% - Accent6 4 2 2 3 5" xfId="28218" xr:uid="{96EDB814-A19E-4815-BFBF-7B63A3C43DFB}"/>
    <cellStyle name="40% - Accent6 4 2 2 4" xfId="6106" xr:uid="{00000000-0005-0000-0000-000010510000}"/>
    <cellStyle name="40% - Accent6 4 2 2 4 2" xfId="14089" xr:uid="{00000000-0005-0000-0000-000011510000}"/>
    <cellStyle name="40% - Accent6 4 2 2 4 2 2" xfId="37932" xr:uid="{E356F56D-CB0B-4535-AE61-6E87313D0C72}"/>
    <cellStyle name="40% - Accent6 4 2 2 4 3" xfId="22037" xr:uid="{00000000-0005-0000-0000-000012510000}"/>
    <cellStyle name="40% - Accent6 4 2 2 4 3 2" xfId="45869" xr:uid="{5A05A832-7F1E-45FD-BA5B-8CC0936573F5}"/>
    <cellStyle name="40% - Accent6 4 2 2 4 4" xfId="29991" xr:uid="{B35EC214-9FD6-41EE-B273-E2FB7585D7F8}"/>
    <cellStyle name="40% - Accent6 4 2 2 5" xfId="9658" xr:uid="{00000000-0005-0000-0000-000013510000}"/>
    <cellStyle name="40% - Accent6 4 2 2 5 2" xfId="17616" xr:uid="{00000000-0005-0000-0000-000014510000}"/>
    <cellStyle name="40% - Accent6 4 2 2 5 2 2" xfId="41456" xr:uid="{950D3116-4AE2-4A43-B460-598EC22CD971}"/>
    <cellStyle name="40% - Accent6 4 2 2 5 3" xfId="25560" xr:uid="{00000000-0005-0000-0000-000015510000}"/>
    <cellStyle name="40% - Accent6 4 2 2 5 3 2" xfId="49392" xr:uid="{EFC2C0AB-07AC-4B77-90DF-982E5D124726}"/>
    <cellStyle name="40% - Accent6 4 2 2 5 4" xfId="33515" xr:uid="{03BFBBD0-3B91-4C13-829F-5377492B9094}"/>
    <cellStyle name="40% - Accent6 4 2 2 6" xfId="10554" xr:uid="{00000000-0005-0000-0000-000016510000}"/>
    <cellStyle name="40% - Accent6 4 2 2 6 2" xfId="34403" xr:uid="{247ED26B-ECA3-41BC-978E-A920CFD6B000}"/>
    <cellStyle name="40% - Accent6 4 2 2 7" xfId="18509" xr:uid="{00000000-0005-0000-0000-000017510000}"/>
    <cellStyle name="40% - Accent6 4 2 2 7 2" xfId="42341" xr:uid="{7C61B77A-FD93-42C8-B79A-7059911228D7}"/>
    <cellStyle name="40% - Accent6 4 2 2 8" xfId="26461" xr:uid="{CCC29379-4847-4501-92F2-3D61C3C21989}"/>
    <cellStyle name="40% - Accent6 4 2 2_Exh G" xfId="3364" xr:uid="{00000000-0005-0000-0000-000018510000}"/>
    <cellStyle name="40% - Accent6 4 2 3" xfId="997" xr:uid="{00000000-0005-0000-0000-000019510000}"/>
    <cellStyle name="40% - Accent6 4 2 3 2" xfId="1907" xr:uid="{00000000-0005-0000-0000-00001A510000}"/>
    <cellStyle name="40% - Accent6 4 2 3 2 2" xfId="5424" xr:uid="{00000000-0005-0000-0000-00001B510000}"/>
    <cellStyle name="40% - Accent6 4 2 3 2 2 2" xfId="9015" xr:uid="{00000000-0005-0000-0000-00001C510000}"/>
    <cellStyle name="40% - Accent6 4 2 3 2 2 2 2" xfId="16985" xr:uid="{00000000-0005-0000-0000-00001D510000}"/>
    <cellStyle name="40% - Accent6 4 2 3 2 2 2 2 2" xfId="40827" xr:uid="{91CD2E98-1591-49B1-A326-FC0F50F7E53E}"/>
    <cellStyle name="40% - Accent6 4 2 3 2 2 2 3" xfId="24931" xr:uid="{00000000-0005-0000-0000-00001E510000}"/>
    <cellStyle name="40% - Accent6 4 2 3 2 2 2 3 2" xfId="48763" xr:uid="{8418CB0E-AE41-4A5E-A062-5AAAC39DF3AB}"/>
    <cellStyle name="40% - Accent6 4 2 3 2 2 2 4" xfId="32886" xr:uid="{1D0B6784-69F6-4B2C-A995-A5F48DED5EAB}"/>
    <cellStyle name="40% - Accent6 4 2 3 2 2 3" xfId="13447" xr:uid="{00000000-0005-0000-0000-00001F510000}"/>
    <cellStyle name="40% - Accent6 4 2 3 2 2 3 2" xfId="37296" xr:uid="{E3785634-BB82-47E4-9533-F5F6A3A5F2D1}"/>
    <cellStyle name="40% - Accent6 4 2 3 2 2 4" xfId="21402" xr:uid="{00000000-0005-0000-0000-000020510000}"/>
    <cellStyle name="40% - Accent6 4 2 3 2 2 4 2" xfId="45234" xr:uid="{86276A09-512E-464C-B350-2D6ACF1CFAEE}"/>
    <cellStyle name="40% - Accent6 4 2 3 2 2 5" xfId="29355" xr:uid="{166F25BF-36FE-43CD-AA84-BDB735030906}"/>
    <cellStyle name="40% - Accent6 4 2 3 2 3" xfId="7256" xr:uid="{00000000-0005-0000-0000-000021510000}"/>
    <cellStyle name="40% - Accent6 4 2 3 2 3 2" xfId="15227" xr:uid="{00000000-0005-0000-0000-000022510000}"/>
    <cellStyle name="40% - Accent6 4 2 3 2 3 2 2" xfId="39069" xr:uid="{F2FD4050-44F1-42A5-B100-BA186BD3A920}"/>
    <cellStyle name="40% - Accent6 4 2 3 2 3 3" xfId="23174" xr:uid="{00000000-0005-0000-0000-000023510000}"/>
    <cellStyle name="40% - Accent6 4 2 3 2 3 3 2" xfId="47006" xr:uid="{89339B6A-52F2-4A31-B90C-0ED0E830A171}"/>
    <cellStyle name="40% - Accent6 4 2 3 2 3 4" xfId="31128" xr:uid="{198AF271-53E4-495C-BE6E-DF5F638FADBB}"/>
    <cellStyle name="40% - Accent6 4 2 3 2 4" xfId="11691" xr:uid="{00000000-0005-0000-0000-000024510000}"/>
    <cellStyle name="40% - Accent6 4 2 3 2 4 2" xfId="35540" xr:uid="{E9AE5A61-2A37-496C-A6F8-08B45348DC1A}"/>
    <cellStyle name="40% - Accent6 4 2 3 2 5" xfId="19646" xr:uid="{00000000-0005-0000-0000-000025510000}"/>
    <cellStyle name="40% - Accent6 4 2 3 2 5 2" xfId="43478" xr:uid="{3241E2B3-1A0C-4B9E-B646-B1B62156812C}"/>
    <cellStyle name="40% - Accent6 4 2 3 2 6" xfId="27598" xr:uid="{04EED3E4-7966-4FF0-BA4A-888D68C9AD42}"/>
    <cellStyle name="40% - Accent6 4 2 3 2_Exh G" xfId="3367" xr:uid="{00000000-0005-0000-0000-000026510000}"/>
    <cellStyle name="40% - Accent6 4 2 3 3" xfId="4545" xr:uid="{00000000-0005-0000-0000-000027510000}"/>
    <cellStyle name="40% - Accent6 4 2 3 3 2" xfId="8137" xr:uid="{00000000-0005-0000-0000-000028510000}"/>
    <cellStyle name="40% - Accent6 4 2 3 3 2 2" xfId="16107" xr:uid="{00000000-0005-0000-0000-000029510000}"/>
    <cellStyle name="40% - Accent6 4 2 3 3 2 2 2" xfId="39949" xr:uid="{5DD8BCA8-FC1B-4A8B-B2CF-E7DD1B1D5252}"/>
    <cellStyle name="40% - Accent6 4 2 3 3 2 3" xfId="24053" xr:uid="{00000000-0005-0000-0000-00002A510000}"/>
    <cellStyle name="40% - Accent6 4 2 3 3 2 3 2" xfId="47885" xr:uid="{79956D53-E554-40BD-90AA-F891DB2F5AB2}"/>
    <cellStyle name="40% - Accent6 4 2 3 3 2 4" xfId="32008" xr:uid="{BC9EB1A6-CB73-4175-83C6-95674E1D48E2}"/>
    <cellStyle name="40% - Accent6 4 2 3 3 3" xfId="12569" xr:uid="{00000000-0005-0000-0000-00002B510000}"/>
    <cellStyle name="40% - Accent6 4 2 3 3 3 2" xfId="36418" xr:uid="{71D0DB59-DF12-472B-8568-46FA96407C81}"/>
    <cellStyle name="40% - Accent6 4 2 3 3 4" xfId="20524" xr:uid="{00000000-0005-0000-0000-00002C510000}"/>
    <cellStyle name="40% - Accent6 4 2 3 3 4 2" xfId="44356" xr:uid="{3DF12F93-ACF0-4F55-90FA-A01A8B43F17E}"/>
    <cellStyle name="40% - Accent6 4 2 3 3 5" xfId="28477" xr:uid="{C0183457-ADE3-4594-9A4D-45BCABE68985}"/>
    <cellStyle name="40% - Accent6 4 2 3 4" xfId="6375" xr:uid="{00000000-0005-0000-0000-00002D510000}"/>
    <cellStyle name="40% - Accent6 4 2 3 4 2" xfId="14349" xr:uid="{00000000-0005-0000-0000-00002E510000}"/>
    <cellStyle name="40% - Accent6 4 2 3 4 2 2" xfId="38191" xr:uid="{E57EBF2D-2F65-4D70-B4CC-A8F259F43A3B}"/>
    <cellStyle name="40% - Accent6 4 2 3 4 3" xfId="22296" xr:uid="{00000000-0005-0000-0000-00002F510000}"/>
    <cellStyle name="40% - Accent6 4 2 3 4 3 2" xfId="46128" xr:uid="{52A0D707-E0EE-43D4-A81E-ABC30254245D}"/>
    <cellStyle name="40% - Accent6 4 2 3 4 4" xfId="30250" xr:uid="{03A9F307-0E80-4613-83EF-409D05A8DC3A}"/>
    <cellStyle name="40% - Accent6 4 2 3 5" xfId="9917" xr:uid="{00000000-0005-0000-0000-000030510000}"/>
    <cellStyle name="40% - Accent6 4 2 3 5 2" xfId="17875" xr:uid="{00000000-0005-0000-0000-000031510000}"/>
    <cellStyle name="40% - Accent6 4 2 3 5 2 2" xfId="41715" xr:uid="{7C5DAC19-2DC5-4A13-92ED-A08B955B1825}"/>
    <cellStyle name="40% - Accent6 4 2 3 5 3" xfId="25819" xr:uid="{00000000-0005-0000-0000-000032510000}"/>
    <cellStyle name="40% - Accent6 4 2 3 5 3 2" xfId="49651" xr:uid="{219CE6D8-C23F-42CE-A81B-C181C6F59A43}"/>
    <cellStyle name="40% - Accent6 4 2 3 5 4" xfId="33774" xr:uid="{1B0DEC84-C4E6-4871-96EE-856EA9787F5B}"/>
    <cellStyle name="40% - Accent6 4 2 3 6" xfId="10813" xr:uid="{00000000-0005-0000-0000-000033510000}"/>
    <cellStyle name="40% - Accent6 4 2 3 6 2" xfId="34662" xr:uid="{C0D0A47F-9653-4543-A976-FDEEB25B176C}"/>
    <cellStyle name="40% - Accent6 4 2 3 7" xfId="18768" xr:uid="{00000000-0005-0000-0000-000034510000}"/>
    <cellStyle name="40% - Accent6 4 2 3 7 2" xfId="42600" xr:uid="{271D7E1F-35E6-412E-ABCE-4CC02283A7DE}"/>
    <cellStyle name="40% - Accent6 4 2 3 8" xfId="26720" xr:uid="{E46CE0CB-A0C8-46BE-8D67-EFAF91A3910E}"/>
    <cellStyle name="40% - Accent6 4 2 3_Exh G" xfId="3366" xr:uid="{00000000-0005-0000-0000-000035510000}"/>
    <cellStyle name="40% - Accent6 4 2 4" xfId="1637" xr:uid="{00000000-0005-0000-0000-000036510000}"/>
    <cellStyle name="40% - Accent6 4 2 4 2" xfId="5164" xr:uid="{00000000-0005-0000-0000-000037510000}"/>
    <cellStyle name="40% - Accent6 4 2 4 2 2" xfId="8755" xr:uid="{00000000-0005-0000-0000-000038510000}"/>
    <cellStyle name="40% - Accent6 4 2 4 2 2 2" xfId="16725" xr:uid="{00000000-0005-0000-0000-000039510000}"/>
    <cellStyle name="40% - Accent6 4 2 4 2 2 2 2" xfId="40567" xr:uid="{8A8BD9E8-1292-4A12-9E5A-ED13E830BB66}"/>
    <cellStyle name="40% - Accent6 4 2 4 2 2 3" xfId="24671" xr:uid="{00000000-0005-0000-0000-00003A510000}"/>
    <cellStyle name="40% - Accent6 4 2 4 2 2 3 2" xfId="48503" xr:uid="{C4D56E69-A13A-4D2A-9B7D-BBBD3973677A}"/>
    <cellStyle name="40% - Accent6 4 2 4 2 2 4" xfId="32626" xr:uid="{98DA9053-7573-4FD6-9A3B-D4D9F3FD6A9E}"/>
    <cellStyle name="40% - Accent6 4 2 4 2 3" xfId="13187" xr:uid="{00000000-0005-0000-0000-00003B510000}"/>
    <cellStyle name="40% - Accent6 4 2 4 2 3 2" xfId="37036" xr:uid="{1288F343-F8DE-48B1-AA47-1B2F7083CE83}"/>
    <cellStyle name="40% - Accent6 4 2 4 2 4" xfId="21142" xr:uid="{00000000-0005-0000-0000-00003C510000}"/>
    <cellStyle name="40% - Accent6 4 2 4 2 4 2" xfId="44974" xr:uid="{8F90FC45-C782-4D96-A1A5-58BE192B148A}"/>
    <cellStyle name="40% - Accent6 4 2 4 2 5" xfId="29095" xr:uid="{6401DC63-FB87-4EDD-9F5D-8154792D9601}"/>
    <cellStyle name="40% - Accent6 4 2 4 3" xfId="6996" xr:uid="{00000000-0005-0000-0000-00003D510000}"/>
    <cellStyle name="40% - Accent6 4 2 4 3 2" xfId="14967" xr:uid="{00000000-0005-0000-0000-00003E510000}"/>
    <cellStyle name="40% - Accent6 4 2 4 3 2 2" xfId="38809" xr:uid="{3664429A-9442-4248-ADAE-7E2B3C834EF2}"/>
    <cellStyle name="40% - Accent6 4 2 4 3 3" xfId="22914" xr:uid="{00000000-0005-0000-0000-00003F510000}"/>
    <cellStyle name="40% - Accent6 4 2 4 3 3 2" xfId="46746" xr:uid="{C3EB66D9-C7E2-4C2A-A13A-EFF15F745649}"/>
    <cellStyle name="40% - Accent6 4 2 4 3 4" xfId="30868" xr:uid="{37068026-9171-4739-A44A-E57505371614}"/>
    <cellStyle name="40% - Accent6 4 2 4 4" xfId="11431" xr:uid="{00000000-0005-0000-0000-000040510000}"/>
    <cellStyle name="40% - Accent6 4 2 4 4 2" xfId="35280" xr:uid="{0DE36DBA-E316-47AE-B518-1495578482FC}"/>
    <cellStyle name="40% - Accent6 4 2 4 5" xfId="19386" xr:uid="{00000000-0005-0000-0000-000041510000}"/>
    <cellStyle name="40% - Accent6 4 2 4 5 2" xfId="43218" xr:uid="{86223D2C-E639-48A5-A10D-BFCDFC01DBD4}"/>
    <cellStyle name="40% - Accent6 4 2 4 6" xfId="27338" xr:uid="{375A0B94-0EE5-4B35-94EC-9FB25EAD1299}"/>
    <cellStyle name="40% - Accent6 4 2 4_Exh G" xfId="3368" xr:uid="{00000000-0005-0000-0000-000042510000}"/>
    <cellStyle name="40% - Accent6 4 2 5" xfId="4285" xr:uid="{00000000-0005-0000-0000-000043510000}"/>
    <cellStyle name="40% - Accent6 4 2 5 2" xfId="7877" xr:uid="{00000000-0005-0000-0000-000044510000}"/>
    <cellStyle name="40% - Accent6 4 2 5 2 2" xfId="15847" xr:uid="{00000000-0005-0000-0000-000045510000}"/>
    <cellStyle name="40% - Accent6 4 2 5 2 2 2" xfId="39689" xr:uid="{A3F57EB8-A6A0-467A-A614-726B3EECE392}"/>
    <cellStyle name="40% - Accent6 4 2 5 2 3" xfId="23793" xr:uid="{00000000-0005-0000-0000-000046510000}"/>
    <cellStyle name="40% - Accent6 4 2 5 2 3 2" xfId="47625" xr:uid="{5074350D-7D84-458D-B4B9-508651E0DB32}"/>
    <cellStyle name="40% - Accent6 4 2 5 2 4" xfId="31748" xr:uid="{F8E30698-58A1-4BBB-AE98-16AD0FC10EAD}"/>
    <cellStyle name="40% - Accent6 4 2 5 3" xfId="12309" xr:uid="{00000000-0005-0000-0000-000047510000}"/>
    <cellStyle name="40% - Accent6 4 2 5 3 2" xfId="36158" xr:uid="{B96999A8-E909-4187-AB46-71AC49CF7016}"/>
    <cellStyle name="40% - Accent6 4 2 5 4" xfId="20264" xr:uid="{00000000-0005-0000-0000-000048510000}"/>
    <cellStyle name="40% - Accent6 4 2 5 4 2" xfId="44096" xr:uid="{0B21973A-0421-402C-ACCB-A616EA2113FF}"/>
    <cellStyle name="40% - Accent6 4 2 5 5" xfId="28217" xr:uid="{3E3EA5B8-B91E-4EBD-ACBC-C6BC4B4E253E}"/>
    <cellStyle name="40% - Accent6 4 2 6" xfId="6105" xr:uid="{00000000-0005-0000-0000-000049510000}"/>
    <cellStyle name="40% - Accent6 4 2 6 2" xfId="14088" xr:uid="{00000000-0005-0000-0000-00004A510000}"/>
    <cellStyle name="40% - Accent6 4 2 6 2 2" xfId="37931" xr:uid="{EB7AF977-5D4F-42C1-84C3-8444AF1C7458}"/>
    <cellStyle name="40% - Accent6 4 2 6 3" xfId="22036" xr:uid="{00000000-0005-0000-0000-00004B510000}"/>
    <cellStyle name="40% - Accent6 4 2 6 3 2" xfId="45868" xr:uid="{39E2EDCC-1703-4F85-8759-4709807A201A}"/>
    <cellStyle name="40% - Accent6 4 2 6 4" xfId="29990" xr:uid="{1659D7DE-CC8F-4402-8D78-63293F0744A5}"/>
    <cellStyle name="40% - Accent6 4 2 7" xfId="9657" xr:uid="{00000000-0005-0000-0000-00004C510000}"/>
    <cellStyle name="40% - Accent6 4 2 7 2" xfId="17615" xr:uid="{00000000-0005-0000-0000-00004D510000}"/>
    <cellStyle name="40% - Accent6 4 2 7 2 2" xfId="41455" xr:uid="{8C5FAA2B-ED75-4068-B482-B79118FC1459}"/>
    <cellStyle name="40% - Accent6 4 2 7 3" xfId="25559" xr:uid="{00000000-0005-0000-0000-00004E510000}"/>
    <cellStyle name="40% - Accent6 4 2 7 3 2" xfId="49391" xr:uid="{1E0ABE2E-0C86-41FA-99C8-55EF6750AF41}"/>
    <cellStyle name="40% - Accent6 4 2 7 4" xfId="33514" xr:uid="{133A5CB9-770F-4F8F-A4DD-6976CDC26EA4}"/>
    <cellStyle name="40% - Accent6 4 2 8" xfId="10553" xr:uid="{00000000-0005-0000-0000-00004F510000}"/>
    <cellStyle name="40% - Accent6 4 2 8 2" xfId="34402" xr:uid="{B6DFF1C6-8507-43A6-9281-E5113C794C28}"/>
    <cellStyle name="40% - Accent6 4 2 9" xfId="18508" xr:uid="{00000000-0005-0000-0000-000050510000}"/>
    <cellStyle name="40% - Accent6 4 2 9 2" xfId="42340" xr:uid="{B28EBB3A-F0AB-4B02-82B8-166EEFE9DB62}"/>
    <cellStyle name="40% - Accent6 4 2_Exh G" xfId="3363" xr:uid="{00000000-0005-0000-0000-000051510000}"/>
    <cellStyle name="40% - Accent6 4 3" xfId="613" xr:uid="{00000000-0005-0000-0000-000052510000}"/>
    <cellStyle name="40% - Accent6 4 3 2" xfId="1639" xr:uid="{00000000-0005-0000-0000-000053510000}"/>
    <cellStyle name="40% - Accent6 4 3 2 2" xfId="5166" xr:uid="{00000000-0005-0000-0000-000054510000}"/>
    <cellStyle name="40% - Accent6 4 3 2 2 2" xfId="8757" xr:uid="{00000000-0005-0000-0000-000055510000}"/>
    <cellStyle name="40% - Accent6 4 3 2 2 2 2" xfId="16727" xr:uid="{00000000-0005-0000-0000-000056510000}"/>
    <cellStyle name="40% - Accent6 4 3 2 2 2 2 2" xfId="40569" xr:uid="{2C2842CA-DB78-436F-A28A-CDFC8C76C52F}"/>
    <cellStyle name="40% - Accent6 4 3 2 2 2 3" xfId="24673" xr:uid="{00000000-0005-0000-0000-000057510000}"/>
    <cellStyle name="40% - Accent6 4 3 2 2 2 3 2" xfId="48505" xr:uid="{D556AB9D-0BAD-4E24-8300-153265407179}"/>
    <cellStyle name="40% - Accent6 4 3 2 2 2 4" xfId="32628" xr:uid="{EEA4AAE2-D7F8-4E80-921D-14B4714D399F}"/>
    <cellStyle name="40% - Accent6 4 3 2 2 3" xfId="13189" xr:uid="{00000000-0005-0000-0000-000058510000}"/>
    <cellStyle name="40% - Accent6 4 3 2 2 3 2" xfId="37038" xr:uid="{8A13B110-5740-44ED-8D58-16B06BA7BE9A}"/>
    <cellStyle name="40% - Accent6 4 3 2 2 4" xfId="21144" xr:uid="{00000000-0005-0000-0000-000059510000}"/>
    <cellStyle name="40% - Accent6 4 3 2 2 4 2" xfId="44976" xr:uid="{24AFE7E2-6229-46C2-93E6-AFE28912697D}"/>
    <cellStyle name="40% - Accent6 4 3 2 2 5" xfId="29097" xr:uid="{AB021C4E-768C-44D7-A0FC-293A7A77C30E}"/>
    <cellStyle name="40% - Accent6 4 3 2 3" xfId="6998" xr:uid="{00000000-0005-0000-0000-00005A510000}"/>
    <cellStyle name="40% - Accent6 4 3 2 3 2" xfId="14969" xr:uid="{00000000-0005-0000-0000-00005B510000}"/>
    <cellStyle name="40% - Accent6 4 3 2 3 2 2" xfId="38811" xr:uid="{6B227A1C-3D0F-4608-9633-EFE58A62B524}"/>
    <cellStyle name="40% - Accent6 4 3 2 3 3" xfId="22916" xr:uid="{00000000-0005-0000-0000-00005C510000}"/>
    <cellStyle name="40% - Accent6 4 3 2 3 3 2" xfId="46748" xr:uid="{5E4C1597-74F9-4773-9D91-DBBF83DA4320}"/>
    <cellStyle name="40% - Accent6 4 3 2 3 4" xfId="30870" xr:uid="{F1FAD473-724E-45DC-A94C-768C697D4A13}"/>
    <cellStyle name="40% - Accent6 4 3 2 4" xfId="11433" xr:uid="{00000000-0005-0000-0000-00005D510000}"/>
    <cellStyle name="40% - Accent6 4 3 2 4 2" xfId="35282" xr:uid="{8BF64AA1-2956-42BA-964D-913F309917AE}"/>
    <cellStyle name="40% - Accent6 4 3 2 5" xfId="19388" xr:uid="{00000000-0005-0000-0000-00005E510000}"/>
    <cellStyle name="40% - Accent6 4 3 2 5 2" xfId="43220" xr:uid="{7091D34F-4265-42A3-AB62-AACD95467A34}"/>
    <cellStyle name="40% - Accent6 4 3 2 6" xfId="27340" xr:uid="{226AAC2A-D63E-431F-8DCC-1F131D3F79E2}"/>
    <cellStyle name="40% - Accent6 4 3 2_Exh G" xfId="3370" xr:uid="{00000000-0005-0000-0000-00005F510000}"/>
    <cellStyle name="40% - Accent6 4 3 3" xfId="4287" xr:uid="{00000000-0005-0000-0000-000060510000}"/>
    <cellStyle name="40% - Accent6 4 3 3 2" xfId="7879" xr:uid="{00000000-0005-0000-0000-000061510000}"/>
    <cellStyle name="40% - Accent6 4 3 3 2 2" xfId="15849" xr:uid="{00000000-0005-0000-0000-000062510000}"/>
    <cellStyle name="40% - Accent6 4 3 3 2 2 2" xfId="39691" xr:uid="{751F0896-A620-45CC-BADC-A7748A8DFE7C}"/>
    <cellStyle name="40% - Accent6 4 3 3 2 3" xfId="23795" xr:uid="{00000000-0005-0000-0000-000063510000}"/>
    <cellStyle name="40% - Accent6 4 3 3 2 3 2" xfId="47627" xr:uid="{4166F0C6-3FFF-49B1-A950-D166D6CC09E6}"/>
    <cellStyle name="40% - Accent6 4 3 3 2 4" xfId="31750" xr:uid="{4C3A7090-A04B-4F8A-B0BB-18A19C4AEAB0}"/>
    <cellStyle name="40% - Accent6 4 3 3 3" xfId="12311" xr:uid="{00000000-0005-0000-0000-000064510000}"/>
    <cellStyle name="40% - Accent6 4 3 3 3 2" xfId="36160" xr:uid="{90970A1A-F41F-4686-97DE-DD635E68B9B1}"/>
    <cellStyle name="40% - Accent6 4 3 3 4" xfId="20266" xr:uid="{00000000-0005-0000-0000-000065510000}"/>
    <cellStyle name="40% - Accent6 4 3 3 4 2" xfId="44098" xr:uid="{140245DA-0D21-4404-992F-EA769505479B}"/>
    <cellStyle name="40% - Accent6 4 3 3 5" xfId="28219" xr:uid="{9B5CFE0B-070B-48E5-82F7-ECE221B7BF89}"/>
    <cellStyle name="40% - Accent6 4 3 4" xfId="6107" xr:uid="{00000000-0005-0000-0000-000066510000}"/>
    <cellStyle name="40% - Accent6 4 3 4 2" xfId="14090" xr:uid="{00000000-0005-0000-0000-000067510000}"/>
    <cellStyle name="40% - Accent6 4 3 4 2 2" xfId="37933" xr:uid="{7BD3EA6C-9DE0-4D86-B0E7-0FC490D927BB}"/>
    <cellStyle name="40% - Accent6 4 3 4 3" xfId="22038" xr:uid="{00000000-0005-0000-0000-000068510000}"/>
    <cellStyle name="40% - Accent6 4 3 4 3 2" xfId="45870" xr:uid="{78EA692A-05E0-4C1A-8D31-76046BE4705B}"/>
    <cellStyle name="40% - Accent6 4 3 4 4" xfId="29992" xr:uid="{613300C9-FFE7-439D-AE91-F8D270667233}"/>
    <cellStyle name="40% - Accent6 4 3 5" xfId="9659" xr:uid="{00000000-0005-0000-0000-000069510000}"/>
    <cellStyle name="40% - Accent6 4 3 5 2" xfId="17617" xr:uid="{00000000-0005-0000-0000-00006A510000}"/>
    <cellStyle name="40% - Accent6 4 3 5 2 2" xfId="41457" xr:uid="{177A6548-1F9F-40DB-A0AC-9F9EC1E31714}"/>
    <cellStyle name="40% - Accent6 4 3 5 3" xfId="25561" xr:uid="{00000000-0005-0000-0000-00006B510000}"/>
    <cellStyle name="40% - Accent6 4 3 5 3 2" xfId="49393" xr:uid="{73331CFC-DA5C-4895-8206-1719D2B610CF}"/>
    <cellStyle name="40% - Accent6 4 3 5 4" xfId="33516" xr:uid="{0BD9CFC8-C54E-4409-8E9F-236140B781CD}"/>
    <cellStyle name="40% - Accent6 4 3 6" xfId="10555" xr:uid="{00000000-0005-0000-0000-00006C510000}"/>
    <cellStyle name="40% - Accent6 4 3 6 2" xfId="34404" xr:uid="{EA32FA7D-420F-44F8-8742-81D12FDE7D54}"/>
    <cellStyle name="40% - Accent6 4 3 7" xfId="18510" xr:uid="{00000000-0005-0000-0000-00006D510000}"/>
    <cellStyle name="40% - Accent6 4 3 7 2" xfId="42342" xr:uid="{A8336C2D-2DEA-4A10-8C14-C523D2FAB0EF}"/>
    <cellStyle name="40% - Accent6 4 3 8" xfId="26462" xr:uid="{6F358A0F-80D9-48F8-A88B-B3CD91D13623}"/>
    <cellStyle name="40% - Accent6 4 3_Exh G" xfId="3369" xr:uid="{00000000-0005-0000-0000-00006E510000}"/>
    <cellStyle name="40% - Accent6 4 4" xfId="996" xr:uid="{00000000-0005-0000-0000-00006F510000}"/>
    <cellStyle name="40% - Accent6 4 4 2" xfId="1906" xr:uid="{00000000-0005-0000-0000-000070510000}"/>
    <cellStyle name="40% - Accent6 4 4 2 2" xfId="5423" xr:uid="{00000000-0005-0000-0000-000071510000}"/>
    <cellStyle name="40% - Accent6 4 4 2 2 2" xfId="9014" xr:uid="{00000000-0005-0000-0000-000072510000}"/>
    <cellStyle name="40% - Accent6 4 4 2 2 2 2" xfId="16984" xr:uid="{00000000-0005-0000-0000-000073510000}"/>
    <cellStyle name="40% - Accent6 4 4 2 2 2 2 2" xfId="40826" xr:uid="{8C52A7C4-8D4E-4C31-BF18-8AB71EC58590}"/>
    <cellStyle name="40% - Accent6 4 4 2 2 2 3" xfId="24930" xr:uid="{00000000-0005-0000-0000-000074510000}"/>
    <cellStyle name="40% - Accent6 4 4 2 2 2 3 2" xfId="48762" xr:uid="{FA886DBE-D3A8-4647-AF00-3266B8849AB4}"/>
    <cellStyle name="40% - Accent6 4 4 2 2 2 4" xfId="32885" xr:uid="{5F52844E-DA99-4352-B34E-283CAD09C5E0}"/>
    <cellStyle name="40% - Accent6 4 4 2 2 3" xfId="13446" xr:uid="{00000000-0005-0000-0000-000075510000}"/>
    <cellStyle name="40% - Accent6 4 4 2 2 3 2" xfId="37295" xr:uid="{BE4B989F-B40C-47ED-85B3-402155C74128}"/>
    <cellStyle name="40% - Accent6 4 4 2 2 4" xfId="21401" xr:uid="{00000000-0005-0000-0000-000076510000}"/>
    <cellStyle name="40% - Accent6 4 4 2 2 4 2" xfId="45233" xr:uid="{E1AB5766-5B25-4FE0-A622-9200F706F489}"/>
    <cellStyle name="40% - Accent6 4 4 2 2 5" xfId="29354" xr:uid="{DE678693-1B57-4339-845B-6ACB05CAB2D8}"/>
    <cellStyle name="40% - Accent6 4 4 2 3" xfId="7255" xr:uid="{00000000-0005-0000-0000-000077510000}"/>
    <cellStyle name="40% - Accent6 4 4 2 3 2" xfId="15226" xr:uid="{00000000-0005-0000-0000-000078510000}"/>
    <cellStyle name="40% - Accent6 4 4 2 3 2 2" xfId="39068" xr:uid="{F6023DC4-9CB2-4060-94E7-5CB5662EC88A}"/>
    <cellStyle name="40% - Accent6 4 4 2 3 3" xfId="23173" xr:uid="{00000000-0005-0000-0000-000079510000}"/>
    <cellStyle name="40% - Accent6 4 4 2 3 3 2" xfId="47005" xr:uid="{8A0F4DB4-49D0-482A-BA6C-5D41C64347A8}"/>
    <cellStyle name="40% - Accent6 4 4 2 3 4" xfId="31127" xr:uid="{AA668814-5B65-44B3-B00B-27B6DD616B03}"/>
    <cellStyle name="40% - Accent6 4 4 2 4" xfId="11690" xr:uid="{00000000-0005-0000-0000-00007A510000}"/>
    <cellStyle name="40% - Accent6 4 4 2 4 2" xfId="35539" xr:uid="{8D9D2AA7-FC09-42A4-8C4B-A25E21C6AAEC}"/>
    <cellStyle name="40% - Accent6 4 4 2 5" xfId="19645" xr:uid="{00000000-0005-0000-0000-00007B510000}"/>
    <cellStyle name="40% - Accent6 4 4 2 5 2" xfId="43477" xr:uid="{82239EC3-C2E1-478B-835D-579E69154C3A}"/>
    <cellStyle name="40% - Accent6 4 4 2 6" xfId="27597" xr:uid="{401863DC-95EC-44D1-B506-4DC1BDEB0094}"/>
    <cellStyle name="40% - Accent6 4 4 2_Exh G" xfId="3372" xr:uid="{00000000-0005-0000-0000-00007C510000}"/>
    <cellStyle name="40% - Accent6 4 4 3" xfId="4544" xr:uid="{00000000-0005-0000-0000-00007D510000}"/>
    <cellStyle name="40% - Accent6 4 4 3 2" xfId="8136" xr:uid="{00000000-0005-0000-0000-00007E510000}"/>
    <cellStyle name="40% - Accent6 4 4 3 2 2" xfId="16106" xr:uid="{00000000-0005-0000-0000-00007F510000}"/>
    <cellStyle name="40% - Accent6 4 4 3 2 2 2" xfId="39948" xr:uid="{1C059893-CCC8-4E58-9B1A-6DE14F86A6D5}"/>
    <cellStyle name="40% - Accent6 4 4 3 2 3" xfId="24052" xr:uid="{00000000-0005-0000-0000-000080510000}"/>
    <cellStyle name="40% - Accent6 4 4 3 2 3 2" xfId="47884" xr:uid="{BF51CFCD-ACCD-40A0-BAE0-C8C4713DA835}"/>
    <cellStyle name="40% - Accent6 4 4 3 2 4" xfId="32007" xr:uid="{35C187DE-0C59-4551-B360-E8C7095544D9}"/>
    <cellStyle name="40% - Accent6 4 4 3 3" xfId="12568" xr:uid="{00000000-0005-0000-0000-000081510000}"/>
    <cellStyle name="40% - Accent6 4 4 3 3 2" xfId="36417" xr:uid="{769B5352-B0B2-4E7F-9C5A-C07257D20CE8}"/>
    <cellStyle name="40% - Accent6 4 4 3 4" xfId="20523" xr:uid="{00000000-0005-0000-0000-000082510000}"/>
    <cellStyle name="40% - Accent6 4 4 3 4 2" xfId="44355" xr:uid="{21761440-07F1-4D4C-B98E-47F779BE1C44}"/>
    <cellStyle name="40% - Accent6 4 4 3 5" xfId="28476" xr:uid="{B21B985B-0D55-46B5-AA44-50848BD37218}"/>
    <cellStyle name="40% - Accent6 4 4 4" xfId="6374" xr:uid="{00000000-0005-0000-0000-000083510000}"/>
    <cellStyle name="40% - Accent6 4 4 4 2" xfId="14348" xr:uid="{00000000-0005-0000-0000-000084510000}"/>
    <cellStyle name="40% - Accent6 4 4 4 2 2" xfId="38190" xr:uid="{484387E5-B95A-4E82-828B-91D3586FC199}"/>
    <cellStyle name="40% - Accent6 4 4 4 3" xfId="22295" xr:uid="{00000000-0005-0000-0000-000085510000}"/>
    <cellStyle name="40% - Accent6 4 4 4 3 2" xfId="46127" xr:uid="{B54EBDED-EF5D-43C6-939A-050A0913EF04}"/>
    <cellStyle name="40% - Accent6 4 4 4 4" xfId="30249" xr:uid="{A0D9CEDE-E1DA-44F1-9FE0-7D3BB8D24BD6}"/>
    <cellStyle name="40% - Accent6 4 4 5" xfId="9916" xr:uid="{00000000-0005-0000-0000-000086510000}"/>
    <cellStyle name="40% - Accent6 4 4 5 2" xfId="17874" xr:uid="{00000000-0005-0000-0000-000087510000}"/>
    <cellStyle name="40% - Accent6 4 4 5 2 2" xfId="41714" xr:uid="{69885435-F8EA-4BF0-BCC9-DD8E680C75B9}"/>
    <cellStyle name="40% - Accent6 4 4 5 3" xfId="25818" xr:uid="{00000000-0005-0000-0000-000088510000}"/>
    <cellStyle name="40% - Accent6 4 4 5 3 2" xfId="49650" xr:uid="{05C88E38-F96F-4AFB-A3AA-CE11DC0DFF7A}"/>
    <cellStyle name="40% - Accent6 4 4 5 4" xfId="33773" xr:uid="{3DC0955C-D2AF-4DFA-AD1C-AE7C9C98459A}"/>
    <cellStyle name="40% - Accent6 4 4 6" xfId="10812" xr:uid="{00000000-0005-0000-0000-000089510000}"/>
    <cellStyle name="40% - Accent6 4 4 6 2" xfId="34661" xr:uid="{A29D26D2-9D74-4694-8D66-5EFDD384DF88}"/>
    <cellStyle name="40% - Accent6 4 4 7" xfId="18767" xr:uid="{00000000-0005-0000-0000-00008A510000}"/>
    <cellStyle name="40% - Accent6 4 4 7 2" xfId="42599" xr:uid="{CB3BBB67-6C93-4662-9D79-EB47EC965CE5}"/>
    <cellStyle name="40% - Accent6 4 4 8" xfId="26719" xr:uid="{0860BD92-2023-47EC-BD91-20406C0AE3B9}"/>
    <cellStyle name="40% - Accent6 4 4_Exh G" xfId="3371" xr:uid="{00000000-0005-0000-0000-00008B510000}"/>
    <cellStyle name="40% - Accent6 4 5" xfId="1636" xr:uid="{00000000-0005-0000-0000-00008C510000}"/>
    <cellStyle name="40% - Accent6 4 5 2" xfId="5163" xr:uid="{00000000-0005-0000-0000-00008D510000}"/>
    <cellStyle name="40% - Accent6 4 5 2 2" xfId="8754" xr:uid="{00000000-0005-0000-0000-00008E510000}"/>
    <cellStyle name="40% - Accent6 4 5 2 2 2" xfId="16724" xr:uid="{00000000-0005-0000-0000-00008F510000}"/>
    <cellStyle name="40% - Accent6 4 5 2 2 2 2" xfId="40566" xr:uid="{812A0F73-38BB-4EC4-AE96-D6F325743AC8}"/>
    <cellStyle name="40% - Accent6 4 5 2 2 3" xfId="24670" xr:uid="{00000000-0005-0000-0000-000090510000}"/>
    <cellStyle name="40% - Accent6 4 5 2 2 3 2" xfId="48502" xr:uid="{3A87966C-3D3A-4A54-9558-02B2329985AC}"/>
    <cellStyle name="40% - Accent6 4 5 2 2 4" xfId="32625" xr:uid="{9088373D-2E84-4641-9447-B5434B930576}"/>
    <cellStyle name="40% - Accent6 4 5 2 3" xfId="13186" xr:uid="{00000000-0005-0000-0000-000091510000}"/>
    <cellStyle name="40% - Accent6 4 5 2 3 2" xfId="37035" xr:uid="{FDF7316E-3160-4713-BAB3-83011891662D}"/>
    <cellStyle name="40% - Accent6 4 5 2 4" xfId="21141" xr:uid="{00000000-0005-0000-0000-000092510000}"/>
    <cellStyle name="40% - Accent6 4 5 2 4 2" xfId="44973" xr:uid="{60171DCA-2475-4F25-9A4F-3671770AD5B5}"/>
    <cellStyle name="40% - Accent6 4 5 2 5" xfId="29094" xr:uid="{8D8D56A1-0450-4DFB-BF25-06B1EAD6F34A}"/>
    <cellStyle name="40% - Accent6 4 5 3" xfId="6995" xr:uid="{00000000-0005-0000-0000-000093510000}"/>
    <cellStyle name="40% - Accent6 4 5 3 2" xfId="14966" xr:uid="{00000000-0005-0000-0000-000094510000}"/>
    <cellStyle name="40% - Accent6 4 5 3 2 2" xfId="38808" xr:uid="{D67B139D-BDC4-4B2B-9730-7238B6DEC2A6}"/>
    <cellStyle name="40% - Accent6 4 5 3 3" xfId="22913" xr:uid="{00000000-0005-0000-0000-000095510000}"/>
    <cellStyle name="40% - Accent6 4 5 3 3 2" xfId="46745" xr:uid="{E42B14B6-4F6F-4217-9839-8D1229768FA8}"/>
    <cellStyle name="40% - Accent6 4 5 3 4" xfId="30867" xr:uid="{ACFBED31-B8A9-426E-91F9-D12A67A33587}"/>
    <cellStyle name="40% - Accent6 4 5 4" xfId="11430" xr:uid="{00000000-0005-0000-0000-000096510000}"/>
    <cellStyle name="40% - Accent6 4 5 4 2" xfId="35279" xr:uid="{21488BEC-041A-4AA6-8588-9629E90C7CBC}"/>
    <cellStyle name="40% - Accent6 4 5 5" xfId="19385" xr:uid="{00000000-0005-0000-0000-000097510000}"/>
    <cellStyle name="40% - Accent6 4 5 5 2" xfId="43217" xr:uid="{8E6EA14F-1927-4591-B08D-49017EB2E34F}"/>
    <cellStyle name="40% - Accent6 4 5 6" xfId="27337" xr:uid="{4CFF39EC-BCEE-4034-B261-B1A5FBC4E5A0}"/>
    <cellStyle name="40% - Accent6 4 5_Exh G" xfId="3373" xr:uid="{00000000-0005-0000-0000-000098510000}"/>
    <cellStyle name="40% - Accent6 4 6" xfId="4284" xr:uid="{00000000-0005-0000-0000-000099510000}"/>
    <cellStyle name="40% - Accent6 4 6 2" xfId="7876" xr:uid="{00000000-0005-0000-0000-00009A510000}"/>
    <cellStyle name="40% - Accent6 4 6 2 2" xfId="15846" xr:uid="{00000000-0005-0000-0000-00009B510000}"/>
    <cellStyle name="40% - Accent6 4 6 2 2 2" xfId="39688" xr:uid="{F5FF0AB5-01BB-48D9-B81C-59147F2A5DC0}"/>
    <cellStyle name="40% - Accent6 4 6 2 3" xfId="23792" xr:uid="{00000000-0005-0000-0000-00009C510000}"/>
    <cellStyle name="40% - Accent6 4 6 2 3 2" xfId="47624" xr:uid="{148D30EC-ED5B-4D17-8891-498A08547CF2}"/>
    <cellStyle name="40% - Accent6 4 6 2 4" xfId="31747" xr:uid="{EC5EAFF1-C2CF-445A-A9E0-660955A6A00F}"/>
    <cellStyle name="40% - Accent6 4 6 3" xfId="12308" xr:uid="{00000000-0005-0000-0000-00009D510000}"/>
    <cellStyle name="40% - Accent6 4 6 3 2" xfId="36157" xr:uid="{67ED891F-09E1-4D7E-9ECC-6DB92B8EB97E}"/>
    <cellStyle name="40% - Accent6 4 6 4" xfId="20263" xr:uid="{00000000-0005-0000-0000-00009E510000}"/>
    <cellStyle name="40% - Accent6 4 6 4 2" xfId="44095" xr:uid="{8A8BFC45-2702-45E8-983F-3F799A11BD7C}"/>
    <cellStyle name="40% - Accent6 4 6 5" xfId="28216" xr:uid="{08A76233-F66C-4288-BD5C-D7206B3BB6EE}"/>
    <cellStyle name="40% - Accent6 4 7" xfId="6104" xr:uid="{00000000-0005-0000-0000-00009F510000}"/>
    <cellStyle name="40% - Accent6 4 7 2" xfId="14087" xr:uid="{00000000-0005-0000-0000-0000A0510000}"/>
    <cellStyle name="40% - Accent6 4 7 2 2" xfId="37930" xr:uid="{8A203E6D-1FD1-4964-A9AE-05F3BD70E44A}"/>
    <cellStyle name="40% - Accent6 4 7 3" xfId="22035" xr:uid="{00000000-0005-0000-0000-0000A1510000}"/>
    <cellStyle name="40% - Accent6 4 7 3 2" xfId="45867" xr:uid="{3FDD310A-7CC3-4996-B03F-51D93BA1CE32}"/>
    <cellStyle name="40% - Accent6 4 7 4" xfId="29989" xr:uid="{AC07AAF5-D272-44F1-B7C5-5D9E47EFA148}"/>
    <cellStyle name="40% - Accent6 4 8" xfId="9656" xr:uid="{00000000-0005-0000-0000-0000A2510000}"/>
    <cellStyle name="40% - Accent6 4 8 2" xfId="17614" xr:uid="{00000000-0005-0000-0000-0000A3510000}"/>
    <cellStyle name="40% - Accent6 4 8 2 2" xfId="41454" xr:uid="{6762E14E-8533-49AA-BE1B-3021FF17D19A}"/>
    <cellStyle name="40% - Accent6 4 8 3" xfId="25558" xr:uid="{00000000-0005-0000-0000-0000A4510000}"/>
    <cellStyle name="40% - Accent6 4 8 3 2" xfId="49390" xr:uid="{98CB8B15-7501-41FD-A188-6B68CD321CE2}"/>
    <cellStyle name="40% - Accent6 4 8 4" xfId="33513" xr:uid="{8C971A4C-E60B-4E55-9310-DE879948320C}"/>
    <cellStyle name="40% - Accent6 4 9" xfId="10552" xr:uid="{00000000-0005-0000-0000-0000A5510000}"/>
    <cellStyle name="40% - Accent6 4 9 2" xfId="34401" xr:uid="{A2EDB1AD-EDFF-4EA2-9988-AD330A1095FD}"/>
    <cellStyle name="40% - Accent6 4_Exh G" xfId="3362" xr:uid="{00000000-0005-0000-0000-0000A6510000}"/>
    <cellStyle name="40% - Accent6 5" xfId="614" xr:uid="{00000000-0005-0000-0000-0000A7510000}"/>
    <cellStyle name="40% - Accent6 5 10" xfId="18511" xr:uid="{00000000-0005-0000-0000-0000A8510000}"/>
    <cellStyle name="40% - Accent6 5 10 2" xfId="42343" xr:uid="{F79F55D0-98DB-4457-B5B4-7C9296AEBF71}"/>
    <cellStyle name="40% - Accent6 5 11" xfId="26463" xr:uid="{1016D9C5-AF62-466F-8BD5-EF8D60F20105}"/>
    <cellStyle name="40% - Accent6 5 2" xfId="615" xr:uid="{00000000-0005-0000-0000-0000A9510000}"/>
    <cellStyle name="40% - Accent6 5 2 2" xfId="616" xr:uid="{00000000-0005-0000-0000-0000AA510000}"/>
    <cellStyle name="40% - Accent6 5 2 2 2" xfId="1642" xr:uid="{00000000-0005-0000-0000-0000AB510000}"/>
    <cellStyle name="40% - Accent6 5 2 2 2 2" xfId="5169" xr:uid="{00000000-0005-0000-0000-0000AC510000}"/>
    <cellStyle name="40% - Accent6 5 2 2 2 2 2" xfId="8760" xr:uid="{00000000-0005-0000-0000-0000AD510000}"/>
    <cellStyle name="40% - Accent6 5 2 2 2 2 2 2" xfId="16730" xr:uid="{00000000-0005-0000-0000-0000AE510000}"/>
    <cellStyle name="40% - Accent6 5 2 2 2 2 2 2 2" xfId="40572" xr:uid="{65EBA95E-2C20-4EDC-B029-AC1F6F9373F4}"/>
    <cellStyle name="40% - Accent6 5 2 2 2 2 2 3" xfId="24676" xr:uid="{00000000-0005-0000-0000-0000AF510000}"/>
    <cellStyle name="40% - Accent6 5 2 2 2 2 2 3 2" xfId="48508" xr:uid="{7DA43E45-724F-431B-8D00-240A48C2B680}"/>
    <cellStyle name="40% - Accent6 5 2 2 2 2 2 4" xfId="32631" xr:uid="{D0C6EF1B-FB31-45DF-B3AE-211F271772C5}"/>
    <cellStyle name="40% - Accent6 5 2 2 2 2 3" xfId="13192" xr:uid="{00000000-0005-0000-0000-0000B0510000}"/>
    <cellStyle name="40% - Accent6 5 2 2 2 2 3 2" xfId="37041" xr:uid="{42679A0C-9B24-484C-B1F2-D25EDED51130}"/>
    <cellStyle name="40% - Accent6 5 2 2 2 2 4" xfId="21147" xr:uid="{00000000-0005-0000-0000-0000B1510000}"/>
    <cellStyle name="40% - Accent6 5 2 2 2 2 4 2" xfId="44979" xr:uid="{BDA0D92B-E619-457A-96BA-5981477A8F35}"/>
    <cellStyle name="40% - Accent6 5 2 2 2 2 5" xfId="29100" xr:uid="{F4C404BA-E089-4D74-A44A-B6574B12DB26}"/>
    <cellStyle name="40% - Accent6 5 2 2 2 3" xfId="7001" xr:uid="{00000000-0005-0000-0000-0000B2510000}"/>
    <cellStyle name="40% - Accent6 5 2 2 2 3 2" xfId="14972" xr:uid="{00000000-0005-0000-0000-0000B3510000}"/>
    <cellStyle name="40% - Accent6 5 2 2 2 3 2 2" xfId="38814" xr:uid="{04800E31-78B4-439D-A3D9-482308E72414}"/>
    <cellStyle name="40% - Accent6 5 2 2 2 3 3" xfId="22919" xr:uid="{00000000-0005-0000-0000-0000B4510000}"/>
    <cellStyle name="40% - Accent6 5 2 2 2 3 3 2" xfId="46751" xr:uid="{E18F9149-892E-4B77-8933-C8F7A0E284A1}"/>
    <cellStyle name="40% - Accent6 5 2 2 2 3 4" xfId="30873" xr:uid="{7E52851D-8831-4BE8-9550-C7FE8DB63CDA}"/>
    <cellStyle name="40% - Accent6 5 2 2 2 4" xfId="11436" xr:uid="{00000000-0005-0000-0000-0000B5510000}"/>
    <cellStyle name="40% - Accent6 5 2 2 2 4 2" xfId="35285" xr:uid="{4B9E1D13-942D-486E-948A-9FA968279DE6}"/>
    <cellStyle name="40% - Accent6 5 2 2 2 5" xfId="19391" xr:uid="{00000000-0005-0000-0000-0000B6510000}"/>
    <cellStyle name="40% - Accent6 5 2 2 2 5 2" xfId="43223" xr:uid="{79E19183-EA32-417B-8778-CA02A1E8D21C}"/>
    <cellStyle name="40% - Accent6 5 2 2 2 6" xfId="27343" xr:uid="{9A7D67E8-AC21-4378-B6CE-95618CD07EC1}"/>
    <cellStyle name="40% - Accent6 5 2 2 2_Exh G" xfId="3377" xr:uid="{00000000-0005-0000-0000-0000B7510000}"/>
    <cellStyle name="40% - Accent6 5 2 2 3" xfId="4290" xr:uid="{00000000-0005-0000-0000-0000B8510000}"/>
    <cellStyle name="40% - Accent6 5 2 2 3 2" xfId="7882" xr:uid="{00000000-0005-0000-0000-0000B9510000}"/>
    <cellStyle name="40% - Accent6 5 2 2 3 2 2" xfId="15852" xr:uid="{00000000-0005-0000-0000-0000BA510000}"/>
    <cellStyle name="40% - Accent6 5 2 2 3 2 2 2" xfId="39694" xr:uid="{07C386D6-51A9-481F-98E6-BC0B0C3FD924}"/>
    <cellStyle name="40% - Accent6 5 2 2 3 2 3" xfId="23798" xr:uid="{00000000-0005-0000-0000-0000BB510000}"/>
    <cellStyle name="40% - Accent6 5 2 2 3 2 3 2" xfId="47630" xr:uid="{5E454745-628F-43D0-BC3D-5724D4DD3ED4}"/>
    <cellStyle name="40% - Accent6 5 2 2 3 2 4" xfId="31753" xr:uid="{A1DB4942-DA34-4A44-BFB9-E972598CF576}"/>
    <cellStyle name="40% - Accent6 5 2 2 3 3" xfId="12314" xr:uid="{00000000-0005-0000-0000-0000BC510000}"/>
    <cellStyle name="40% - Accent6 5 2 2 3 3 2" xfId="36163" xr:uid="{7714105F-93A5-46D6-B1F7-6702F389E06D}"/>
    <cellStyle name="40% - Accent6 5 2 2 3 4" xfId="20269" xr:uid="{00000000-0005-0000-0000-0000BD510000}"/>
    <cellStyle name="40% - Accent6 5 2 2 3 4 2" xfId="44101" xr:uid="{7F398CBB-E660-464D-858F-CC8658C17E6C}"/>
    <cellStyle name="40% - Accent6 5 2 2 3 5" xfId="28222" xr:uid="{35E100E6-EF52-40F7-92EB-AC7BEADA574B}"/>
    <cellStyle name="40% - Accent6 5 2 2 4" xfId="6110" xr:uid="{00000000-0005-0000-0000-0000BE510000}"/>
    <cellStyle name="40% - Accent6 5 2 2 4 2" xfId="14093" xr:uid="{00000000-0005-0000-0000-0000BF510000}"/>
    <cellStyle name="40% - Accent6 5 2 2 4 2 2" xfId="37936" xr:uid="{7B27D2E7-883D-44DE-A5FB-E470FF88423F}"/>
    <cellStyle name="40% - Accent6 5 2 2 4 3" xfId="22041" xr:uid="{00000000-0005-0000-0000-0000C0510000}"/>
    <cellStyle name="40% - Accent6 5 2 2 4 3 2" xfId="45873" xr:uid="{D769D8ED-F910-45ED-BD46-6F11DF92D8BD}"/>
    <cellStyle name="40% - Accent6 5 2 2 4 4" xfId="29995" xr:uid="{4E09B309-761B-42D8-9D1B-55F282AF1569}"/>
    <cellStyle name="40% - Accent6 5 2 2 5" xfId="9662" xr:uid="{00000000-0005-0000-0000-0000C1510000}"/>
    <cellStyle name="40% - Accent6 5 2 2 5 2" xfId="17620" xr:uid="{00000000-0005-0000-0000-0000C2510000}"/>
    <cellStyle name="40% - Accent6 5 2 2 5 2 2" xfId="41460" xr:uid="{BB4A77A4-CB74-49C5-8559-11AACE15A921}"/>
    <cellStyle name="40% - Accent6 5 2 2 5 3" xfId="25564" xr:uid="{00000000-0005-0000-0000-0000C3510000}"/>
    <cellStyle name="40% - Accent6 5 2 2 5 3 2" xfId="49396" xr:uid="{74623320-E138-4008-ACF5-1A07CA58027B}"/>
    <cellStyle name="40% - Accent6 5 2 2 5 4" xfId="33519" xr:uid="{D640E451-C04F-434B-BC63-2B6A0FF44134}"/>
    <cellStyle name="40% - Accent6 5 2 2 6" xfId="10558" xr:uid="{00000000-0005-0000-0000-0000C4510000}"/>
    <cellStyle name="40% - Accent6 5 2 2 6 2" xfId="34407" xr:uid="{96281171-A8C3-4503-AF74-8CA3316F5DFF}"/>
    <cellStyle name="40% - Accent6 5 2 2 7" xfId="18513" xr:uid="{00000000-0005-0000-0000-0000C5510000}"/>
    <cellStyle name="40% - Accent6 5 2 2 7 2" xfId="42345" xr:uid="{CD458316-BB2E-4AEB-B64A-ACFB2CCA4C99}"/>
    <cellStyle name="40% - Accent6 5 2 2 8" xfId="26465" xr:uid="{667AFC6A-9173-46A0-8286-7D39DF772BF6}"/>
    <cellStyle name="40% - Accent6 5 2 2_Exh G" xfId="3376" xr:uid="{00000000-0005-0000-0000-0000C6510000}"/>
    <cellStyle name="40% - Accent6 5 2 3" xfId="1641" xr:uid="{00000000-0005-0000-0000-0000C7510000}"/>
    <cellStyle name="40% - Accent6 5 2 3 2" xfId="5168" xr:uid="{00000000-0005-0000-0000-0000C8510000}"/>
    <cellStyle name="40% - Accent6 5 2 3 2 2" xfId="8759" xr:uid="{00000000-0005-0000-0000-0000C9510000}"/>
    <cellStyle name="40% - Accent6 5 2 3 2 2 2" xfId="16729" xr:uid="{00000000-0005-0000-0000-0000CA510000}"/>
    <cellStyle name="40% - Accent6 5 2 3 2 2 2 2" xfId="40571" xr:uid="{AF951FC8-48F2-4A36-B7EE-489A0EA602A1}"/>
    <cellStyle name="40% - Accent6 5 2 3 2 2 3" xfId="24675" xr:uid="{00000000-0005-0000-0000-0000CB510000}"/>
    <cellStyle name="40% - Accent6 5 2 3 2 2 3 2" xfId="48507" xr:uid="{3BBD1C90-A614-4FBE-9456-DA36B5FA763D}"/>
    <cellStyle name="40% - Accent6 5 2 3 2 2 4" xfId="32630" xr:uid="{1DAB0C09-37F3-47E3-B09C-3C69D1B63FD4}"/>
    <cellStyle name="40% - Accent6 5 2 3 2 3" xfId="13191" xr:uid="{00000000-0005-0000-0000-0000CC510000}"/>
    <cellStyle name="40% - Accent6 5 2 3 2 3 2" xfId="37040" xr:uid="{8B6E7964-41BC-43F1-B697-72399C67FAE5}"/>
    <cellStyle name="40% - Accent6 5 2 3 2 4" xfId="21146" xr:uid="{00000000-0005-0000-0000-0000CD510000}"/>
    <cellStyle name="40% - Accent6 5 2 3 2 4 2" xfId="44978" xr:uid="{DD4E5D01-8C42-4BF2-8B16-473D0630D99E}"/>
    <cellStyle name="40% - Accent6 5 2 3 2 5" xfId="29099" xr:uid="{4CDF276A-B110-4DB7-942F-C10D01DBA25B}"/>
    <cellStyle name="40% - Accent6 5 2 3 3" xfId="7000" xr:uid="{00000000-0005-0000-0000-0000CE510000}"/>
    <cellStyle name="40% - Accent6 5 2 3 3 2" xfId="14971" xr:uid="{00000000-0005-0000-0000-0000CF510000}"/>
    <cellStyle name="40% - Accent6 5 2 3 3 2 2" xfId="38813" xr:uid="{F5E841AA-2F16-408F-82A2-0963F5A9CD93}"/>
    <cellStyle name="40% - Accent6 5 2 3 3 3" xfId="22918" xr:uid="{00000000-0005-0000-0000-0000D0510000}"/>
    <cellStyle name="40% - Accent6 5 2 3 3 3 2" xfId="46750" xr:uid="{9F88277F-9A9C-4FB4-A178-07E478B7444E}"/>
    <cellStyle name="40% - Accent6 5 2 3 3 4" xfId="30872" xr:uid="{769F6C96-65B2-4315-A853-07C46AFB20BF}"/>
    <cellStyle name="40% - Accent6 5 2 3 4" xfId="11435" xr:uid="{00000000-0005-0000-0000-0000D1510000}"/>
    <cellStyle name="40% - Accent6 5 2 3 4 2" xfId="35284" xr:uid="{FA17520A-540F-4894-BA6A-92BD57A1F9B3}"/>
    <cellStyle name="40% - Accent6 5 2 3 5" xfId="19390" xr:uid="{00000000-0005-0000-0000-0000D2510000}"/>
    <cellStyle name="40% - Accent6 5 2 3 5 2" xfId="43222" xr:uid="{234A79B8-01B6-4FCB-A36C-7533E195023C}"/>
    <cellStyle name="40% - Accent6 5 2 3 6" xfId="27342" xr:uid="{D8FDC847-1D3C-496F-8CB0-4EF14FC7DD38}"/>
    <cellStyle name="40% - Accent6 5 2 3_Exh G" xfId="3378" xr:uid="{00000000-0005-0000-0000-0000D3510000}"/>
    <cellStyle name="40% - Accent6 5 2 4" xfId="4289" xr:uid="{00000000-0005-0000-0000-0000D4510000}"/>
    <cellStyle name="40% - Accent6 5 2 4 2" xfId="7881" xr:uid="{00000000-0005-0000-0000-0000D5510000}"/>
    <cellStyle name="40% - Accent6 5 2 4 2 2" xfId="15851" xr:uid="{00000000-0005-0000-0000-0000D6510000}"/>
    <cellStyle name="40% - Accent6 5 2 4 2 2 2" xfId="39693" xr:uid="{3D355006-8617-433C-8AAF-330F2CB98C3D}"/>
    <cellStyle name="40% - Accent6 5 2 4 2 3" xfId="23797" xr:uid="{00000000-0005-0000-0000-0000D7510000}"/>
    <cellStyle name="40% - Accent6 5 2 4 2 3 2" xfId="47629" xr:uid="{A1E62EC4-F683-45E5-9820-9376B12F7168}"/>
    <cellStyle name="40% - Accent6 5 2 4 2 4" xfId="31752" xr:uid="{7C1FBC15-3EA7-4184-BA01-A2EA3F1FBD3D}"/>
    <cellStyle name="40% - Accent6 5 2 4 3" xfId="12313" xr:uid="{00000000-0005-0000-0000-0000D8510000}"/>
    <cellStyle name="40% - Accent6 5 2 4 3 2" xfId="36162" xr:uid="{AC1C8EE7-F149-4F05-B1AA-E7A9DBC8873D}"/>
    <cellStyle name="40% - Accent6 5 2 4 4" xfId="20268" xr:uid="{00000000-0005-0000-0000-0000D9510000}"/>
    <cellStyle name="40% - Accent6 5 2 4 4 2" xfId="44100" xr:uid="{C3747CD0-C9A9-422C-882F-96B6A68DED19}"/>
    <cellStyle name="40% - Accent6 5 2 4 5" xfId="28221" xr:uid="{BE062116-9625-4604-AD6A-A5A8C69DC84C}"/>
    <cellStyle name="40% - Accent6 5 2 5" xfId="6109" xr:uid="{00000000-0005-0000-0000-0000DA510000}"/>
    <cellStyle name="40% - Accent6 5 2 5 2" xfId="14092" xr:uid="{00000000-0005-0000-0000-0000DB510000}"/>
    <cellStyle name="40% - Accent6 5 2 5 2 2" xfId="37935" xr:uid="{E3341DA3-34A0-4983-9591-38A4365A3D62}"/>
    <cellStyle name="40% - Accent6 5 2 5 3" xfId="22040" xr:uid="{00000000-0005-0000-0000-0000DC510000}"/>
    <cellStyle name="40% - Accent6 5 2 5 3 2" xfId="45872" xr:uid="{9682DC8F-549E-4728-B3BE-B7C1827548E4}"/>
    <cellStyle name="40% - Accent6 5 2 5 4" xfId="29994" xr:uid="{C14B91F4-6AC7-4615-A29C-F10E3F65CED2}"/>
    <cellStyle name="40% - Accent6 5 2 6" xfId="9661" xr:uid="{00000000-0005-0000-0000-0000DD510000}"/>
    <cellStyle name="40% - Accent6 5 2 6 2" xfId="17619" xr:uid="{00000000-0005-0000-0000-0000DE510000}"/>
    <cellStyle name="40% - Accent6 5 2 6 2 2" xfId="41459" xr:uid="{9208EF40-0096-486C-84F4-7A226E43CF4C}"/>
    <cellStyle name="40% - Accent6 5 2 6 3" xfId="25563" xr:uid="{00000000-0005-0000-0000-0000DF510000}"/>
    <cellStyle name="40% - Accent6 5 2 6 3 2" xfId="49395" xr:uid="{DABF6CD8-5AAE-4C4D-A04B-59EFA18BAB31}"/>
    <cellStyle name="40% - Accent6 5 2 6 4" xfId="33518" xr:uid="{A0D7AED3-0962-4E7B-83F6-649EAE6F36B1}"/>
    <cellStyle name="40% - Accent6 5 2 7" xfId="10557" xr:uid="{00000000-0005-0000-0000-0000E0510000}"/>
    <cellStyle name="40% - Accent6 5 2 7 2" xfId="34406" xr:uid="{3A2ED33D-2D56-49A3-94EB-B0DBD9C67764}"/>
    <cellStyle name="40% - Accent6 5 2 8" xfId="18512" xr:uid="{00000000-0005-0000-0000-0000E1510000}"/>
    <cellStyle name="40% - Accent6 5 2 8 2" xfId="42344" xr:uid="{C2BF3B11-ACF4-40A3-9CC8-50FE3B68EBA7}"/>
    <cellStyle name="40% - Accent6 5 2 9" xfId="26464" xr:uid="{6E614F7D-40C4-4B54-A0E0-C468E2B763FC}"/>
    <cellStyle name="40% - Accent6 5 2_Exh G" xfId="3375" xr:uid="{00000000-0005-0000-0000-0000E2510000}"/>
    <cellStyle name="40% - Accent6 5 3" xfId="617" xr:uid="{00000000-0005-0000-0000-0000E3510000}"/>
    <cellStyle name="40% - Accent6 5 3 2" xfId="1643" xr:uid="{00000000-0005-0000-0000-0000E4510000}"/>
    <cellStyle name="40% - Accent6 5 3 2 2" xfId="5170" xr:uid="{00000000-0005-0000-0000-0000E5510000}"/>
    <cellStyle name="40% - Accent6 5 3 2 2 2" xfId="8761" xr:uid="{00000000-0005-0000-0000-0000E6510000}"/>
    <cellStyle name="40% - Accent6 5 3 2 2 2 2" xfId="16731" xr:uid="{00000000-0005-0000-0000-0000E7510000}"/>
    <cellStyle name="40% - Accent6 5 3 2 2 2 2 2" xfId="40573" xr:uid="{53FD9843-9E90-40DC-89C3-AFAF313A6047}"/>
    <cellStyle name="40% - Accent6 5 3 2 2 2 3" xfId="24677" xr:uid="{00000000-0005-0000-0000-0000E8510000}"/>
    <cellStyle name="40% - Accent6 5 3 2 2 2 3 2" xfId="48509" xr:uid="{339771B2-458D-4629-8573-1C8D78046A6B}"/>
    <cellStyle name="40% - Accent6 5 3 2 2 2 4" xfId="32632" xr:uid="{C3FFFFB7-E5C4-433F-9E76-713DC9D22019}"/>
    <cellStyle name="40% - Accent6 5 3 2 2 3" xfId="13193" xr:uid="{00000000-0005-0000-0000-0000E9510000}"/>
    <cellStyle name="40% - Accent6 5 3 2 2 3 2" xfId="37042" xr:uid="{2C41319B-A88A-4A65-A694-8AE2C1354FA1}"/>
    <cellStyle name="40% - Accent6 5 3 2 2 4" xfId="21148" xr:uid="{00000000-0005-0000-0000-0000EA510000}"/>
    <cellStyle name="40% - Accent6 5 3 2 2 4 2" xfId="44980" xr:uid="{CC169268-4E54-47A8-9925-3478844B8E2E}"/>
    <cellStyle name="40% - Accent6 5 3 2 2 5" xfId="29101" xr:uid="{77AB169C-7127-4147-8DBB-510D4BED18FA}"/>
    <cellStyle name="40% - Accent6 5 3 2 3" xfId="7002" xr:uid="{00000000-0005-0000-0000-0000EB510000}"/>
    <cellStyle name="40% - Accent6 5 3 2 3 2" xfId="14973" xr:uid="{00000000-0005-0000-0000-0000EC510000}"/>
    <cellStyle name="40% - Accent6 5 3 2 3 2 2" xfId="38815" xr:uid="{97E90F0F-E772-4515-ABFE-27CE52E1F984}"/>
    <cellStyle name="40% - Accent6 5 3 2 3 3" xfId="22920" xr:uid="{00000000-0005-0000-0000-0000ED510000}"/>
    <cellStyle name="40% - Accent6 5 3 2 3 3 2" xfId="46752" xr:uid="{E98FA80D-1515-4113-A1A4-22670A93E74E}"/>
    <cellStyle name="40% - Accent6 5 3 2 3 4" xfId="30874" xr:uid="{12FA24EE-4C6A-4B0E-86EF-EF2076056275}"/>
    <cellStyle name="40% - Accent6 5 3 2 4" xfId="11437" xr:uid="{00000000-0005-0000-0000-0000EE510000}"/>
    <cellStyle name="40% - Accent6 5 3 2 4 2" xfId="35286" xr:uid="{27F423DB-F9E9-4CF5-9ACC-5098EB46960C}"/>
    <cellStyle name="40% - Accent6 5 3 2 5" xfId="19392" xr:uid="{00000000-0005-0000-0000-0000EF510000}"/>
    <cellStyle name="40% - Accent6 5 3 2 5 2" xfId="43224" xr:uid="{BC92A851-D05D-4685-A54B-F2262D0728CA}"/>
    <cellStyle name="40% - Accent6 5 3 2 6" xfId="27344" xr:uid="{E83F4064-4AD4-49B6-81BD-A418F18390E6}"/>
    <cellStyle name="40% - Accent6 5 3 2_Exh G" xfId="3380" xr:uid="{00000000-0005-0000-0000-0000F0510000}"/>
    <cellStyle name="40% - Accent6 5 3 3" xfId="4291" xr:uid="{00000000-0005-0000-0000-0000F1510000}"/>
    <cellStyle name="40% - Accent6 5 3 3 2" xfId="7883" xr:uid="{00000000-0005-0000-0000-0000F2510000}"/>
    <cellStyle name="40% - Accent6 5 3 3 2 2" xfId="15853" xr:uid="{00000000-0005-0000-0000-0000F3510000}"/>
    <cellStyle name="40% - Accent6 5 3 3 2 2 2" xfId="39695" xr:uid="{E9A95342-48D5-4CF0-BAC2-4EF514ADC999}"/>
    <cellStyle name="40% - Accent6 5 3 3 2 3" xfId="23799" xr:uid="{00000000-0005-0000-0000-0000F4510000}"/>
    <cellStyle name="40% - Accent6 5 3 3 2 3 2" xfId="47631" xr:uid="{250BF221-D317-4499-A703-AFA9054C46D2}"/>
    <cellStyle name="40% - Accent6 5 3 3 2 4" xfId="31754" xr:uid="{EE68A53D-9691-4E94-B9C3-475661257987}"/>
    <cellStyle name="40% - Accent6 5 3 3 3" xfId="12315" xr:uid="{00000000-0005-0000-0000-0000F5510000}"/>
    <cellStyle name="40% - Accent6 5 3 3 3 2" xfId="36164" xr:uid="{B28AB2DA-7E55-484C-931B-10B633345DE5}"/>
    <cellStyle name="40% - Accent6 5 3 3 4" xfId="20270" xr:uid="{00000000-0005-0000-0000-0000F6510000}"/>
    <cellStyle name="40% - Accent6 5 3 3 4 2" xfId="44102" xr:uid="{CD49B216-03FC-4234-9E55-6669BEC06469}"/>
    <cellStyle name="40% - Accent6 5 3 3 5" xfId="28223" xr:uid="{226F8D40-FE9D-4F78-85E0-DF112066B6C5}"/>
    <cellStyle name="40% - Accent6 5 3 4" xfId="6111" xr:uid="{00000000-0005-0000-0000-0000F7510000}"/>
    <cellStyle name="40% - Accent6 5 3 4 2" xfId="14094" xr:uid="{00000000-0005-0000-0000-0000F8510000}"/>
    <cellStyle name="40% - Accent6 5 3 4 2 2" xfId="37937" xr:uid="{35F80CA9-075F-421D-9561-6CF1D2C3F5A9}"/>
    <cellStyle name="40% - Accent6 5 3 4 3" xfId="22042" xr:uid="{00000000-0005-0000-0000-0000F9510000}"/>
    <cellStyle name="40% - Accent6 5 3 4 3 2" xfId="45874" xr:uid="{D5E172BD-33C9-43B9-A7A9-60BD5564DFC2}"/>
    <cellStyle name="40% - Accent6 5 3 4 4" xfId="29996" xr:uid="{4C74D798-A91D-4803-9DA8-966CE1FD5B4E}"/>
    <cellStyle name="40% - Accent6 5 3 5" xfId="9663" xr:uid="{00000000-0005-0000-0000-0000FA510000}"/>
    <cellStyle name="40% - Accent6 5 3 5 2" xfId="17621" xr:uid="{00000000-0005-0000-0000-0000FB510000}"/>
    <cellStyle name="40% - Accent6 5 3 5 2 2" xfId="41461" xr:uid="{963214CA-0977-4F2A-8AC9-E3A84A590E05}"/>
    <cellStyle name="40% - Accent6 5 3 5 3" xfId="25565" xr:uid="{00000000-0005-0000-0000-0000FC510000}"/>
    <cellStyle name="40% - Accent6 5 3 5 3 2" xfId="49397" xr:uid="{6E2136C1-7D82-4257-8637-316E023C1678}"/>
    <cellStyle name="40% - Accent6 5 3 5 4" xfId="33520" xr:uid="{7ECCF8F5-79E0-48CE-BDE7-880377DD8D6E}"/>
    <cellStyle name="40% - Accent6 5 3 6" xfId="10559" xr:uid="{00000000-0005-0000-0000-0000FD510000}"/>
    <cellStyle name="40% - Accent6 5 3 6 2" xfId="34408" xr:uid="{6F45049C-1E1B-4616-86F1-31A331F04951}"/>
    <cellStyle name="40% - Accent6 5 3 7" xfId="18514" xr:uid="{00000000-0005-0000-0000-0000FE510000}"/>
    <cellStyle name="40% - Accent6 5 3 7 2" xfId="42346" xr:uid="{89F66773-AF9E-4FAB-8A7C-1F541B1C5B3F}"/>
    <cellStyle name="40% - Accent6 5 3 8" xfId="26466" xr:uid="{8DC43149-8768-4FF3-BACB-82A8518BEE55}"/>
    <cellStyle name="40% - Accent6 5 3_Exh G" xfId="3379" xr:uid="{00000000-0005-0000-0000-0000FF510000}"/>
    <cellStyle name="40% - Accent6 5 4" xfId="998" xr:uid="{00000000-0005-0000-0000-000000520000}"/>
    <cellStyle name="40% - Accent6 5 5" xfId="1640" xr:uid="{00000000-0005-0000-0000-000001520000}"/>
    <cellStyle name="40% - Accent6 5 5 2" xfId="5167" xr:uid="{00000000-0005-0000-0000-000002520000}"/>
    <cellStyle name="40% - Accent6 5 5 2 2" xfId="8758" xr:uid="{00000000-0005-0000-0000-000003520000}"/>
    <cellStyle name="40% - Accent6 5 5 2 2 2" xfId="16728" xr:uid="{00000000-0005-0000-0000-000004520000}"/>
    <cellStyle name="40% - Accent6 5 5 2 2 2 2" xfId="40570" xr:uid="{3C1BF84F-AB1C-471B-B805-D5700FC11219}"/>
    <cellStyle name="40% - Accent6 5 5 2 2 3" xfId="24674" xr:uid="{00000000-0005-0000-0000-000005520000}"/>
    <cellStyle name="40% - Accent6 5 5 2 2 3 2" xfId="48506" xr:uid="{E31C8676-30B1-45DD-93F1-E3C025F8858A}"/>
    <cellStyle name="40% - Accent6 5 5 2 2 4" xfId="32629" xr:uid="{779AB55E-3990-42FB-A433-41BFD860F7D0}"/>
    <cellStyle name="40% - Accent6 5 5 2 3" xfId="13190" xr:uid="{00000000-0005-0000-0000-000006520000}"/>
    <cellStyle name="40% - Accent6 5 5 2 3 2" xfId="37039" xr:uid="{BC12DE96-5D53-4DD6-9557-D062ACC28680}"/>
    <cellStyle name="40% - Accent6 5 5 2 4" xfId="21145" xr:uid="{00000000-0005-0000-0000-000007520000}"/>
    <cellStyle name="40% - Accent6 5 5 2 4 2" xfId="44977" xr:uid="{DBDD2BE6-0B37-47EE-828F-EFBBA2E1AB18}"/>
    <cellStyle name="40% - Accent6 5 5 2 5" xfId="29098" xr:uid="{F3F4E7E2-0C6D-4ECA-8627-55E379A14DD2}"/>
    <cellStyle name="40% - Accent6 5 5 3" xfId="6999" xr:uid="{00000000-0005-0000-0000-000008520000}"/>
    <cellStyle name="40% - Accent6 5 5 3 2" xfId="14970" xr:uid="{00000000-0005-0000-0000-000009520000}"/>
    <cellStyle name="40% - Accent6 5 5 3 2 2" xfId="38812" xr:uid="{198022B5-43F8-466D-8847-03CC9ED302E9}"/>
    <cellStyle name="40% - Accent6 5 5 3 3" xfId="22917" xr:uid="{00000000-0005-0000-0000-00000A520000}"/>
    <cellStyle name="40% - Accent6 5 5 3 3 2" xfId="46749" xr:uid="{9A97ACC9-41BD-4FE1-B43D-F99894309A52}"/>
    <cellStyle name="40% - Accent6 5 5 3 4" xfId="30871" xr:uid="{B85AA21A-B278-4E0A-B87F-B3DDFFD4F192}"/>
    <cellStyle name="40% - Accent6 5 5 4" xfId="11434" xr:uid="{00000000-0005-0000-0000-00000B520000}"/>
    <cellStyle name="40% - Accent6 5 5 4 2" xfId="35283" xr:uid="{D1639AD9-9918-441A-8841-C99E1180561C}"/>
    <cellStyle name="40% - Accent6 5 5 5" xfId="19389" xr:uid="{00000000-0005-0000-0000-00000C520000}"/>
    <cellStyle name="40% - Accent6 5 5 5 2" xfId="43221" xr:uid="{F26646E2-42CB-42F5-8601-149DFA497B66}"/>
    <cellStyle name="40% - Accent6 5 5 6" xfId="27341" xr:uid="{FD07E02C-5AB1-4BC4-A526-4165404A33C1}"/>
    <cellStyle name="40% - Accent6 5 5_Exh G" xfId="3381" xr:uid="{00000000-0005-0000-0000-00000D520000}"/>
    <cellStyle name="40% - Accent6 5 6" xfId="4288" xr:uid="{00000000-0005-0000-0000-00000E520000}"/>
    <cellStyle name="40% - Accent6 5 6 2" xfId="7880" xr:uid="{00000000-0005-0000-0000-00000F520000}"/>
    <cellStyle name="40% - Accent6 5 6 2 2" xfId="15850" xr:uid="{00000000-0005-0000-0000-000010520000}"/>
    <cellStyle name="40% - Accent6 5 6 2 2 2" xfId="39692" xr:uid="{7177AA40-7F85-4915-AF3D-20F339D615E3}"/>
    <cellStyle name="40% - Accent6 5 6 2 3" xfId="23796" xr:uid="{00000000-0005-0000-0000-000011520000}"/>
    <cellStyle name="40% - Accent6 5 6 2 3 2" xfId="47628" xr:uid="{94BDBECD-4A5F-4C24-BFB9-8C53C9D93166}"/>
    <cellStyle name="40% - Accent6 5 6 2 4" xfId="31751" xr:uid="{BBB9C8AA-13CB-4E00-9E1D-1AC504330FE9}"/>
    <cellStyle name="40% - Accent6 5 6 3" xfId="12312" xr:uid="{00000000-0005-0000-0000-000012520000}"/>
    <cellStyle name="40% - Accent6 5 6 3 2" xfId="36161" xr:uid="{0F4144A6-24DC-4717-8C13-E8E053DAACC6}"/>
    <cellStyle name="40% - Accent6 5 6 4" xfId="20267" xr:uid="{00000000-0005-0000-0000-000013520000}"/>
    <cellStyle name="40% - Accent6 5 6 4 2" xfId="44099" xr:uid="{AF23DF5B-A913-44C4-A5DF-42B08AB0C850}"/>
    <cellStyle name="40% - Accent6 5 6 5" xfId="28220" xr:uid="{589E11C1-7A3E-46CE-8817-D02C794D2D3D}"/>
    <cellStyle name="40% - Accent6 5 7" xfId="6108" xr:uid="{00000000-0005-0000-0000-000014520000}"/>
    <cellStyle name="40% - Accent6 5 7 2" xfId="14091" xr:uid="{00000000-0005-0000-0000-000015520000}"/>
    <cellStyle name="40% - Accent6 5 7 2 2" xfId="37934" xr:uid="{9811112C-75B7-4451-A667-BA2A01793E57}"/>
    <cellStyle name="40% - Accent6 5 7 3" xfId="22039" xr:uid="{00000000-0005-0000-0000-000016520000}"/>
    <cellStyle name="40% - Accent6 5 7 3 2" xfId="45871" xr:uid="{9B982EE7-F4F7-45CD-8F73-3BFB41624AD9}"/>
    <cellStyle name="40% - Accent6 5 7 4" xfId="29993" xr:uid="{B752CC31-B44E-4CB3-A883-BFAC2C6D8B83}"/>
    <cellStyle name="40% - Accent6 5 8" xfId="9660" xr:uid="{00000000-0005-0000-0000-000017520000}"/>
    <cellStyle name="40% - Accent6 5 8 2" xfId="17618" xr:uid="{00000000-0005-0000-0000-000018520000}"/>
    <cellStyle name="40% - Accent6 5 8 2 2" xfId="41458" xr:uid="{D14FE814-5058-4B28-9DE1-2B36955E61A1}"/>
    <cellStyle name="40% - Accent6 5 8 3" xfId="25562" xr:uid="{00000000-0005-0000-0000-000019520000}"/>
    <cellStyle name="40% - Accent6 5 8 3 2" xfId="49394" xr:uid="{F384E4B5-4CD2-409E-9830-041E839D3350}"/>
    <cellStyle name="40% - Accent6 5 8 4" xfId="33517" xr:uid="{6E781DF7-0951-4C8B-8C58-5B7368A4546E}"/>
    <cellStyle name="40% - Accent6 5 9" xfId="10556" xr:uid="{00000000-0005-0000-0000-00001A520000}"/>
    <cellStyle name="40% - Accent6 5 9 2" xfId="34405" xr:uid="{01F21F70-D01A-4E6E-91BD-EBCEB3CE61D0}"/>
    <cellStyle name="40% - Accent6 5_Exh G" xfId="3374" xr:uid="{00000000-0005-0000-0000-00001B520000}"/>
    <cellStyle name="40% - Accent6 6" xfId="618" xr:uid="{00000000-0005-0000-0000-00001C520000}"/>
    <cellStyle name="40% - Accent6 6 10" xfId="18515" xr:uid="{00000000-0005-0000-0000-00001D520000}"/>
    <cellStyle name="40% - Accent6 6 10 2" xfId="42347" xr:uid="{64760FFF-8209-4F04-8DC6-1AE65773EB0A}"/>
    <cellStyle name="40% - Accent6 6 11" xfId="26467" xr:uid="{EFEF5E6F-FDD9-4CE9-A1B7-409435026436}"/>
    <cellStyle name="40% - Accent6 6 2" xfId="619" xr:uid="{00000000-0005-0000-0000-00001E520000}"/>
    <cellStyle name="40% - Accent6 6 2 2" xfId="620" xr:uid="{00000000-0005-0000-0000-00001F520000}"/>
    <cellStyle name="40% - Accent6 6 2 2 2" xfId="1646" xr:uid="{00000000-0005-0000-0000-000020520000}"/>
    <cellStyle name="40% - Accent6 6 2 2 2 2" xfId="5173" xr:uid="{00000000-0005-0000-0000-000021520000}"/>
    <cellStyle name="40% - Accent6 6 2 2 2 2 2" xfId="8764" xr:uid="{00000000-0005-0000-0000-000022520000}"/>
    <cellStyle name="40% - Accent6 6 2 2 2 2 2 2" xfId="16734" xr:uid="{00000000-0005-0000-0000-000023520000}"/>
    <cellStyle name="40% - Accent6 6 2 2 2 2 2 2 2" xfId="40576" xr:uid="{8A54F2D4-FBFE-43BD-A9CC-82B46A7C7A72}"/>
    <cellStyle name="40% - Accent6 6 2 2 2 2 2 3" xfId="24680" xr:uid="{00000000-0005-0000-0000-000024520000}"/>
    <cellStyle name="40% - Accent6 6 2 2 2 2 2 3 2" xfId="48512" xr:uid="{61E122ED-A5B3-4123-B778-9BC7B96D214B}"/>
    <cellStyle name="40% - Accent6 6 2 2 2 2 2 4" xfId="32635" xr:uid="{DE2B9EA7-8DBC-42F0-AEB5-2D0431D7819B}"/>
    <cellStyle name="40% - Accent6 6 2 2 2 2 3" xfId="13196" xr:uid="{00000000-0005-0000-0000-000025520000}"/>
    <cellStyle name="40% - Accent6 6 2 2 2 2 3 2" xfId="37045" xr:uid="{AC2DDCA2-6675-46AC-A351-9FAF75604978}"/>
    <cellStyle name="40% - Accent6 6 2 2 2 2 4" xfId="21151" xr:uid="{00000000-0005-0000-0000-000026520000}"/>
    <cellStyle name="40% - Accent6 6 2 2 2 2 4 2" xfId="44983" xr:uid="{2F3154C8-CE14-4E26-B3EC-7C8B09AC6F34}"/>
    <cellStyle name="40% - Accent6 6 2 2 2 2 5" xfId="29104" xr:uid="{1159A6FD-94BA-477C-84E3-15D67415F805}"/>
    <cellStyle name="40% - Accent6 6 2 2 2 3" xfId="7005" xr:uid="{00000000-0005-0000-0000-000027520000}"/>
    <cellStyle name="40% - Accent6 6 2 2 2 3 2" xfId="14976" xr:uid="{00000000-0005-0000-0000-000028520000}"/>
    <cellStyle name="40% - Accent6 6 2 2 2 3 2 2" xfId="38818" xr:uid="{81342E33-247F-401F-B1E4-F69598252DB9}"/>
    <cellStyle name="40% - Accent6 6 2 2 2 3 3" xfId="22923" xr:uid="{00000000-0005-0000-0000-000029520000}"/>
    <cellStyle name="40% - Accent6 6 2 2 2 3 3 2" xfId="46755" xr:uid="{007852D3-92EB-4360-B62F-DA336A3DADBA}"/>
    <cellStyle name="40% - Accent6 6 2 2 2 3 4" xfId="30877" xr:uid="{DCE1B17D-09D5-43CC-AE90-A1E20A0F3641}"/>
    <cellStyle name="40% - Accent6 6 2 2 2 4" xfId="11440" xr:uid="{00000000-0005-0000-0000-00002A520000}"/>
    <cellStyle name="40% - Accent6 6 2 2 2 4 2" xfId="35289" xr:uid="{BE285B6D-37E2-4B03-897B-3600D217FEBB}"/>
    <cellStyle name="40% - Accent6 6 2 2 2 5" xfId="19395" xr:uid="{00000000-0005-0000-0000-00002B520000}"/>
    <cellStyle name="40% - Accent6 6 2 2 2 5 2" xfId="43227" xr:uid="{D9E8D121-F33B-4019-BE3C-BDA8F89E13B4}"/>
    <cellStyle name="40% - Accent6 6 2 2 2 6" xfId="27347" xr:uid="{543E3313-8A83-42A1-AFE5-6B2A34838E9E}"/>
    <cellStyle name="40% - Accent6 6 2 2 2_Exh G" xfId="3385" xr:uid="{00000000-0005-0000-0000-00002C520000}"/>
    <cellStyle name="40% - Accent6 6 2 2 3" xfId="4294" xr:uid="{00000000-0005-0000-0000-00002D520000}"/>
    <cellStyle name="40% - Accent6 6 2 2 3 2" xfId="7886" xr:uid="{00000000-0005-0000-0000-00002E520000}"/>
    <cellStyle name="40% - Accent6 6 2 2 3 2 2" xfId="15856" xr:uid="{00000000-0005-0000-0000-00002F520000}"/>
    <cellStyle name="40% - Accent6 6 2 2 3 2 2 2" xfId="39698" xr:uid="{CAAA3EAF-1F58-4A7C-9AFD-51C1EADE792C}"/>
    <cellStyle name="40% - Accent6 6 2 2 3 2 3" xfId="23802" xr:uid="{00000000-0005-0000-0000-000030520000}"/>
    <cellStyle name="40% - Accent6 6 2 2 3 2 3 2" xfId="47634" xr:uid="{FB1D9BEA-CB54-4809-8220-FB90036A41F9}"/>
    <cellStyle name="40% - Accent6 6 2 2 3 2 4" xfId="31757" xr:uid="{CDC2C5B4-743B-4A6E-8E28-75BF74BD0530}"/>
    <cellStyle name="40% - Accent6 6 2 2 3 3" xfId="12318" xr:uid="{00000000-0005-0000-0000-000031520000}"/>
    <cellStyle name="40% - Accent6 6 2 2 3 3 2" xfId="36167" xr:uid="{1D9D2583-5586-4E85-9419-410EB49433E8}"/>
    <cellStyle name="40% - Accent6 6 2 2 3 4" xfId="20273" xr:uid="{00000000-0005-0000-0000-000032520000}"/>
    <cellStyle name="40% - Accent6 6 2 2 3 4 2" xfId="44105" xr:uid="{3FF3BEFF-B0E9-4E24-B654-E4C33C4B7D13}"/>
    <cellStyle name="40% - Accent6 6 2 2 3 5" xfId="28226" xr:uid="{AD8409D9-EF5B-4C76-BF54-D339BAB410BE}"/>
    <cellStyle name="40% - Accent6 6 2 2 4" xfId="6114" xr:uid="{00000000-0005-0000-0000-000033520000}"/>
    <cellStyle name="40% - Accent6 6 2 2 4 2" xfId="14097" xr:uid="{00000000-0005-0000-0000-000034520000}"/>
    <cellStyle name="40% - Accent6 6 2 2 4 2 2" xfId="37940" xr:uid="{F0BB7BC9-0A62-4E0C-824A-C0628A152E0B}"/>
    <cellStyle name="40% - Accent6 6 2 2 4 3" xfId="22045" xr:uid="{00000000-0005-0000-0000-000035520000}"/>
    <cellStyle name="40% - Accent6 6 2 2 4 3 2" xfId="45877" xr:uid="{276E8A5C-679E-4107-B0BA-F725EAB12EDD}"/>
    <cellStyle name="40% - Accent6 6 2 2 4 4" xfId="29999" xr:uid="{00FB8557-C675-4934-8393-BBD925F0074F}"/>
    <cellStyle name="40% - Accent6 6 2 2 5" xfId="9666" xr:uid="{00000000-0005-0000-0000-000036520000}"/>
    <cellStyle name="40% - Accent6 6 2 2 5 2" xfId="17624" xr:uid="{00000000-0005-0000-0000-000037520000}"/>
    <cellStyle name="40% - Accent6 6 2 2 5 2 2" xfId="41464" xr:uid="{E33CF5EA-1C37-4D91-AC00-C329C3C1CBD0}"/>
    <cellStyle name="40% - Accent6 6 2 2 5 3" xfId="25568" xr:uid="{00000000-0005-0000-0000-000038520000}"/>
    <cellStyle name="40% - Accent6 6 2 2 5 3 2" xfId="49400" xr:uid="{DD2A3362-364D-40C4-A9BB-B58E9E07583C}"/>
    <cellStyle name="40% - Accent6 6 2 2 5 4" xfId="33523" xr:uid="{AB0E9D6E-BD14-402A-B760-43B73CC6BDD1}"/>
    <cellStyle name="40% - Accent6 6 2 2 6" xfId="10562" xr:uid="{00000000-0005-0000-0000-000039520000}"/>
    <cellStyle name="40% - Accent6 6 2 2 6 2" xfId="34411" xr:uid="{4B669610-16C9-4179-879D-A54C4C7C679B}"/>
    <cellStyle name="40% - Accent6 6 2 2 7" xfId="18517" xr:uid="{00000000-0005-0000-0000-00003A520000}"/>
    <cellStyle name="40% - Accent6 6 2 2 7 2" xfId="42349" xr:uid="{67A4EEB0-E8B9-429F-8981-3EB508DC9F61}"/>
    <cellStyle name="40% - Accent6 6 2 2 8" xfId="26469" xr:uid="{E93E42C0-77CF-45F3-BB41-337D4650D474}"/>
    <cellStyle name="40% - Accent6 6 2 2_Exh G" xfId="3384" xr:uid="{00000000-0005-0000-0000-00003B520000}"/>
    <cellStyle name="40% - Accent6 6 2 3" xfId="1645" xr:uid="{00000000-0005-0000-0000-00003C520000}"/>
    <cellStyle name="40% - Accent6 6 2 3 2" xfId="5172" xr:uid="{00000000-0005-0000-0000-00003D520000}"/>
    <cellStyle name="40% - Accent6 6 2 3 2 2" xfId="8763" xr:uid="{00000000-0005-0000-0000-00003E520000}"/>
    <cellStyle name="40% - Accent6 6 2 3 2 2 2" xfId="16733" xr:uid="{00000000-0005-0000-0000-00003F520000}"/>
    <cellStyle name="40% - Accent6 6 2 3 2 2 2 2" xfId="40575" xr:uid="{2D7D230C-BC9C-44DD-B79E-715E79F121A6}"/>
    <cellStyle name="40% - Accent6 6 2 3 2 2 3" xfId="24679" xr:uid="{00000000-0005-0000-0000-000040520000}"/>
    <cellStyle name="40% - Accent6 6 2 3 2 2 3 2" xfId="48511" xr:uid="{6743F740-C22D-4CD4-9FEF-E77E4F54E29E}"/>
    <cellStyle name="40% - Accent6 6 2 3 2 2 4" xfId="32634" xr:uid="{78FCBD3E-6E3D-4556-AA14-14EB450C03E6}"/>
    <cellStyle name="40% - Accent6 6 2 3 2 3" xfId="13195" xr:uid="{00000000-0005-0000-0000-000041520000}"/>
    <cellStyle name="40% - Accent6 6 2 3 2 3 2" xfId="37044" xr:uid="{F444CD6C-0644-4641-B64C-F524E1F50DEB}"/>
    <cellStyle name="40% - Accent6 6 2 3 2 4" xfId="21150" xr:uid="{00000000-0005-0000-0000-000042520000}"/>
    <cellStyle name="40% - Accent6 6 2 3 2 4 2" xfId="44982" xr:uid="{927AB0C8-4A39-40E7-BA5B-88427C9ECE6B}"/>
    <cellStyle name="40% - Accent6 6 2 3 2 5" xfId="29103" xr:uid="{DE66D92E-3F39-431F-A974-106CEE74BD37}"/>
    <cellStyle name="40% - Accent6 6 2 3 3" xfId="7004" xr:uid="{00000000-0005-0000-0000-000043520000}"/>
    <cellStyle name="40% - Accent6 6 2 3 3 2" xfId="14975" xr:uid="{00000000-0005-0000-0000-000044520000}"/>
    <cellStyle name="40% - Accent6 6 2 3 3 2 2" xfId="38817" xr:uid="{E6FA1E35-BBD7-462E-9665-74B0639704A2}"/>
    <cellStyle name="40% - Accent6 6 2 3 3 3" xfId="22922" xr:uid="{00000000-0005-0000-0000-000045520000}"/>
    <cellStyle name="40% - Accent6 6 2 3 3 3 2" xfId="46754" xr:uid="{39BABEF5-8EB8-4B56-9148-5B99CDA92912}"/>
    <cellStyle name="40% - Accent6 6 2 3 3 4" xfId="30876" xr:uid="{DDE5E50B-FC10-4402-9480-A6059891D41F}"/>
    <cellStyle name="40% - Accent6 6 2 3 4" xfId="11439" xr:uid="{00000000-0005-0000-0000-000046520000}"/>
    <cellStyle name="40% - Accent6 6 2 3 4 2" xfId="35288" xr:uid="{D8E21EFA-788B-4CC1-86C7-AFF1F8184A63}"/>
    <cellStyle name="40% - Accent6 6 2 3 5" xfId="19394" xr:uid="{00000000-0005-0000-0000-000047520000}"/>
    <cellStyle name="40% - Accent6 6 2 3 5 2" xfId="43226" xr:uid="{F09ED7DC-5798-456A-BE82-A53DB1E28802}"/>
    <cellStyle name="40% - Accent6 6 2 3 6" xfId="27346" xr:uid="{74761539-4D0F-4E0A-ABFE-6871BB009ED2}"/>
    <cellStyle name="40% - Accent6 6 2 3_Exh G" xfId="3386" xr:uid="{00000000-0005-0000-0000-000048520000}"/>
    <cellStyle name="40% - Accent6 6 2 4" xfId="4293" xr:uid="{00000000-0005-0000-0000-000049520000}"/>
    <cellStyle name="40% - Accent6 6 2 4 2" xfId="7885" xr:uid="{00000000-0005-0000-0000-00004A520000}"/>
    <cellStyle name="40% - Accent6 6 2 4 2 2" xfId="15855" xr:uid="{00000000-0005-0000-0000-00004B520000}"/>
    <cellStyle name="40% - Accent6 6 2 4 2 2 2" xfId="39697" xr:uid="{06082773-69AC-498F-ABD9-084BBF5C6373}"/>
    <cellStyle name="40% - Accent6 6 2 4 2 3" xfId="23801" xr:uid="{00000000-0005-0000-0000-00004C520000}"/>
    <cellStyle name="40% - Accent6 6 2 4 2 3 2" xfId="47633" xr:uid="{6FB77034-F445-420C-B4DD-C59071ECD85A}"/>
    <cellStyle name="40% - Accent6 6 2 4 2 4" xfId="31756" xr:uid="{D32D101C-32F6-4844-9E40-F92336ACBD77}"/>
    <cellStyle name="40% - Accent6 6 2 4 3" xfId="12317" xr:uid="{00000000-0005-0000-0000-00004D520000}"/>
    <cellStyle name="40% - Accent6 6 2 4 3 2" xfId="36166" xr:uid="{50797C2A-6D0D-4F88-9FCC-B471486F86AD}"/>
    <cellStyle name="40% - Accent6 6 2 4 4" xfId="20272" xr:uid="{00000000-0005-0000-0000-00004E520000}"/>
    <cellStyle name="40% - Accent6 6 2 4 4 2" xfId="44104" xr:uid="{72F904C2-2D8E-4FFF-8C0F-6BB74186B68D}"/>
    <cellStyle name="40% - Accent6 6 2 4 5" xfId="28225" xr:uid="{A7234789-A572-4AAE-9F35-10CE76F39BA7}"/>
    <cellStyle name="40% - Accent6 6 2 5" xfId="6113" xr:uid="{00000000-0005-0000-0000-00004F520000}"/>
    <cellStyle name="40% - Accent6 6 2 5 2" xfId="14096" xr:uid="{00000000-0005-0000-0000-000050520000}"/>
    <cellStyle name="40% - Accent6 6 2 5 2 2" xfId="37939" xr:uid="{6B253474-1755-4A94-A405-2CE7743E8134}"/>
    <cellStyle name="40% - Accent6 6 2 5 3" xfId="22044" xr:uid="{00000000-0005-0000-0000-000051520000}"/>
    <cellStyle name="40% - Accent6 6 2 5 3 2" xfId="45876" xr:uid="{8F59C27F-827D-4FD1-9C94-23A0240018CB}"/>
    <cellStyle name="40% - Accent6 6 2 5 4" xfId="29998" xr:uid="{8846FD7C-B270-42F5-B3ED-D4F0695F58F8}"/>
    <cellStyle name="40% - Accent6 6 2 6" xfId="9665" xr:uid="{00000000-0005-0000-0000-000052520000}"/>
    <cellStyle name="40% - Accent6 6 2 6 2" xfId="17623" xr:uid="{00000000-0005-0000-0000-000053520000}"/>
    <cellStyle name="40% - Accent6 6 2 6 2 2" xfId="41463" xr:uid="{B901C3EB-6D5E-4E0A-A2DD-204856DF7881}"/>
    <cellStyle name="40% - Accent6 6 2 6 3" xfId="25567" xr:uid="{00000000-0005-0000-0000-000054520000}"/>
    <cellStyle name="40% - Accent6 6 2 6 3 2" xfId="49399" xr:uid="{A9542B2F-CDB6-4E43-8954-0E0809F0188B}"/>
    <cellStyle name="40% - Accent6 6 2 6 4" xfId="33522" xr:uid="{CB76C7F6-F77C-4831-90B6-577A87A8428D}"/>
    <cellStyle name="40% - Accent6 6 2 7" xfId="10561" xr:uid="{00000000-0005-0000-0000-000055520000}"/>
    <cellStyle name="40% - Accent6 6 2 7 2" xfId="34410" xr:uid="{3A940529-77A7-4728-B84F-1C1AEE01DD86}"/>
    <cellStyle name="40% - Accent6 6 2 8" xfId="18516" xr:uid="{00000000-0005-0000-0000-000056520000}"/>
    <cellStyle name="40% - Accent6 6 2 8 2" xfId="42348" xr:uid="{892AB1A8-FD40-4AF2-84D9-8A28718E4C4B}"/>
    <cellStyle name="40% - Accent6 6 2 9" xfId="26468" xr:uid="{FEA5CB1A-FC5A-4BA8-92A2-D81C1CA6DAA9}"/>
    <cellStyle name="40% - Accent6 6 2_Exh G" xfId="3383" xr:uid="{00000000-0005-0000-0000-000057520000}"/>
    <cellStyle name="40% - Accent6 6 3" xfId="621" xr:uid="{00000000-0005-0000-0000-000058520000}"/>
    <cellStyle name="40% - Accent6 6 3 2" xfId="1647" xr:uid="{00000000-0005-0000-0000-000059520000}"/>
    <cellStyle name="40% - Accent6 6 3 2 2" xfId="5174" xr:uid="{00000000-0005-0000-0000-00005A520000}"/>
    <cellStyle name="40% - Accent6 6 3 2 2 2" xfId="8765" xr:uid="{00000000-0005-0000-0000-00005B520000}"/>
    <cellStyle name="40% - Accent6 6 3 2 2 2 2" xfId="16735" xr:uid="{00000000-0005-0000-0000-00005C520000}"/>
    <cellStyle name="40% - Accent6 6 3 2 2 2 2 2" xfId="40577" xr:uid="{A5AE6B38-3F43-48D0-A1A8-4FF4116AEE78}"/>
    <cellStyle name="40% - Accent6 6 3 2 2 2 3" xfId="24681" xr:uid="{00000000-0005-0000-0000-00005D520000}"/>
    <cellStyle name="40% - Accent6 6 3 2 2 2 3 2" xfId="48513" xr:uid="{1F94BC84-45D3-4FE0-A0AB-9C3FC9FCF99D}"/>
    <cellStyle name="40% - Accent6 6 3 2 2 2 4" xfId="32636" xr:uid="{33968656-9FFC-4E00-8D57-C882309DF23F}"/>
    <cellStyle name="40% - Accent6 6 3 2 2 3" xfId="13197" xr:uid="{00000000-0005-0000-0000-00005E520000}"/>
    <cellStyle name="40% - Accent6 6 3 2 2 3 2" xfId="37046" xr:uid="{1F4BBB3D-53F9-4161-B78D-D9A2E355B1D5}"/>
    <cellStyle name="40% - Accent6 6 3 2 2 4" xfId="21152" xr:uid="{00000000-0005-0000-0000-00005F520000}"/>
    <cellStyle name="40% - Accent6 6 3 2 2 4 2" xfId="44984" xr:uid="{6BE8DAB8-57AF-49B6-8F33-584B3EF41F73}"/>
    <cellStyle name="40% - Accent6 6 3 2 2 5" xfId="29105" xr:uid="{EB317FC4-5BCF-41A0-AAC7-A336A4ADD587}"/>
    <cellStyle name="40% - Accent6 6 3 2 3" xfId="7006" xr:uid="{00000000-0005-0000-0000-000060520000}"/>
    <cellStyle name="40% - Accent6 6 3 2 3 2" xfId="14977" xr:uid="{00000000-0005-0000-0000-000061520000}"/>
    <cellStyle name="40% - Accent6 6 3 2 3 2 2" xfId="38819" xr:uid="{072059A9-A01B-4CBE-89EE-F7188C09DEB2}"/>
    <cellStyle name="40% - Accent6 6 3 2 3 3" xfId="22924" xr:uid="{00000000-0005-0000-0000-000062520000}"/>
    <cellStyle name="40% - Accent6 6 3 2 3 3 2" xfId="46756" xr:uid="{E947436D-9E16-4451-93CA-4E691A4CB9B8}"/>
    <cellStyle name="40% - Accent6 6 3 2 3 4" xfId="30878" xr:uid="{17F6434E-7475-495C-A568-BABFC5CA03E3}"/>
    <cellStyle name="40% - Accent6 6 3 2 4" xfId="11441" xr:uid="{00000000-0005-0000-0000-000063520000}"/>
    <cellStyle name="40% - Accent6 6 3 2 4 2" xfId="35290" xr:uid="{D21E0E3C-F4D8-4905-A170-EE49C76525EC}"/>
    <cellStyle name="40% - Accent6 6 3 2 5" xfId="19396" xr:uid="{00000000-0005-0000-0000-000064520000}"/>
    <cellStyle name="40% - Accent6 6 3 2 5 2" xfId="43228" xr:uid="{AB05250B-9219-4C2D-AD6C-8131B2AAD17A}"/>
    <cellStyle name="40% - Accent6 6 3 2 6" xfId="27348" xr:uid="{5192968D-8BE0-478C-A3BC-1D5D0DE85C12}"/>
    <cellStyle name="40% - Accent6 6 3 2_Exh G" xfId="3388" xr:uid="{00000000-0005-0000-0000-000065520000}"/>
    <cellStyle name="40% - Accent6 6 3 3" xfId="4295" xr:uid="{00000000-0005-0000-0000-000066520000}"/>
    <cellStyle name="40% - Accent6 6 3 3 2" xfId="7887" xr:uid="{00000000-0005-0000-0000-000067520000}"/>
    <cellStyle name="40% - Accent6 6 3 3 2 2" xfId="15857" xr:uid="{00000000-0005-0000-0000-000068520000}"/>
    <cellStyle name="40% - Accent6 6 3 3 2 2 2" xfId="39699" xr:uid="{9450ECB9-14A3-41CA-8E2A-F28F26ACEEF7}"/>
    <cellStyle name="40% - Accent6 6 3 3 2 3" xfId="23803" xr:uid="{00000000-0005-0000-0000-000069520000}"/>
    <cellStyle name="40% - Accent6 6 3 3 2 3 2" xfId="47635" xr:uid="{EFA9FE92-7CAB-4658-BDB8-9473948EBFAA}"/>
    <cellStyle name="40% - Accent6 6 3 3 2 4" xfId="31758" xr:uid="{D57CE18D-8DCA-4EA2-B610-787D9CCCCD20}"/>
    <cellStyle name="40% - Accent6 6 3 3 3" xfId="12319" xr:uid="{00000000-0005-0000-0000-00006A520000}"/>
    <cellStyle name="40% - Accent6 6 3 3 3 2" xfId="36168" xr:uid="{7EBA56AD-D7F7-4801-AC48-3A2917B9EC4D}"/>
    <cellStyle name="40% - Accent6 6 3 3 4" xfId="20274" xr:uid="{00000000-0005-0000-0000-00006B520000}"/>
    <cellStyle name="40% - Accent6 6 3 3 4 2" xfId="44106" xr:uid="{11081EE4-305A-4090-8E9F-04E37DF70E32}"/>
    <cellStyle name="40% - Accent6 6 3 3 5" xfId="28227" xr:uid="{2853160F-DED3-42BB-B944-CA14EC2C37D0}"/>
    <cellStyle name="40% - Accent6 6 3 4" xfId="6115" xr:uid="{00000000-0005-0000-0000-00006C520000}"/>
    <cellStyle name="40% - Accent6 6 3 4 2" xfId="14098" xr:uid="{00000000-0005-0000-0000-00006D520000}"/>
    <cellStyle name="40% - Accent6 6 3 4 2 2" xfId="37941" xr:uid="{A0FE1713-1B3D-47EA-8EB4-1577B11FEA07}"/>
    <cellStyle name="40% - Accent6 6 3 4 3" xfId="22046" xr:uid="{00000000-0005-0000-0000-00006E520000}"/>
    <cellStyle name="40% - Accent6 6 3 4 3 2" xfId="45878" xr:uid="{251075B3-B484-4665-BC05-9091E99C1846}"/>
    <cellStyle name="40% - Accent6 6 3 4 4" xfId="30000" xr:uid="{626B8E04-64AC-4882-940B-4B33141663F8}"/>
    <cellStyle name="40% - Accent6 6 3 5" xfId="9667" xr:uid="{00000000-0005-0000-0000-00006F520000}"/>
    <cellStyle name="40% - Accent6 6 3 5 2" xfId="17625" xr:uid="{00000000-0005-0000-0000-000070520000}"/>
    <cellStyle name="40% - Accent6 6 3 5 2 2" xfId="41465" xr:uid="{C9FC4EEE-6D74-49A8-959E-31B259ACE0F9}"/>
    <cellStyle name="40% - Accent6 6 3 5 3" xfId="25569" xr:uid="{00000000-0005-0000-0000-000071520000}"/>
    <cellStyle name="40% - Accent6 6 3 5 3 2" xfId="49401" xr:uid="{D2BB9B17-901D-4C3C-AC28-FD4751C8DF6A}"/>
    <cellStyle name="40% - Accent6 6 3 5 4" xfId="33524" xr:uid="{73658309-4A1C-4A89-BC85-5A6DCCAAA23E}"/>
    <cellStyle name="40% - Accent6 6 3 6" xfId="10563" xr:uid="{00000000-0005-0000-0000-000072520000}"/>
    <cellStyle name="40% - Accent6 6 3 6 2" xfId="34412" xr:uid="{DB46F55B-D096-4619-BD1C-09470942A28F}"/>
    <cellStyle name="40% - Accent6 6 3 7" xfId="18518" xr:uid="{00000000-0005-0000-0000-000073520000}"/>
    <cellStyle name="40% - Accent6 6 3 7 2" xfId="42350" xr:uid="{0BFAD6D3-A5CF-4620-8306-9CE8923A36EA}"/>
    <cellStyle name="40% - Accent6 6 3 8" xfId="26470" xr:uid="{F1BF959A-9389-42A4-BE6A-8BFC2B052411}"/>
    <cellStyle name="40% - Accent6 6 3_Exh G" xfId="3387" xr:uid="{00000000-0005-0000-0000-000074520000}"/>
    <cellStyle name="40% - Accent6 6 4" xfId="999" xr:uid="{00000000-0005-0000-0000-000075520000}"/>
    <cellStyle name="40% - Accent6 6 4 2" xfId="1908" xr:uid="{00000000-0005-0000-0000-000076520000}"/>
    <cellStyle name="40% - Accent6 6 4 2 2" xfId="5425" xr:uid="{00000000-0005-0000-0000-000077520000}"/>
    <cellStyle name="40% - Accent6 6 4 2 2 2" xfId="9016" xr:uid="{00000000-0005-0000-0000-000078520000}"/>
    <cellStyle name="40% - Accent6 6 4 2 2 2 2" xfId="16986" xr:uid="{00000000-0005-0000-0000-000079520000}"/>
    <cellStyle name="40% - Accent6 6 4 2 2 2 2 2" xfId="40828" xr:uid="{713BC468-ECA9-47F9-8451-7823AC9719DB}"/>
    <cellStyle name="40% - Accent6 6 4 2 2 2 3" xfId="24932" xr:uid="{00000000-0005-0000-0000-00007A520000}"/>
    <cellStyle name="40% - Accent6 6 4 2 2 2 3 2" xfId="48764" xr:uid="{06CBA5A4-66CC-450D-B5DD-86BCE1F906D2}"/>
    <cellStyle name="40% - Accent6 6 4 2 2 2 4" xfId="32887" xr:uid="{34E77E67-9057-42B8-9074-C181A62115B1}"/>
    <cellStyle name="40% - Accent6 6 4 2 2 3" xfId="13448" xr:uid="{00000000-0005-0000-0000-00007B520000}"/>
    <cellStyle name="40% - Accent6 6 4 2 2 3 2" xfId="37297" xr:uid="{30C8680A-F845-4EF7-B8D7-53DE6B76A6E3}"/>
    <cellStyle name="40% - Accent6 6 4 2 2 4" xfId="21403" xr:uid="{00000000-0005-0000-0000-00007C520000}"/>
    <cellStyle name="40% - Accent6 6 4 2 2 4 2" xfId="45235" xr:uid="{CC2C53FF-F7B8-4181-8D11-D35C59ED4D67}"/>
    <cellStyle name="40% - Accent6 6 4 2 2 5" xfId="29356" xr:uid="{A134FA3E-3A74-486F-A8FE-3193D9474911}"/>
    <cellStyle name="40% - Accent6 6 4 2 3" xfId="7257" xr:uid="{00000000-0005-0000-0000-00007D520000}"/>
    <cellStyle name="40% - Accent6 6 4 2 3 2" xfId="15228" xr:uid="{00000000-0005-0000-0000-00007E520000}"/>
    <cellStyle name="40% - Accent6 6 4 2 3 2 2" xfId="39070" xr:uid="{CF3DC562-03D6-45B2-B843-8F7C7DB087EA}"/>
    <cellStyle name="40% - Accent6 6 4 2 3 3" xfId="23175" xr:uid="{00000000-0005-0000-0000-00007F520000}"/>
    <cellStyle name="40% - Accent6 6 4 2 3 3 2" xfId="47007" xr:uid="{1C63D0D7-A1D1-4056-B56E-46B09CDA6A99}"/>
    <cellStyle name="40% - Accent6 6 4 2 3 4" xfId="31129" xr:uid="{9C1EBD95-756C-459A-AA91-D696BDFEBE8C}"/>
    <cellStyle name="40% - Accent6 6 4 2 4" xfId="11692" xr:uid="{00000000-0005-0000-0000-000080520000}"/>
    <cellStyle name="40% - Accent6 6 4 2 4 2" xfId="35541" xr:uid="{311D93FB-416E-4B41-9CD0-C85CAE425F31}"/>
    <cellStyle name="40% - Accent6 6 4 2 5" xfId="19647" xr:uid="{00000000-0005-0000-0000-000081520000}"/>
    <cellStyle name="40% - Accent6 6 4 2 5 2" xfId="43479" xr:uid="{2B11E986-872E-4782-8B1F-5F6618B587BA}"/>
    <cellStyle name="40% - Accent6 6 4 2 6" xfId="27599" xr:uid="{B19046C8-2CFD-4085-938B-DFBC3D72F583}"/>
    <cellStyle name="40% - Accent6 6 4 2_Exh G" xfId="3390" xr:uid="{00000000-0005-0000-0000-000082520000}"/>
    <cellStyle name="40% - Accent6 6 4 3" xfId="4546" xr:uid="{00000000-0005-0000-0000-000083520000}"/>
    <cellStyle name="40% - Accent6 6 4 3 2" xfId="8138" xr:uid="{00000000-0005-0000-0000-000084520000}"/>
    <cellStyle name="40% - Accent6 6 4 3 2 2" xfId="16108" xr:uid="{00000000-0005-0000-0000-000085520000}"/>
    <cellStyle name="40% - Accent6 6 4 3 2 2 2" xfId="39950" xr:uid="{496C1135-E6E5-4096-95C2-7921035CE824}"/>
    <cellStyle name="40% - Accent6 6 4 3 2 3" xfId="24054" xr:uid="{00000000-0005-0000-0000-000086520000}"/>
    <cellStyle name="40% - Accent6 6 4 3 2 3 2" xfId="47886" xr:uid="{B69694E3-C16E-4044-B556-1187464731F4}"/>
    <cellStyle name="40% - Accent6 6 4 3 2 4" xfId="32009" xr:uid="{A05D9E42-24A9-4B25-9BF0-A7B3DF512396}"/>
    <cellStyle name="40% - Accent6 6 4 3 3" xfId="12570" xr:uid="{00000000-0005-0000-0000-000087520000}"/>
    <cellStyle name="40% - Accent6 6 4 3 3 2" xfId="36419" xr:uid="{7C74D53A-1A63-4A67-85D6-AC45BAA821EE}"/>
    <cellStyle name="40% - Accent6 6 4 3 4" xfId="20525" xr:uid="{00000000-0005-0000-0000-000088520000}"/>
    <cellStyle name="40% - Accent6 6 4 3 4 2" xfId="44357" xr:uid="{4986BFB2-6B27-4B8E-8979-6645FEB4E8D0}"/>
    <cellStyle name="40% - Accent6 6 4 3 5" xfId="28478" xr:uid="{23C05268-3AFC-4275-941E-C70A97DA604A}"/>
    <cellStyle name="40% - Accent6 6 4 4" xfId="6376" xr:uid="{00000000-0005-0000-0000-000089520000}"/>
    <cellStyle name="40% - Accent6 6 4 4 2" xfId="14350" xr:uid="{00000000-0005-0000-0000-00008A520000}"/>
    <cellStyle name="40% - Accent6 6 4 4 2 2" xfId="38192" xr:uid="{4A951FD7-3FFF-4009-8EB5-E2F0EDE4C59D}"/>
    <cellStyle name="40% - Accent6 6 4 4 3" xfId="22297" xr:uid="{00000000-0005-0000-0000-00008B520000}"/>
    <cellStyle name="40% - Accent6 6 4 4 3 2" xfId="46129" xr:uid="{546225AF-69E9-4B02-A521-1A4B7659EF61}"/>
    <cellStyle name="40% - Accent6 6 4 4 4" xfId="30251" xr:uid="{E2128103-AB2F-410B-B545-5AC93361CE73}"/>
    <cellStyle name="40% - Accent6 6 4 5" xfId="9918" xr:uid="{00000000-0005-0000-0000-00008C520000}"/>
    <cellStyle name="40% - Accent6 6 4 5 2" xfId="17876" xr:uid="{00000000-0005-0000-0000-00008D520000}"/>
    <cellStyle name="40% - Accent6 6 4 5 2 2" xfId="41716" xr:uid="{AD76DE82-C4BC-47CB-B8C8-E1F590D5099E}"/>
    <cellStyle name="40% - Accent6 6 4 5 3" xfId="25820" xr:uid="{00000000-0005-0000-0000-00008E520000}"/>
    <cellStyle name="40% - Accent6 6 4 5 3 2" xfId="49652" xr:uid="{FF048C67-9E0E-4CA6-8AE3-6C2B32A6CDAD}"/>
    <cellStyle name="40% - Accent6 6 4 5 4" xfId="33775" xr:uid="{4CD43B71-1E01-4FC7-B159-B2A008DDF283}"/>
    <cellStyle name="40% - Accent6 6 4 6" xfId="10814" xr:uid="{00000000-0005-0000-0000-00008F520000}"/>
    <cellStyle name="40% - Accent6 6 4 6 2" xfId="34663" xr:uid="{409F7511-0351-47B6-8FD7-3B8D1B2E72E2}"/>
    <cellStyle name="40% - Accent6 6 4 7" xfId="18769" xr:uid="{00000000-0005-0000-0000-000090520000}"/>
    <cellStyle name="40% - Accent6 6 4 7 2" xfId="42601" xr:uid="{39C1EC91-108C-42FE-A93E-D6A05A628B22}"/>
    <cellStyle name="40% - Accent6 6 4 8" xfId="26721" xr:uid="{EAF287BE-DF90-4BE9-BDCB-2BBBE79EF35A}"/>
    <cellStyle name="40% - Accent6 6 4_Exh G" xfId="3389" xr:uid="{00000000-0005-0000-0000-000091520000}"/>
    <cellStyle name="40% - Accent6 6 5" xfId="1644" xr:uid="{00000000-0005-0000-0000-000092520000}"/>
    <cellStyle name="40% - Accent6 6 5 2" xfId="5171" xr:uid="{00000000-0005-0000-0000-000093520000}"/>
    <cellStyle name="40% - Accent6 6 5 2 2" xfId="8762" xr:uid="{00000000-0005-0000-0000-000094520000}"/>
    <cellStyle name="40% - Accent6 6 5 2 2 2" xfId="16732" xr:uid="{00000000-0005-0000-0000-000095520000}"/>
    <cellStyle name="40% - Accent6 6 5 2 2 2 2" xfId="40574" xr:uid="{38384FA4-4D1F-4179-BAA9-1A653F2168F8}"/>
    <cellStyle name="40% - Accent6 6 5 2 2 3" xfId="24678" xr:uid="{00000000-0005-0000-0000-000096520000}"/>
    <cellStyle name="40% - Accent6 6 5 2 2 3 2" xfId="48510" xr:uid="{B91D17FB-3DE1-45ED-9603-64AED8E98259}"/>
    <cellStyle name="40% - Accent6 6 5 2 2 4" xfId="32633" xr:uid="{20FAC14E-73D1-4C8B-9C28-8A5398DE441D}"/>
    <cellStyle name="40% - Accent6 6 5 2 3" xfId="13194" xr:uid="{00000000-0005-0000-0000-000097520000}"/>
    <cellStyle name="40% - Accent6 6 5 2 3 2" xfId="37043" xr:uid="{A97B6DED-031F-46C0-9174-7C1A36F39A43}"/>
    <cellStyle name="40% - Accent6 6 5 2 4" xfId="21149" xr:uid="{00000000-0005-0000-0000-000098520000}"/>
    <cellStyle name="40% - Accent6 6 5 2 4 2" xfId="44981" xr:uid="{95B192E6-6137-403B-99FC-43AF5145AD80}"/>
    <cellStyle name="40% - Accent6 6 5 2 5" xfId="29102" xr:uid="{23E924BD-29E6-431C-A191-51BA6C871A5B}"/>
    <cellStyle name="40% - Accent6 6 5 3" xfId="7003" xr:uid="{00000000-0005-0000-0000-000099520000}"/>
    <cellStyle name="40% - Accent6 6 5 3 2" xfId="14974" xr:uid="{00000000-0005-0000-0000-00009A520000}"/>
    <cellStyle name="40% - Accent6 6 5 3 2 2" xfId="38816" xr:uid="{18FBE1C6-902A-418B-979A-405845E8CB31}"/>
    <cellStyle name="40% - Accent6 6 5 3 3" xfId="22921" xr:uid="{00000000-0005-0000-0000-00009B520000}"/>
    <cellStyle name="40% - Accent6 6 5 3 3 2" xfId="46753" xr:uid="{ACFB6C85-C57A-4F19-A9BC-50B84FF1F4CC}"/>
    <cellStyle name="40% - Accent6 6 5 3 4" xfId="30875" xr:uid="{E865A647-9848-4B24-8C28-8772A4FD9290}"/>
    <cellStyle name="40% - Accent6 6 5 4" xfId="11438" xr:uid="{00000000-0005-0000-0000-00009C520000}"/>
    <cellStyle name="40% - Accent6 6 5 4 2" xfId="35287" xr:uid="{6C6915E1-CA2B-4E38-905E-11215D6F2553}"/>
    <cellStyle name="40% - Accent6 6 5 5" xfId="19393" xr:uid="{00000000-0005-0000-0000-00009D520000}"/>
    <cellStyle name="40% - Accent6 6 5 5 2" xfId="43225" xr:uid="{229E196F-CCB5-4344-A58F-496BE8444841}"/>
    <cellStyle name="40% - Accent6 6 5 6" xfId="27345" xr:uid="{E12CC03D-26D0-4160-A13F-75CDF2B585B8}"/>
    <cellStyle name="40% - Accent6 6 5_Exh G" xfId="3391" xr:uid="{00000000-0005-0000-0000-00009E520000}"/>
    <cellStyle name="40% - Accent6 6 6" xfId="4292" xr:uid="{00000000-0005-0000-0000-00009F520000}"/>
    <cellStyle name="40% - Accent6 6 6 2" xfId="7884" xr:uid="{00000000-0005-0000-0000-0000A0520000}"/>
    <cellStyle name="40% - Accent6 6 6 2 2" xfId="15854" xr:uid="{00000000-0005-0000-0000-0000A1520000}"/>
    <cellStyle name="40% - Accent6 6 6 2 2 2" xfId="39696" xr:uid="{BE8D807B-5B30-469F-B251-775D7CE906EE}"/>
    <cellStyle name="40% - Accent6 6 6 2 3" xfId="23800" xr:uid="{00000000-0005-0000-0000-0000A2520000}"/>
    <cellStyle name="40% - Accent6 6 6 2 3 2" xfId="47632" xr:uid="{D6A23058-D9FC-4E64-B33E-449D003D91CA}"/>
    <cellStyle name="40% - Accent6 6 6 2 4" xfId="31755" xr:uid="{1A4703CA-C2B7-4376-A7B6-1634F00782AB}"/>
    <cellStyle name="40% - Accent6 6 6 3" xfId="12316" xr:uid="{00000000-0005-0000-0000-0000A3520000}"/>
    <cellStyle name="40% - Accent6 6 6 3 2" xfId="36165" xr:uid="{1E7BE054-80AA-45D9-B6D0-873ECB045BE9}"/>
    <cellStyle name="40% - Accent6 6 6 4" xfId="20271" xr:uid="{00000000-0005-0000-0000-0000A4520000}"/>
    <cellStyle name="40% - Accent6 6 6 4 2" xfId="44103" xr:uid="{38A6C5C7-13B7-4167-BE42-03A7220278E1}"/>
    <cellStyle name="40% - Accent6 6 6 5" xfId="28224" xr:uid="{A43C5D03-F37B-4797-9134-469A0C03AEA6}"/>
    <cellStyle name="40% - Accent6 6 7" xfId="6112" xr:uid="{00000000-0005-0000-0000-0000A5520000}"/>
    <cellStyle name="40% - Accent6 6 7 2" xfId="14095" xr:uid="{00000000-0005-0000-0000-0000A6520000}"/>
    <cellStyle name="40% - Accent6 6 7 2 2" xfId="37938" xr:uid="{0A941F70-F3DD-4998-81FB-90FA6783A34E}"/>
    <cellStyle name="40% - Accent6 6 7 3" xfId="22043" xr:uid="{00000000-0005-0000-0000-0000A7520000}"/>
    <cellStyle name="40% - Accent6 6 7 3 2" xfId="45875" xr:uid="{9E133B5F-C861-4889-ACF9-29B724B9851D}"/>
    <cellStyle name="40% - Accent6 6 7 4" xfId="29997" xr:uid="{33719CD8-FA54-4741-9380-75337CCC778D}"/>
    <cellStyle name="40% - Accent6 6 8" xfId="9664" xr:uid="{00000000-0005-0000-0000-0000A8520000}"/>
    <cellStyle name="40% - Accent6 6 8 2" xfId="17622" xr:uid="{00000000-0005-0000-0000-0000A9520000}"/>
    <cellStyle name="40% - Accent6 6 8 2 2" xfId="41462" xr:uid="{691EE2B5-1097-4FF5-84CE-98A32A97557D}"/>
    <cellStyle name="40% - Accent6 6 8 3" xfId="25566" xr:uid="{00000000-0005-0000-0000-0000AA520000}"/>
    <cellStyle name="40% - Accent6 6 8 3 2" xfId="49398" xr:uid="{25468608-12A0-44E2-B8C8-4D8153A22060}"/>
    <cellStyle name="40% - Accent6 6 8 4" xfId="33521" xr:uid="{BCC85719-FD52-4CEF-AE09-BC95B524D5D3}"/>
    <cellStyle name="40% - Accent6 6 9" xfId="10560" xr:uid="{00000000-0005-0000-0000-0000AB520000}"/>
    <cellStyle name="40% - Accent6 6 9 2" xfId="34409" xr:uid="{13FE85EC-5266-4EC3-8159-0603554368A5}"/>
    <cellStyle name="40% - Accent6 6_Exh G" xfId="3382" xr:uid="{00000000-0005-0000-0000-0000AC520000}"/>
    <cellStyle name="40% - Accent6 7" xfId="622" xr:uid="{00000000-0005-0000-0000-0000AD520000}"/>
    <cellStyle name="40% - Accent6 7 10" xfId="18519" xr:uid="{00000000-0005-0000-0000-0000AE520000}"/>
    <cellStyle name="40% - Accent6 7 10 2" xfId="42351" xr:uid="{4D248CB2-9EBF-4C7D-BCBA-4FD51DC97E91}"/>
    <cellStyle name="40% - Accent6 7 11" xfId="26471" xr:uid="{E8EB6987-1F15-47DA-989E-9C45600BE1D8}"/>
    <cellStyle name="40% - Accent6 7 2" xfId="623" xr:uid="{00000000-0005-0000-0000-0000AF520000}"/>
    <cellStyle name="40% - Accent6 7 2 2" xfId="624" xr:uid="{00000000-0005-0000-0000-0000B0520000}"/>
    <cellStyle name="40% - Accent6 7 2 2 2" xfId="1650" xr:uid="{00000000-0005-0000-0000-0000B1520000}"/>
    <cellStyle name="40% - Accent6 7 2 2 2 2" xfId="5177" xr:uid="{00000000-0005-0000-0000-0000B2520000}"/>
    <cellStyle name="40% - Accent6 7 2 2 2 2 2" xfId="8768" xr:uid="{00000000-0005-0000-0000-0000B3520000}"/>
    <cellStyle name="40% - Accent6 7 2 2 2 2 2 2" xfId="16738" xr:uid="{00000000-0005-0000-0000-0000B4520000}"/>
    <cellStyle name="40% - Accent6 7 2 2 2 2 2 2 2" xfId="40580" xr:uid="{401D4C7B-5AC7-4381-AE10-68420E1AF2F2}"/>
    <cellStyle name="40% - Accent6 7 2 2 2 2 2 3" xfId="24684" xr:uid="{00000000-0005-0000-0000-0000B5520000}"/>
    <cellStyle name="40% - Accent6 7 2 2 2 2 2 3 2" xfId="48516" xr:uid="{E7CF4023-C204-41DA-A0B3-EA496A2B9FFA}"/>
    <cellStyle name="40% - Accent6 7 2 2 2 2 2 4" xfId="32639" xr:uid="{9C883449-9AAF-4E4B-BBEA-D2498393F3A9}"/>
    <cellStyle name="40% - Accent6 7 2 2 2 2 3" xfId="13200" xr:uid="{00000000-0005-0000-0000-0000B6520000}"/>
    <cellStyle name="40% - Accent6 7 2 2 2 2 3 2" xfId="37049" xr:uid="{9C240C26-0DFA-4BB6-9DCF-C03F3A63B116}"/>
    <cellStyle name="40% - Accent6 7 2 2 2 2 4" xfId="21155" xr:uid="{00000000-0005-0000-0000-0000B7520000}"/>
    <cellStyle name="40% - Accent6 7 2 2 2 2 4 2" xfId="44987" xr:uid="{A2C066F7-40B1-4036-AA1E-1258841490FE}"/>
    <cellStyle name="40% - Accent6 7 2 2 2 2 5" xfId="29108" xr:uid="{7E1ECAEB-6D43-4BDB-8FAF-185654DAD315}"/>
    <cellStyle name="40% - Accent6 7 2 2 2 3" xfId="7009" xr:uid="{00000000-0005-0000-0000-0000B8520000}"/>
    <cellStyle name="40% - Accent6 7 2 2 2 3 2" xfId="14980" xr:uid="{00000000-0005-0000-0000-0000B9520000}"/>
    <cellStyle name="40% - Accent6 7 2 2 2 3 2 2" xfId="38822" xr:uid="{DA9AF116-CA54-4F7C-A977-11DA11C4E0F6}"/>
    <cellStyle name="40% - Accent6 7 2 2 2 3 3" xfId="22927" xr:uid="{00000000-0005-0000-0000-0000BA520000}"/>
    <cellStyle name="40% - Accent6 7 2 2 2 3 3 2" xfId="46759" xr:uid="{99701FFB-950F-475E-B19A-27003539D979}"/>
    <cellStyle name="40% - Accent6 7 2 2 2 3 4" xfId="30881" xr:uid="{E29BC28B-48BF-486D-A389-B3643C549011}"/>
    <cellStyle name="40% - Accent6 7 2 2 2 4" xfId="11444" xr:uid="{00000000-0005-0000-0000-0000BB520000}"/>
    <cellStyle name="40% - Accent6 7 2 2 2 4 2" xfId="35293" xr:uid="{7A5685CE-62B5-4307-A7BD-5BCEBC3BB228}"/>
    <cellStyle name="40% - Accent6 7 2 2 2 5" xfId="19399" xr:uid="{00000000-0005-0000-0000-0000BC520000}"/>
    <cellStyle name="40% - Accent6 7 2 2 2 5 2" xfId="43231" xr:uid="{7CC5435D-A528-475B-8F79-56DA628DC7D3}"/>
    <cellStyle name="40% - Accent6 7 2 2 2 6" xfId="27351" xr:uid="{F8716913-0102-4BB7-98F6-97AB07DD0837}"/>
    <cellStyle name="40% - Accent6 7 2 2 2_Exh G" xfId="3395" xr:uid="{00000000-0005-0000-0000-0000BD520000}"/>
    <cellStyle name="40% - Accent6 7 2 2 3" xfId="4298" xr:uid="{00000000-0005-0000-0000-0000BE520000}"/>
    <cellStyle name="40% - Accent6 7 2 2 3 2" xfId="7890" xr:uid="{00000000-0005-0000-0000-0000BF520000}"/>
    <cellStyle name="40% - Accent6 7 2 2 3 2 2" xfId="15860" xr:uid="{00000000-0005-0000-0000-0000C0520000}"/>
    <cellStyle name="40% - Accent6 7 2 2 3 2 2 2" xfId="39702" xr:uid="{24E08AC9-EB93-4553-84BF-2EDDC2A53285}"/>
    <cellStyle name="40% - Accent6 7 2 2 3 2 3" xfId="23806" xr:uid="{00000000-0005-0000-0000-0000C1520000}"/>
    <cellStyle name="40% - Accent6 7 2 2 3 2 3 2" xfId="47638" xr:uid="{3B1ED591-DAA9-4E66-A4D7-9DD2404AF301}"/>
    <cellStyle name="40% - Accent6 7 2 2 3 2 4" xfId="31761" xr:uid="{F56E655D-94DD-45D8-8FE1-D54B051493B3}"/>
    <cellStyle name="40% - Accent6 7 2 2 3 3" xfId="12322" xr:uid="{00000000-0005-0000-0000-0000C2520000}"/>
    <cellStyle name="40% - Accent6 7 2 2 3 3 2" xfId="36171" xr:uid="{8F1BF56C-8DEB-4ECC-BF89-FD5829A1C70B}"/>
    <cellStyle name="40% - Accent6 7 2 2 3 4" xfId="20277" xr:uid="{00000000-0005-0000-0000-0000C3520000}"/>
    <cellStyle name="40% - Accent6 7 2 2 3 4 2" xfId="44109" xr:uid="{46DDA9E2-5C9C-4AEA-B96C-8D814F43FE35}"/>
    <cellStyle name="40% - Accent6 7 2 2 3 5" xfId="28230" xr:uid="{80B31D67-DB66-4E3C-81B6-98A8E4CE6AF2}"/>
    <cellStyle name="40% - Accent6 7 2 2 4" xfId="6118" xr:uid="{00000000-0005-0000-0000-0000C4520000}"/>
    <cellStyle name="40% - Accent6 7 2 2 4 2" xfId="14101" xr:uid="{00000000-0005-0000-0000-0000C5520000}"/>
    <cellStyle name="40% - Accent6 7 2 2 4 2 2" xfId="37944" xr:uid="{05CBCAB1-3BE9-4A9F-8CE0-C8C207CE3A36}"/>
    <cellStyle name="40% - Accent6 7 2 2 4 3" xfId="22049" xr:uid="{00000000-0005-0000-0000-0000C6520000}"/>
    <cellStyle name="40% - Accent6 7 2 2 4 3 2" xfId="45881" xr:uid="{CFEAC9D1-13EF-4CBF-B875-16C34496724B}"/>
    <cellStyle name="40% - Accent6 7 2 2 4 4" xfId="30003" xr:uid="{C642579B-4A2C-4B99-B429-01DA3AA7A401}"/>
    <cellStyle name="40% - Accent6 7 2 2 5" xfId="9670" xr:uid="{00000000-0005-0000-0000-0000C7520000}"/>
    <cellStyle name="40% - Accent6 7 2 2 5 2" xfId="17628" xr:uid="{00000000-0005-0000-0000-0000C8520000}"/>
    <cellStyle name="40% - Accent6 7 2 2 5 2 2" xfId="41468" xr:uid="{5E775A26-ACED-4368-936C-CB3A607860F3}"/>
    <cellStyle name="40% - Accent6 7 2 2 5 3" xfId="25572" xr:uid="{00000000-0005-0000-0000-0000C9520000}"/>
    <cellStyle name="40% - Accent6 7 2 2 5 3 2" xfId="49404" xr:uid="{5EDBDDF5-43C4-4D53-81A0-4A0211BB5436}"/>
    <cellStyle name="40% - Accent6 7 2 2 5 4" xfId="33527" xr:uid="{F5FA72CE-FFC8-4618-9124-67AB0260EA29}"/>
    <cellStyle name="40% - Accent6 7 2 2 6" xfId="10566" xr:uid="{00000000-0005-0000-0000-0000CA520000}"/>
    <cellStyle name="40% - Accent6 7 2 2 6 2" xfId="34415" xr:uid="{058FA6DF-31DE-40A0-BDEF-8660B788B6C8}"/>
    <cellStyle name="40% - Accent6 7 2 2 7" xfId="18521" xr:uid="{00000000-0005-0000-0000-0000CB520000}"/>
    <cellStyle name="40% - Accent6 7 2 2 7 2" xfId="42353" xr:uid="{1EE9A87E-214C-4ADA-B4B5-A5C1F7B920D1}"/>
    <cellStyle name="40% - Accent6 7 2 2 8" xfId="26473" xr:uid="{9679DF56-8291-4984-A331-2B4036B71546}"/>
    <cellStyle name="40% - Accent6 7 2 2_Exh G" xfId="3394" xr:uid="{00000000-0005-0000-0000-0000CC520000}"/>
    <cellStyle name="40% - Accent6 7 2 3" xfId="1649" xr:uid="{00000000-0005-0000-0000-0000CD520000}"/>
    <cellStyle name="40% - Accent6 7 2 3 2" xfId="5176" xr:uid="{00000000-0005-0000-0000-0000CE520000}"/>
    <cellStyle name="40% - Accent6 7 2 3 2 2" xfId="8767" xr:uid="{00000000-0005-0000-0000-0000CF520000}"/>
    <cellStyle name="40% - Accent6 7 2 3 2 2 2" xfId="16737" xr:uid="{00000000-0005-0000-0000-0000D0520000}"/>
    <cellStyle name="40% - Accent6 7 2 3 2 2 2 2" xfId="40579" xr:uid="{CB11A3A9-10E7-4C89-8A9C-9F2912FE9D1D}"/>
    <cellStyle name="40% - Accent6 7 2 3 2 2 3" xfId="24683" xr:uid="{00000000-0005-0000-0000-0000D1520000}"/>
    <cellStyle name="40% - Accent6 7 2 3 2 2 3 2" xfId="48515" xr:uid="{BE766861-D668-4A10-B1B7-3A1C5B51CC77}"/>
    <cellStyle name="40% - Accent6 7 2 3 2 2 4" xfId="32638" xr:uid="{294D732A-4150-4103-BA41-96673A21B4F9}"/>
    <cellStyle name="40% - Accent6 7 2 3 2 3" xfId="13199" xr:uid="{00000000-0005-0000-0000-0000D2520000}"/>
    <cellStyle name="40% - Accent6 7 2 3 2 3 2" xfId="37048" xr:uid="{40016165-B208-42C9-8EA4-8FC0950578BF}"/>
    <cellStyle name="40% - Accent6 7 2 3 2 4" xfId="21154" xr:uid="{00000000-0005-0000-0000-0000D3520000}"/>
    <cellStyle name="40% - Accent6 7 2 3 2 4 2" xfId="44986" xr:uid="{5DB961CF-D7F4-4EEB-AF5B-D480A6D6EF81}"/>
    <cellStyle name="40% - Accent6 7 2 3 2 5" xfId="29107" xr:uid="{9B07247B-A486-43F2-85C5-BEF014EE6AAC}"/>
    <cellStyle name="40% - Accent6 7 2 3 3" xfId="7008" xr:uid="{00000000-0005-0000-0000-0000D4520000}"/>
    <cellStyle name="40% - Accent6 7 2 3 3 2" xfId="14979" xr:uid="{00000000-0005-0000-0000-0000D5520000}"/>
    <cellStyle name="40% - Accent6 7 2 3 3 2 2" xfId="38821" xr:uid="{01C9D880-262B-466A-8A9C-8272977BB438}"/>
    <cellStyle name="40% - Accent6 7 2 3 3 3" xfId="22926" xr:uid="{00000000-0005-0000-0000-0000D6520000}"/>
    <cellStyle name="40% - Accent6 7 2 3 3 3 2" xfId="46758" xr:uid="{F693EC24-1028-473C-B4F4-8D2328D0C8A5}"/>
    <cellStyle name="40% - Accent6 7 2 3 3 4" xfId="30880" xr:uid="{1E232974-4943-4313-B32A-0453EFAD87E6}"/>
    <cellStyle name="40% - Accent6 7 2 3 4" xfId="11443" xr:uid="{00000000-0005-0000-0000-0000D7520000}"/>
    <cellStyle name="40% - Accent6 7 2 3 4 2" xfId="35292" xr:uid="{933294FF-AA0A-46B6-8C35-1CBBA4C25943}"/>
    <cellStyle name="40% - Accent6 7 2 3 5" xfId="19398" xr:uid="{00000000-0005-0000-0000-0000D8520000}"/>
    <cellStyle name="40% - Accent6 7 2 3 5 2" xfId="43230" xr:uid="{CD3930BE-71A5-41E0-BB3E-2B3D39EA02A6}"/>
    <cellStyle name="40% - Accent6 7 2 3 6" xfId="27350" xr:uid="{1EBDC490-2EA4-4C8A-9239-DCBA40E04623}"/>
    <cellStyle name="40% - Accent6 7 2 3_Exh G" xfId="3396" xr:uid="{00000000-0005-0000-0000-0000D9520000}"/>
    <cellStyle name="40% - Accent6 7 2 4" xfId="4297" xr:uid="{00000000-0005-0000-0000-0000DA520000}"/>
    <cellStyle name="40% - Accent6 7 2 4 2" xfId="7889" xr:uid="{00000000-0005-0000-0000-0000DB520000}"/>
    <cellStyle name="40% - Accent6 7 2 4 2 2" xfId="15859" xr:uid="{00000000-0005-0000-0000-0000DC520000}"/>
    <cellStyle name="40% - Accent6 7 2 4 2 2 2" xfId="39701" xr:uid="{B5457F44-F70B-49D8-B6C2-68D851A6AE10}"/>
    <cellStyle name="40% - Accent6 7 2 4 2 3" xfId="23805" xr:uid="{00000000-0005-0000-0000-0000DD520000}"/>
    <cellStyle name="40% - Accent6 7 2 4 2 3 2" xfId="47637" xr:uid="{D47083DD-E96B-4258-A540-9BFD3B48AE11}"/>
    <cellStyle name="40% - Accent6 7 2 4 2 4" xfId="31760" xr:uid="{2F5F63AC-014D-44FF-98E0-3BE77433C21E}"/>
    <cellStyle name="40% - Accent6 7 2 4 3" xfId="12321" xr:uid="{00000000-0005-0000-0000-0000DE520000}"/>
    <cellStyle name="40% - Accent6 7 2 4 3 2" xfId="36170" xr:uid="{3AC6E39A-321E-4D98-BC65-50201E2C32CE}"/>
    <cellStyle name="40% - Accent6 7 2 4 4" xfId="20276" xr:uid="{00000000-0005-0000-0000-0000DF520000}"/>
    <cellStyle name="40% - Accent6 7 2 4 4 2" xfId="44108" xr:uid="{DF85237C-DE95-4307-B941-9A065B6709BB}"/>
    <cellStyle name="40% - Accent6 7 2 4 5" xfId="28229" xr:uid="{3784886C-E00D-429E-AC11-A5785F362134}"/>
    <cellStyle name="40% - Accent6 7 2 5" xfId="6117" xr:uid="{00000000-0005-0000-0000-0000E0520000}"/>
    <cellStyle name="40% - Accent6 7 2 5 2" xfId="14100" xr:uid="{00000000-0005-0000-0000-0000E1520000}"/>
    <cellStyle name="40% - Accent6 7 2 5 2 2" xfId="37943" xr:uid="{A5D93043-B096-4066-B05E-90A5771FD1B1}"/>
    <cellStyle name="40% - Accent6 7 2 5 3" xfId="22048" xr:uid="{00000000-0005-0000-0000-0000E2520000}"/>
    <cellStyle name="40% - Accent6 7 2 5 3 2" xfId="45880" xr:uid="{043C923C-83EC-48EC-88F9-947FCB8A01F4}"/>
    <cellStyle name="40% - Accent6 7 2 5 4" xfId="30002" xr:uid="{7BFD4888-11DC-44B6-BB83-4F8D5B836A96}"/>
    <cellStyle name="40% - Accent6 7 2 6" xfId="9669" xr:uid="{00000000-0005-0000-0000-0000E3520000}"/>
    <cellStyle name="40% - Accent6 7 2 6 2" xfId="17627" xr:uid="{00000000-0005-0000-0000-0000E4520000}"/>
    <cellStyle name="40% - Accent6 7 2 6 2 2" xfId="41467" xr:uid="{08036034-F9E0-47C6-BE9C-C53B0A623B29}"/>
    <cellStyle name="40% - Accent6 7 2 6 3" xfId="25571" xr:uid="{00000000-0005-0000-0000-0000E5520000}"/>
    <cellStyle name="40% - Accent6 7 2 6 3 2" xfId="49403" xr:uid="{679094EF-2F22-4449-A9C8-CCF2FFD9BE1E}"/>
    <cellStyle name="40% - Accent6 7 2 6 4" xfId="33526" xr:uid="{59B162A2-65CC-44B3-BAB8-B2415122F31F}"/>
    <cellStyle name="40% - Accent6 7 2 7" xfId="10565" xr:uid="{00000000-0005-0000-0000-0000E6520000}"/>
    <cellStyle name="40% - Accent6 7 2 7 2" xfId="34414" xr:uid="{A9BF1184-C681-435F-AA0C-BA79553D387E}"/>
    <cellStyle name="40% - Accent6 7 2 8" xfId="18520" xr:uid="{00000000-0005-0000-0000-0000E7520000}"/>
    <cellStyle name="40% - Accent6 7 2 8 2" xfId="42352" xr:uid="{D7FEFE1A-7447-46D3-B257-EA47C3CAEB11}"/>
    <cellStyle name="40% - Accent6 7 2 9" xfId="26472" xr:uid="{D7FD36D1-A6C6-492C-946A-FBE9870D502A}"/>
    <cellStyle name="40% - Accent6 7 2_Exh G" xfId="3393" xr:uid="{00000000-0005-0000-0000-0000E8520000}"/>
    <cellStyle name="40% - Accent6 7 3" xfId="625" xr:uid="{00000000-0005-0000-0000-0000E9520000}"/>
    <cellStyle name="40% - Accent6 7 3 2" xfId="1651" xr:uid="{00000000-0005-0000-0000-0000EA520000}"/>
    <cellStyle name="40% - Accent6 7 3 2 2" xfId="5178" xr:uid="{00000000-0005-0000-0000-0000EB520000}"/>
    <cellStyle name="40% - Accent6 7 3 2 2 2" xfId="8769" xr:uid="{00000000-0005-0000-0000-0000EC520000}"/>
    <cellStyle name="40% - Accent6 7 3 2 2 2 2" xfId="16739" xr:uid="{00000000-0005-0000-0000-0000ED520000}"/>
    <cellStyle name="40% - Accent6 7 3 2 2 2 2 2" xfId="40581" xr:uid="{4D9ADD71-F23F-4519-934D-F8233132FD01}"/>
    <cellStyle name="40% - Accent6 7 3 2 2 2 3" xfId="24685" xr:uid="{00000000-0005-0000-0000-0000EE520000}"/>
    <cellStyle name="40% - Accent6 7 3 2 2 2 3 2" xfId="48517" xr:uid="{CAE17EC5-6A51-472F-B3BE-6E7D4D0D46DA}"/>
    <cellStyle name="40% - Accent6 7 3 2 2 2 4" xfId="32640" xr:uid="{EDA88A5E-2BBB-49BB-9210-B6FFFB5C0B30}"/>
    <cellStyle name="40% - Accent6 7 3 2 2 3" xfId="13201" xr:uid="{00000000-0005-0000-0000-0000EF520000}"/>
    <cellStyle name="40% - Accent6 7 3 2 2 3 2" xfId="37050" xr:uid="{C7A12673-019E-46AF-BADC-C01A3D6F9187}"/>
    <cellStyle name="40% - Accent6 7 3 2 2 4" xfId="21156" xr:uid="{00000000-0005-0000-0000-0000F0520000}"/>
    <cellStyle name="40% - Accent6 7 3 2 2 4 2" xfId="44988" xr:uid="{F57887F7-1020-4A49-8AF1-41DDAFA66A27}"/>
    <cellStyle name="40% - Accent6 7 3 2 2 5" xfId="29109" xr:uid="{93A49C63-665B-43EB-8199-B2011E8D1F54}"/>
    <cellStyle name="40% - Accent6 7 3 2 3" xfId="7010" xr:uid="{00000000-0005-0000-0000-0000F1520000}"/>
    <cellStyle name="40% - Accent6 7 3 2 3 2" xfId="14981" xr:uid="{00000000-0005-0000-0000-0000F2520000}"/>
    <cellStyle name="40% - Accent6 7 3 2 3 2 2" xfId="38823" xr:uid="{09FDB7C2-0BB2-4454-BFB0-8A1CB72718ED}"/>
    <cellStyle name="40% - Accent6 7 3 2 3 3" xfId="22928" xr:uid="{00000000-0005-0000-0000-0000F3520000}"/>
    <cellStyle name="40% - Accent6 7 3 2 3 3 2" xfId="46760" xr:uid="{934FB91A-5086-48CE-8903-7E51C6D6916E}"/>
    <cellStyle name="40% - Accent6 7 3 2 3 4" xfId="30882" xr:uid="{0217C893-FFEF-4E0B-BA26-7474931056A2}"/>
    <cellStyle name="40% - Accent6 7 3 2 4" xfId="11445" xr:uid="{00000000-0005-0000-0000-0000F4520000}"/>
    <cellStyle name="40% - Accent6 7 3 2 4 2" xfId="35294" xr:uid="{2565C381-B7B4-4091-B195-7AB7E0F0D6D5}"/>
    <cellStyle name="40% - Accent6 7 3 2 5" xfId="19400" xr:uid="{00000000-0005-0000-0000-0000F5520000}"/>
    <cellStyle name="40% - Accent6 7 3 2 5 2" xfId="43232" xr:uid="{E47467C5-BB93-46C0-BAFC-2D9BA14F0E04}"/>
    <cellStyle name="40% - Accent6 7 3 2 6" xfId="27352" xr:uid="{9BDA7C22-9504-4236-A183-C787CD106EB4}"/>
    <cellStyle name="40% - Accent6 7 3 2_Exh G" xfId="3398" xr:uid="{00000000-0005-0000-0000-0000F6520000}"/>
    <cellStyle name="40% - Accent6 7 3 3" xfId="4299" xr:uid="{00000000-0005-0000-0000-0000F7520000}"/>
    <cellStyle name="40% - Accent6 7 3 3 2" xfId="7891" xr:uid="{00000000-0005-0000-0000-0000F8520000}"/>
    <cellStyle name="40% - Accent6 7 3 3 2 2" xfId="15861" xr:uid="{00000000-0005-0000-0000-0000F9520000}"/>
    <cellStyle name="40% - Accent6 7 3 3 2 2 2" xfId="39703" xr:uid="{B1F0FA3F-26AB-4A17-AA5B-9BB5CDE722FE}"/>
    <cellStyle name="40% - Accent6 7 3 3 2 3" xfId="23807" xr:uid="{00000000-0005-0000-0000-0000FA520000}"/>
    <cellStyle name="40% - Accent6 7 3 3 2 3 2" xfId="47639" xr:uid="{0DF253A0-750C-4490-89EC-CFD2E480B0E5}"/>
    <cellStyle name="40% - Accent6 7 3 3 2 4" xfId="31762" xr:uid="{C43C050F-FF53-4389-9C0E-1D6DFCF15AF7}"/>
    <cellStyle name="40% - Accent6 7 3 3 3" xfId="12323" xr:uid="{00000000-0005-0000-0000-0000FB520000}"/>
    <cellStyle name="40% - Accent6 7 3 3 3 2" xfId="36172" xr:uid="{7508CADE-42A6-4913-AA36-8AD5B66C47C4}"/>
    <cellStyle name="40% - Accent6 7 3 3 4" xfId="20278" xr:uid="{00000000-0005-0000-0000-0000FC520000}"/>
    <cellStyle name="40% - Accent6 7 3 3 4 2" xfId="44110" xr:uid="{0AB6D3BF-E219-4015-AA03-5F653966425D}"/>
    <cellStyle name="40% - Accent6 7 3 3 5" xfId="28231" xr:uid="{C1C4127D-D69C-4831-8F58-75FE2A149F5B}"/>
    <cellStyle name="40% - Accent6 7 3 4" xfId="6119" xr:uid="{00000000-0005-0000-0000-0000FD520000}"/>
    <cellStyle name="40% - Accent6 7 3 4 2" xfId="14102" xr:uid="{00000000-0005-0000-0000-0000FE520000}"/>
    <cellStyle name="40% - Accent6 7 3 4 2 2" xfId="37945" xr:uid="{1712B8AE-B335-4E21-A05E-A950FDCEF55A}"/>
    <cellStyle name="40% - Accent6 7 3 4 3" xfId="22050" xr:uid="{00000000-0005-0000-0000-0000FF520000}"/>
    <cellStyle name="40% - Accent6 7 3 4 3 2" xfId="45882" xr:uid="{07F60E94-CF62-408E-8B3D-2B162BD25587}"/>
    <cellStyle name="40% - Accent6 7 3 4 4" xfId="30004" xr:uid="{19960EAD-DD87-43B2-8EE8-D9A4A5DE13F2}"/>
    <cellStyle name="40% - Accent6 7 3 5" xfId="9671" xr:uid="{00000000-0005-0000-0000-000000530000}"/>
    <cellStyle name="40% - Accent6 7 3 5 2" xfId="17629" xr:uid="{00000000-0005-0000-0000-000001530000}"/>
    <cellStyle name="40% - Accent6 7 3 5 2 2" xfId="41469" xr:uid="{1C7D9D53-220A-4B3E-ADFE-5A9C1EDBC7C9}"/>
    <cellStyle name="40% - Accent6 7 3 5 3" xfId="25573" xr:uid="{00000000-0005-0000-0000-000002530000}"/>
    <cellStyle name="40% - Accent6 7 3 5 3 2" xfId="49405" xr:uid="{DA9EB19B-E782-403C-9470-36C07685C1F4}"/>
    <cellStyle name="40% - Accent6 7 3 5 4" xfId="33528" xr:uid="{61AF6BFA-24D4-435C-920A-9170032BB506}"/>
    <cellStyle name="40% - Accent6 7 3 6" xfId="10567" xr:uid="{00000000-0005-0000-0000-000003530000}"/>
    <cellStyle name="40% - Accent6 7 3 6 2" xfId="34416" xr:uid="{C5D03936-7BB5-45C2-B5A1-82291DD8F401}"/>
    <cellStyle name="40% - Accent6 7 3 7" xfId="18522" xr:uid="{00000000-0005-0000-0000-000004530000}"/>
    <cellStyle name="40% - Accent6 7 3 7 2" xfId="42354" xr:uid="{EBA46D7E-63D5-41AD-AF51-5B7714131E52}"/>
    <cellStyle name="40% - Accent6 7 3 8" xfId="26474" xr:uid="{866149C4-173C-4223-83F3-302AF65C9495}"/>
    <cellStyle name="40% - Accent6 7 3_Exh G" xfId="3397" xr:uid="{00000000-0005-0000-0000-000005530000}"/>
    <cellStyle name="40% - Accent6 7 4" xfId="1000" xr:uid="{00000000-0005-0000-0000-000006530000}"/>
    <cellStyle name="40% - Accent6 7 4 2" xfId="1909" xr:uid="{00000000-0005-0000-0000-000007530000}"/>
    <cellStyle name="40% - Accent6 7 4 2 2" xfId="5426" xr:uid="{00000000-0005-0000-0000-000008530000}"/>
    <cellStyle name="40% - Accent6 7 4 2 2 2" xfId="9017" xr:uid="{00000000-0005-0000-0000-000009530000}"/>
    <cellStyle name="40% - Accent6 7 4 2 2 2 2" xfId="16987" xr:uid="{00000000-0005-0000-0000-00000A530000}"/>
    <cellStyle name="40% - Accent6 7 4 2 2 2 2 2" xfId="40829" xr:uid="{36868620-F374-4F14-A4D0-2BAC46536A0C}"/>
    <cellStyle name="40% - Accent6 7 4 2 2 2 3" xfId="24933" xr:uid="{00000000-0005-0000-0000-00000B530000}"/>
    <cellStyle name="40% - Accent6 7 4 2 2 2 3 2" xfId="48765" xr:uid="{D27E3370-13F2-4125-A6FD-1BFE3F1D2773}"/>
    <cellStyle name="40% - Accent6 7 4 2 2 2 4" xfId="32888" xr:uid="{3F224E14-1608-4103-AB92-7291F5C5EB81}"/>
    <cellStyle name="40% - Accent6 7 4 2 2 3" xfId="13449" xr:uid="{00000000-0005-0000-0000-00000C530000}"/>
    <cellStyle name="40% - Accent6 7 4 2 2 3 2" xfId="37298" xr:uid="{7DECF6E1-DC6B-42D5-9D30-926D040BF7E0}"/>
    <cellStyle name="40% - Accent6 7 4 2 2 4" xfId="21404" xr:uid="{00000000-0005-0000-0000-00000D530000}"/>
    <cellStyle name="40% - Accent6 7 4 2 2 4 2" xfId="45236" xr:uid="{C16D3C54-07F4-41EF-98EF-7B4CD5F02445}"/>
    <cellStyle name="40% - Accent6 7 4 2 2 5" xfId="29357" xr:uid="{59E0A024-BD2E-47C5-8FC6-F562814639BF}"/>
    <cellStyle name="40% - Accent6 7 4 2 3" xfId="7258" xr:uid="{00000000-0005-0000-0000-00000E530000}"/>
    <cellStyle name="40% - Accent6 7 4 2 3 2" xfId="15229" xr:uid="{00000000-0005-0000-0000-00000F530000}"/>
    <cellStyle name="40% - Accent6 7 4 2 3 2 2" xfId="39071" xr:uid="{AE4982D9-4427-4E31-9237-AC1A83B7912A}"/>
    <cellStyle name="40% - Accent6 7 4 2 3 3" xfId="23176" xr:uid="{00000000-0005-0000-0000-000010530000}"/>
    <cellStyle name="40% - Accent6 7 4 2 3 3 2" xfId="47008" xr:uid="{BD745B8E-6CB3-4D41-8616-816AAC45CFE7}"/>
    <cellStyle name="40% - Accent6 7 4 2 3 4" xfId="31130" xr:uid="{BBF015E7-6AEA-4176-B2D5-8EC0730C7F09}"/>
    <cellStyle name="40% - Accent6 7 4 2 4" xfId="11693" xr:uid="{00000000-0005-0000-0000-000011530000}"/>
    <cellStyle name="40% - Accent6 7 4 2 4 2" xfId="35542" xr:uid="{80379948-D77B-49FC-AE83-E19F9E9DCEDE}"/>
    <cellStyle name="40% - Accent6 7 4 2 5" xfId="19648" xr:uid="{00000000-0005-0000-0000-000012530000}"/>
    <cellStyle name="40% - Accent6 7 4 2 5 2" xfId="43480" xr:uid="{D4A3EAFB-C268-4CAB-8258-A4BBDDBE632B}"/>
    <cellStyle name="40% - Accent6 7 4 2 6" xfId="27600" xr:uid="{6216B7C2-43AC-456C-A93E-4AEE0DC65187}"/>
    <cellStyle name="40% - Accent6 7 4 2_Exh G" xfId="3400" xr:uid="{00000000-0005-0000-0000-000013530000}"/>
    <cellStyle name="40% - Accent6 7 4 3" xfId="4547" xr:uid="{00000000-0005-0000-0000-000014530000}"/>
    <cellStyle name="40% - Accent6 7 4 3 2" xfId="8139" xr:uid="{00000000-0005-0000-0000-000015530000}"/>
    <cellStyle name="40% - Accent6 7 4 3 2 2" xfId="16109" xr:uid="{00000000-0005-0000-0000-000016530000}"/>
    <cellStyle name="40% - Accent6 7 4 3 2 2 2" xfId="39951" xr:uid="{20A8110E-2966-41EB-9414-5DC99911291A}"/>
    <cellStyle name="40% - Accent6 7 4 3 2 3" xfId="24055" xr:uid="{00000000-0005-0000-0000-000017530000}"/>
    <cellStyle name="40% - Accent6 7 4 3 2 3 2" xfId="47887" xr:uid="{934C2849-E329-4F1F-8EA0-319016702804}"/>
    <cellStyle name="40% - Accent6 7 4 3 2 4" xfId="32010" xr:uid="{F8C77F3E-9D98-423E-AF86-46D9221283BE}"/>
    <cellStyle name="40% - Accent6 7 4 3 3" xfId="12571" xr:uid="{00000000-0005-0000-0000-000018530000}"/>
    <cellStyle name="40% - Accent6 7 4 3 3 2" xfId="36420" xr:uid="{6534A2AD-C8F8-4A98-A80F-46FAEE2535EF}"/>
    <cellStyle name="40% - Accent6 7 4 3 4" xfId="20526" xr:uid="{00000000-0005-0000-0000-000019530000}"/>
    <cellStyle name="40% - Accent6 7 4 3 4 2" xfId="44358" xr:uid="{E49D161B-3387-4924-8707-8D96C714976C}"/>
    <cellStyle name="40% - Accent6 7 4 3 5" xfId="28479" xr:uid="{D698DB48-3AE9-49F4-A3FF-B89E435EE440}"/>
    <cellStyle name="40% - Accent6 7 4 4" xfId="6377" xr:uid="{00000000-0005-0000-0000-00001A530000}"/>
    <cellStyle name="40% - Accent6 7 4 4 2" xfId="14351" xr:uid="{00000000-0005-0000-0000-00001B530000}"/>
    <cellStyle name="40% - Accent6 7 4 4 2 2" xfId="38193" xr:uid="{1F0E3C86-6D8A-427E-8E33-87867F5B70A2}"/>
    <cellStyle name="40% - Accent6 7 4 4 3" xfId="22298" xr:uid="{00000000-0005-0000-0000-00001C530000}"/>
    <cellStyle name="40% - Accent6 7 4 4 3 2" xfId="46130" xr:uid="{70F582FA-F8EE-45C0-8C79-2810C7DFCA63}"/>
    <cellStyle name="40% - Accent6 7 4 4 4" xfId="30252" xr:uid="{438EDE3D-9480-4DF2-9493-C565F527D94C}"/>
    <cellStyle name="40% - Accent6 7 4 5" xfId="9919" xr:uid="{00000000-0005-0000-0000-00001D530000}"/>
    <cellStyle name="40% - Accent6 7 4 5 2" xfId="17877" xr:uid="{00000000-0005-0000-0000-00001E530000}"/>
    <cellStyle name="40% - Accent6 7 4 5 2 2" xfId="41717" xr:uid="{4570D772-0F40-4D40-85B9-1B4D2F0861D3}"/>
    <cellStyle name="40% - Accent6 7 4 5 3" xfId="25821" xr:uid="{00000000-0005-0000-0000-00001F530000}"/>
    <cellStyle name="40% - Accent6 7 4 5 3 2" xfId="49653" xr:uid="{3ACF9BB8-34AE-4F8B-A620-2B7AF07C27B0}"/>
    <cellStyle name="40% - Accent6 7 4 5 4" xfId="33776" xr:uid="{F7D68496-1475-4244-BEBE-79AF5166411D}"/>
    <cellStyle name="40% - Accent6 7 4 6" xfId="10815" xr:uid="{00000000-0005-0000-0000-000020530000}"/>
    <cellStyle name="40% - Accent6 7 4 6 2" xfId="34664" xr:uid="{64AE426F-FE3A-4C76-935C-EEBC1D386B16}"/>
    <cellStyle name="40% - Accent6 7 4 7" xfId="18770" xr:uid="{00000000-0005-0000-0000-000021530000}"/>
    <cellStyle name="40% - Accent6 7 4 7 2" xfId="42602" xr:uid="{19EEC012-C78B-43B1-B0E7-A84AE64E3A1C}"/>
    <cellStyle name="40% - Accent6 7 4 8" xfId="26722" xr:uid="{5C707D8E-CD6F-420E-A401-68BDF7A6427A}"/>
    <cellStyle name="40% - Accent6 7 4_Exh G" xfId="3399" xr:uid="{00000000-0005-0000-0000-000022530000}"/>
    <cellStyle name="40% - Accent6 7 5" xfId="1648" xr:uid="{00000000-0005-0000-0000-000023530000}"/>
    <cellStyle name="40% - Accent6 7 5 2" xfId="5175" xr:uid="{00000000-0005-0000-0000-000024530000}"/>
    <cellStyle name="40% - Accent6 7 5 2 2" xfId="8766" xr:uid="{00000000-0005-0000-0000-000025530000}"/>
    <cellStyle name="40% - Accent6 7 5 2 2 2" xfId="16736" xr:uid="{00000000-0005-0000-0000-000026530000}"/>
    <cellStyle name="40% - Accent6 7 5 2 2 2 2" xfId="40578" xr:uid="{6D621D88-2F48-4A2A-A951-1FFC3F0192B0}"/>
    <cellStyle name="40% - Accent6 7 5 2 2 3" xfId="24682" xr:uid="{00000000-0005-0000-0000-000027530000}"/>
    <cellStyle name="40% - Accent6 7 5 2 2 3 2" xfId="48514" xr:uid="{D628F54F-2FFC-4A25-A270-8A8083E24884}"/>
    <cellStyle name="40% - Accent6 7 5 2 2 4" xfId="32637" xr:uid="{851E5AE1-84C9-49C2-B7AB-89E2F030F66B}"/>
    <cellStyle name="40% - Accent6 7 5 2 3" xfId="13198" xr:uid="{00000000-0005-0000-0000-000028530000}"/>
    <cellStyle name="40% - Accent6 7 5 2 3 2" xfId="37047" xr:uid="{1FB1060B-7390-483C-BBD0-10AFE6FF7D21}"/>
    <cellStyle name="40% - Accent6 7 5 2 4" xfId="21153" xr:uid="{00000000-0005-0000-0000-000029530000}"/>
    <cellStyle name="40% - Accent6 7 5 2 4 2" xfId="44985" xr:uid="{D251FF5F-2B43-4E2E-8E59-F1200E4D166C}"/>
    <cellStyle name="40% - Accent6 7 5 2 5" xfId="29106" xr:uid="{970677A8-EB4F-4B83-AFC6-2081368BC488}"/>
    <cellStyle name="40% - Accent6 7 5 3" xfId="7007" xr:uid="{00000000-0005-0000-0000-00002A530000}"/>
    <cellStyle name="40% - Accent6 7 5 3 2" xfId="14978" xr:uid="{00000000-0005-0000-0000-00002B530000}"/>
    <cellStyle name="40% - Accent6 7 5 3 2 2" xfId="38820" xr:uid="{9D3F2F2D-61F6-46A2-82A1-A55CC78D2C06}"/>
    <cellStyle name="40% - Accent6 7 5 3 3" xfId="22925" xr:uid="{00000000-0005-0000-0000-00002C530000}"/>
    <cellStyle name="40% - Accent6 7 5 3 3 2" xfId="46757" xr:uid="{DDE1FDE1-5228-4087-B698-3B8DCE37418E}"/>
    <cellStyle name="40% - Accent6 7 5 3 4" xfId="30879" xr:uid="{A038F19C-90D3-4FD5-835B-36783A09F65C}"/>
    <cellStyle name="40% - Accent6 7 5 4" xfId="11442" xr:uid="{00000000-0005-0000-0000-00002D530000}"/>
    <cellStyle name="40% - Accent6 7 5 4 2" xfId="35291" xr:uid="{01792BE7-3261-4BED-B6FB-9BB6A1E9E0F1}"/>
    <cellStyle name="40% - Accent6 7 5 5" xfId="19397" xr:uid="{00000000-0005-0000-0000-00002E530000}"/>
    <cellStyle name="40% - Accent6 7 5 5 2" xfId="43229" xr:uid="{2F8116EF-CEF3-4A8C-8906-A7F61584E896}"/>
    <cellStyle name="40% - Accent6 7 5 6" xfId="27349" xr:uid="{FCCA90E8-A854-42BF-9E40-53A5601B96C5}"/>
    <cellStyle name="40% - Accent6 7 5_Exh G" xfId="3401" xr:uid="{00000000-0005-0000-0000-00002F530000}"/>
    <cellStyle name="40% - Accent6 7 6" xfId="4296" xr:uid="{00000000-0005-0000-0000-000030530000}"/>
    <cellStyle name="40% - Accent6 7 6 2" xfId="7888" xr:uid="{00000000-0005-0000-0000-000031530000}"/>
    <cellStyle name="40% - Accent6 7 6 2 2" xfId="15858" xr:uid="{00000000-0005-0000-0000-000032530000}"/>
    <cellStyle name="40% - Accent6 7 6 2 2 2" xfId="39700" xr:uid="{EBD6DE1B-C27B-43A2-8F42-96E66C336F96}"/>
    <cellStyle name="40% - Accent6 7 6 2 3" xfId="23804" xr:uid="{00000000-0005-0000-0000-000033530000}"/>
    <cellStyle name="40% - Accent6 7 6 2 3 2" xfId="47636" xr:uid="{8EC56B5E-DC8D-4BA9-95B1-67F6D9DB6774}"/>
    <cellStyle name="40% - Accent6 7 6 2 4" xfId="31759" xr:uid="{31BDC57F-A42D-49B8-B766-2B0955518AF9}"/>
    <cellStyle name="40% - Accent6 7 6 3" xfId="12320" xr:uid="{00000000-0005-0000-0000-000034530000}"/>
    <cellStyle name="40% - Accent6 7 6 3 2" xfId="36169" xr:uid="{6354A85F-29A2-4C9E-AB7A-BF5EDA78D6DF}"/>
    <cellStyle name="40% - Accent6 7 6 4" xfId="20275" xr:uid="{00000000-0005-0000-0000-000035530000}"/>
    <cellStyle name="40% - Accent6 7 6 4 2" xfId="44107" xr:uid="{BCD5DB45-2963-4D82-85C8-2B21019F4563}"/>
    <cellStyle name="40% - Accent6 7 6 5" xfId="28228" xr:uid="{06E63139-1DBA-4ABF-8790-620AF48D7D46}"/>
    <cellStyle name="40% - Accent6 7 7" xfId="6116" xr:uid="{00000000-0005-0000-0000-000036530000}"/>
    <cellStyle name="40% - Accent6 7 7 2" xfId="14099" xr:uid="{00000000-0005-0000-0000-000037530000}"/>
    <cellStyle name="40% - Accent6 7 7 2 2" xfId="37942" xr:uid="{3B9305E6-83A7-4E39-A7F6-8474B7B72618}"/>
    <cellStyle name="40% - Accent6 7 7 3" xfId="22047" xr:uid="{00000000-0005-0000-0000-000038530000}"/>
    <cellStyle name="40% - Accent6 7 7 3 2" xfId="45879" xr:uid="{A12C89CB-1B54-4644-B49B-552A18A8941B}"/>
    <cellStyle name="40% - Accent6 7 7 4" xfId="30001" xr:uid="{E27BF25C-FAC1-4277-AC03-FD3B70F58373}"/>
    <cellStyle name="40% - Accent6 7 8" xfId="9668" xr:uid="{00000000-0005-0000-0000-000039530000}"/>
    <cellStyle name="40% - Accent6 7 8 2" xfId="17626" xr:uid="{00000000-0005-0000-0000-00003A530000}"/>
    <cellStyle name="40% - Accent6 7 8 2 2" xfId="41466" xr:uid="{0F41E8D6-297E-4FBC-A191-0BAFF058B125}"/>
    <cellStyle name="40% - Accent6 7 8 3" xfId="25570" xr:uid="{00000000-0005-0000-0000-00003B530000}"/>
    <cellStyle name="40% - Accent6 7 8 3 2" xfId="49402" xr:uid="{B4634153-DECE-4036-889F-B802E4156BC4}"/>
    <cellStyle name="40% - Accent6 7 8 4" xfId="33525" xr:uid="{3FAF89EC-02B0-4623-B24A-FDC52BA50A77}"/>
    <cellStyle name="40% - Accent6 7 9" xfId="10564" xr:uid="{00000000-0005-0000-0000-00003C530000}"/>
    <cellStyle name="40% - Accent6 7 9 2" xfId="34413" xr:uid="{237FA92A-6452-446C-A6DC-224D5A74104A}"/>
    <cellStyle name="40% - Accent6 7_Exh G" xfId="3392" xr:uid="{00000000-0005-0000-0000-00003D530000}"/>
    <cellStyle name="40% - Accent6 8" xfId="626" xr:uid="{00000000-0005-0000-0000-00003E530000}"/>
    <cellStyle name="40% - Accent6 8 10" xfId="18523" xr:uid="{00000000-0005-0000-0000-00003F530000}"/>
    <cellStyle name="40% - Accent6 8 10 2" xfId="42355" xr:uid="{091449C7-0F0C-4E83-88B7-A52C47D957E7}"/>
    <cellStyle name="40% - Accent6 8 11" xfId="26475" xr:uid="{886BE811-F256-4988-8DE3-263E776DE2DE}"/>
    <cellStyle name="40% - Accent6 8 2" xfId="627" xr:uid="{00000000-0005-0000-0000-000040530000}"/>
    <cellStyle name="40% - Accent6 8 2 2" xfId="628" xr:uid="{00000000-0005-0000-0000-000041530000}"/>
    <cellStyle name="40% - Accent6 8 2 2 2" xfId="1654" xr:uid="{00000000-0005-0000-0000-000042530000}"/>
    <cellStyle name="40% - Accent6 8 2 2 2 2" xfId="5181" xr:uid="{00000000-0005-0000-0000-000043530000}"/>
    <cellStyle name="40% - Accent6 8 2 2 2 2 2" xfId="8772" xr:uid="{00000000-0005-0000-0000-000044530000}"/>
    <cellStyle name="40% - Accent6 8 2 2 2 2 2 2" xfId="16742" xr:uid="{00000000-0005-0000-0000-000045530000}"/>
    <cellStyle name="40% - Accent6 8 2 2 2 2 2 2 2" xfId="40584" xr:uid="{F312D4EC-A88E-4AAA-8EAE-5ACAC2F2BD43}"/>
    <cellStyle name="40% - Accent6 8 2 2 2 2 2 3" xfId="24688" xr:uid="{00000000-0005-0000-0000-000046530000}"/>
    <cellStyle name="40% - Accent6 8 2 2 2 2 2 3 2" xfId="48520" xr:uid="{C9501EA4-450C-4A49-A62C-6A4E9BD7E82A}"/>
    <cellStyle name="40% - Accent6 8 2 2 2 2 2 4" xfId="32643" xr:uid="{AFDA603C-D15B-4851-B619-CAAA1D0323FA}"/>
    <cellStyle name="40% - Accent6 8 2 2 2 2 3" xfId="13204" xr:uid="{00000000-0005-0000-0000-000047530000}"/>
    <cellStyle name="40% - Accent6 8 2 2 2 2 3 2" xfId="37053" xr:uid="{C5B9D1FC-8E19-4EDF-9700-0949109DEB97}"/>
    <cellStyle name="40% - Accent6 8 2 2 2 2 4" xfId="21159" xr:uid="{00000000-0005-0000-0000-000048530000}"/>
    <cellStyle name="40% - Accent6 8 2 2 2 2 4 2" xfId="44991" xr:uid="{8613F7AC-409D-4C09-9303-187803634667}"/>
    <cellStyle name="40% - Accent6 8 2 2 2 2 5" xfId="29112" xr:uid="{E905B5A9-3A3F-436B-A836-33638ACD39A6}"/>
    <cellStyle name="40% - Accent6 8 2 2 2 3" xfId="7013" xr:uid="{00000000-0005-0000-0000-000049530000}"/>
    <cellStyle name="40% - Accent6 8 2 2 2 3 2" xfId="14984" xr:uid="{00000000-0005-0000-0000-00004A530000}"/>
    <cellStyle name="40% - Accent6 8 2 2 2 3 2 2" xfId="38826" xr:uid="{DA4A02B4-6A1B-4F92-A14E-1F152DD5402C}"/>
    <cellStyle name="40% - Accent6 8 2 2 2 3 3" xfId="22931" xr:uid="{00000000-0005-0000-0000-00004B530000}"/>
    <cellStyle name="40% - Accent6 8 2 2 2 3 3 2" xfId="46763" xr:uid="{7C9076EC-1B41-4DC0-B5E5-D5E51AA55B17}"/>
    <cellStyle name="40% - Accent6 8 2 2 2 3 4" xfId="30885" xr:uid="{6A100320-77B3-4946-A22B-C271DDB35707}"/>
    <cellStyle name="40% - Accent6 8 2 2 2 4" xfId="11448" xr:uid="{00000000-0005-0000-0000-00004C530000}"/>
    <cellStyle name="40% - Accent6 8 2 2 2 4 2" xfId="35297" xr:uid="{2CD02E3A-8E93-4C85-8693-1301248F5534}"/>
    <cellStyle name="40% - Accent6 8 2 2 2 5" xfId="19403" xr:uid="{00000000-0005-0000-0000-00004D530000}"/>
    <cellStyle name="40% - Accent6 8 2 2 2 5 2" xfId="43235" xr:uid="{E8E0F6E1-00B6-4C15-964C-80D99E6ADC44}"/>
    <cellStyle name="40% - Accent6 8 2 2 2 6" xfId="27355" xr:uid="{7DD78881-9E80-4FA7-878C-064993220DE8}"/>
    <cellStyle name="40% - Accent6 8 2 2 2_Exh G" xfId="3405" xr:uid="{00000000-0005-0000-0000-00004E530000}"/>
    <cellStyle name="40% - Accent6 8 2 2 3" xfId="4302" xr:uid="{00000000-0005-0000-0000-00004F530000}"/>
    <cellStyle name="40% - Accent6 8 2 2 3 2" xfId="7894" xr:uid="{00000000-0005-0000-0000-000050530000}"/>
    <cellStyle name="40% - Accent6 8 2 2 3 2 2" xfId="15864" xr:uid="{00000000-0005-0000-0000-000051530000}"/>
    <cellStyle name="40% - Accent6 8 2 2 3 2 2 2" xfId="39706" xr:uid="{650F9D69-AE87-4ABE-B341-AE6F9F72E13B}"/>
    <cellStyle name="40% - Accent6 8 2 2 3 2 3" xfId="23810" xr:uid="{00000000-0005-0000-0000-000052530000}"/>
    <cellStyle name="40% - Accent6 8 2 2 3 2 3 2" xfId="47642" xr:uid="{8DA3723B-60B9-41E2-85D8-92903CCFD935}"/>
    <cellStyle name="40% - Accent6 8 2 2 3 2 4" xfId="31765" xr:uid="{7A111855-83BB-4204-8AE9-A269586DC4AE}"/>
    <cellStyle name="40% - Accent6 8 2 2 3 3" xfId="12326" xr:uid="{00000000-0005-0000-0000-000053530000}"/>
    <cellStyle name="40% - Accent6 8 2 2 3 3 2" xfId="36175" xr:uid="{C87E2A0B-88F2-4F7B-84BE-799F87D3196A}"/>
    <cellStyle name="40% - Accent6 8 2 2 3 4" xfId="20281" xr:uid="{00000000-0005-0000-0000-000054530000}"/>
    <cellStyle name="40% - Accent6 8 2 2 3 4 2" xfId="44113" xr:uid="{B29F3BFD-5B54-48B2-B3CB-74F71B4E359A}"/>
    <cellStyle name="40% - Accent6 8 2 2 3 5" xfId="28234" xr:uid="{1A0DBC36-24D9-4F56-A73E-B8523B377EA7}"/>
    <cellStyle name="40% - Accent6 8 2 2 4" xfId="6122" xr:uid="{00000000-0005-0000-0000-000055530000}"/>
    <cellStyle name="40% - Accent6 8 2 2 4 2" xfId="14105" xr:uid="{00000000-0005-0000-0000-000056530000}"/>
    <cellStyle name="40% - Accent6 8 2 2 4 2 2" xfId="37948" xr:uid="{B9CF8A29-87C0-46FC-905F-698B0EDE0383}"/>
    <cellStyle name="40% - Accent6 8 2 2 4 3" xfId="22053" xr:uid="{00000000-0005-0000-0000-000057530000}"/>
    <cellStyle name="40% - Accent6 8 2 2 4 3 2" xfId="45885" xr:uid="{0DDC1775-5A29-404C-BC9A-E7B5012B097A}"/>
    <cellStyle name="40% - Accent6 8 2 2 4 4" xfId="30007" xr:uid="{20817223-2A50-425C-AD55-15DE448FEC3C}"/>
    <cellStyle name="40% - Accent6 8 2 2 5" xfId="9674" xr:uid="{00000000-0005-0000-0000-000058530000}"/>
    <cellStyle name="40% - Accent6 8 2 2 5 2" xfId="17632" xr:uid="{00000000-0005-0000-0000-000059530000}"/>
    <cellStyle name="40% - Accent6 8 2 2 5 2 2" xfId="41472" xr:uid="{5CE3D41C-A514-4653-9580-CE84323DCED8}"/>
    <cellStyle name="40% - Accent6 8 2 2 5 3" xfId="25576" xr:uid="{00000000-0005-0000-0000-00005A530000}"/>
    <cellStyle name="40% - Accent6 8 2 2 5 3 2" xfId="49408" xr:uid="{59DE80DC-C785-4DEC-9613-5ED243DC56D1}"/>
    <cellStyle name="40% - Accent6 8 2 2 5 4" xfId="33531" xr:uid="{E1052FA5-A8E8-47A8-BDD8-A2DD125F5CF4}"/>
    <cellStyle name="40% - Accent6 8 2 2 6" xfId="10570" xr:uid="{00000000-0005-0000-0000-00005B530000}"/>
    <cellStyle name="40% - Accent6 8 2 2 6 2" xfId="34419" xr:uid="{E0773725-5AA2-46DC-88BE-D1312DA5DB58}"/>
    <cellStyle name="40% - Accent6 8 2 2 7" xfId="18525" xr:uid="{00000000-0005-0000-0000-00005C530000}"/>
    <cellStyle name="40% - Accent6 8 2 2 7 2" xfId="42357" xr:uid="{24200212-A585-4A0A-BE88-5A43A4ADE65B}"/>
    <cellStyle name="40% - Accent6 8 2 2 8" xfId="26477" xr:uid="{795755D9-60A5-4079-BBA5-B2FB3B46DA27}"/>
    <cellStyle name="40% - Accent6 8 2 2_Exh G" xfId="3404" xr:uid="{00000000-0005-0000-0000-00005D530000}"/>
    <cellStyle name="40% - Accent6 8 2 3" xfId="1653" xr:uid="{00000000-0005-0000-0000-00005E530000}"/>
    <cellStyle name="40% - Accent6 8 2 3 2" xfId="5180" xr:uid="{00000000-0005-0000-0000-00005F530000}"/>
    <cellStyle name="40% - Accent6 8 2 3 2 2" xfId="8771" xr:uid="{00000000-0005-0000-0000-000060530000}"/>
    <cellStyle name="40% - Accent6 8 2 3 2 2 2" xfId="16741" xr:uid="{00000000-0005-0000-0000-000061530000}"/>
    <cellStyle name="40% - Accent6 8 2 3 2 2 2 2" xfId="40583" xr:uid="{EFF57F98-4380-4A57-9BED-E7708563559B}"/>
    <cellStyle name="40% - Accent6 8 2 3 2 2 3" xfId="24687" xr:uid="{00000000-0005-0000-0000-000062530000}"/>
    <cellStyle name="40% - Accent6 8 2 3 2 2 3 2" xfId="48519" xr:uid="{C999205F-5015-407F-98B2-1897F052205C}"/>
    <cellStyle name="40% - Accent6 8 2 3 2 2 4" xfId="32642" xr:uid="{4B1C0A0C-580F-4B71-A0A6-383D14D85B33}"/>
    <cellStyle name="40% - Accent6 8 2 3 2 3" xfId="13203" xr:uid="{00000000-0005-0000-0000-000063530000}"/>
    <cellStyle name="40% - Accent6 8 2 3 2 3 2" xfId="37052" xr:uid="{D378BF39-052D-455A-8942-0F07F9DC92F8}"/>
    <cellStyle name="40% - Accent6 8 2 3 2 4" xfId="21158" xr:uid="{00000000-0005-0000-0000-000064530000}"/>
    <cellStyle name="40% - Accent6 8 2 3 2 4 2" xfId="44990" xr:uid="{4E7D3B1F-D552-4F6E-9619-3A5A4D78CBA5}"/>
    <cellStyle name="40% - Accent6 8 2 3 2 5" xfId="29111" xr:uid="{4B846FB9-4D6F-4982-8F0E-42CEC0DBF828}"/>
    <cellStyle name="40% - Accent6 8 2 3 3" xfId="7012" xr:uid="{00000000-0005-0000-0000-000065530000}"/>
    <cellStyle name="40% - Accent6 8 2 3 3 2" xfId="14983" xr:uid="{00000000-0005-0000-0000-000066530000}"/>
    <cellStyle name="40% - Accent6 8 2 3 3 2 2" xfId="38825" xr:uid="{8018BCAE-E042-4301-A049-407E3A9375D1}"/>
    <cellStyle name="40% - Accent6 8 2 3 3 3" xfId="22930" xr:uid="{00000000-0005-0000-0000-000067530000}"/>
    <cellStyle name="40% - Accent6 8 2 3 3 3 2" xfId="46762" xr:uid="{507FB522-273C-4BA7-9504-42DADCE40EC1}"/>
    <cellStyle name="40% - Accent6 8 2 3 3 4" xfId="30884" xr:uid="{20FF835D-9300-4D65-95DD-76E621A59CB0}"/>
    <cellStyle name="40% - Accent6 8 2 3 4" xfId="11447" xr:uid="{00000000-0005-0000-0000-000068530000}"/>
    <cellStyle name="40% - Accent6 8 2 3 4 2" xfId="35296" xr:uid="{2ED505B1-4A81-44F4-B7E3-F0A4AB926518}"/>
    <cellStyle name="40% - Accent6 8 2 3 5" xfId="19402" xr:uid="{00000000-0005-0000-0000-000069530000}"/>
    <cellStyle name="40% - Accent6 8 2 3 5 2" xfId="43234" xr:uid="{6D86ABE0-D19B-4699-91ED-13E757F71F1C}"/>
    <cellStyle name="40% - Accent6 8 2 3 6" xfId="27354" xr:uid="{ACD0771B-A8E9-4C25-A366-445116E9E496}"/>
    <cellStyle name="40% - Accent6 8 2 3_Exh G" xfId="3406" xr:uid="{00000000-0005-0000-0000-00006A530000}"/>
    <cellStyle name="40% - Accent6 8 2 4" xfId="4301" xr:uid="{00000000-0005-0000-0000-00006B530000}"/>
    <cellStyle name="40% - Accent6 8 2 4 2" xfId="7893" xr:uid="{00000000-0005-0000-0000-00006C530000}"/>
    <cellStyle name="40% - Accent6 8 2 4 2 2" xfId="15863" xr:uid="{00000000-0005-0000-0000-00006D530000}"/>
    <cellStyle name="40% - Accent6 8 2 4 2 2 2" xfId="39705" xr:uid="{1229996E-10C1-4648-A1A6-6757EB925336}"/>
    <cellStyle name="40% - Accent6 8 2 4 2 3" xfId="23809" xr:uid="{00000000-0005-0000-0000-00006E530000}"/>
    <cellStyle name="40% - Accent6 8 2 4 2 3 2" xfId="47641" xr:uid="{FF2E7091-99FA-40A8-B4B5-80F6158B2EDC}"/>
    <cellStyle name="40% - Accent6 8 2 4 2 4" xfId="31764" xr:uid="{FD09CE3C-30EA-41F9-984B-63062118771E}"/>
    <cellStyle name="40% - Accent6 8 2 4 3" xfId="12325" xr:uid="{00000000-0005-0000-0000-00006F530000}"/>
    <cellStyle name="40% - Accent6 8 2 4 3 2" xfId="36174" xr:uid="{C09AE707-3547-4D09-87BA-B7209D5D2ABF}"/>
    <cellStyle name="40% - Accent6 8 2 4 4" xfId="20280" xr:uid="{00000000-0005-0000-0000-000070530000}"/>
    <cellStyle name="40% - Accent6 8 2 4 4 2" xfId="44112" xr:uid="{07465E25-D42D-452C-BCCC-03430142D5F9}"/>
    <cellStyle name="40% - Accent6 8 2 4 5" xfId="28233" xr:uid="{4F698F21-E2E7-4BB1-9AFD-3D9104CED768}"/>
    <cellStyle name="40% - Accent6 8 2 5" xfId="6121" xr:uid="{00000000-0005-0000-0000-000071530000}"/>
    <cellStyle name="40% - Accent6 8 2 5 2" xfId="14104" xr:uid="{00000000-0005-0000-0000-000072530000}"/>
    <cellStyle name="40% - Accent6 8 2 5 2 2" xfId="37947" xr:uid="{41099B4A-97DE-4777-A6C5-F05192259C63}"/>
    <cellStyle name="40% - Accent6 8 2 5 3" xfId="22052" xr:uid="{00000000-0005-0000-0000-000073530000}"/>
    <cellStyle name="40% - Accent6 8 2 5 3 2" xfId="45884" xr:uid="{C8FA4A17-F304-4FBF-A006-27FC42F78391}"/>
    <cellStyle name="40% - Accent6 8 2 5 4" xfId="30006" xr:uid="{D68076E6-1C9F-4ED7-8C40-772094C34114}"/>
    <cellStyle name="40% - Accent6 8 2 6" xfId="9673" xr:uid="{00000000-0005-0000-0000-000074530000}"/>
    <cellStyle name="40% - Accent6 8 2 6 2" xfId="17631" xr:uid="{00000000-0005-0000-0000-000075530000}"/>
    <cellStyle name="40% - Accent6 8 2 6 2 2" xfId="41471" xr:uid="{4FC7CF2B-0159-44B6-963F-E71EB4542939}"/>
    <cellStyle name="40% - Accent6 8 2 6 3" xfId="25575" xr:uid="{00000000-0005-0000-0000-000076530000}"/>
    <cellStyle name="40% - Accent6 8 2 6 3 2" xfId="49407" xr:uid="{3BBED040-811F-4185-A118-A3A69A326F36}"/>
    <cellStyle name="40% - Accent6 8 2 6 4" xfId="33530" xr:uid="{0B33392D-D9E1-42F5-BCD5-BE33C152A435}"/>
    <cellStyle name="40% - Accent6 8 2 7" xfId="10569" xr:uid="{00000000-0005-0000-0000-000077530000}"/>
    <cellStyle name="40% - Accent6 8 2 7 2" xfId="34418" xr:uid="{DEF65C53-C226-47AF-ABD8-5EB52785FF62}"/>
    <cellStyle name="40% - Accent6 8 2 8" xfId="18524" xr:uid="{00000000-0005-0000-0000-000078530000}"/>
    <cellStyle name="40% - Accent6 8 2 8 2" xfId="42356" xr:uid="{9429A578-6164-411C-B43F-0ED317E4D27A}"/>
    <cellStyle name="40% - Accent6 8 2 9" xfId="26476" xr:uid="{EAB2596E-99EC-4702-A8F5-59282F1DFB8A}"/>
    <cellStyle name="40% - Accent6 8 2_Exh G" xfId="3403" xr:uid="{00000000-0005-0000-0000-000079530000}"/>
    <cellStyle name="40% - Accent6 8 3" xfId="629" xr:uid="{00000000-0005-0000-0000-00007A530000}"/>
    <cellStyle name="40% - Accent6 8 3 2" xfId="1655" xr:uid="{00000000-0005-0000-0000-00007B530000}"/>
    <cellStyle name="40% - Accent6 8 3 2 2" xfId="5182" xr:uid="{00000000-0005-0000-0000-00007C530000}"/>
    <cellStyle name="40% - Accent6 8 3 2 2 2" xfId="8773" xr:uid="{00000000-0005-0000-0000-00007D530000}"/>
    <cellStyle name="40% - Accent6 8 3 2 2 2 2" xfId="16743" xr:uid="{00000000-0005-0000-0000-00007E530000}"/>
    <cellStyle name="40% - Accent6 8 3 2 2 2 2 2" xfId="40585" xr:uid="{E99032C9-3433-4B68-9EF1-86315B8882B0}"/>
    <cellStyle name="40% - Accent6 8 3 2 2 2 3" xfId="24689" xr:uid="{00000000-0005-0000-0000-00007F530000}"/>
    <cellStyle name="40% - Accent6 8 3 2 2 2 3 2" xfId="48521" xr:uid="{F5B93F02-D2DF-42D8-A470-D662CAEEC097}"/>
    <cellStyle name="40% - Accent6 8 3 2 2 2 4" xfId="32644" xr:uid="{69143113-C345-4E7C-B6B4-B17EFFC1990B}"/>
    <cellStyle name="40% - Accent6 8 3 2 2 3" xfId="13205" xr:uid="{00000000-0005-0000-0000-000080530000}"/>
    <cellStyle name="40% - Accent6 8 3 2 2 3 2" xfId="37054" xr:uid="{3198FF04-80A2-44A8-AF04-3C613B0498F0}"/>
    <cellStyle name="40% - Accent6 8 3 2 2 4" xfId="21160" xr:uid="{00000000-0005-0000-0000-000081530000}"/>
    <cellStyle name="40% - Accent6 8 3 2 2 4 2" xfId="44992" xr:uid="{F5FC1FCE-1718-415D-8D27-A0B4A7CDFF69}"/>
    <cellStyle name="40% - Accent6 8 3 2 2 5" xfId="29113" xr:uid="{8075EBF2-3372-4779-B3E6-2111DEAB9BB7}"/>
    <cellStyle name="40% - Accent6 8 3 2 3" xfId="7014" xr:uid="{00000000-0005-0000-0000-000082530000}"/>
    <cellStyle name="40% - Accent6 8 3 2 3 2" xfId="14985" xr:uid="{00000000-0005-0000-0000-000083530000}"/>
    <cellStyle name="40% - Accent6 8 3 2 3 2 2" xfId="38827" xr:uid="{342505E9-C378-4549-BC70-40446B77C5AF}"/>
    <cellStyle name="40% - Accent6 8 3 2 3 3" xfId="22932" xr:uid="{00000000-0005-0000-0000-000084530000}"/>
    <cellStyle name="40% - Accent6 8 3 2 3 3 2" xfId="46764" xr:uid="{ADCDCC0F-E5A9-4C98-82B4-5A3D62C33313}"/>
    <cellStyle name="40% - Accent6 8 3 2 3 4" xfId="30886" xr:uid="{E60B2D23-1A14-436A-AE13-607A646E7D1C}"/>
    <cellStyle name="40% - Accent6 8 3 2 4" xfId="11449" xr:uid="{00000000-0005-0000-0000-000085530000}"/>
    <cellStyle name="40% - Accent6 8 3 2 4 2" xfId="35298" xr:uid="{F24DA323-7A80-433F-8B2F-D9FB582923C7}"/>
    <cellStyle name="40% - Accent6 8 3 2 5" xfId="19404" xr:uid="{00000000-0005-0000-0000-000086530000}"/>
    <cellStyle name="40% - Accent6 8 3 2 5 2" xfId="43236" xr:uid="{BE73F528-7E21-4629-9BAF-3C141C06D6BF}"/>
    <cellStyle name="40% - Accent6 8 3 2 6" xfId="27356" xr:uid="{B1361897-2732-46C5-A63D-1A4B9ED704C7}"/>
    <cellStyle name="40% - Accent6 8 3 2_Exh G" xfId="3408" xr:uid="{00000000-0005-0000-0000-000087530000}"/>
    <cellStyle name="40% - Accent6 8 3 3" xfId="4303" xr:uid="{00000000-0005-0000-0000-000088530000}"/>
    <cellStyle name="40% - Accent6 8 3 3 2" xfId="7895" xr:uid="{00000000-0005-0000-0000-000089530000}"/>
    <cellStyle name="40% - Accent6 8 3 3 2 2" xfId="15865" xr:uid="{00000000-0005-0000-0000-00008A530000}"/>
    <cellStyle name="40% - Accent6 8 3 3 2 2 2" xfId="39707" xr:uid="{6DC60885-0BC0-44F7-80DE-0258CF34E00F}"/>
    <cellStyle name="40% - Accent6 8 3 3 2 3" xfId="23811" xr:uid="{00000000-0005-0000-0000-00008B530000}"/>
    <cellStyle name="40% - Accent6 8 3 3 2 3 2" xfId="47643" xr:uid="{6A22A789-925F-45E9-936F-444994FF2650}"/>
    <cellStyle name="40% - Accent6 8 3 3 2 4" xfId="31766" xr:uid="{0964F6B1-C799-4FC2-8465-3D1C933C3672}"/>
    <cellStyle name="40% - Accent6 8 3 3 3" xfId="12327" xr:uid="{00000000-0005-0000-0000-00008C530000}"/>
    <cellStyle name="40% - Accent6 8 3 3 3 2" xfId="36176" xr:uid="{46B4D6B8-AD07-4AEF-A23F-03EDEE124550}"/>
    <cellStyle name="40% - Accent6 8 3 3 4" xfId="20282" xr:uid="{00000000-0005-0000-0000-00008D530000}"/>
    <cellStyle name="40% - Accent6 8 3 3 4 2" xfId="44114" xr:uid="{6ED40FE3-1F31-4953-8977-823C1AC09A0A}"/>
    <cellStyle name="40% - Accent6 8 3 3 5" xfId="28235" xr:uid="{C03CBA47-8228-406E-AFAB-28CA955B64F1}"/>
    <cellStyle name="40% - Accent6 8 3 4" xfId="6123" xr:uid="{00000000-0005-0000-0000-00008E530000}"/>
    <cellStyle name="40% - Accent6 8 3 4 2" xfId="14106" xr:uid="{00000000-0005-0000-0000-00008F530000}"/>
    <cellStyle name="40% - Accent6 8 3 4 2 2" xfId="37949" xr:uid="{455E0D02-AA46-460E-835B-613DFDD5DF1D}"/>
    <cellStyle name="40% - Accent6 8 3 4 3" xfId="22054" xr:uid="{00000000-0005-0000-0000-000090530000}"/>
    <cellStyle name="40% - Accent6 8 3 4 3 2" xfId="45886" xr:uid="{6989C29E-42D5-48C7-8D16-3CCD4E1387DA}"/>
    <cellStyle name="40% - Accent6 8 3 4 4" xfId="30008" xr:uid="{D1B1B797-B9B7-41C0-B0A5-A82A6DB1F3F6}"/>
    <cellStyle name="40% - Accent6 8 3 5" xfId="9675" xr:uid="{00000000-0005-0000-0000-000091530000}"/>
    <cellStyle name="40% - Accent6 8 3 5 2" xfId="17633" xr:uid="{00000000-0005-0000-0000-000092530000}"/>
    <cellStyle name="40% - Accent6 8 3 5 2 2" xfId="41473" xr:uid="{5C015A74-9870-425C-AEF5-DD0901D073D2}"/>
    <cellStyle name="40% - Accent6 8 3 5 3" xfId="25577" xr:uid="{00000000-0005-0000-0000-000093530000}"/>
    <cellStyle name="40% - Accent6 8 3 5 3 2" xfId="49409" xr:uid="{D7451EDE-B5AC-4AC4-B238-D3D017A58A98}"/>
    <cellStyle name="40% - Accent6 8 3 5 4" xfId="33532" xr:uid="{D529ED2B-D18A-4BCD-A6FA-493249FE158D}"/>
    <cellStyle name="40% - Accent6 8 3 6" xfId="10571" xr:uid="{00000000-0005-0000-0000-000094530000}"/>
    <cellStyle name="40% - Accent6 8 3 6 2" xfId="34420" xr:uid="{CBA9A93E-3D55-4927-BD81-009C4F3491B7}"/>
    <cellStyle name="40% - Accent6 8 3 7" xfId="18526" xr:uid="{00000000-0005-0000-0000-000095530000}"/>
    <cellStyle name="40% - Accent6 8 3 7 2" xfId="42358" xr:uid="{2E181C0F-D60F-429D-A576-0B936D1F9497}"/>
    <cellStyle name="40% - Accent6 8 3 8" xfId="26478" xr:uid="{A11C952D-A951-486B-91F2-7BE59B84C296}"/>
    <cellStyle name="40% - Accent6 8 3_Exh G" xfId="3407" xr:uid="{00000000-0005-0000-0000-000096530000}"/>
    <cellStyle name="40% - Accent6 8 4" xfId="1001" xr:uid="{00000000-0005-0000-0000-000097530000}"/>
    <cellStyle name="40% - Accent6 8 4 2" xfId="1910" xr:uid="{00000000-0005-0000-0000-000098530000}"/>
    <cellStyle name="40% - Accent6 8 4 2 2" xfId="5427" xr:uid="{00000000-0005-0000-0000-000099530000}"/>
    <cellStyle name="40% - Accent6 8 4 2 2 2" xfId="9018" xr:uid="{00000000-0005-0000-0000-00009A530000}"/>
    <cellStyle name="40% - Accent6 8 4 2 2 2 2" xfId="16988" xr:uid="{00000000-0005-0000-0000-00009B530000}"/>
    <cellStyle name="40% - Accent6 8 4 2 2 2 2 2" xfId="40830" xr:uid="{665E97BB-A197-4713-A314-B338B4052BEE}"/>
    <cellStyle name="40% - Accent6 8 4 2 2 2 3" xfId="24934" xr:uid="{00000000-0005-0000-0000-00009C530000}"/>
    <cellStyle name="40% - Accent6 8 4 2 2 2 3 2" xfId="48766" xr:uid="{431E24AA-15B3-462D-8958-361F7296C969}"/>
    <cellStyle name="40% - Accent6 8 4 2 2 2 4" xfId="32889" xr:uid="{907D6CF7-5477-46BB-B917-5B97ECEF454A}"/>
    <cellStyle name="40% - Accent6 8 4 2 2 3" xfId="13450" xr:uid="{00000000-0005-0000-0000-00009D530000}"/>
    <cellStyle name="40% - Accent6 8 4 2 2 3 2" xfId="37299" xr:uid="{DFAB198C-FC8D-4504-91EA-D5B8EA131BB2}"/>
    <cellStyle name="40% - Accent6 8 4 2 2 4" xfId="21405" xr:uid="{00000000-0005-0000-0000-00009E530000}"/>
    <cellStyle name="40% - Accent6 8 4 2 2 4 2" xfId="45237" xr:uid="{62FA47BF-BC18-4951-B409-8113D9D4D338}"/>
    <cellStyle name="40% - Accent6 8 4 2 2 5" xfId="29358" xr:uid="{9A1E7B90-64E6-444A-BA4A-F192C68A93B9}"/>
    <cellStyle name="40% - Accent6 8 4 2 3" xfId="7259" xr:uid="{00000000-0005-0000-0000-00009F530000}"/>
    <cellStyle name="40% - Accent6 8 4 2 3 2" xfId="15230" xr:uid="{00000000-0005-0000-0000-0000A0530000}"/>
    <cellStyle name="40% - Accent6 8 4 2 3 2 2" xfId="39072" xr:uid="{58B82B55-961C-433A-AD58-DCF1E0F04933}"/>
    <cellStyle name="40% - Accent6 8 4 2 3 3" xfId="23177" xr:uid="{00000000-0005-0000-0000-0000A1530000}"/>
    <cellStyle name="40% - Accent6 8 4 2 3 3 2" xfId="47009" xr:uid="{A0CFABC1-11C6-4D9D-98B6-8A26698D6867}"/>
    <cellStyle name="40% - Accent6 8 4 2 3 4" xfId="31131" xr:uid="{2194888E-9B4B-4CCD-9412-411876D0C7BE}"/>
    <cellStyle name="40% - Accent6 8 4 2 4" xfId="11694" xr:uid="{00000000-0005-0000-0000-0000A2530000}"/>
    <cellStyle name="40% - Accent6 8 4 2 4 2" xfId="35543" xr:uid="{2FADA401-D463-4E69-820A-1BBE6CF4FCC7}"/>
    <cellStyle name="40% - Accent6 8 4 2 5" xfId="19649" xr:uid="{00000000-0005-0000-0000-0000A3530000}"/>
    <cellStyle name="40% - Accent6 8 4 2 5 2" xfId="43481" xr:uid="{25973D6B-5C74-4CD1-BD8A-092D3181344C}"/>
    <cellStyle name="40% - Accent6 8 4 2 6" xfId="27601" xr:uid="{AC9EF199-451B-40EC-8125-5F0738AFFA19}"/>
    <cellStyle name="40% - Accent6 8 4 2_Exh G" xfId="3410" xr:uid="{00000000-0005-0000-0000-0000A4530000}"/>
    <cellStyle name="40% - Accent6 8 4 3" xfId="4548" xr:uid="{00000000-0005-0000-0000-0000A5530000}"/>
    <cellStyle name="40% - Accent6 8 4 3 2" xfId="8140" xr:uid="{00000000-0005-0000-0000-0000A6530000}"/>
    <cellStyle name="40% - Accent6 8 4 3 2 2" xfId="16110" xr:uid="{00000000-0005-0000-0000-0000A7530000}"/>
    <cellStyle name="40% - Accent6 8 4 3 2 2 2" xfId="39952" xr:uid="{9084BE5B-65CA-4CCC-A771-963FA27F100D}"/>
    <cellStyle name="40% - Accent6 8 4 3 2 3" xfId="24056" xr:uid="{00000000-0005-0000-0000-0000A8530000}"/>
    <cellStyle name="40% - Accent6 8 4 3 2 3 2" xfId="47888" xr:uid="{BE8790AA-2F1D-4805-ACA1-2E59F08C3D81}"/>
    <cellStyle name="40% - Accent6 8 4 3 2 4" xfId="32011" xr:uid="{0448FDC6-08E7-42D6-8EE4-1BEF609027DA}"/>
    <cellStyle name="40% - Accent6 8 4 3 3" xfId="12572" xr:uid="{00000000-0005-0000-0000-0000A9530000}"/>
    <cellStyle name="40% - Accent6 8 4 3 3 2" xfId="36421" xr:uid="{F87E9831-60E2-4AF9-8DD2-37272C9EE2AB}"/>
    <cellStyle name="40% - Accent6 8 4 3 4" xfId="20527" xr:uid="{00000000-0005-0000-0000-0000AA530000}"/>
    <cellStyle name="40% - Accent6 8 4 3 4 2" xfId="44359" xr:uid="{75751B56-FDFB-4ED1-899E-4A7BEAB2AE65}"/>
    <cellStyle name="40% - Accent6 8 4 3 5" xfId="28480" xr:uid="{F8E88D4F-E35F-41C0-B81F-F759C7D56291}"/>
    <cellStyle name="40% - Accent6 8 4 4" xfId="6378" xr:uid="{00000000-0005-0000-0000-0000AB530000}"/>
    <cellStyle name="40% - Accent6 8 4 4 2" xfId="14352" xr:uid="{00000000-0005-0000-0000-0000AC530000}"/>
    <cellStyle name="40% - Accent6 8 4 4 2 2" xfId="38194" xr:uid="{87790CAB-1A76-408F-A6C8-2584F1DE9E15}"/>
    <cellStyle name="40% - Accent6 8 4 4 3" xfId="22299" xr:uid="{00000000-0005-0000-0000-0000AD530000}"/>
    <cellStyle name="40% - Accent6 8 4 4 3 2" xfId="46131" xr:uid="{CC36D2A2-5BFB-4438-B954-93C0104C0A05}"/>
    <cellStyle name="40% - Accent6 8 4 4 4" xfId="30253" xr:uid="{2002A22D-3FA7-49A4-A501-C7AED9BB2DB9}"/>
    <cellStyle name="40% - Accent6 8 4 5" xfId="9920" xr:uid="{00000000-0005-0000-0000-0000AE530000}"/>
    <cellStyle name="40% - Accent6 8 4 5 2" xfId="17878" xr:uid="{00000000-0005-0000-0000-0000AF530000}"/>
    <cellStyle name="40% - Accent6 8 4 5 2 2" xfId="41718" xr:uid="{1721CC37-16BC-495B-A72B-AADC700ED5C5}"/>
    <cellStyle name="40% - Accent6 8 4 5 3" xfId="25822" xr:uid="{00000000-0005-0000-0000-0000B0530000}"/>
    <cellStyle name="40% - Accent6 8 4 5 3 2" xfId="49654" xr:uid="{7FA0A75B-FCF8-48D9-AF1E-E530E918DFA6}"/>
    <cellStyle name="40% - Accent6 8 4 5 4" xfId="33777" xr:uid="{067EEFCF-D3E2-47F5-BA15-C16C07B02D3E}"/>
    <cellStyle name="40% - Accent6 8 4 6" xfId="10816" xr:uid="{00000000-0005-0000-0000-0000B1530000}"/>
    <cellStyle name="40% - Accent6 8 4 6 2" xfId="34665" xr:uid="{61D9DAE1-6B19-499F-B14B-1AFF3424D2C8}"/>
    <cellStyle name="40% - Accent6 8 4 7" xfId="18771" xr:uid="{00000000-0005-0000-0000-0000B2530000}"/>
    <cellStyle name="40% - Accent6 8 4 7 2" xfId="42603" xr:uid="{0EF0A4A6-BD57-4F73-A9EE-8E80C3A1D3CD}"/>
    <cellStyle name="40% - Accent6 8 4 8" xfId="26723" xr:uid="{2F820DB0-FEC1-40C2-9A22-FF91BA55655E}"/>
    <cellStyle name="40% - Accent6 8 4_Exh G" xfId="3409" xr:uid="{00000000-0005-0000-0000-0000B3530000}"/>
    <cellStyle name="40% - Accent6 8 5" xfId="1652" xr:uid="{00000000-0005-0000-0000-0000B4530000}"/>
    <cellStyle name="40% - Accent6 8 5 2" xfId="5179" xr:uid="{00000000-0005-0000-0000-0000B5530000}"/>
    <cellStyle name="40% - Accent6 8 5 2 2" xfId="8770" xr:uid="{00000000-0005-0000-0000-0000B6530000}"/>
    <cellStyle name="40% - Accent6 8 5 2 2 2" xfId="16740" xr:uid="{00000000-0005-0000-0000-0000B7530000}"/>
    <cellStyle name="40% - Accent6 8 5 2 2 2 2" xfId="40582" xr:uid="{F245D009-9A28-4532-9A5A-E0703FCCD422}"/>
    <cellStyle name="40% - Accent6 8 5 2 2 3" xfId="24686" xr:uid="{00000000-0005-0000-0000-0000B8530000}"/>
    <cellStyle name="40% - Accent6 8 5 2 2 3 2" xfId="48518" xr:uid="{CFC7B5FC-E8BA-4BBB-BCD5-832373231B2D}"/>
    <cellStyle name="40% - Accent6 8 5 2 2 4" xfId="32641" xr:uid="{2B1E70E3-0738-4D21-907F-3D52DCB49E53}"/>
    <cellStyle name="40% - Accent6 8 5 2 3" xfId="13202" xr:uid="{00000000-0005-0000-0000-0000B9530000}"/>
    <cellStyle name="40% - Accent6 8 5 2 3 2" xfId="37051" xr:uid="{17E906D1-C9AA-4187-A705-BE6B3F88641F}"/>
    <cellStyle name="40% - Accent6 8 5 2 4" xfId="21157" xr:uid="{00000000-0005-0000-0000-0000BA530000}"/>
    <cellStyle name="40% - Accent6 8 5 2 4 2" xfId="44989" xr:uid="{F549A411-8DBB-49C2-B314-FD7FC22AA721}"/>
    <cellStyle name="40% - Accent6 8 5 2 5" xfId="29110" xr:uid="{B2ECDF2A-B77D-41B7-A90C-99ABF753653A}"/>
    <cellStyle name="40% - Accent6 8 5 3" xfId="7011" xr:uid="{00000000-0005-0000-0000-0000BB530000}"/>
    <cellStyle name="40% - Accent6 8 5 3 2" xfId="14982" xr:uid="{00000000-0005-0000-0000-0000BC530000}"/>
    <cellStyle name="40% - Accent6 8 5 3 2 2" xfId="38824" xr:uid="{6293DAFE-E083-45AD-8644-89B22B037100}"/>
    <cellStyle name="40% - Accent6 8 5 3 3" xfId="22929" xr:uid="{00000000-0005-0000-0000-0000BD530000}"/>
    <cellStyle name="40% - Accent6 8 5 3 3 2" xfId="46761" xr:uid="{52C6B5FE-8CD2-4C0E-AB20-2E983B458ED0}"/>
    <cellStyle name="40% - Accent6 8 5 3 4" xfId="30883" xr:uid="{BB883871-7E33-49AB-A5C2-737837ABCB77}"/>
    <cellStyle name="40% - Accent6 8 5 4" xfId="11446" xr:uid="{00000000-0005-0000-0000-0000BE530000}"/>
    <cellStyle name="40% - Accent6 8 5 4 2" xfId="35295" xr:uid="{490D3BCA-42A7-4607-9453-6C5631B153AB}"/>
    <cellStyle name="40% - Accent6 8 5 5" xfId="19401" xr:uid="{00000000-0005-0000-0000-0000BF530000}"/>
    <cellStyle name="40% - Accent6 8 5 5 2" xfId="43233" xr:uid="{19B4CF13-D76C-497E-9FA0-E1217822CDAC}"/>
    <cellStyle name="40% - Accent6 8 5 6" xfId="27353" xr:uid="{4899B4A1-91DB-4550-BC70-5023C1808496}"/>
    <cellStyle name="40% - Accent6 8 5_Exh G" xfId="3411" xr:uid="{00000000-0005-0000-0000-0000C0530000}"/>
    <cellStyle name="40% - Accent6 8 6" xfId="4300" xr:uid="{00000000-0005-0000-0000-0000C1530000}"/>
    <cellStyle name="40% - Accent6 8 6 2" xfId="7892" xr:uid="{00000000-0005-0000-0000-0000C2530000}"/>
    <cellStyle name="40% - Accent6 8 6 2 2" xfId="15862" xr:uid="{00000000-0005-0000-0000-0000C3530000}"/>
    <cellStyle name="40% - Accent6 8 6 2 2 2" xfId="39704" xr:uid="{D680F7B4-B1E7-4C0C-BFE0-0CF06733BD37}"/>
    <cellStyle name="40% - Accent6 8 6 2 3" xfId="23808" xr:uid="{00000000-0005-0000-0000-0000C4530000}"/>
    <cellStyle name="40% - Accent6 8 6 2 3 2" xfId="47640" xr:uid="{B480056B-F200-4B96-8597-32F91D782523}"/>
    <cellStyle name="40% - Accent6 8 6 2 4" xfId="31763" xr:uid="{FBBF7714-1A69-4657-862A-124BC04D9117}"/>
    <cellStyle name="40% - Accent6 8 6 3" xfId="12324" xr:uid="{00000000-0005-0000-0000-0000C5530000}"/>
    <cellStyle name="40% - Accent6 8 6 3 2" xfId="36173" xr:uid="{8732DA62-EDF3-489C-9BF7-96F5BA69D327}"/>
    <cellStyle name="40% - Accent6 8 6 4" xfId="20279" xr:uid="{00000000-0005-0000-0000-0000C6530000}"/>
    <cellStyle name="40% - Accent6 8 6 4 2" xfId="44111" xr:uid="{D9A18A03-2DB5-4EA0-ABCF-A5DF9296756F}"/>
    <cellStyle name="40% - Accent6 8 6 5" xfId="28232" xr:uid="{0B279F3B-D1C4-4ECA-BA24-0DA498FB6BE8}"/>
    <cellStyle name="40% - Accent6 8 7" xfId="6120" xr:uid="{00000000-0005-0000-0000-0000C7530000}"/>
    <cellStyle name="40% - Accent6 8 7 2" xfId="14103" xr:uid="{00000000-0005-0000-0000-0000C8530000}"/>
    <cellStyle name="40% - Accent6 8 7 2 2" xfId="37946" xr:uid="{F5D064A2-2C14-4EAB-8696-C1A12E3376BC}"/>
    <cellStyle name="40% - Accent6 8 7 3" xfId="22051" xr:uid="{00000000-0005-0000-0000-0000C9530000}"/>
    <cellStyle name="40% - Accent6 8 7 3 2" xfId="45883" xr:uid="{9223C36E-4273-4198-8AA5-5007E0A94C47}"/>
    <cellStyle name="40% - Accent6 8 7 4" xfId="30005" xr:uid="{BDF1DCF7-A498-49CF-8301-BCE7CABDB31F}"/>
    <cellStyle name="40% - Accent6 8 8" xfId="9672" xr:uid="{00000000-0005-0000-0000-0000CA530000}"/>
    <cellStyle name="40% - Accent6 8 8 2" xfId="17630" xr:uid="{00000000-0005-0000-0000-0000CB530000}"/>
    <cellStyle name="40% - Accent6 8 8 2 2" xfId="41470" xr:uid="{57451979-A5BD-410E-8832-EC2F6292899F}"/>
    <cellStyle name="40% - Accent6 8 8 3" xfId="25574" xr:uid="{00000000-0005-0000-0000-0000CC530000}"/>
    <cellStyle name="40% - Accent6 8 8 3 2" xfId="49406" xr:uid="{DE6EE7EB-4A8F-4E6C-BC94-CC687CB1712E}"/>
    <cellStyle name="40% - Accent6 8 8 4" xfId="33529" xr:uid="{50484575-3F9B-43A9-B9DB-2FDCF4D19A14}"/>
    <cellStyle name="40% - Accent6 8 9" xfId="10568" xr:uid="{00000000-0005-0000-0000-0000CD530000}"/>
    <cellStyle name="40% - Accent6 8 9 2" xfId="34417" xr:uid="{05DB6E8C-9885-4A3D-8C2B-8E8412C28AE5}"/>
    <cellStyle name="40% - Accent6 8_Exh G" xfId="3402" xr:uid="{00000000-0005-0000-0000-0000CE530000}"/>
    <cellStyle name="40% - Accent6 9" xfId="630" xr:uid="{00000000-0005-0000-0000-0000CF530000}"/>
    <cellStyle name="40% - Accent6 9 10" xfId="18527" xr:uid="{00000000-0005-0000-0000-0000D0530000}"/>
    <cellStyle name="40% - Accent6 9 10 2" xfId="42359" xr:uid="{571999CF-F652-4E3F-844E-6E272EA34978}"/>
    <cellStyle name="40% - Accent6 9 11" xfId="26479" xr:uid="{8A1F0043-0970-4D7C-85B0-BC853F79E368}"/>
    <cellStyle name="40% - Accent6 9 2" xfId="631" xr:uid="{00000000-0005-0000-0000-0000D1530000}"/>
    <cellStyle name="40% - Accent6 9 2 2" xfId="632" xr:uid="{00000000-0005-0000-0000-0000D2530000}"/>
    <cellStyle name="40% - Accent6 9 2 2 2" xfId="1658" xr:uid="{00000000-0005-0000-0000-0000D3530000}"/>
    <cellStyle name="40% - Accent6 9 2 2 2 2" xfId="5185" xr:uid="{00000000-0005-0000-0000-0000D4530000}"/>
    <cellStyle name="40% - Accent6 9 2 2 2 2 2" xfId="8776" xr:uid="{00000000-0005-0000-0000-0000D5530000}"/>
    <cellStyle name="40% - Accent6 9 2 2 2 2 2 2" xfId="16746" xr:uid="{00000000-0005-0000-0000-0000D6530000}"/>
    <cellStyle name="40% - Accent6 9 2 2 2 2 2 2 2" xfId="40588" xr:uid="{E1E87349-B95E-40AA-9288-368A83331521}"/>
    <cellStyle name="40% - Accent6 9 2 2 2 2 2 3" xfId="24692" xr:uid="{00000000-0005-0000-0000-0000D7530000}"/>
    <cellStyle name="40% - Accent6 9 2 2 2 2 2 3 2" xfId="48524" xr:uid="{9440CE7E-8E76-469B-9A7C-631EE7A0B3D3}"/>
    <cellStyle name="40% - Accent6 9 2 2 2 2 2 4" xfId="32647" xr:uid="{0E1DABBD-D211-4971-8280-65A808900C44}"/>
    <cellStyle name="40% - Accent6 9 2 2 2 2 3" xfId="13208" xr:uid="{00000000-0005-0000-0000-0000D8530000}"/>
    <cellStyle name="40% - Accent6 9 2 2 2 2 3 2" xfId="37057" xr:uid="{0A2DF928-FEFA-438A-9D53-D4A71B7B2A4F}"/>
    <cellStyle name="40% - Accent6 9 2 2 2 2 4" xfId="21163" xr:uid="{00000000-0005-0000-0000-0000D9530000}"/>
    <cellStyle name="40% - Accent6 9 2 2 2 2 4 2" xfId="44995" xr:uid="{000645C2-2ED3-46A8-B2BD-35E3611F5B06}"/>
    <cellStyle name="40% - Accent6 9 2 2 2 2 5" xfId="29116" xr:uid="{F8CAEEFC-1489-4B2D-B3AE-B4BB7DED7269}"/>
    <cellStyle name="40% - Accent6 9 2 2 2 3" xfId="7017" xr:uid="{00000000-0005-0000-0000-0000DA530000}"/>
    <cellStyle name="40% - Accent6 9 2 2 2 3 2" xfId="14988" xr:uid="{00000000-0005-0000-0000-0000DB530000}"/>
    <cellStyle name="40% - Accent6 9 2 2 2 3 2 2" xfId="38830" xr:uid="{DC084AAD-3881-43A2-92E3-AA2D38BA4514}"/>
    <cellStyle name="40% - Accent6 9 2 2 2 3 3" xfId="22935" xr:uid="{00000000-0005-0000-0000-0000DC530000}"/>
    <cellStyle name="40% - Accent6 9 2 2 2 3 3 2" xfId="46767" xr:uid="{59355269-8F49-4355-B757-03977A4A6729}"/>
    <cellStyle name="40% - Accent6 9 2 2 2 3 4" xfId="30889" xr:uid="{9190E271-BD6E-474C-95F9-B885F9F329C5}"/>
    <cellStyle name="40% - Accent6 9 2 2 2 4" xfId="11452" xr:uid="{00000000-0005-0000-0000-0000DD530000}"/>
    <cellStyle name="40% - Accent6 9 2 2 2 4 2" xfId="35301" xr:uid="{18F6B4D9-5116-48B1-BC7C-174839D77407}"/>
    <cellStyle name="40% - Accent6 9 2 2 2 5" xfId="19407" xr:uid="{00000000-0005-0000-0000-0000DE530000}"/>
    <cellStyle name="40% - Accent6 9 2 2 2 5 2" xfId="43239" xr:uid="{885E4B5E-EA41-4B97-A273-55B078054DE8}"/>
    <cellStyle name="40% - Accent6 9 2 2 2 6" xfId="27359" xr:uid="{716D65F1-F41D-46A3-A6BE-077434EDB6E6}"/>
    <cellStyle name="40% - Accent6 9 2 2 2_Exh G" xfId="3415" xr:uid="{00000000-0005-0000-0000-0000DF530000}"/>
    <cellStyle name="40% - Accent6 9 2 2 3" xfId="4306" xr:uid="{00000000-0005-0000-0000-0000E0530000}"/>
    <cellStyle name="40% - Accent6 9 2 2 3 2" xfId="7898" xr:uid="{00000000-0005-0000-0000-0000E1530000}"/>
    <cellStyle name="40% - Accent6 9 2 2 3 2 2" xfId="15868" xr:uid="{00000000-0005-0000-0000-0000E2530000}"/>
    <cellStyle name="40% - Accent6 9 2 2 3 2 2 2" xfId="39710" xr:uid="{6CC3C934-13D4-49BA-A1C0-F3FD284898A9}"/>
    <cellStyle name="40% - Accent6 9 2 2 3 2 3" xfId="23814" xr:uid="{00000000-0005-0000-0000-0000E3530000}"/>
    <cellStyle name="40% - Accent6 9 2 2 3 2 3 2" xfId="47646" xr:uid="{D399E77B-4A31-457D-80AC-19D64192B5AE}"/>
    <cellStyle name="40% - Accent6 9 2 2 3 2 4" xfId="31769" xr:uid="{7F625E15-17C8-4590-A0FE-51CF479760D8}"/>
    <cellStyle name="40% - Accent6 9 2 2 3 3" xfId="12330" xr:uid="{00000000-0005-0000-0000-0000E4530000}"/>
    <cellStyle name="40% - Accent6 9 2 2 3 3 2" xfId="36179" xr:uid="{93812450-9BC5-49A5-B258-8A6B01A73B69}"/>
    <cellStyle name="40% - Accent6 9 2 2 3 4" xfId="20285" xr:uid="{00000000-0005-0000-0000-0000E5530000}"/>
    <cellStyle name="40% - Accent6 9 2 2 3 4 2" xfId="44117" xr:uid="{9634EE8A-01BE-4B75-8A22-25D4D1A5D773}"/>
    <cellStyle name="40% - Accent6 9 2 2 3 5" xfId="28238" xr:uid="{516E8371-680C-4B62-A732-6D07340C4533}"/>
    <cellStyle name="40% - Accent6 9 2 2 4" xfId="6126" xr:uid="{00000000-0005-0000-0000-0000E6530000}"/>
    <cellStyle name="40% - Accent6 9 2 2 4 2" xfId="14109" xr:uid="{00000000-0005-0000-0000-0000E7530000}"/>
    <cellStyle name="40% - Accent6 9 2 2 4 2 2" xfId="37952" xr:uid="{849D227D-D535-46CE-9EDA-CACD7ADC49DF}"/>
    <cellStyle name="40% - Accent6 9 2 2 4 3" xfId="22057" xr:uid="{00000000-0005-0000-0000-0000E8530000}"/>
    <cellStyle name="40% - Accent6 9 2 2 4 3 2" xfId="45889" xr:uid="{2B1DC428-B2D6-425B-84F2-C4DC56EBEC3C}"/>
    <cellStyle name="40% - Accent6 9 2 2 4 4" xfId="30011" xr:uid="{9ECDEC03-4F6E-4BE9-95A9-A57D7C4C770D}"/>
    <cellStyle name="40% - Accent6 9 2 2 5" xfId="9678" xr:uid="{00000000-0005-0000-0000-0000E9530000}"/>
    <cellStyle name="40% - Accent6 9 2 2 5 2" xfId="17636" xr:uid="{00000000-0005-0000-0000-0000EA530000}"/>
    <cellStyle name="40% - Accent6 9 2 2 5 2 2" xfId="41476" xr:uid="{D3C44286-2B07-4A42-BDFC-9E9BA40744DB}"/>
    <cellStyle name="40% - Accent6 9 2 2 5 3" xfId="25580" xr:uid="{00000000-0005-0000-0000-0000EB530000}"/>
    <cellStyle name="40% - Accent6 9 2 2 5 3 2" xfId="49412" xr:uid="{2FC12F62-4965-4065-8B3B-74106582062E}"/>
    <cellStyle name="40% - Accent6 9 2 2 5 4" xfId="33535" xr:uid="{8F9EACAA-0528-4E51-9AAB-46D8C0F9BFC0}"/>
    <cellStyle name="40% - Accent6 9 2 2 6" xfId="10574" xr:uid="{00000000-0005-0000-0000-0000EC530000}"/>
    <cellStyle name="40% - Accent6 9 2 2 6 2" xfId="34423" xr:uid="{3FB167A1-4548-49C7-A16A-F346FBE85708}"/>
    <cellStyle name="40% - Accent6 9 2 2 7" xfId="18529" xr:uid="{00000000-0005-0000-0000-0000ED530000}"/>
    <cellStyle name="40% - Accent6 9 2 2 7 2" xfId="42361" xr:uid="{B01511F0-D656-4EE3-A2CF-6B11C1479C1F}"/>
    <cellStyle name="40% - Accent6 9 2 2 8" xfId="26481" xr:uid="{9BC1F673-8E47-4BD8-B38E-8E8CCF28E826}"/>
    <cellStyle name="40% - Accent6 9 2 2_Exh G" xfId="3414" xr:uid="{00000000-0005-0000-0000-0000EE530000}"/>
    <cellStyle name="40% - Accent6 9 2 3" xfId="1657" xr:uid="{00000000-0005-0000-0000-0000EF530000}"/>
    <cellStyle name="40% - Accent6 9 2 3 2" xfId="5184" xr:uid="{00000000-0005-0000-0000-0000F0530000}"/>
    <cellStyle name="40% - Accent6 9 2 3 2 2" xfId="8775" xr:uid="{00000000-0005-0000-0000-0000F1530000}"/>
    <cellStyle name="40% - Accent6 9 2 3 2 2 2" xfId="16745" xr:uid="{00000000-0005-0000-0000-0000F2530000}"/>
    <cellStyle name="40% - Accent6 9 2 3 2 2 2 2" xfId="40587" xr:uid="{D80309BD-B48C-40D5-BFEF-028AC7BA09EA}"/>
    <cellStyle name="40% - Accent6 9 2 3 2 2 3" xfId="24691" xr:uid="{00000000-0005-0000-0000-0000F3530000}"/>
    <cellStyle name="40% - Accent6 9 2 3 2 2 3 2" xfId="48523" xr:uid="{9440779A-6915-4612-8FFB-CC5ACFF2EEED}"/>
    <cellStyle name="40% - Accent6 9 2 3 2 2 4" xfId="32646" xr:uid="{59933F16-8F99-4296-8DCF-E3D497CCDA9E}"/>
    <cellStyle name="40% - Accent6 9 2 3 2 3" xfId="13207" xr:uid="{00000000-0005-0000-0000-0000F4530000}"/>
    <cellStyle name="40% - Accent6 9 2 3 2 3 2" xfId="37056" xr:uid="{A7B5B051-3B80-4F06-938D-3F49D7AA6B05}"/>
    <cellStyle name="40% - Accent6 9 2 3 2 4" xfId="21162" xr:uid="{00000000-0005-0000-0000-0000F5530000}"/>
    <cellStyle name="40% - Accent6 9 2 3 2 4 2" xfId="44994" xr:uid="{CDE0A4D9-5F69-418D-ABA6-D980BB8C6F57}"/>
    <cellStyle name="40% - Accent6 9 2 3 2 5" xfId="29115" xr:uid="{6B9E7745-CE5C-439C-8FB3-B088F95120D4}"/>
    <cellStyle name="40% - Accent6 9 2 3 3" xfId="7016" xr:uid="{00000000-0005-0000-0000-0000F6530000}"/>
    <cellStyle name="40% - Accent6 9 2 3 3 2" xfId="14987" xr:uid="{00000000-0005-0000-0000-0000F7530000}"/>
    <cellStyle name="40% - Accent6 9 2 3 3 2 2" xfId="38829" xr:uid="{63912BD4-DDF7-43BA-A2E8-68CCF1C1BA00}"/>
    <cellStyle name="40% - Accent6 9 2 3 3 3" xfId="22934" xr:uid="{00000000-0005-0000-0000-0000F8530000}"/>
    <cellStyle name="40% - Accent6 9 2 3 3 3 2" xfId="46766" xr:uid="{66CD058B-3D8F-4554-9BE4-D4A5910BAE3B}"/>
    <cellStyle name="40% - Accent6 9 2 3 3 4" xfId="30888" xr:uid="{71AE409B-8F59-404C-BB03-DEA33C91F906}"/>
    <cellStyle name="40% - Accent6 9 2 3 4" xfId="11451" xr:uid="{00000000-0005-0000-0000-0000F9530000}"/>
    <cellStyle name="40% - Accent6 9 2 3 4 2" xfId="35300" xr:uid="{DACE0F92-7935-4713-A599-31B3CFC5C821}"/>
    <cellStyle name="40% - Accent6 9 2 3 5" xfId="19406" xr:uid="{00000000-0005-0000-0000-0000FA530000}"/>
    <cellStyle name="40% - Accent6 9 2 3 5 2" xfId="43238" xr:uid="{416EE32E-3DE0-40E7-BC4C-A18A9010086B}"/>
    <cellStyle name="40% - Accent6 9 2 3 6" xfId="27358" xr:uid="{9CD5DD40-C10F-483A-8F83-012E5DABAFA4}"/>
    <cellStyle name="40% - Accent6 9 2 3_Exh G" xfId="3416" xr:uid="{00000000-0005-0000-0000-0000FB530000}"/>
    <cellStyle name="40% - Accent6 9 2 4" xfId="4305" xr:uid="{00000000-0005-0000-0000-0000FC530000}"/>
    <cellStyle name="40% - Accent6 9 2 4 2" xfId="7897" xr:uid="{00000000-0005-0000-0000-0000FD530000}"/>
    <cellStyle name="40% - Accent6 9 2 4 2 2" xfId="15867" xr:uid="{00000000-0005-0000-0000-0000FE530000}"/>
    <cellStyle name="40% - Accent6 9 2 4 2 2 2" xfId="39709" xr:uid="{2A8EC285-2CE5-4929-B9B1-61F81B5EDB5D}"/>
    <cellStyle name="40% - Accent6 9 2 4 2 3" xfId="23813" xr:uid="{00000000-0005-0000-0000-0000FF530000}"/>
    <cellStyle name="40% - Accent6 9 2 4 2 3 2" xfId="47645" xr:uid="{DA6AB1C0-4D2E-47BE-9279-99A93C04E8C7}"/>
    <cellStyle name="40% - Accent6 9 2 4 2 4" xfId="31768" xr:uid="{5709EE57-DA3F-4D6C-ADAA-7A1176F79C11}"/>
    <cellStyle name="40% - Accent6 9 2 4 3" xfId="12329" xr:uid="{00000000-0005-0000-0000-000000540000}"/>
    <cellStyle name="40% - Accent6 9 2 4 3 2" xfId="36178" xr:uid="{06CE907B-0D5C-4E7B-84CF-B22FA855D3A9}"/>
    <cellStyle name="40% - Accent6 9 2 4 4" xfId="20284" xr:uid="{00000000-0005-0000-0000-000001540000}"/>
    <cellStyle name="40% - Accent6 9 2 4 4 2" xfId="44116" xr:uid="{0994D0AF-85AF-4DB4-972D-4FEAFAD61FC9}"/>
    <cellStyle name="40% - Accent6 9 2 4 5" xfId="28237" xr:uid="{C692073F-ABDE-49AF-A217-A179734E9AAB}"/>
    <cellStyle name="40% - Accent6 9 2 5" xfId="6125" xr:uid="{00000000-0005-0000-0000-000002540000}"/>
    <cellStyle name="40% - Accent6 9 2 5 2" xfId="14108" xr:uid="{00000000-0005-0000-0000-000003540000}"/>
    <cellStyle name="40% - Accent6 9 2 5 2 2" xfId="37951" xr:uid="{E6D9A12B-4E32-4D4B-9028-727C99599CE7}"/>
    <cellStyle name="40% - Accent6 9 2 5 3" xfId="22056" xr:uid="{00000000-0005-0000-0000-000004540000}"/>
    <cellStyle name="40% - Accent6 9 2 5 3 2" xfId="45888" xr:uid="{F80856D9-F7C5-4D20-B31A-D49E9A33550D}"/>
    <cellStyle name="40% - Accent6 9 2 5 4" xfId="30010" xr:uid="{A53F95BB-98AD-459D-A5DA-1B29FD7C8988}"/>
    <cellStyle name="40% - Accent6 9 2 6" xfId="9677" xr:uid="{00000000-0005-0000-0000-000005540000}"/>
    <cellStyle name="40% - Accent6 9 2 6 2" xfId="17635" xr:uid="{00000000-0005-0000-0000-000006540000}"/>
    <cellStyle name="40% - Accent6 9 2 6 2 2" xfId="41475" xr:uid="{81619AB1-29B7-45DC-93AD-2BBF09AF5BE5}"/>
    <cellStyle name="40% - Accent6 9 2 6 3" xfId="25579" xr:uid="{00000000-0005-0000-0000-000007540000}"/>
    <cellStyle name="40% - Accent6 9 2 6 3 2" xfId="49411" xr:uid="{062A9F55-F674-4A28-9CD7-A87F11F7853C}"/>
    <cellStyle name="40% - Accent6 9 2 6 4" xfId="33534" xr:uid="{AEAAA64B-A6F1-408E-8DDC-3EFE7C94721E}"/>
    <cellStyle name="40% - Accent6 9 2 7" xfId="10573" xr:uid="{00000000-0005-0000-0000-000008540000}"/>
    <cellStyle name="40% - Accent6 9 2 7 2" xfId="34422" xr:uid="{2E5C212E-7BA3-4FEB-9DFF-641E8E9CFF41}"/>
    <cellStyle name="40% - Accent6 9 2 8" xfId="18528" xr:uid="{00000000-0005-0000-0000-000009540000}"/>
    <cellStyle name="40% - Accent6 9 2 8 2" xfId="42360" xr:uid="{B8C443B5-22AB-467A-B3D6-93047875CBEF}"/>
    <cellStyle name="40% - Accent6 9 2 9" xfId="26480" xr:uid="{806BD943-0158-452A-A9AF-48D164AFF7DA}"/>
    <cellStyle name="40% - Accent6 9 2_Exh G" xfId="3413" xr:uid="{00000000-0005-0000-0000-00000A540000}"/>
    <cellStyle name="40% - Accent6 9 3" xfId="633" xr:uid="{00000000-0005-0000-0000-00000B540000}"/>
    <cellStyle name="40% - Accent6 9 3 2" xfId="1659" xr:uid="{00000000-0005-0000-0000-00000C540000}"/>
    <cellStyle name="40% - Accent6 9 3 2 2" xfId="5186" xr:uid="{00000000-0005-0000-0000-00000D540000}"/>
    <cellStyle name="40% - Accent6 9 3 2 2 2" xfId="8777" xr:uid="{00000000-0005-0000-0000-00000E540000}"/>
    <cellStyle name="40% - Accent6 9 3 2 2 2 2" xfId="16747" xr:uid="{00000000-0005-0000-0000-00000F540000}"/>
    <cellStyle name="40% - Accent6 9 3 2 2 2 2 2" xfId="40589" xr:uid="{781E2256-CD8C-403F-A80F-E9571343338E}"/>
    <cellStyle name="40% - Accent6 9 3 2 2 2 3" xfId="24693" xr:uid="{00000000-0005-0000-0000-000010540000}"/>
    <cellStyle name="40% - Accent6 9 3 2 2 2 3 2" xfId="48525" xr:uid="{6B1E233E-3AE7-479B-A8FE-FED4BCBA9ED2}"/>
    <cellStyle name="40% - Accent6 9 3 2 2 2 4" xfId="32648" xr:uid="{1FDFA2B6-024B-4F84-AEFE-C83277414455}"/>
    <cellStyle name="40% - Accent6 9 3 2 2 3" xfId="13209" xr:uid="{00000000-0005-0000-0000-000011540000}"/>
    <cellStyle name="40% - Accent6 9 3 2 2 3 2" xfId="37058" xr:uid="{FAFC21CA-7D3B-4747-B390-462873EEB2A0}"/>
    <cellStyle name="40% - Accent6 9 3 2 2 4" xfId="21164" xr:uid="{00000000-0005-0000-0000-000012540000}"/>
    <cellStyle name="40% - Accent6 9 3 2 2 4 2" xfId="44996" xr:uid="{B5AD502A-2AD6-4DC2-809F-FA06DF295EDA}"/>
    <cellStyle name="40% - Accent6 9 3 2 2 5" xfId="29117" xr:uid="{FED52A87-7AF8-4C9F-8EA0-699862FBADF6}"/>
    <cellStyle name="40% - Accent6 9 3 2 3" xfId="7018" xr:uid="{00000000-0005-0000-0000-000013540000}"/>
    <cellStyle name="40% - Accent6 9 3 2 3 2" xfId="14989" xr:uid="{00000000-0005-0000-0000-000014540000}"/>
    <cellStyle name="40% - Accent6 9 3 2 3 2 2" xfId="38831" xr:uid="{F3760F94-B591-4981-BC67-2AA865C96C37}"/>
    <cellStyle name="40% - Accent6 9 3 2 3 3" xfId="22936" xr:uid="{00000000-0005-0000-0000-000015540000}"/>
    <cellStyle name="40% - Accent6 9 3 2 3 3 2" xfId="46768" xr:uid="{6EFAD090-4A23-4EA6-917C-16EE2F292839}"/>
    <cellStyle name="40% - Accent6 9 3 2 3 4" xfId="30890" xr:uid="{ECF2372B-03B0-443B-BB89-6DCF76D2714E}"/>
    <cellStyle name="40% - Accent6 9 3 2 4" xfId="11453" xr:uid="{00000000-0005-0000-0000-000016540000}"/>
    <cellStyle name="40% - Accent6 9 3 2 4 2" xfId="35302" xr:uid="{EFFDFF41-3661-46A2-9620-A2C68D190F2E}"/>
    <cellStyle name="40% - Accent6 9 3 2 5" xfId="19408" xr:uid="{00000000-0005-0000-0000-000017540000}"/>
    <cellStyle name="40% - Accent6 9 3 2 5 2" xfId="43240" xr:uid="{53B5D3D6-0ED8-4FE7-BE40-3766EED28226}"/>
    <cellStyle name="40% - Accent6 9 3 2 6" xfId="27360" xr:uid="{287A8F1D-01F7-44E3-BA0D-53A4D5ADC4F1}"/>
    <cellStyle name="40% - Accent6 9 3 2_Exh G" xfId="3418" xr:uid="{00000000-0005-0000-0000-000018540000}"/>
    <cellStyle name="40% - Accent6 9 3 3" xfId="4307" xr:uid="{00000000-0005-0000-0000-000019540000}"/>
    <cellStyle name="40% - Accent6 9 3 3 2" xfId="7899" xr:uid="{00000000-0005-0000-0000-00001A540000}"/>
    <cellStyle name="40% - Accent6 9 3 3 2 2" xfId="15869" xr:uid="{00000000-0005-0000-0000-00001B540000}"/>
    <cellStyle name="40% - Accent6 9 3 3 2 2 2" xfId="39711" xr:uid="{68063BDB-07E1-4CE8-9B8B-970FEF309FEC}"/>
    <cellStyle name="40% - Accent6 9 3 3 2 3" xfId="23815" xr:uid="{00000000-0005-0000-0000-00001C540000}"/>
    <cellStyle name="40% - Accent6 9 3 3 2 3 2" xfId="47647" xr:uid="{60847256-1FFD-4216-AB0B-8A3B3DAFD578}"/>
    <cellStyle name="40% - Accent6 9 3 3 2 4" xfId="31770" xr:uid="{85410899-EF75-4935-A789-1CAFAE362601}"/>
    <cellStyle name="40% - Accent6 9 3 3 3" xfId="12331" xr:uid="{00000000-0005-0000-0000-00001D540000}"/>
    <cellStyle name="40% - Accent6 9 3 3 3 2" xfId="36180" xr:uid="{C5AE9B09-6D49-46D1-80F0-9C1FA9A18D6B}"/>
    <cellStyle name="40% - Accent6 9 3 3 4" xfId="20286" xr:uid="{00000000-0005-0000-0000-00001E540000}"/>
    <cellStyle name="40% - Accent6 9 3 3 4 2" xfId="44118" xr:uid="{82905B4E-1F3F-47D4-A36A-03AB297ED7FC}"/>
    <cellStyle name="40% - Accent6 9 3 3 5" xfId="28239" xr:uid="{EB087CFA-7492-4EA7-A173-848089EF0513}"/>
    <cellStyle name="40% - Accent6 9 3 4" xfId="6127" xr:uid="{00000000-0005-0000-0000-00001F540000}"/>
    <cellStyle name="40% - Accent6 9 3 4 2" xfId="14110" xr:uid="{00000000-0005-0000-0000-000020540000}"/>
    <cellStyle name="40% - Accent6 9 3 4 2 2" xfId="37953" xr:uid="{E1A09004-2F9B-4725-8174-2282BB9FDB1F}"/>
    <cellStyle name="40% - Accent6 9 3 4 3" xfId="22058" xr:uid="{00000000-0005-0000-0000-000021540000}"/>
    <cellStyle name="40% - Accent6 9 3 4 3 2" xfId="45890" xr:uid="{BA67195B-416E-4FF4-8A2E-8EA40B5BBF97}"/>
    <cellStyle name="40% - Accent6 9 3 4 4" xfId="30012" xr:uid="{6099165E-672E-4C21-8D4A-1058D7D4BB91}"/>
    <cellStyle name="40% - Accent6 9 3 5" xfId="9679" xr:uid="{00000000-0005-0000-0000-000022540000}"/>
    <cellStyle name="40% - Accent6 9 3 5 2" xfId="17637" xr:uid="{00000000-0005-0000-0000-000023540000}"/>
    <cellStyle name="40% - Accent6 9 3 5 2 2" xfId="41477" xr:uid="{4B800651-EBF5-4FD5-BBC3-99524354239A}"/>
    <cellStyle name="40% - Accent6 9 3 5 3" xfId="25581" xr:uid="{00000000-0005-0000-0000-000024540000}"/>
    <cellStyle name="40% - Accent6 9 3 5 3 2" xfId="49413" xr:uid="{D1DBD442-AD66-4D97-8445-791CBA4CDBE7}"/>
    <cellStyle name="40% - Accent6 9 3 5 4" xfId="33536" xr:uid="{D471B2FC-D2EA-41F8-86FB-58B8105D8CDD}"/>
    <cellStyle name="40% - Accent6 9 3 6" xfId="10575" xr:uid="{00000000-0005-0000-0000-000025540000}"/>
    <cellStyle name="40% - Accent6 9 3 6 2" xfId="34424" xr:uid="{8F24490D-7241-4CAA-87F6-C9B7F84F0459}"/>
    <cellStyle name="40% - Accent6 9 3 7" xfId="18530" xr:uid="{00000000-0005-0000-0000-000026540000}"/>
    <cellStyle name="40% - Accent6 9 3 7 2" xfId="42362" xr:uid="{E034BC37-F647-4220-8E26-6B2169617E13}"/>
    <cellStyle name="40% - Accent6 9 3 8" xfId="26482" xr:uid="{4601917D-1324-4845-863E-2E361C0D2F8D}"/>
    <cellStyle name="40% - Accent6 9 3_Exh G" xfId="3417" xr:uid="{00000000-0005-0000-0000-000027540000}"/>
    <cellStyle name="40% - Accent6 9 4" xfId="1002" xr:uid="{00000000-0005-0000-0000-000028540000}"/>
    <cellStyle name="40% - Accent6 9 4 2" xfId="1911" xr:uid="{00000000-0005-0000-0000-000029540000}"/>
    <cellStyle name="40% - Accent6 9 4 2 2" xfId="5428" xr:uid="{00000000-0005-0000-0000-00002A540000}"/>
    <cellStyle name="40% - Accent6 9 4 2 2 2" xfId="9019" xr:uid="{00000000-0005-0000-0000-00002B540000}"/>
    <cellStyle name="40% - Accent6 9 4 2 2 2 2" xfId="16989" xr:uid="{00000000-0005-0000-0000-00002C540000}"/>
    <cellStyle name="40% - Accent6 9 4 2 2 2 2 2" xfId="40831" xr:uid="{1D9FB0B5-D0F0-4A6A-BF27-901B07F80BBE}"/>
    <cellStyle name="40% - Accent6 9 4 2 2 2 3" xfId="24935" xr:uid="{00000000-0005-0000-0000-00002D540000}"/>
    <cellStyle name="40% - Accent6 9 4 2 2 2 3 2" xfId="48767" xr:uid="{75E6E11E-1D66-4635-9AF1-BA89284FD95C}"/>
    <cellStyle name="40% - Accent6 9 4 2 2 2 4" xfId="32890" xr:uid="{EB9DE136-F266-457E-BC13-DC07CB94517B}"/>
    <cellStyle name="40% - Accent6 9 4 2 2 3" xfId="13451" xr:uid="{00000000-0005-0000-0000-00002E540000}"/>
    <cellStyle name="40% - Accent6 9 4 2 2 3 2" xfId="37300" xr:uid="{F9FE3374-E32D-4C26-828D-92D1CAE70BE8}"/>
    <cellStyle name="40% - Accent6 9 4 2 2 4" xfId="21406" xr:uid="{00000000-0005-0000-0000-00002F540000}"/>
    <cellStyle name="40% - Accent6 9 4 2 2 4 2" xfId="45238" xr:uid="{35608D4C-9FDF-41C5-9A34-C5C2E6B6255D}"/>
    <cellStyle name="40% - Accent6 9 4 2 2 5" xfId="29359" xr:uid="{D8868A12-7558-496D-803B-364F6D7A3819}"/>
    <cellStyle name="40% - Accent6 9 4 2 3" xfId="7260" xr:uid="{00000000-0005-0000-0000-000030540000}"/>
    <cellStyle name="40% - Accent6 9 4 2 3 2" xfId="15231" xr:uid="{00000000-0005-0000-0000-000031540000}"/>
    <cellStyle name="40% - Accent6 9 4 2 3 2 2" xfId="39073" xr:uid="{0B924937-7CF4-4C74-8433-B8F9599476E4}"/>
    <cellStyle name="40% - Accent6 9 4 2 3 3" xfId="23178" xr:uid="{00000000-0005-0000-0000-000032540000}"/>
    <cellStyle name="40% - Accent6 9 4 2 3 3 2" xfId="47010" xr:uid="{D9DD0A52-D589-4715-BA9A-5947921298CD}"/>
    <cellStyle name="40% - Accent6 9 4 2 3 4" xfId="31132" xr:uid="{51090985-F5A3-4527-9AE4-2B930A564105}"/>
    <cellStyle name="40% - Accent6 9 4 2 4" xfId="11695" xr:uid="{00000000-0005-0000-0000-000033540000}"/>
    <cellStyle name="40% - Accent6 9 4 2 4 2" xfId="35544" xr:uid="{EA165F09-A955-4154-AB39-C3949192D5AD}"/>
    <cellStyle name="40% - Accent6 9 4 2 5" xfId="19650" xr:uid="{00000000-0005-0000-0000-000034540000}"/>
    <cellStyle name="40% - Accent6 9 4 2 5 2" xfId="43482" xr:uid="{EE65C04F-4893-4A8A-8A6B-B48BE879CCBD}"/>
    <cellStyle name="40% - Accent6 9 4 2 6" xfId="27602" xr:uid="{7D0C3E57-D9D3-4D4A-93A1-4FC48BEB5745}"/>
    <cellStyle name="40% - Accent6 9 4 2_Exh G" xfId="3420" xr:uid="{00000000-0005-0000-0000-000035540000}"/>
    <cellStyle name="40% - Accent6 9 4 3" xfId="4549" xr:uid="{00000000-0005-0000-0000-000036540000}"/>
    <cellStyle name="40% - Accent6 9 4 3 2" xfId="8141" xr:uid="{00000000-0005-0000-0000-000037540000}"/>
    <cellStyle name="40% - Accent6 9 4 3 2 2" xfId="16111" xr:uid="{00000000-0005-0000-0000-000038540000}"/>
    <cellStyle name="40% - Accent6 9 4 3 2 2 2" xfId="39953" xr:uid="{101113E4-FC83-4C96-857C-614599C1AE5D}"/>
    <cellStyle name="40% - Accent6 9 4 3 2 3" xfId="24057" xr:uid="{00000000-0005-0000-0000-000039540000}"/>
    <cellStyle name="40% - Accent6 9 4 3 2 3 2" xfId="47889" xr:uid="{24458DC7-7476-4495-A5FB-634F5FDE8597}"/>
    <cellStyle name="40% - Accent6 9 4 3 2 4" xfId="32012" xr:uid="{E5931E2C-F8BE-46C0-AD16-B820194CB545}"/>
    <cellStyle name="40% - Accent6 9 4 3 3" xfId="12573" xr:uid="{00000000-0005-0000-0000-00003A540000}"/>
    <cellStyle name="40% - Accent6 9 4 3 3 2" xfId="36422" xr:uid="{C2FDB07F-5F0D-4DF0-B57A-3855B21108BB}"/>
    <cellStyle name="40% - Accent6 9 4 3 4" xfId="20528" xr:uid="{00000000-0005-0000-0000-00003B540000}"/>
    <cellStyle name="40% - Accent6 9 4 3 4 2" xfId="44360" xr:uid="{39979104-5FC2-453C-AC0B-040996967439}"/>
    <cellStyle name="40% - Accent6 9 4 3 5" xfId="28481" xr:uid="{E1C81416-85C5-4ECE-98EF-B98342721DE1}"/>
    <cellStyle name="40% - Accent6 9 4 4" xfId="6379" xr:uid="{00000000-0005-0000-0000-00003C540000}"/>
    <cellStyle name="40% - Accent6 9 4 4 2" xfId="14353" xr:uid="{00000000-0005-0000-0000-00003D540000}"/>
    <cellStyle name="40% - Accent6 9 4 4 2 2" xfId="38195" xr:uid="{A078E35D-BAC3-4E01-8033-C36BCBFFD3C5}"/>
    <cellStyle name="40% - Accent6 9 4 4 3" xfId="22300" xr:uid="{00000000-0005-0000-0000-00003E540000}"/>
    <cellStyle name="40% - Accent6 9 4 4 3 2" xfId="46132" xr:uid="{64E8BF9B-5EB1-476C-B07B-B4C12402BA91}"/>
    <cellStyle name="40% - Accent6 9 4 4 4" xfId="30254" xr:uid="{46AD3705-758E-4D54-8512-F4E8977470FC}"/>
    <cellStyle name="40% - Accent6 9 4 5" xfId="9921" xr:uid="{00000000-0005-0000-0000-00003F540000}"/>
    <cellStyle name="40% - Accent6 9 4 5 2" xfId="17879" xr:uid="{00000000-0005-0000-0000-000040540000}"/>
    <cellStyle name="40% - Accent6 9 4 5 2 2" xfId="41719" xr:uid="{B8CC4DC1-C7A3-4990-A7A6-47CD306BCA5E}"/>
    <cellStyle name="40% - Accent6 9 4 5 3" xfId="25823" xr:uid="{00000000-0005-0000-0000-000041540000}"/>
    <cellStyle name="40% - Accent6 9 4 5 3 2" xfId="49655" xr:uid="{99FCED04-F0C6-4635-AA36-F7A26346DA01}"/>
    <cellStyle name="40% - Accent6 9 4 5 4" xfId="33778" xr:uid="{54925D68-AB6A-44F2-8036-E744C7A2BA57}"/>
    <cellStyle name="40% - Accent6 9 4 6" xfId="10817" xr:uid="{00000000-0005-0000-0000-000042540000}"/>
    <cellStyle name="40% - Accent6 9 4 6 2" xfId="34666" xr:uid="{02E77701-5561-42AF-94A9-ED5B3A03826C}"/>
    <cellStyle name="40% - Accent6 9 4 7" xfId="18772" xr:uid="{00000000-0005-0000-0000-000043540000}"/>
    <cellStyle name="40% - Accent6 9 4 7 2" xfId="42604" xr:uid="{33FF3037-27DB-4428-A86F-A4442624E17B}"/>
    <cellStyle name="40% - Accent6 9 4 8" xfId="26724" xr:uid="{1D971A93-5D8F-4248-AC59-0101FC98B21F}"/>
    <cellStyle name="40% - Accent6 9 4_Exh G" xfId="3419" xr:uid="{00000000-0005-0000-0000-000044540000}"/>
    <cellStyle name="40% - Accent6 9 5" xfId="1656" xr:uid="{00000000-0005-0000-0000-000045540000}"/>
    <cellStyle name="40% - Accent6 9 5 2" xfId="5183" xr:uid="{00000000-0005-0000-0000-000046540000}"/>
    <cellStyle name="40% - Accent6 9 5 2 2" xfId="8774" xr:uid="{00000000-0005-0000-0000-000047540000}"/>
    <cellStyle name="40% - Accent6 9 5 2 2 2" xfId="16744" xr:uid="{00000000-0005-0000-0000-000048540000}"/>
    <cellStyle name="40% - Accent6 9 5 2 2 2 2" xfId="40586" xr:uid="{5F2DC413-B515-4887-B096-18BD0ED74AC9}"/>
    <cellStyle name="40% - Accent6 9 5 2 2 3" xfId="24690" xr:uid="{00000000-0005-0000-0000-000049540000}"/>
    <cellStyle name="40% - Accent6 9 5 2 2 3 2" xfId="48522" xr:uid="{A8D4A075-C76A-4461-8967-088537A1723E}"/>
    <cellStyle name="40% - Accent6 9 5 2 2 4" xfId="32645" xr:uid="{BD8CF0F7-D204-45D4-A620-4BE30C42A405}"/>
    <cellStyle name="40% - Accent6 9 5 2 3" xfId="13206" xr:uid="{00000000-0005-0000-0000-00004A540000}"/>
    <cellStyle name="40% - Accent6 9 5 2 3 2" xfId="37055" xr:uid="{449953BB-8CF6-4E28-B098-979783388960}"/>
    <cellStyle name="40% - Accent6 9 5 2 4" xfId="21161" xr:uid="{00000000-0005-0000-0000-00004B540000}"/>
    <cellStyle name="40% - Accent6 9 5 2 4 2" xfId="44993" xr:uid="{28E15F34-4AEF-40C9-8AC5-36DE7F892386}"/>
    <cellStyle name="40% - Accent6 9 5 2 5" xfId="29114" xr:uid="{3D634E57-4876-484C-ACFC-6DB1BA501939}"/>
    <cellStyle name="40% - Accent6 9 5 3" xfId="7015" xr:uid="{00000000-0005-0000-0000-00004C540000}"/>
    <cellStyle name="40% - Accent6 9 5 3 2" xfId="14986" xr:uid="{00000000-0005-0000-0000-00004D540000}"/>
    <cellStyle name="40% - Accent6 9 5 3 2 2" xfId="38828" xr:uid="{BA159AAC-C0E7-426F-B251-B933F2702ECC}"/>
    <cellStyle name="40% - Accent6 9 5 3 3" xfId="22933" xr:uid="{00000000-0005-0000-0000-00004E540000}"/>
    <cellStyle name="40% - Accent6 9 5 3 3 2" xfId="46765" xr:uid="{ACAE56DB-3094-4134-9D7E-D4EC490E133F}"/>
    <cellStyle name="40% - Accent6 9 5 3 4" xfId="30887" xr:uid="{097DB99B-1C9F-42A2-8FEC-1097FAC954C2}"/>
    <cellStyle name="40% - Accent6 9 5 4" xfId="11450" xr:uid="{00000000-0005-0000-0000-00004F540000}"/>
    <cellStyle name="40% - Accent6 9 5 4 2" xfId="35299" xr:uid="{11EBF595-342D-4736-A807-CAA5A1AC57D1}"/>
    <cellStyle name="40% - Accent6 9 5 5" xfId="19405" xr:uid="{00000000-0005-0000-0000-000050540000}"/>
    <cellStyle name="40% - Accent6 9 5 5 2" xfId="43237" xr:uid="{7E596FDD-108C-422D-AF3A-89826F8BAD9C}"/>
    <cellStyle name="40% - Accent6 9 5 6" xfId="27357" xr:uid="{2EA73A1A-29B4-4814-BC82-1D8418A4E712}"/>
    <cellStyle name="40% - Accent6 9 5_Exh G" xfId="3421" xr:uid="{00000000-0005-0000-0000-000051540000}"/>
    <cellStyle name="40% - Accent6 9 6" xfId="4304" xr:uid="{00000000-0005-0000-0000-000052540000}"/>
    <cellStyle name="40% - Accent6 9 6 2" xfId="7896" xr:uid="{00000000-0005-0000-0000-000053540000}"/>
    <cellStyle name="40% - Accent6 9 6 2 2" xfId="15866" xr:uid="{00000000-0005-0000-0000-000054540000}"/>
    <cellStyle name="40% - Accent6 9 6 2 2 2" xfId="39708" xr:uid="{9A4B1DF8-A034-4B56-B45E-B4296FE690B6}"/>
    <cellStyle name="40% - Accent6 9 6 2 3" xfId="23812" xr:uid="{00000000-0005-0000-0000-000055540000}"/>
    <cellStyle name="40% - Accent6 9 6 2 3 2" xfId="47644" xr:uid="{CE6476B7-A3DB-43E6-8D8F-39272B89546F}"/>
    <cellStyle name="40% - Accent6 9 6 2 4" xfId="31767" xr:uid="{7CEA809B-0017-493A-9D84-616DB4A11193}"/>
    <cellStyle name="40% - Accent6 9 6 3" xfId="12328" xr:uid="{00000000-0005-0000-0000-000056540000}"/>
    <cellStyle name="40% - Accent6 9 6 3 2" xfId="36177" xr:uid="{2752B14A-D109-481B-B26A-B6603AF9864E}"/>
    <cellStyle name="40% - Accent6 9 6 4" xfId="20283" xr:uid="{00000000-0005-0000-0000-000057540000}"/>
    <cellStyle name="40% - Accent6 9 6 4 2" xfId="44115" xr:uid="{4884793A-3B45-46E0-9CAE-E59197FE0894}"/>
    <cellStyle name="40% - Accent6 9 6 5" xfId="28236" xr:uid="{445416E8-9879-4B09-90C7-F05AAD32EC65}"/>
    <cellStyle name="40% - Accent6 9 7" xfId="6124" xr:uid="{00000000-0005-0000-0000-000058540000}"/>
    <cellStyle name="40% - Accent6 9 7 2" xfId="14107" xr:uid="{00000000-0005-0000-0000-000059540000}"/>
    <cellStyle name="40% - Accent6 9 7 2 2" xfId="37950" xr:uid="{6592A85F-9586-4E4B-AB6B-020F9B8D1B3E}"/>
    <cellStyle name="40% - Accent6 9 7 3" xfId="22055" xr:uid="{00000000-0005-0000-0000-00005A540000}"/>
    <cellStyle name="40% - Accent6 9 7 3 2" xfId="45887" xr:uid="{AB8EA80A-AB1E-441C-8BFC-E19CB8C492ED}"/>
    <cellStyle name="40% - Accent6 9 7 4" xfId="30009" xr:uid="{4BF375CC-EDF1-4978-94EF-5F2B7579046C}"/>
    <cellStyle name="40% - Accent6 9 8" xfId="9676" xr:uid="{00000000-0005-0000-0000-00005B540000}"/>
    <cellStyle name="40% - Accent6 9 8 2" xfId="17634" xr:uid="{00000000-0005-0000-0000-00005C540000}"/>
    <cellStyle name="40% - Accent6 9 8 2 2" xfId="41474" xr:uid="{024646B5-E000-465B-960D-FCFD1A45645C}"/>
    <cellStyle name="40% - Accent6 9 8 3" xfId="25578" xr:uid="{00000000-0005-0000-0000-00005D540000}"/>
    <cellStyle name="40% - Accent6 9 8 3 2" xfId="49410" xr:uid="{18E30E00-28A2-47B7-AE66-75B231D71679}"/>
    <cellStyle name="40% - Accent6 9 8 4" xfId="33533" xr:uid="{1445B0EE-8122-4C0A-84D8-1849528AE5F8}"/>
    <cellStyle name="40% - Accent6 9 9" xfId="10572" xr:uid="{00000000-0005-0000-0000-00005E540000}"/>
    <cellStyle name="40% - Accent6 9 9 2" xfId="34421" xr:uid="{26027ED1-A7C8-4180-92C6-E9B97FBFE13C}"/>
    <cellStyle name="40% - Accent6 9_Exh G" xfId="3412" xr:uid="{00000000-0005-0000-0000-00005F540000}"/>
    <cellStyle name="60% - Accent1 2" xfId="739" xr:uid="{00000000-0005-0000-0000-000060540000}"/>
    <cellStyle name="60% - Accent1 3" xfId="740" xr:uid="{00000000-0005-0000-0000-000061540000}"/>
    <cellStyle name="60% - Accent1 4" xfId="741" xr:uid="{00000000-0005-0000-0000-000062540000}"/>
    <cellStyle name="60% - Accent2 2" xfId="742" xr:uid="{00000000-0005-0000-0000-000063540000}"/>
    <cellStyle name="60% - Accent2 3" xfId="743" xr:uid="{00000000-0005-0000-0000-000064540000}"/>
    <cellStyle name="60% - Accent2 4" xfId="744" xr:uid="{00000000-0005-0000-0000-000065540000}"/>
    <cellStyle name="60% - Accent3 2" xfId="745" xr:uid="{00000000-0005-0000-0000-000066540000}"/>
    <cellStyle name="60% - Accent3 3" xfId="746" xr:uid="{00000000-0005-0000-0000-000067540000}"/>
    <cellStyle name="60% - Accent3 4" xfId="747" xr:uid="{00000000-0005-0000-0000-000068540000}"/>
    <cellStyle name="60% - Accent4 2" xfId="748" xr:uid="{00000000-0005-0000-0000-000069540000}"/>
    <cellStyle name="60% - Accent4 3" xfId="749" xr:uid="{00000000-0005-0000-0000-00006A540000}"/>
    <cellStyle name="60% - Accent4 4" xfId="750" xr:uid="{00000000-0005-0000-0000-00006B540000}"/>
    <cellStyle name="60% - Accent5 2" xfId="751" xr:uid="{00000000-0005-0000-0000-00006C540000}"/>
    <cellStyle name="60% - Accent5 3" xfId="752" xr:uid="{00000000-0005-0000-0000-00006D540000}"/>
    <cellStyle name="60% - Accent5 4" xfId="753" xr:uid="{00000000-0005-0000-0000-00006E540000}"/>
    <cellStyle name="60% - Accent6 2" xfId="754" xr:uid="{00000000-0005-0000-0000-00006F540000}"/>
    <cellStyle name="60% - Accent6 3" xfId="755" xr:uid="{00000000-0005-0000-0000-000070540000}"/>
    <cellStyle name="60% - Accent6 4" xfId="756" xr:uid="{00000000-0005-0000-0000-000071540000}"/>
    <cellStyle name="Accent1 2" xfId="757" xr:uid="{00000000-0005-0000-0000-000072540000}"/>
    <cellStyle name="Accent1 3" xfId="758" xr:uid="{00000000-0005-0000-0000-000073540000}"/>
    <cellStyle name="Accent1 4" xfId="759" xr:uid="{00000000-0005-0000-0000-000074540000}"/>
    <cellStyle name="Accent2 2" xfId="760" xr:uid="{00000000-0005-0000-0000-000075540000}"/>
    <cellStyle name="Accent2 3" xfId="761" xr:uid="{00000000-0005-0000-0000-000076540000}"/>
    <cellStyle name="Accent2 4" xfId="762" xr:uid="{00000000-0005-0000-0000-000077540000}"/>
    <cellStyle name="Accent3 2" xfId="763" xr:uid="{00000000-0005-0000-0000-000078540000}"/>
    <cellStyle name="Accent3 3" xfId="764" xr:uid="{00000000-0005-0000-0000-000079540000}"/>
    <cellStyle name="Accent3 4" xfId="765" xr:uid="{00000000-0005-0000-0000-00007A540000}"/>
    <cellStyle name="Accent4 2" xfId="766" xr:uid="{00000000-0005-0000-0000-00007B540000}"/>
    <cellStyle name="Accent4 3" xfId="767" xr:uid="{00000000-0005-0000-0000-00007C540000}"/>
    <cellStyle name="Accent4 4" xfId="768" xr:uid="{00000000-0005-0000-0000-00007D540000}"/>
    <cellStyle name="Accent5 2" xfId="769" xr:uid="{00000000-0005-0000-0000-00007E540000}"/>
    <cellStyle name="Accent5 3" xfId="770" xr:uid="{00000000-0005-0000-0000-00007F540000}"/>
    <cellStyle name="Accent5 4" xfId="771" xr:uid="{00000000-0005-0000-0000-000080540000}"/>
    <cellStyle name="Accent6 2" xfId="772" xr:uid="{00000000-0005-0000-0000-000081540000}"/>
    <cellStyle name="Accent6 3" xfId="773" xr:uid="{00000000-0005-0000-0000-000082540000}"/>
    <cellStyle name="Accent6 4" xfId="774" xr:uid="{00000000-0005-0000-0000-000083540000}"/>
    <cellStyle name="Bad 2" xfId="775" xr:uid="{00000000-0005-0000-0000-000084540000}"/>
    <cellStyle name="Bad 3" xfId="776" xr:uid="{00000000-0005-0000-0000-000085540000}"/>
    <cellStyle name="Bad 4" xfId="777" xr:uid="{00000000-0005-0000-0000-000086540000}"/>
    <cellStyle name="C00A" xfId="49698" xr:uid="{651E60E2-5F16-4971-B758-5E1DB5D226C5}"/>
    <cellStyle name="C00B" xfId="49699" xr:uid="{D7A9A9E8-AD47-4B47-9C8B-19F346E1F606}"/>
    <cellStyle name="C00L" xfId="49700" xr:uid="{972D11D0-E098-4593-B08F-41EFD348E95A}"/>
    <cellStyle name="C01A" xfId="49701" xr:uid="{373A0D2D-F697-43FA-8B25-0BE173B4FA7D}"/>
    <cellStyle name="C01B" xfId="49702" xr:uid="{C4782731-6FA2-4EE0-B720-0CAD77B50ADF}"/>
    <cellStyle name="C01H" xfId="49703" xr:uid="{BE517F0B-DB1B-49BB-BCDE-A6AC4BBD2A79}"/>
    <cellStyle name="C01L" xfId="49704" xr:uid="{5786AC69-F3E4-4899-A40D-FC463116F031}"/>
    <cellStyle name="C02A" xfId="49705" xr:uid="{1BCDA1EB-D915-4765-A23E-DCDB9977D44B}"/>
    <cellStyle name="C02B" xfId="49706" xr:uid="{5E3E6CDD-2FC2-4FCB-AABC-1E67F9133BA0}"/>
    <cellStyle name="C02H" xfId="49707" xr:uid="{167DFFC2-9900-410D-B8BB-2E3CBD12A30E}"/>
    <cellStyle name="C02L" xfId="49708" xr:uid="{A4C1EBB3-67A6-485B-9573-4658D738D0FE}"/>
    <cellStyle name="C03A" xfId="49709" xr:uid="{08EC0611-1AD1-44E7-A718-90876E55854B}"/>
    <cellStyle name="C03B" xfId="49710" xr:uid="{4D73D23E-B894-4527-A4F8-DB11C4EB11B7}"/>
    <cellStyle name="C03H" xfId="49711" xr:uid="{E21B60C1-1062-4305-A4AD-70C0ABFA318D}"/>
    <cellStyle name="C03L" xfId="49712" xr:uid="{C417BB95-5CD3-42F0-89F1-F039F1658FF7}"/>
    <cellStyle name="C04A" xfId="49713" xr:uid="{58D0B77C-3A42-4B8C-A801-FDBB76597CA1}"/>
    <cellStyle name="C04B" xfId="49714" xr:uid="{10E70545-BAC4-4740-A525-974712F0FEC1}"/>
    <cellStyle name="C04H" xfId="49715" xr:uid="{7DDA02B7-5DA4-4E6C-B6D9-C34698E33A0E}"/>
    <cellStyle name="C04L" xfId="49716" xr:uid="{492D8597-D88B-4399-8714-14B414A5AB67}"/>
    <cellStyle name="C05A" xfId="49717" xr:uid="{1C20608B-0408-43FC-8277-80C453594AEE}"/>
    <cellStyle name="C05B" xfId="49718" xr:uid="{E55CF831-5429-485F-9C11-1581956DB610}"/>
    <cellStyle name="C05H" xfId="49719" xr:uid="{1810EA43-ECCE-45E7-989D-F6E0C218F4BF}"/>
    <cellStyle name="C05L" xfId="49720" xr:uid="{5088F11A-1BF3-4CD0-8E88-363147E86014}"/>
    <cellStyle name="C05L 2" xfId="49780" xr:uid="{31623C7F-A7CA-4C0D-9001-73A280F914CC}"/>
    <cellStyle name="C05L 3" xfId="49766" xr:uid="{8D89F559-5BAB-4253-AEF6-9ABC7DD8000B}"/>
    <cellStyle name="C06A" xfId="49721" xr:uid="{E39FCB18-6B11-4E9E-88C5-DE06CD1AF104}"/>
    <cellStyle name="C06B" xfId="49722" xr:uid="{35ED561A-B862-45A5-BA57-A07AAAD0B5BC}"/>
    <cellStyle name="C06H" xfId="49723" xr:uid="{E1ED3CD1-7FEA-4B81-AA48-73529559A72E}"/>
    <cellStyle name="C06L" xfId="49724" xr:uid="{67E30422-E94B-492A-AED2-F3B045EA9115}"/>
    <cellStyle name="C07A" xfId="49725" xr:uid="{0BE651D3-CDBA-4999-A05C-ADD85E64B371}"/>
    <cellStyle name="C07B" xfId="49726" xr:uid="{B895DDF3-8628-453D-8D49-74EE6C29468A}"/>
    <cellStyle name="C07H" xfId="49727" xr:uid="{76E5E761-5C38-4800-B034-9D8C2BCFC0B3}"/>
    <cellStyle name="C07L" xfId="49728" xr:uid="{4348BC1E-7A9B-45B9-89B4-F8DBE411C33B}"/>
    <cellStyle name="Calculation 2" xfId="778" xr:uid="{00000000-0005-0000-0000-000087540000}"/>
    <cellStyle name="Calculation 3" xfId="779" xr:uid="{00000000-0005-0000-0000-000088540000}"/>
    <cellStyle name="Calculation 3 2" xfId="6230" xr:uid="{00000000-0005-0000-0000-000089540000}"/>
    <cellStyle name="Calculation 4" xfId="780" xr:uid="{00000000-0005-0000-0000-00008A540000}"/>
    <cellStyle name="Calculation 4 2" xfId="6231" xr:uid="{00000000-0005-0000-0000-00008B540000}"/>
    <cellStyle name="Check Cell 2" xfId="781" xr:uid="{00000000-0005-0000-0000-00008C540000}"/>
    <cellStyle name="Check Cell 3" xfId="782" xr:uid="{00000000-0005-0000-0000-00008D540000}"/>
    <cellStyle name="Check Cell 4" xfId="783" xr:uid="{00000000-0005-0000-0000-00008E540000}"/>
    <cellStyle name="Comma" xfId="17915" builtinId="3"/>
    <cellStyle name="Comma 11" xfId="25859" xr:uid="{00000000-0005-0000-0000-000091540000}"/>
    <cellStyle name="Comma 12" xfId="49795" xr:uid="{7DC7A0B4-4AB1-4302-A0E7-A2839EBF1C1B}"/>
    <cellStyle name="Comma 2 2" xfId="738" xr:uid="{00000000-0005-0000-0000-000093540000}"/>
    <cellStyle name="Comma 2 2 2" xfId="830" xr:uid="{00000000-0005-0000-0000-000094540000}"/>
    <cellStyle name="Comma 2 2 3" xfId="1004" xr:uid="{00000000-0005-0000-0000-000096540000}"/>
    <cellStyle name="Comma 2 3" xfId="831" xr:uid="{00000000-0005-0000-0000-000097540000}"/>
    <cellStyle name="Comma 2 3 2" xfId="1767" xr:uid="{00000000-0005-0000-0000-000098540000}"/>
    <cellStyle name="Comma 2 4" xfId="832" xr:uid="{00000000-0005-0000-0000-000099540000}"/>
    <cellStyle name="Comma 2 4 2" xfId="1768" xr:uid="{00000000-0005-0000-0000-00009A540000}"/>
    <cellStyle name="Comma 2 5" xfId="854" xr:uid="{00000000-0005-0000-0000-00009B540000}"/>
    <cellStyle name="Comma 2 5 2" xfId="1789" xr:uid="{00000000-0005-0000-0000-00009C540000}"/>
    <cellStyle name="Comma 2 6" xfId="1003" xr:uid="{00000000-0005-0000-0000-00009D540000}"/>
    <cellStyle name="Comma 2 7" xfId="1041" xr:uid="{00000000-0005-0000-0000-00009E540000}"/>
    <cellStyle name="Comma 2 8" xfId="5459" xr:uid="{00000000-0005-0000-0000-00009F540000}"/>
    <cellStyle name="Comma 2 9" xfId="5489" xr:uid="{00000000-0005-0000-0000-0000A0540000}"/>
    <cellStyle name="Comma 2 9 2" xfId="5506" xr:uid="{00000000-0005-0000-0000-0000A1540000}"/>
    <cellStyle name="Comma 3" xfId="4" xr:uid="{00000000-0005-0000-0000-0000A2540000}"/>
    <cellStyle name="Comma 3 2" xfId="1005" xr:uid="{00000000-0005-0000-0000-0000A3540000}"/>
    <cellStyle name="Comma 3 2 2" xfId="1912" xr:uid="{00000000-0005-0000-0000-0000A4540000}"/>
    <cellStyle name="Comma 3 2 2 2" xfId="5429" xr:uid="{00000000-0005-0000-0000-0000A5540000}"/>
    <cellStyle name="Comma 3 2 2 2 2" xfId="9020" xr:uid="{00000000-0005-0000-0000-0000A6540000}"/>
    <cellStyle name="Comma 3 2 2 2 2 2" xfId="16990" xr:uid="{00000000-0005-0000-0000-0000A7540000}"/>
    <cellStyle name="Comma 3 2 2 2 2 2 2" xfId="40832" xr:uid="{2128CBE7-3446-4289-BA6E-3A5C169A7DC6}"/>
    <cellStyle name="Comma 3 2 2 2 2 3" xfId="24936" xr:uid="{00000000-0005-0000-0000-0000A8540000}"/>
    <cellStyle name="Comma 3 2 2 2 2 3 2" xfId="48768" xr:uid="{6A57AC74-2235-4808-8DF8-2E22174EE811}"/>
    <cellStyle name="Comma 3 2 2 2 2 4" xfId="32891" xr:uid="{91D42DBC-6632-40D5-95CA-0B8890498074}"/>
    <cellStyle name="Comma 3 2 2 2 3" xfId="13452" xr:uid="{00000000-0005-0000-0000-0000A9540000}"/>
    <cellStyle name="Comma 3 2 2 2 3 2" xfId="37301" xr:uid="{BE295E30-6A34-4D3B-B50D-1D4F5CD45996}"/>
    <cellStyle name="Comma 3 2 2 2 4" xfId="21407" xr:uid="{00000000-0005-0000-0000-0000AA540000}"/>
    <cellStyle name="Comma 3 2 2 2 4 2" xfId="45239" xr:uid="{D24D354D-A0B1-46A7-AFD6-B32B9B2F4312}"/>
    <cellStyle name="Comma 3 2 2 2 5" xfId="29360" xr:uid="{43DCEF07-3130-4241-90B7-603F7417C52C}"/>
    <cellStyle name="Comma 3 2 2 3" xfId="7261" xr:uid="{00000000-0005-0000-0000-0000AB540000}"/>
    <cellStyle name="Comma 3 2 2 3 2" xfId="15232" xr:uid="{00000000-0005-0000-0000-0000AC540000}"/>
    <cellStyle name="Comma 3 2 2 3 2 2" xfId="39074" xr:uid="{E91FA95E-151F-462B-83FD-48104353866F}"/>
    <cellStyle name="Comma 3 2 2 3 3" xfId="23179" xr:uid="{00000000-0005-0000-0000-0000AD540000}"/>
    <cellStyle name="Comma 3 2 2 3 3 2" xfId="47011" xr:uid="{AC25DA99-4578-4987-9081-47F0DFCCDEA5}"/>
    <cellStyle name="Comma 3 2 2 3 4" xfId="31133" xr:uid="{1BAC6860-C771-405F-ABD6-D010ADB19AB5}"/>
    <cellStyle name="Comma 3 2 2 4" xfId="11696" xr:uid="{00000000-0005-0000-0000-0000AE540000}"/>
    <cellStyle name="Comma 3 2 2 4 2" xfId="35545" xr:uid="{90FB4BD2-B308-4FD7-B5E5-DB26FD00ED43}"/>
    <cellStyle name="Comma 3 2 2 5" xfId="19651" xr:uid="{00000000-0005-0000-0000-0000AF540000}"/>
    <cellStyle name="Comma 3 2 2 5 2" xfId="43483" xr:uid="{8BDEDD4C-E4CA-4460-84CF-48E31C4637AF}"/>
    <cellStyle name="Comma 3 2 2 6" xfId="27603" xr:uid="{EF99BFCC-CE2E-43FD-BDD6-367B3E306D41}"/>
    <cellStyle name="Comma 3 2 3" xfId="4550" xr:uid="{00000000-0005-0000-0000-0000B0540000}"/>
    <cellStyle name="Comma 3 2 3 2" xfId="8142" xr:uid="{00000000-0005-0000-0000-0000B1540000}"/>
    <cellStyle name="Comma 3 2 3 2 2" xfId="16112" xr:uid="{00000000-0005-0000-0000-0000B2540000}"/>
    <cellStyle name="Comma 3 2 3 2 2 2" xfId="39954" xr:uid="{15F0685C-0A5D-4FB9-853F-DF58BDBCC810}"/>
    <cellStyle name="Comma 3 2 3 2 3" xfId="24058" xr:uid="{00000000-0005-0000-0000-0000B3540000}"/>
    <cellStyle name="Comma 3 2 3 2 3 2" xfId="47890" xr:uid="{1F0A1D3F-94EB-4CA8-AE1B-45418A0FC04A}"/>
    <cellStyle name="Comma 3 2 3 2 4" xfId="32013" xr:uid="{0D2244B5-57A8-4FD0-B74E-B5A481C4F671}"/>
    <cellStyle name="Comma 3 2 3 3" xfId="12574" xr:uid="{00000000-0005-0000-0000-0000B4540000}"/>
    <cellStyle name="Comma 3 2 3 3 2" xfId="36423" xr:uid="{5A50534E-7FC1-4BD2-83E1-7FEF2347447F}"/>
    <cellStyle name="Comma 3 2 3 4" xfId="20529" xr:uid="{00000000-0005-0000-0000-0000B5540000}"/>
    <cellStyle name="Comma 3 2 3 4 2" xfId="44361" xr:uid="{BC302ACA-3097-43D3-9B77-BFBB4D7F44E6}"/>
    <cellStyle name="Comma 3 2 3 5" xfId="28482" xr:uid="{32B2B8BF-4316-422A-AC2A-D918A3FF1D26}"/>
    <cellStyle name="Comma 3 2 4" xfId="5465" xr:uid="{00000000-0005-0000-0000-0000B6540000}"/>
    <cellStyle name="Comma 3 2 5" xfId="6380" xr:uid="{00000000-0005-0000-0000-0000B7540000}"/>
    <cellStyle name="Comma 3 2 5 2" xfId="14354" xr:uid="{00000000-0005-0000-0000-0000B8540000}"/>
    <cellStyle name="Comma 3 2 5 2 2" xfId="38196" xr:uid="{1FB349CC-CBF6-4D55-8C92-527244605AC6}"/>
    <cellStyle name="Comma 3 2 5 3" xfId="22301" xr:uid="{00000000-0005-0000-0000-0000B9540000}"/>
    <cellStyle name="Comma 3 2 5 3 2" xfId="46133" xr:uid="{F2A6B503-0170-4F39-B571-CAC5F99496FD}"/>
    <cellStyle name="Comma 3 2 5 4" xfId="30255" xr:uid="{982A00D8-7856-4E7A-A521-16CB2D2AA47D}"/>
    <cellStyle name="Comma 3 2 6" xfId="9922" xr:uid="{00000000-0005-0000-0000-0000BA540000}"/>
    <cellStyle name="Comma 3 2 6 2" xfId="17880" xr:uid="{00000000-0005-0000-0000-0000BB540000}"/>
    <cellStyle name="Comma 3 2 6 2 2" xfId="41720" xr:uid="{38BF0FEA-891C-410E-B5E0-CE1E32AF8658}"/>
    <cellStyle name="Comma 3 2 6 3" xfId="25824" xr:uid="{00000000-0005-0000-0000-0000BC540000}"/>
    <cellStyle name="Comma 3 2 6 3 2" xfId="49656" xr:uid="{4FD36C75-9FAF-492C-896C-23B647D34F76}"/>
    <cellStyle name="Comma 3 2 6 4" xfId="33779" xr:uid="{9CF5DEFA-81B2-47F5-99BB-963DC289A239}"/>
    <cellStyle name="Comma 3 2 7" xfId="10818" xr:uid="{00000000-0005-0000-0000-0000BD540000}"/>
    <cellStyle name="Comma 3 2 7 2" xfId="34667" xr:uid="{A953117F-C892-4559-B41E-A769DFAA7FC3}"/>
    <cellStyle name="Comma 3 2 8" xfId="18773" xr:uid="{00000000-0005-0000-0000-0000BE540000}"/>
    <cellStyle name="Comma 3 2 8 2" xfId="42605" xr:uid="{39B6EC71-44A2-4890-ADA2-BC79608A1E11}"/>
    <cellStyle name="Comma 3 2 9" xfId="26725" xr:uid="{20B27E88-5E40-43F1-912F-F77472CE2200}"/>
    <cellStyle name="Comma 3 3" xfId="1043" xr:uid="{00000000-0005-0000-0000-0000BF540000}"/>
    <cellStyle name="Comma 3 4" xfId="5461" xr:uid="{00000000-0005-0000-0000-0000C0540000}"/>
    <cellStyle name="Comma 3 5" xfId="5510" xr:uid="{00000000-0005-0000-0000-0000C1540000}"/>
    <cellStyle name="Comma 4" xfId="6" xr:uid="{00000000-0005-0000-0000-0000C2540000}"/>
    <cellStyle name="Comma 4 2" xfId="1006" xr:uid="{00000000-0005-0000-0000-0000C3540000}"/>
    <cellStyle name="Comma 5" xfId="8" xr:uid="{00000000-0005-0000-0000-0000C4540000}"/>
    <cellStyle name="Comma 6" xfId="18" xr:uid="{00000000-0005-0000-0000-0000C5540000}"/>
    <cellStyle name="Comma 6 2" xfId="1046" xr:uid="{00000000-0005-0000-0000-0000C6540000}"/>
    <cellStyle name="Comma 6 2 2" xfId="4573" xr:uid="{00000000-0005-0000-0000-0000C7540000}"/>
    <cellStyle name="Comma 6 2 2 2" xfId="8164" xr:uid="{00000000-0005-0000-0000-0000C8540000}"/>
    <cellStyle name="Comma 6 2 2 2 2" xfId="16134" xr:uid="{00000000-0005-0000-0000-0000C9540000}"/>
    <cellStyle name="Comma 6 2 2 2 2 2" xfId="39976" xr:uid="{3DA24009-E1C0-4018-9DFA-56CD5EE0643F}"/>
    <cellStyle name="Comma 6 2 2 2 3" xfId="24080" xr:uid="{00000000-0005-0000-0000-0000CA540000}"/>
    <cellStyle name="Comma 6 2 2 2 3 2" xfId="47912" xr:uid="{EF0CA107-5946-434F-B0B1-ACECF19093AC}"/>
    <cellStyle name="Comma 6 2 2 2 4" xfId="32035" xr:uid="{22D59179-F457-4619-8A53-912787861120}"/>
    <cellStyle name="Comma 6 2 2 3" xfId="12596" xr:uid="{00000000-0005-0000-0000-0000CB540000}"/>
    <cellStyle name="Comma 6 2 2 3 2" xfId="36445" xr:uid="{FDC14E04-4EBF-4997-8464-179A1E15EF72}"/>
    <cellStyle name="Comma 6 2 2 4" xfId="20551" xr:uid="{00000000-0005-0000-0000-0000CC540000}"/>
    <cellStyle name="Comma 6 2 2 4 2" xfId="44383" xr:uid="{95864417-4BF3-4670-B20A-0D72AF4E75FD}"/>
    <cellStyle name="Comma 6 2 2 5" xfId="28504" xr:uid="{7FFDF6D6-6DC0-4242-A017-33A2E3E43A28}"/>
    <cellStyle name="Comma 6 2 3" xfId="6405" xr:uid="{00000000-0005-0000-0000-0000CD540000}"/>
    <cellStyle name="Comma 6 2 3 2" xfId="14376" xr:uid="{00000000-0005-0000-0000-0000CE540000}"/>
    <cellStyle name="Comma 6 2 3 2 2" xfId="38218" xr:uid="{F368D5B7-9625-4480-8893-320D4DB76FCC}"/>
    <cellStyle name="Comma 6 2 3 3" xfId="22323" xr:uid="{00000000-0005-0000-0000-0000CF540000}"/>
    <cellStyle name="Comma 6 2 3 3 2" xfId="46155" xr:uid="{307228D4-7436-4DA9-96C8-17C2B071BE96}"/>
    <cellStyle name="Comma 6 2 3 4" xfId="30277" xr:uid="{8D8503A1-D10A-4CBD-91E5-D3944F0EF55F}"/>
    <cellStyle name="Comma 6 2 4" xfId="10840" xr:uid="{00000000-0005-0000-0000-0000D0540000}"/>
    <cellStyle name="Comma 6 2 4 2" xfId="34689" xr:uid="{AF9DEA65-EA1A-4E75-B46F-26A2B01F4EAA}"/>
    <cellStyle name="Comma 6 2 5" xfId="18795" xr:uid="{00000000-0005-0000-0000-0000D1540000}"/>
    <cellStyle name="Comma 6 2 5 2" xfId="42627" xr:uid="{5EA10542-D6EC-4ABF-AC14-306BADEE5DBF}"/>
    <cellStyle name="Comma 6 2 6" xfId="26747" xr:uid="{3323436B-583A-4AA5-A258-807E7D2EA79F}"/>
    <cellStyle name="Comma 6 3" xfId="3694" xr:uid="{00000000-0005-0000-0000-0000D2540000}"/>
    <cellStyle name="Comma 6 3 2" xfId="7286" xr:uid="{00000000-0005-0000-0000-0000D3540000}"/>
    <cellStyle name="Comma 6 3 2 2" xfId="15256" xr:uid="{00000000-0005-0000-0000-0000D4540000}"/>
    <cellStyle name="Comma 6 3 2 2 2" xfId="39098" xr:uid="{96233E1A-C59D-49E6-ACAD-D90EC01C1BD3}"/>
    <cellStyle name="Comma 6 3 2 3" xfId="23202" xr:uid="{00000000-0005-0000-0000-0000D5540000}"/>
    <cellStyle name="Comma 6 3 2 3 2" xfId="47034" xr:uid="{950E093E-7AA0-4F35-923A-A1DE8669159C}"/>
    <cellStyle name="Comma 6 3 2 4" xfId="31157" xr:uid="{AC009CB1-7FF1-48A0-943D-DA244FC74042}"/>
    <cellStyle name="Comma 6 3 3" xfId="11718" xr:uid="{00000000-0005-0000-0000-0000D6540000}"/>
    <cellStyle name="Comma 6 3 3 2" xfId="35567" xr:uid="{92FCF4CA-93D1-49C5-947D-2C6568901C1E}"/>
    <cellStyle name="Comma 6 3 4" xfId="19673" xr:uid="{00000000-0005-0000-0000-0000D7540000}"/>
    <cellStyle name="Comma 6 3 4 2" xfId="43505" xr:uid="{6297DF48-9C1B-49E7-9C24-3753DE6178A0}"/>
    <cellStyle name="Comma 6 3 5" xfId="27626" xr:uid="{5FB9AC37-665A-4295-A9F8-FC413FB0682D}"/>
    <cellStyle name="Comma 6 4" xfId="5514" xr:uid="{00000000-0005-0000-0000-0000D8540000}"/>
    <cellStyle name="Comma 6 4 2" xfId="13497" xr:uid="{00000000-0005-0000-0000-0000D9540000}"/>
    <cellStyle name="Comma 6 4 2 2" xfId="37340" xr:uid="{78FA54E1-2474-43C7-995C-BBFAD35879F7}"/>
    <cellStyle name="Comma 6 4 3" xfId="21445" xr:uid="{00000000-0005-0000-0000-0000DA540000}"/>
    <cellStyle name="Comma 6 4 3 2" xfId="45277" xr:uid="{444713C9-7E23-45A9-A1F2-409A3EB01897}"/>
    <cellStyle name="Comma 6 4 4" xfId="29399" xr:uid="{BE07D250-24BB-4323-91FF-606C8630D95C}"/>
    <cellStyle name="Comma 6 5" xfId="9066" xr:uid="{00000000-0005-0000-0000-0000DB540000}"/>
    <cellStyle name="Comma 6 5 2" xfId="17024" xr:uid="{00000000-0005-0000-0000-0000DC540000}"/>
    <cellStyle name="Comma 6 5 2 2" xfId="40864" xr:uid="{02702603-92D5-4F76-8735-BAF41723D890}"/>
    <cellStyle name="Comma 6 5 3" xfId="24968" xr:uid="{00000000-0005-0000-0000-0000DD540000}"/>
    <cellStyle name="Comma 6 5 3 2" xfId="48800" xr:uid="{937A0269-3B58-4E4A-86C7-69B9A0005962}"/>
    <cellStyle name="Comma 6 5 4" xfId="32923" xr:uid="{CB6E3369-D249-4796-AFE8-1F189713B5E6}"/>
    <cellStyle name="Comma 6 6" xfId="9962" xr:uid="{00000000-0005-0000-0000-0000DE540000}"/>
    <cellStyle name="Comma 6 6 2" xfId="33811" xr:uid="{B52161C4-A6E8-4DC9-B901-1065E12AC022}"/>
    <cellStyle name="Comma 6 7" xfId="17917" xr:uid="{00000000-0005-0000-0000-0000DF540000}"/>
    <cellStyle name="Comma 6 7 2" xfId="41749" xr:uid="{E5FFEF3A-C61A-4125-A253-856C4B62C8C9}"/>
    <cellStyle name="Comma 6 8" xfId="25869" xr:uid="{C629B76B-859E-4F27-9EA3-738E7BD1F810}"/>
    <cellStyle name="Comma 7" xfId="21" xr:uid="{00000000-0005-0000-0000-0000E0540000}"/>
    <cellStyle name="Comma 8" xfId="829" xr:uid="{00000000-0005-0000-0000-0000E1540000}"/>
    <cellStyle name="Comma 8 2" xfId="1766" xr:uid="{00000000-0005-0000-0000-0000E2540000}"/>
    <cellStyle name="Comma 8 2 2" xfId="5292" xr:uid="{00000000-0005-0000-0000-0000E3540000}"/>
    <cellStyle name="Comma 8 2 2 2" xfId="8883" xr:uid="{00000000-0005-0000-0000-0000E4540000}"/>
    <cellStyle name="Comma 8 2 2 2 2" xfId="16853" xr:uid="{00000000-0005-0000-0000-0000E5540000}"/>
    <cellStyle name="Comma 8 2 2 2 2 2" xfId="40695" xr:uid="{B716F429-1DAB-4460-B786-192FFE1BD0EA}"/>
    <cellStyle name="Comma 8 2 2 2 3" xfId="24799" xr:uid="{00000000-0005-0000-0000-0000E6540000}"/>
    <cellStyle name="Comma 8 2 2 2 3 2" xfId="48631" xr:uid="{CFFC9ADA-07F8-4A04-8B54-EDF89A15B501}"/>
    <cellStyle name="Comma 8 2 2 2 4" xfId="32754" xr:uid="{F2115FBA-30C0-4963-B738-EE6C2412B00D}"/>
    <cellStyle name="Comma 8 2 2 3" xfId="13315" xr:uid="{00000000-0005-0000-0000-0000E7540000}"/>
    <cellStyle name="Comma 8 2 2 3 2" xfId="37164" xr:uid="{D0629531-BAEF-4DBC-AFBB-550FEBF85C05}"/>
    <cellStyle name="Comma 8 2 2 4" xfId="21270" xr:uid="{00000000-0005-0000-0000-0000E8540000}"/>
    <cellStyle name="Comma 8 2 2 4 2" xfId="45102" xr:uid="{16E8894A-3FE5-494D-B320-384564957F89}"/>
    <cellStyle name="Comma 8 2 2 5" xfId="29223" xr:uid="{72EC5D99-1D65-4E89-92B0-3C76B2CABFC5}"/>
    <cellStyle name="Comma 8 2 3" xfId="7124" xr:uid="{00000000-0005-0000-0000-0000E9540000}"/>
    <cellStyle name="Comma 8 2 3 2" xfId="15095" xr:uid="{00000000-0005-0000-0000-0000EA540000}"/>
    <cellStyle name="Comma 8 2 3 2 2" xfId="38937" xr:uid="{9EED6D67-B9B0-44DA-BAEC-2F335154F776}"/>
    <cellStyle name="Comma 8 2 3 3" xfId="23042" xr:uid="{00000000-0005-0000-0000-0000EB540000}"/>
    <cellStyle name="Comma 8 2 3 3 2" xfId="46874" xr:uid="{E7ADA89D-FA84-4FC1-965D-5B3532C26BFC}"/>
    <cellStyle name="Comma 8 2 3 4" xfId="30996" xr:uid="{ED4C0669-2D2D-43BD-9BE2-E091E854FAB8}"/>
    <cellStyle name="Comma 8 2 4" xfId="11559" xr:uid="{00000000-0005-0000-0000-0000EC540000}"/>
    <cellStyle name="Comma 8 2 4 2" xfId="35408" xr:uid="{14810BD4-BA09-4D2E-AAA1-0842082D3FCF}"/>
    <cellStyle name="Comma 8 2 5" xfId="19514" xr:uid="{00000000-0005-0000-0000-0000ED540000}"/>
    <cellStyle name="Comma 8 2 5 2" xfId="43346" xr:uid="{B248174A-3F52-462D-B83E-4CBD24E29F6A}"/>
    <cellStyle name="Comma 8 2 6" xfId="27466" xr:uid="{ED3E1462-4EFE-4340-AADE-A4E007A68FDB}"/>
    <cellStyle name="Comma 8 3" xfId="4413" xr:uid="{00000000-0005-0000-0000-0000EE540000}"/>
    <cellStyle name="Comma 8 3 2" xfId="8005" xr:uid="{00000000-0005-0000-0000-0000EF540000}"/>
    <cellStyle name="Comma 8 3 2 2" xfId="15975" xr:uid="{00000000-0005-0000-0000-0000F0540000}"/>
    <cellStyle name="Comma 8 3 2 2 2" xfId="39817" xr:uid="{719E92B5-4951-4D83-B51D-1D2CBD800BD9}"/>
    <cellStyle name="Comma 8 3 2 3" xfId="23921" xr:uid="{00000000-0005-0000-0000-0000F1540000}"/>
    <cellStyle name="Comma 8 3 2 3 2" xfId="47753" xr:uid="{5EF1A71E-55E0-471A-8CDF-D482C0C9EFCA}"/>
    <cellStyle name="Comma 8 3 2 4" xfId="31876" xr:uid="{0563B285-E5D2-4917-AB0D-E62CA6B16AE1}"/>
    <cellStyle name="Comma 8 3 3" xfId="12437" xr:uid="{00000000-0005-0000-0000-0000F2540000}"/>
    <cellStyle name="Comma 8 3 3 2" xfId="36286" xr:uid="{B9745409-9235-43AC-9923-FC80DD786CB2}"/>
    <cellStyle name="Comma 8 3 4" xfId="20392" xr:uid="{00000000-0005-0000-0000-0000F3540000}"/>
    <cellStyle name="Comma 8 3 4 2" xfId="44224" xr:uid="{C1C711DD-A2FA-47AC-8862-DFB0E0CC12B2}"/>
    <cellStyle name="Comma 8 3 5" xfId="28345" xr:uid="{C2FDFBEF-94A0-48DF-88DB-DFD8283A5573}"/>
    <cellStyle name="Comma 8 4" xfId="6243" xr:uid="{00000000-0005-0000-0000-0000F4540000}"/>
    <cellStyle name="Comma 8 4 2" xfId="14217" xr:uid="{00000000-0005-0000-0000-0000F5540000}"/>
    <cellStyle name="Comma 8 4 2 2" xfId="38059" xr:uid="{B22C9563-7D9C-4DD2-8805-12D018433BE1}"/>
    <cellStyle name="Comma 8 4 3" xfId="22164" xr:uid="{00000000-0005-0000-0000-0000F6540000}"/>
    <cellStyle name="Comma 8 4 3 2" xfId="45996" xr:uid="{4EF0651A-9BDB-48DB-8E3D-1824C1C2415A}"/>
    <cellStyle name="Comma 8 4 4" xfId="30118" xr:uid="{E2AB2BAA-55EE-4D0E-A94B-18F54FC55B41}"/>
    <cellStyle name="Comma 8 5" xfId="9785" xr:uid="{00000000-0005-0000-0000-0000F7540000}"/>
    <cellStyle name="Comma 8 5 2" xfId="17743" xr:uid="{00000000-0005-0000-0000-0000F8540000}"/>
    <cellStyle name="Comma 8 5 2 2" xfId="41583" xr:uid="{B9129AE9-E6E3-4B56-905F-D36DC61453A2}"/>
    <cellStyle name="Comma 8 5 3" xfId="25687" xr:uid="{00000000-0005-0000-0000-0000F9540000}"/>
    <cellStyle name="Comma 8 5 3 2" xfId="49519" xr:uid="{74B36869-51FA-4F47-887C-E9710C78EA76}"/>
    <cellStyle name="Comma 8 5 4" xfId="33642" xr:uid="{276E09B6-E1F0-4796-89B9-A730C8F33268}"/>
    <cellStyle name="Comma 8 6" xfId="10681" xr:uid="{00000000-0005-0000-0000-0000FA540000}"/>
    <cellStyle name="Comma 8 6 2" xfId="34530" xr:uid="{6CEDB4FC-6BC0-4835-B942-D429B4CDCD84}"/>
    <cellStyle name="Comma 8 7" xfId="18636" xr:uid="{00000000-0005-0000-0000-0000FB540000}"/>
    <cellStyle name="Comma 8 7 2" xfId="42468" xr:uid="{7A20DFF4-5E24-4045-AE4B-E909B13ABDBA}"/>
    <cellStyle name="Comma 8 8" xfId="25863" xr:uid="{00000000-0005-0000-0000-0000FC540000}"/>
    <cellStyle name="Comma 8 9" xfId="26588" xr:uid="{DB0E4FDA-B8B6-4050-A501-B50CE82404E4}"/>
    <cellStyle name="Comma 9" xfId="839" xr:uid="{00000000-0005-0000-0000-0000FD540000}"/>
    <cellStyle name="Comma 9 2" xfId="1774" xr:uid="{00000000-0005-0000-0000-0000FE540000}"/>
    <cellStyle name="Comma 9 2 2" xfId="5294" xr:uid="{00000000-0005-0000-0000-0000FF540000}"/>
    <cellStyle name="Comma 9 2 2 2" xfId="8885" xr:uid="{00000000-0005-0000-0000-000000550000}"/>
    <cellStyle name="Comma 9 2 2 2 2" xfId="16855" xr:uid="{00000000-0005-0000-0000-000001550000}"/>
    <cellStyle name="Comma 9 2 2 2 2 2" xfId="40697" xr:uid="{C64310D1-5AFE-4FA2-9FCE-EB4AC0FB8459}"/>
    <cellStyle name="Comma 9 2 2 2 3" xfId="24801" xr:uid="{00000000-0005-0000-0000-000002550000}"/>
    <cellStyle name="Comma 9 2 2 2 3 2" xfId="48633" xr:uid="{A25FD85D-D78A-4BF5-9C6C-7617B2C02AD4}"/>
    <cellStyle name="Comma 9 2 2 2 4" xfId="32756" xr:uid="{ACCD8FA6-9925-40EC-82C8-996D55EB6EFA}"/>
    <cellStyle name="Comma 9 2 2 3" xfId="13317" xr:uid="{00000000-0005-0000-0000-000003550000}"/>
    <cellStyle name="Comma 9 2 2 3 2" xfId="37166" xr:uid="{F1247F0B-DCB7-425E-A04E-6B511FB20EAE}"/>
    <cellStyle name="Comma 9 2 2 4" xfId="21272" xr:uid="{00000000-0005-0000-0000-000004550000}"/>
    <cellStyle name="Comma 9 2 2 4 2" xfId="45104" xr:uid="{506B9BC9-15F6-4C84-A793-F0206E7A6701}"/>
    <cellStyle name="Comma 9 2 2 5" xfId="29225" xr:uid="{20CC605C-4827-4040-8452-CDD8D767DEBD}"/>
    <cellStyle name="Comma 9 2 3" xfId="7126" xr:uid="{00000000-0005-0000-0000-000005550000}"/>
    <cellStyle name="Comma 9 2 3 2" xfId="15097" xr:uid="{00000000-0005-0000-0000-000006550000}"/>
    <cellStyle name="Comma 9 2 3 2 2" xfId="38939" xr:uid="{5A676071-BDE9-4557-A16A-F736C373BEC4}"/>
    <cellStyle name="Comma 9 2 3 3" xfId="23044" xr:uid="{00000000-0005-0000-0000-000007550000}"/>
    <cellStyle name="Comma 9 2 3 3 2" xfId="46876" xr:uid="{545E92D1-9118-403B-B458-286BDF169250}"/>
    <cellStyle name="Comma 9 2 3 4" xfId="30998" xr:uid="{9EC32253-DA66-4D54-BA25-E6E287B7A0F0}"/>
    <cellStyle name="Comma 9 2 4" xfId="11561" xr:uid="{00000000-0005-0000-0000-000008550000}"/>
    <cellStyle name="Comma 9 2 4 2" xfId="35410" xr:uid="{B63A9056-6995-4BD4-B6D9-77EC69DA2677}"/>
    <cellStyle name="Comma 9 2 5" xfId="19516" xr:uid="{00000000-0005-0000-0000-000009550000}"/>
    <cellStyle name="Comma 9 2 5 2" xfId="43348" xr:uid="{38A84370-E6F7-4001-A0AF-E82EDCA0CF91}"/>
    <cellStyle name="Comma 9 2 6" xfId="27468" xr:uid="{7F765011-244C-4FA1-BD77-0093180E5BC0}"/>
    <cellStyle name="Comma 9 3" xfId="4415" xr:uid="{00000000-0005-0000-0000-00000A550000}"/>
    <cellStyle name="Comma 9 3 2" xfId="8007" xr:uid="{00000000-0005-0000-0000-00000B550000}"/>
    <cellStyle name="Comma 9 3 2 2" xfId="15977" xr:uid="{00000000-0005-0000-0000-00000C550000}"/>
    <cellStyle name="Comma 9 3 2 2 2" xfId="39819" xr:uid="{308C8439-434D-421F-958E-5C81501AA0E8}"/>
    <cellStyle name="Comma 9 3 2 3" xfId="23923" xr:uid="{00000000-0005-0000-0000-00000D550000}"/>
    <cellStyle name="Comma 9 3 2 3 2" xfId="47755" xr:uid="{F305002B-49F7-4CD4-8348-78B5D925A7C0}"/>
    <cellStyle name="Comma 9 3 2 4" xfId="31878" xr:uid="{0DCC0B0E-4A3E-4953-A9A7-271BD33194A7}"/>
    <cellStyle name="Comma 9 3 3" xfId="12439" xr:uid="{00000000-0005-0000-0000-00000E550000}"/>
    <cellStyle name="Comma 9 3 3 2" xfId="36288" xr:uid="{81EE3CAE-F6BA-44CC-BE04-E77DDD1C4E0F}"/>
    <cellStyle name="Comma 9 3 4" xfId="20394" xr:uid="{00000000-0005-0000-0000-00000F550000}"/>
    <cellStyle name="Comma 9 3 4 2" xfId="44226" xr:uid="{904FCA4B-5CB2-41D7-9F17-9BFC0F9C770B}"/>
    <cellStyle name="Comma 9 3 5" xfId="28347" xr:uid="{0286B787-E1FE-49D6-A866-5C4CF259F609}"/>
    <cellStyle name="Comma 9 4" xfId="6245" xr:uid="{00000000-0005-0000-0000-000010550000}"/>
    <cellStyle name="Comma 9 4 2" xfId="14219" xr:uid="{00000000-0005-0000-0000-000011550000}"/>
    <cellStyle name="Comma 9 4 2 2" xfId="38061" xr:uid="{2F05F03C-3123-42D8-90FF-FFED3614EAE5}"/>
    <cellStyle name="Comma 9 4 3" xfId="22166" xr:uid="{00000000-0005-0000-0000-000012550000}"/>
    <cellStyle name="Comma 9 4 3 2" xfId="45998" xr:uid="{F8D8BB9E-5C94-4CD3-8998-9528AA1D318C}"/>
    <cellStyle name="Comma 9 4 4" xfId="30120" xr:uid="{8788ECC4-A1E4-4CC2-9D2D-B79472B10C34}"/>
    <cellStyle name="Comma 9 5" xfId="9787" xr:uid="{00000000-0005-0000-0000-000013550000}"/>
    <cellStyle name="Comma 9 5 2" xfId="17745" xr:uid="{00000000-0005-0000-0000-000014550000}"/>
    <cellStyle name="Comma 9 5 2 2" xfId="41585" xr:uid="{9133BC1D-5069-4919-9461-4DAD33303C01}"/>
    <cellStyle name="Comma 9 5 3" xfId="25689" xr:uid="{00000000-0005-0000-0000-000015550000}"/>
    <cellStyle name="Comma 9 5 3 2" xfId="49521" xr:uid="{E1994D8A-03BD-41BD-B08D-884CC1F9BD25}"/>
    <cellStyle name="Comma 9 5 4" xfId="33644" xr:uid="{80ABFFCF-319A-4FD7-8606-2A5D71FB8CAE}"/>
    <cellStyle name="Comma 9 6" xfId="10683" xr:uid="{00000000-0005-0000-0000-000016550000}"/>
    <cellStyle name="Comma 9 6 2" xfId="34532" xr:uid="{F9737597-DC56-4D30-9062-205832782F4C}"/>
    <cellStyle name="Comma 9 7" xfId="18638" xr:uid="{00000000-0005-0000-0000-000017550000}"/>
    <cellStyle name="Comma 9 7 2" xfId="42470" xr:uid="{D5DFE61B-F1C9-49C2-A6E3-75D85ED29D1F}"/>
    <cellStyle name="Comma 9 8" xfId="26590" xr:uid="{D7F788D2-E939-4D1B-8EA7-421E7D53883E}"/>
    <cellStyle name="Currency" xfId="49849" builtinId="4"/>
    <cellStyle name="Currency 2 2" xfId="1007" xr:uid="{00000000-0005-0000-0000-00001A550000}"/>
    <cellStyle name="Currency 3" xfId="735" xr:uid="{00000000-0005-0000-0000-00001C550000}"/>
    <cellStyle name="Currency 3 2" xfId="1008" xr:uid="{00000000-0005-0000-0000-00001D550000}"/>
    <cellStyle name="Currency 3 3" xfId="1761" xr:uid="{00000000-0005-0000-0000-00001E550000}"/>
    <cellStyle name="Currency 3 3 2" xfId="5288" xr:uid="{00000000-0005-0000-0000-00001F550000}"/>
    <cellStyle name="Currency 3 3 2 2" xfId="8879" xr:uid="{00000000-0005-0000-0000-000020550000}"/>
    <cellStyle name="Currency 3 3 2 2 2" xfId="16849" xr:uid="{00000000-0005-0000-0000-000021550000}"/>
    <cellStyle name="Currency 3 3 2 2 2 2" xfId="40691" xr:uid="{EA472BB2-55CB-4EE7-B0D8-0D466479A0CE}"/>
    <cellStyle name="Currency 3 3 2 2 3" xfId="24795" xr:uid="{00000000-0005-0000-0000-000022550000}"/>
    <cellStyle name="Currency 3 3 2 2 3 2" xfId="48627" xr:uid="{8FDAB535-DFB6-4F31-AD80-8B7B0172D5F7}"/>
    <cellStyle name="Currency 3 3 2 2 4" xfId="32750" xr:uid="{40132057-41D7-47F3-B5A5-914A2B9F41B9}"/>
    <cellStyle name="Currency 3 3 2 3" xfId="13311" xr:uid="{00000000-0005-0000-0000-000023550000}"/>
    <cellStyle name="Currency 3 3 2 3 2" xfId="37160" xr:uid="{27BCEB9A-F074-428B-B001-55BEDC9BDD82}"/>
    <cellStyle name="Currency 3 3 2 4" xfId="21266" xr:uid="{00000000-0005-0000-0000-000024550000}"/>
    <cellStyle name="Currency 3 3 2 4 2" xfId="45098" xr:uid="{D95A5B87-26C7-4AB7-9A9B-BE7AFB0F5938}"/>
    <cellStyle name="Currency 3 3 2 5" xfId="29219" xr:uid="{99867459-6A9C-4DE4-90F0-FEC3B4A6080E}"/>
    <cellStyle name="Currency 3 3 3" xfId="7120" xr:uid="{00000000-0005-0000-0000-000025550000}"/>
    <cellStyle name="Currency 3 3 3 2" xfId="15091" xr:uid="{00000000-0005-0000-0000-000026550000}"/>
    <cellStyle name="Currency 3 3 3 2 2" xfId="38933" xr:uid="{6FB7396D-802A-4FF9-81B0-5728A39A3D5D}"/>
    <cellStyle name="Currency 3 3 3 3" xfId="23038" xr:uid="{00000000-0005-0000-0000-000027550000}"/>
    <cellStyle name="Currency 3 3 3 3 2" xfId="46870" xr:uid="{74FBC1DD-E616-423B-98C8-9351D1AAF58E}"/>
    <cellStyle name="Currency 3 3 3 4" xfId="30992" xr:uid="{9FE46DF2-02A1-4128-B70D-88D4A020F707}"/>
    <cellStyle name="Currency 3 3 4" xfId="11555" xr:uid="{00000000-0005-0000-0000-000028550000}"/>
    <cellStyle name="Currency 3 3 4 2" xfId="35404" xr:uid="{9BFF75A6-82ED-49CE-8A73-459822B49255}"/>
    <cellStyle name="Currency 3 3 5" xfId="19510" xr:uid="{00000000-0005-0000-0000-000029550000}"/>
    <cellStyle name="Currency 3 3 5 2" xfId="43342" xr:uid="{789AB769-D43C-4520-8218-9B1F5B6C496D}"/>
    <cellStyle name="Currency 3 3 6" xfId="27462" xr:uid="{8C1EF308-B8AA-4D10-900B-C2CBBFF760BF}"/>
    <cellStyle name="Currency 3 4" xfId="4409" xr:uid="{00000000-0005-0000-0000-00002A550000}"/>
    <cellStyle name="Currency 3 4 2" xfId="8001" xr:uid="{00000000-0005-0000-0000-00002B550000}"/>
    <cellStyle name="Currency 3 4 2 2" xfId="15971" xr:uid="{00000000-0005-0000-0000-00002C550000}"/>
    <cellStyle name="Currency 3 4 2 2 2" xfId="39813" xr:uid="{27571641-1CC0-4246-B552-7E2127F82548}"/>
    <cellStyle name="Currency 3 4 2 3" xfId="23917" xr:uid="{00000000-0005-0000-0000-00002D550000}"/>
    <cellStyle name="Currency 3 4 2 3 2" xfId="47749" xr:uid="{DCD6B89A-B7C1-4221-A920-E834208EC438}"/>
    <cellStyle name="Currency 3 4 2 4" xfId="31872" xr:uid="{262FFA34-38BF-45F9-9F46-1CF79372B6D8}"/>
    <cellStyle name="Currency 3 4 3" xfId="12433" xr:uid="{00000000-0005-0000-0000-00002E550000}"/>
    <cellStyle name="Currency 3 4 3 2" xfId="36282" xr:uid="{C9EEB68A-433C-4E65-A057-368E96D7036B}"/>
    <cellStyle name="Currency 3 4 4" xfId="20388" xr:uid="{00000000-0005-0000-0000-00002F550000}"/>
    <cellStyle name="Currency 3 4 4 2" xfId="44220" xr:uid="{691C43CB-A38A-49EB-9BC5-8A1C927F8564}"/>
    <cellStyle name="Currency 3 4 5" xfId="28341" xr:uid="{937E3829-5182-4A36-B4EE-A81117C54678}"/>
    <cellStyle name="Currency 3 5" xfId="6229" xr:uid="{00000000-0005-0000-0000-000030550000}"/>
    <cellStyle name="Currency 3 5 2" xfId="14212" xr:uid="{00000000-0005-0000-0000-000031550000}"/>
    <cellStyle name="Currency 3 5 2 2" xfId="38055" xr:uid="{C079D5F6-326E-4BC8-813F-DDD32AB6D734}"/>
    <cellStyle name="Currency 3 5 3" xfId="22160" xr:uid="{00000000-0005-0000-0000-000032550000}"/>
    <cellStyle name="Currency 3 5 3 2" xfId="45992" xr:uid="{D9411BB0-17E0-411F-B47B-665010639D41}"/>
    <cellStyle name="Currency 3 5 4" xfId="30114" xr:uid="{1112B925-C2E4-40DA-9734-A200FDEDC524}"/>
    <cellStyle name="Currency 3 6" xfId="9781" xr:uid="{00000000-0005-0000-0000-000033550000}"/>
    <cellStyle name="Currency 3 6 2" xfId="17739" xr:uid="{00000000-0005-0000-0000-000034550000}"/>
    <cellStyle name="Currency 3 6 2 2" xfId="41579" xr:uid="{2CA33AD9-B27C-447D-BE0A-A8B1C751C8C7}"/>
    <cellStyle name="Currency 3 6 3" xfId="25683" xr:uid="{00000000-0005-0000-0000-000035550000}"/>
    <cellStyle name="Currency 3 6 3 2" xfId="49515" xr:uid="{AA14994E-0551-426D-84F5-E4931AB7B3C8}"/>
    <cellStyle name="Currency 3 6 4" xfId="33638" xr:uid="{0487A313-86EA-404E-BD1D-A0B3F3AD14D5}"/>
    <cellStyle name="Currency 3 7" xfId="10677" xr:uid="{00000000-0005-0000-0000-000036550000}"/>
    <cellStyle name="Currency 3 7 2" xfId="34526" xr:uid="{A4A2494C-5E8B-4461-AB07-965CB5C72F80}"/>
    <cellStyle name="Currency 3 8" xfId="18632" xr:uid="{00000000-0005-0000-0000-000037550000}"/>
    <cellStyle name="Currency 3 8 2" xfId="42464" xr:uid="{D195841E-0ACB-43F4-9035-F42AD7C65AD7}"/>
    <cellStyle name="Currency 3 9" xfId="26584" xr:uid="{2EAA38F5-A220-445D-9EB4-C211CDF0A1D1}"/>
    <cellStyle name="Currency 4" xfId="853" xr:uid="{00000000-0005-0000-0000-000038550000}"/>
    <cellStyle name="Currency 4 2" xfId="1788" xr:uid="{00000000-0005-0000-0000-000039550000}"/>
    <cellStyle name="Currency 4 2 2" xfId="5308" xr:uid="{00000000-0005-0000-0000-00003A550000}"/>
    <cellStyle name="Currency 4 2 2 2" xfId="8899" xr:uid="{00000000-0005-0000-0000-00003B550000}"/>
    <cellStyle name="Currency 4 2 2 2 2" xfId="16869" xr:uid="{00000000-0005-0000-0000-00003C550000}"/>
    <cellStyle name="Currency 4 2 2 2 2 2" xfId="40711" xr:uid="{1CF14D70-53B2-4E99-A32E-8FBDC50FB881}"/>
    <cellStyle name="Currency 4 2 2 2 3" xfId="24815" xr:uid="{00000000-0005-0000-0000-00003D550000}"/>
    <cellStyle name="Currency 4 2 2 2 3 2" xfId="48647" xr:uid="{40D930AE-8B3A-451C-9C8B-6F06168C53A1}"/>
    <cellStyle name="Currency 4 2 2 2 4" xfId="32770" xr:uid="{9670DE16-3690-4F9E-A365-05DE3991F427}"/>
    <cellStyle name="Currency 4 2 2 3" xfId="13331" xr:uid="{00000000-0005-0000-0000-00003E550000}"/>
    <cellStyle name="Currency 4 2 2 3 2" xfId="37180" xr:uid="{48446424-924C-4BE2-B941-A2485A380B2F}"/>
    <cellStyle name="Currency 4 2 2 4" xfId="21286" xr:uid="{00000000-0005-0000-0000-00003F550000}"/>
    <cellStyle name="Currency 4 2 2 4 2" xfId="45118" xr:uid="{13ECE452-4A9C-4F8F-BC14-7099E00B2612}"/>
    <cellStyle name="Currency 4 2 2 5" xfId="29239" xr:uid="{F778B105-BCE7-4C09-B43E-8D5535928E39}"/>
    <cellStyle name="Currency 4 2 3" xfId="7140" xr:uid="{00000000-0005-0000-0000-000040550000}"/>
    <cellStyle name="Currency 4 2 3 2" xfId="15111" xr:uid="{00000000-0005-0000-0000-000041550000}"/>
    <cellStyle name="Currency 4 2 3 2 2" xfId="38953" xr:uid="{204C97A7-A419-4D14-909D-8968E01E4E67}"/>
    <cellStyle name="Currency 4 2 3 3" xfId="23058" xr:uid="{00000000-0005-0000-0000-000042550000}"/>
    <cellStyle name="Currency 4 2 3 3 2" xfId="46890" xr:uid="{9910C7AD-93C0-493A-9B02-F2AB54F6FB1B}"/>
    <cellStyle name="Currency 4 2 3 4" xfId="31012" xr:uid="{0A29C8D5-18ED-4C21-9D08-DC1BA3CB2067}"/>
    <cellStyle name="Currency 4 2 4" xfId="11575" xr:uid="{00000000-0005-0000-0000-000043550000}"/>
    <cellStyle name="Currency 4 2 4 2" xfId="35424" xr:uid="{D1C73544-57FD-4C88-AD1D-79C80DB162DC}"/>
    <cellStyle name="Currency 4 2 5" xfId="19530" xr:uid="{00000000-0005-0000-0000-000044550000}"/>
    <cellStyle name="Currency 4 2 5 2" xfId="43362" xr:uid="{A8B24106-2C2C-4EDF-881D-CC9FC1492581}"/>
    <cellStyle name="Currency 4 2 6" xfId="27482" xr:uid="{8AFEE362-71B3-422D-A709-D34CFB393F96}"/>
    <cellStyle name="Currency 4 3" xfId="4429" xr:uid="{00000000-0005-0000-0000-000045550000}"/>
    <cellStyle name="Currency 4 3 2" xfId="8021" xr:uid="{00000000-0005-0000-0000-000046550000}"/>
    <cellStyle name="Currency 4 3 2 2" xfId="15991" xr:uid="{00000000-0005-0000-0000-000047550000}"/>
    <cellStyle name="Currency 4 3 2 2 2" xfId="39833" xr:uid="{82C300E8-1F1C-4644-BB6B-DF8CD8579AD8}"/>
    <cellStyle name="Currency 4 3 2 3" xfId="23937" xr:uid="{00000000-0005-0000-0000-000048550000}"/>
    <cellStyle name="Currency 4 3 2 3 2" xfId="47769" xr:uid="{4309BD43-5C52-4EB2-AE2D-DC0C98B103C4}"/>
    <cellStyle name="Currency 4 3 2 4" xfId="31892" xr:uid="{ECDFA803-B63D-45A8-982B-78D720D1A4E3}"/>
    <cellStyle name="Currency 4 3 3" xfId="12453" xr:uid="{00000000-0005-0000-0000-000049550000}"/>
    <cellStyle name="Currency 4 3 3 2" xfId="36302" xr:uid="{3B97CACB-1516-4CC6-B039-4BB0BB216B0B}"/>
    <cellStyle name="Currency 4 3 4" xfId="20408" xr:uid="{00000000-0005-0000-0000-00004A550000}"/>
    <cellStyle name="Currency 4 3 4 2" xfId="44240" xr:uid="{85A31EE6-B6C2-4D07-AE35-43D4A03798B0}"/>
    <cellStyle name="Currency 4 3 5" xfId="28361" xr:uid="{443E8320-94BF-43D9-A80A-77AC9B286358}"/>
    <cellStyle name="Currency 4 4" xfId="6259" xr:uid="{00000000-0005-0000-0000-00004B550000}"/>
    <cellStyle name="Currency 4 4 2" xfId="14233" xr:uid="{00000000-0005-0000-0000-00004C550000}"/>
    <cellStyle name="Currency 4 4 2 2" xfId="38075" xr:uid="{55EBBA84-8DC2-43D5-A5DE-CF0DA0571D3F}"/>
    <cellStyle name="Currency 4 4 3" xfId="22180" xr:uid="{00000000-0005-0000-0000-00004D550000}"/>
    <cellStyle name="Currency 4 4 3 2" xfId="46012" xr:uid="{1373C0CF-A5D9-49DD-A9E7-766792E9020B}"/>
    <cellStyle name="Currency 4 4 4" xfId="30134" xr:uid="{A148A315-71DC-42BB-BFA5-371C5F4CA498}"/>
    <cellStyle name="Currency 4 5" xfId="9801" xr:uid="{00000000-0005-0000-0000-00004E550000}"/>
    <cellStyle name="Currency 4 5 2" xfId="17759" xr:uid="{00000000-0005-0000-0000-00004F550000}"/>
    <cellStyle name="Currency 4 5 2 2" xfId="41599" xr:uid="{91C95C67-6FD2-4DE3-B3B7-71E1BE178C48}"/>
    <cellStyle name="Currency 4 5 3" xfId="25703" xr:uid="{00000000-0005-0000-0000-000050550000}"/>
    <cellStyle name="Currency 4 5 3 2" xfId="49535" xr:uid="{11E94B8A-A94C-4C02-9883-52A430E59E2E}"/>
    <cellStyle name="Currency 4 5 4" xfId="33658" xr:uid="{687E51A9-C155-450E-B6A0-2F5A07D47737}"/>
    <cellStyle name="Currency 4 6" xfId="10697" xr:uid="{00000000-0005-0000-0000-000051550000}"/>
    <cellStyle name="Currency 4 6 2" xfId="34546" xr:uid="{A7C07787-9449-499E-9420-C82EE56B1432}"/>
    <cellStyle name="Currency 4 7" xfId="18652" xr:uid="{00000000-0005-0000-0000-000052550000}"/>
    <cellStyle name="Currency 4 7 2" xfId="42484" xr:uid="{15733223-3EA7-4A12-9EB8-7497A38B71D4}"/>
    <cellStyle name="Currency 4 8" xfId="26604" xr:uid="{EF7A05FB-48A3-42CC-8BE0-C7BDBD5BB694}"/>
    <cellStyle name="Currency 5" xfId="25858" xr:uid="{00000000-0005-0000-0000-000053550000}"/>
    <cellStyle name="Currency 8" xfId="25864" xr:uid="{00000000-0005-0000-0000-000054550000}"/>
    <cellStyle name="Explanatory Text 2" xfId="784" xr:uid="{00000000-0005-0000-0000-000055550000}"/>
    <cellStyle name="Explanatory Text 3" xfId="785" xr:uid="{00000000-0005-0000-0000-000056550000}"/>
    <cellStyle name="Explanatory Text 4" xfId="786" xr:uid="{00000000-0005-0000-0000-000057550000}"/>
    <cellStyle name="Good 2" xfId="787" xr:uid="{00000000-0005-0000-0000-000058550000}"/>
    <cellStyle name="Good 3" xfId="788" xr:uid="{00000000-0005-0000-0000-000059550000}"/>
    <cellStyle name="Good 4" xfId="789" xr:uid="{00000000-0005-0000-0000-00005A550000}"/>
    <cellStyle name="Heading 1 2" xfId="790" xr:uid="{00000000-0005-0000-0000-00005B550000}"/>
    <cellStyle name="Heading 1 3" xfId="791" xr:uid="{00000000-0005-0000-0000-00005C550000}"/>
    <cellStyle name="Heading 1 4" xfId="792" xr:uid="{00000000-0005-0000-0000-00005D550000}"/>
    <cellStyle name="Heading 2 2" xfId="793" xr:uid="{00000000-0005-0000-0000-00005E550000}"/>
    <cellStyle name="Heading 2 3" xfId="794" xr:uid="{00000000-0005-0000-0000-00005F550000}"/>
    <cellStyle name="Heading 2 4" xfId="795" xr:uid="{00000000-0005-0000-0000-000060550000}"/>
    <cellStyle name="Heading 3 2" xfId="796" xr:uid="{00000000-0005-0000-0000-000061550000}"/>
    <cellStyle name="Heading 3 3" xfId="797" xr:uid="{00000000-0005-0000-0000-000062550000}"/>
    <cellStyle name="Heading 3 4" xfId="798" xr:uid="{00000000-0005-0000-0000-000063550000}"/>
    <cellStyle name="Heading 4 2" xfId="799" xr:uid="{00000000-0005-0000-0000-000064550000}"/>
    <cellStyle name="Heading 4 3" xfId="800" xr:uid="{00000000-0005-0000-0000-000065550000}"/>
    <cellStyle name="Heading 4 4" xfId="801" xr:uid="{00000000-0005-0000-0000-000066550000}"/>
    <cellStyle name="Hyperlink" xfId="858" builtinId="8" customBuiltin="1"/>
    <cellStyle name="Input 2" xfId="802" xr:uid="{00000000-0005-0000-0000-000068550000}"/>
    <cellStyle name="Input 3" xfId="803" xr:uid="{00000000-0005-0000-0000-000069550000}"/>
    <cellStyle name="Input 3 2" xfId="6232" xr:uid="{00000000-0005-0000-0000-00006A550000}"/>
    <cellStyle name="Input 4" xfId="804" xr:uid="{00000000-0005-0000-0000-00006B550000}"/>
    <cellStyle name="Input 4 2" xfId="6233" xr:uid="{00000000-0005-0000-0000-00006C550000}"/>
    <cellStyle name="Linked Cell 2" xfId="805" xr:uid="{00000000-0005-0000-0000-00006D550000}"/>
    <cellStyle name="Linked Cell 3" xfId="806" xr:uid="{00000000-0005-0000-0000-00006E550000}"/>
    <cellStyle name="Linked Cell 4" xfId="807" xr:uid="{00000000-0005-0000-0000-00006F550000}"/>
    <cellStyle name="Neutral 2" xfId="808" xr:uid="{00000000-0005-0000-0000-000070550000}"/>
    <cellStyle name="Neutral 3" xfId="809" xr:uid="{00000000-0005-0000-0000-000071550000}"/>
    <cellStyle name="Neutral 4" xfId="810" xr:uid="{00000000-0005-0000-0000-000072550000}"/>
    <cellStyle name="Normal" xfId="0" builtinId="0"/>
    <cellStyle name="Normal 10" xfId="634" xr:uid="{00000000-0005-0000-0000-000074550000}"/>
    <cellStyle name="Normal 10 10" xfId="18531" xr:uid="{00000000-0005-0000-0000-000075550000}"/>
    <cellStyle name="Normal 10 10 2" xfId="42363" xr:uid="{57746921-BD69-4D6C-9FD1-492BE3D3DF84}"/>
    <cellStyle name="Normal 10 11" xfId="26483" xr:uid="{46CC67B4-9435-4AC9-9CDB-F39241915F28}"/>
    <cellStyle name="Normal 10 2" xfId="635" xr:uid="{00000000-0005-0000-0000-000076550000}"/>
    <cellStyle name="Normal 10 2 2" xfId="636" xr:uid="{00000000-0005-0000-0000-000077550000}"/>
    <cellStyle name="Normal 10 2 2 2" xfId="1662" xr:uid="{00000000-0005-0000-0000-000078550000}"/>
    <cellStyle name="Normal 10 2 2 2 2" xfId="5189" xr:uid="{00000000-0005-0000-0000-000079550000}"/>
    <cellStyle name="Normal 10 2 2 2 2 2" xfId="8780" xr:uid="{00000000-0005-0000-0000-00007A550000}"/>
    <cellStyle name="Normal 10 2 2 2 2 2 2" xfId="16750" xr:uid="{00000000-0005-0000-0000-00007B550000}"/>
    <cellStyle name="Normal 10 2 2 2 2 2 2 2" xfId="40592" xr:uid="{E6D73B67-D217-4F30-A4A7-60DB1C5EBD21}"/>
    <cellStyle name="Normal 10 2 2 2 2 2 3" xfId="24696" xr:uid="{00000000-0005-0000-0000-00007C550000}"/>
    <cellStyle name="Normal 10 2 2 2 2 2 3 2" xfId="48528" xr:uid="{A89197A8-1F9E-4C4C-A265-B7830CB17DD0}"/>
    <cellStyle name="Normal 10 2 2 2 2 2 4" xfId="32651" xr:uid="{598B85F2-1803-4144-9F27-A02A87B12DC7}"/>
    <cellStyle name="Normal 10 2 2 2 2 3" xfId="13212" xr:uid="{00000000-0005-0000-0000-00007D550000}"/>
    <cellStyle name="Normal 10 2 2 2 2 3 2" xfId="37061" xr:uid="{B8AB697E-3AA4-49C9-A315-6AA8CCEB65B9}"/>
    <cellStyle name="Normal 10 2 2 2 2 4" xfId="21167" xr:uid="{00000000-0005-0000-0000-00007E550000}"/>
    <cellStyle name="Normal 10 2 2 2 2 4 2" xfId="44999" xr:uid="{A08CECA7-28FC-451E-99EA-A10E5B6F92B5}"/>
    <cellStyle name="Normal 10 2 2 2 2 5" xfId="29120" xr:uid="{9BC0FC25-FE68-4674-ACDB-6D898614E39F}"/>
    <cellStyle name="Normal 10 2 2 2 3" xfId="7021" xr:uid="{00000000-0005-0000-0000-00007F550000}"/>
    <cellStyle name="Normal 10 2 2 2 3 2" xfId="14992" xr:uid="{00000000-0005-0000-0000-000080550000}"/>
    <cellStyle name="Normal 10 2 2 2 3 2 2" xfId="38834" xr:uid="{22328719-8F6D-4409-8158-3656D1BC05C4}"/>
    <cellStyle name="Normal 10 2 2 2 3 3" xfId="22939" xr:uid="{00000000-0005-0000-0000-000081550000}"/>
    <cellStyle name="Normal 10 2 2 2 3 3 2" xfId="46771" xr:uid="{6D9D20A2-1171-4169-A9FE-F3A7A211F1B6}"/>
    <cellStyle name="Normal 10 2 2 2 3 4" xfId="30893" xr:uid="{8E7AB1CB-74A4-42F9-867C-C3A98CADD984}"/>
    <cellStyle name="Normal 10 2 2 2 4" xfId="11456" xr:uid="{00000000-0005-0000-0000-000082550000}"/>
    <cellStyle name="Normal 10 2 2 2 4 2" xfId="35305" xr:uid="{FD9FEA27-4699-410C-B5EA-04E00DE7D00B}"/>
    <cellStyle name="Normal 10 2 2 2 5" xfId="19411" xr:uid="{00000000-0005-0000-0000-000083550000}"/>
    <cellStyle name="Normal 10 2 2 2 5 2" xfId="43243" xr:uid="{AB2551EC-AD49-46E6-A49C-3284AC7E8495}"/>
    <cellStyle name="Normal 10 2 2 2 6" xfId="27363" xr:uid="{8D420A1D-6F02-4297-9DD0-C58DB909C318}"/>
    <cellStyle name="Normal 10 2 2 2_Exh G" xfId="3425" xr:uid="{00000000-0005-0000-0000-000084550000}"/>
    <cellStyle name="Normal 10 2 2 3" xfId="4310" xr:uid="{00000000-0005-0000-0000-000085550000}"/>
    <cellStyle name="Normal 10 2 2 3 2" xfId="7902" xr:uid="{00000000-0005-0000-0000-000086550000}"/>
    <cellStyle name="Normal 10 2 2 3 2 2" xfId="15872" xr:uid="{00000000-0005-0000-0000-000087550000}"/>
    <cellStyle name="Normal 10 2 2 3 2 2 2" xfId="39714" xr:uid="{FD83B70D-F960-40C9-8DDB-4FBCC149D08E}"/>
    <cellStyle name="Normal 10 2 2 3 2 3" xfId="23818" xr:uid="{00000000-0005-0000-0000-000088550000}"/>
    <cellStyle name="Normal 10 2 2 3 2 3 2" xfId="47650" xr:uid="{D9C61633-0706-4768-AB1E-76280C568829}"/>
    <cellStyle name="Normal 10 2 2 3 2 4" xfId="31773" xr:uid="{40AFAA35-C8C1-41E9-AB2E-2935CB78FB8A}"/>
    <cellStyle name="Normal 10 2 2 3 3" xfId="12334" xr:uid="{00000000-0005-0000-0000-000089550000}"/>
    <cellStyle name="Normal 10 2 2 3 3 2" xfId="36183" xr:uid="{5FB21842-81D1-4E65-BD60-D6608DB74E16}"/>
    <cellStyle name="Normal 10 2 2 3 4" xfId="20289" xr:uid="{00000000-0005-0000-0000-00008A550000}"/>
    <cellStyle name="Normal 10 2 2 3 4 2" xfId="44121" xr:uid="{463CF005-F70D-4FC9-B1D3-E889D0153FC1}"/>
    <cellStyle name="Normal 10 2 2 3 5" xfId="28242" xr:uid="{517925E0-346E-4AD6-A2A3-62FE40EB256A}"/>
    <cellStyle name="Normal 10 2 2 4" xfId="6130" xr:uid="{00000000-0005-0000-0000-00008B550000}"/>
    <cellStyle name="Normal 10 2 2 4 2" xfId="14113" xr:uid="{00000000-0005-0000-0000-00008C550000}"/>
    <cellStyle name="Normal 10 2 2 4 2 2" xfId="37956" xr:uid="{291FED6B-68CB-4E2A-9528-14F5EDA72929}"/>
    <cellStyle name="Normal 10 2 2 4 3" xfId="22061" xr:uid="{00000000-0005-0000-0000-00008D550000}"/>
    <cellStyle name="Normal 10 2 2 4 3 2" xfId="45893" xr:uid="{0B4EB633-CEE0-45F0-A010-C46684A740C2}"/>
    <cellStyle name="Normal 10 2 2 4 4" xfId="30015" xr:uid="{0B23D911-7AF7-4992-B124-61FB85D85FB2}"/>
    <cellStyle name="Normal 10 2 2 5" xfId="9682" xr:uid="{00000000-0005-0000-0000-00008E550000}"/>
    <cellStyle name="Normal 10 2 2 5 2" xfId="17640" xr:uid="{00000000-0005-0000-0000-00008F550000}"/>
    <cellStyle name="Normal 10 2 2 5 2 2" xfId="41480" xr:uid="{14FA5479-8A0E-49DC-9820-2FAF7F340A46}"/>
    <cellStyle name="Normal 10 2 2 5 3" xfId="25584" xr:uid="{00000000-0005-0000-0000-000090550000}"/>
    <cellStyle name="Normal 10 2 2 5 3 2" xfId="49416" xr:uid="{23D7EFCC-081F-4AF9-90A4-BD383F1E9EB7}"/>
    <cellStyle name="Normal 10 2 2 5 4" xfId="33539" xr:uid="{708A5EDC-34B7-4B93-9B20-906C912AAA9C}"/>
    <cellStyle name="Normal 10 2 2 6" xfId="10578" xr:uid="{00000000-0005-0000-0000-000091550000}"/>
    <cellStyle name="Normal 10 2 2 6 2" xfId="34427" xr:uid="{B521DABD-C4FD-46D7-8AB8-2C4B6783D41E}"/>
    <cellStyle name="Normal 10 2 2 7" xfId="18533" xr:uid="{00000000-0005-0000-0000-000092550000}"/>
    <cellStyle name="Normal 10 2 2 7 2" xfId="42365" xr:uid="{2970B194-2BA3-4647-8BA0-D44AC6F0B24D}"/>
    <cellStyle name="Normal 10 2 2 8" xfId="26485" xr:uid="{A8C6CEF6-39C4-4CD6-A6A3-7AB3A9717C9D}"/>
    <cellStyle name="Normal 10 2 2_Exh G" xfId="3424" xr:uid="{00000000-0005-0000-0000-000093550000}"/>
    <cellStyle name="Normal 10 2 3" xfId="1661" xr:uid="{00000000-0005-0000-0000-000094550000}"/>
    <cellStyle name="Normal 10 2 3 2" xfId="5188" xr:uid="{00000000-0005-0000-0000-000095550000}"/>
    <cellStyle name="Normal 10 2 3 2 2" xfId="8779" xr:uid="{00000000-0005-0000-0000-000096550000}"/>
    <cellStyle name="Normal 10 2 3 2 2 2" xfId="16749" xr:uid="{00000000-0005-0000-0000-000097550000}"/>
    <cellStyle name="Normal 10 2 3 2 2 2 2" xfId="40591" xr:uid="{F42A0A29-5127-473F-84B3-E75394BDBF7E}"/>
    <cellStyle name="Normal 10 2 3 2 2 3" xfId="24695" xr:uid="{00000000-0005-0000-0000-000098550000}"/>
    <cellStyle name="Normal 10 2 3 2 2 3 2" xfId="48527" xr:uid="{AD094BA7-491F-4BF0-8DC5-3E3DA90BA968}"/>
    <cellStyle name="Normal 10 2 3 2 2 4" xfId="32650" xr:uid="{712B91E4-54B7-41F5-86AD-027E0FF38945}"/>
    <cellStyle name="Normal 10 2 3 2 3" xfId="13211" xr:uid="{00000000-0005-0000-0000-000099550000}"/>
    <cellStyle name="Normal 10 2 3 2 3 2" xfId="37060" xr:uid="{3C8981D4-9B5B-4833-8ECE-5048D7E16A44}"/>
    <cellStyle name="Normal 10 2 3 2 4" xfId="21166" xr:uid="{00000000-0005-0000-0000-00009A550000}"/>
    <cellStyle name="Normal 10 2 3 2 4 2" xfId="44998" xr:uid="{1FF6861B-9A4A-4D96-B3D8-6C867DA1D8AF}"/>
    <cellStyle name="Normal 10 2 3 2 5" xfId="29119" xr:uid="{0192F8C7-F476-47FF-9225-AD40C6971E53}"/>
    <cellStyle name="Normal 10 2 3 3" xfId="7020" xr:uid="{00000000-0005-0000-0000-00009B550000}"/>
    <cellStyle name="Normal 10 2 3 3 2" xfId="14991" xr:uid="{00000000-0005-0000-0000-00009C550000}"/>
    <cellStyle name="Normal 10 2 3 3 2 2" xfId="38833" xr:uid="{0704D002-6C68-467C-B97F-D23514174F9E}"/>
    <cellStyle name="Normal 10 2 3 3 3" xfId="22938" xr:uid="{00000000-0005-0000-0000-00009D550000}"/>
    <cellStyle name="Normal 10 2 3 3 3 2" xfId="46770" xr:uid="{BDDED627-377B-41FF-A438-A1CD10B69766}"/>
    <cellStyle name="Normal 10 2 3 3 4" xfId="30892" xr:uid="{DEF6017A-5EF3-45E6-BC44-808F56F3CE2A}"/>
    <cellStyle name="Normal 10 2 3 4" xfId="11455" xr:uid="{00000000-0005-0000-0000-00009E550000}"/>
    <cellStyle name="Normal 10 2 3 4 2" xfId="35304" xr:uid="{B6F84BD5-0EA9-4A26-902D-970CC8D90AC1}"/>
    <cellStyle name="Normal 10 2 3 5" xfId="19410" xr:uid="{00000000-0005-0000-0000-00009F550000}"/>
    <cellStyle name="Normal 10 2 3 5 2" xfId="43242" xr:uid="{2BEB4AA7-B93F-4E31-BE93-5FBE5AB3F23D}"/>
    <cellStyle name="Normal 10 2 3 6" xfId="27362" xr:uid="{D49B1B22-92F6-4B5A-9009-8BB9789B5539}"/>
    <cellStyle name="Normal 10 2 3_Exh G" xfId="3426" xr:uid="{00000000-0005-0000-0000-0000A0550000}"/>
    <cellStyle name="Normal 10 2 4" xfId="4309" xr:uid="{00000000-0005-0000-0000-0000A1550000}"/>
    <cellStyle name="Normal 10 2 4 2" xfId="7901" xr:uid="{00000000-0005-0000-0000-0000A2550000}"/>
    <cellStyle name="Normal 10 2 4 2 2" xfId="15871" xr:uid="{00000000-0005-0000-0000-0000A3550000}"/>
    <cellStyle name="Normal 10 2 4 2 2 2" xfId="39713" xr:uid="{3262036C-516F-41D0-A1BD-D8BAADEB4316}"/>
    <cellStyle name="Normal 10 2 4 2 3" xfId="23817" xr:uid="{00000000-0005-0000-0000-0000A4550000}"/>
    <cellStyle name="Normal 10 2 4 2 3 2" xfId="47649" xr:uid="{10ABED8A-922F-4BA4-ABAB-C6F6665BFE64}"/>
    <cellStyle name="Normal 10 2 4 2 4" xfId="31772" xr:uid="{3E14C302-6A28-4449-8995-FC8F7C107DFB}"/>
    <cellStyle name="Normal 10 2 4 3" xfId="12333" xr:uid="{00000000-0005-0000-0000-0000A5550000}"/>
    <cellStyle name="Normal 10 2 4 3 2" xfId="36182" xr:uid="{BFCA1416-4235-4958-843F-8F5C5199B6AB}"/>
    <cellStyle name="Normal 10 2 4 4" xfId="20288" xr:uid="{00000000-0005-0000-0000-0000A6550000}"/>
    <cellStyle name="Normal 10 2 4 4 2" xfId="44120" xr:uid="{22769F9D-0BA6-4100-ABCC-3B27F5BAC304}"/>
    <cellStyle name="Normal 10 2 4 5" xfId="28241" xr:uid="{97CCBADD-C3A2-4B28-A9C7-3A823268C956}"/>
    <cellStyle name="Normal 10 2 5" xfId="6129" xr:uid="{00000000-0005-0000-0000-0000A7550000}"/>
    <cellStyle name="Normal 10 2 5 2" xfId="14112" xr:uid="{00000000-0005-0000-0000-0000A8550000}"/>
    <cellStyle name="Normal 10 2 5 2 2" xfId="37955" xr:uid="{7806938F-FBB2-414F-8F63-FD0835B57664}"/>
    <cellStyle name="Normal 10 2 5 3" xfId="22060" xr:uid="{00000000-0005-0000-0000-0000A9550000}"/>
    <cellStyle name="Normal 10 2 5 3 2" xfId="45892" xr:uid="{A1968378-7265-48B9-93AC-F6F6CB456726}"/>
    <cellStyle name="Normal 10 2 5 4" xfId="30014" xr:uid="{3DC59D80-31EA-48C5-880D-EDA548B3F376}"/>
    <cellStyle name="Normal 10 2 6" xfId="9681" xr:uid="{00000000-0005-0000-0000-0000AA550000}"/>
    <cellStyle name="Normal 10 2 6 2" xfId="17639" xr:uid="{00000000-0005-0000-0000-0000AB550000}"/>
    <cellStyle name="Normal 10 2 6 2 2" xfId="41479" xr:uid="{A8F3309F-13AD-43CF-9462-49B41C377F77}"/>
    <cellStyle name="Normal 10 2 6 3" xfId="25583" xr:uid="{00000000-0005-0000-0000-0000AC550000}"/>
    <cellStyle name="Normal 10 2 6 3 2" xfId="49415" xr:uid="{CF39022D-D406-4A9A-8626-CF028F20EFFE}"/>
    <cellStyle name="Normal 10 2 6 4" xfId="33538" xr:uid="{327EF1FE-152B-4BF8-A1CC-2FA4FDA4163C}"/>
    <cellStyle name="Normal 10 2 7" xfId="10577" xr:uid="{00000000-0005-0000-0000-0000AD550000}"/>
    <cellStyle name="Normal 10 2 7 2" xfId="34426" xr:uid="{F8603DBB-06BD-446D-AD1C-5100552EBEA7}"/>
    <cellStyle name="Normal 10 2 8" xfId="18532" xr:uid="{00000000-0005-0000-0000-0000AE550000}"/>
    <cellStyle name="Normal 10 2 8 2" xfId="42364" xr:uid="{89F2DA05-3CCC-48A4-82A3-F0768768220B}"/>
    <cellStyle name="Normal 10 2 9" xfId="26484" xr:uid="{2A0B56C0-FB14-4F8E-8B73-F386AF42104C}"/>
    <cellStyle name="Normal 10 2_Exh G" xfId="3423" xr:uid="{00000000-0005-0000-0000-0000AF550000}"/>
    <cellStyle name="Normal 10 3" xfId="637" xr:uid="{00000000-0005-0000-0000-0000B0550000}"/>
    <cellStyle name="Normal 10 3 2" xfId="1663" xr:uid="{00000000-0005-0000-0000-0000B1550000}"/>
    <cellStyle name="Normal 10 3 2 2" xfId="5190" xr:uid="{00000000-0005-0000-0000-0000B2550000}"/>
    <cellStyle name="Normal 10 3 2 2 2" xfId="8781" xr:uid="{00000000-0005-0000-0000-0000B3550000}"/>
    <cellStyle name="Normal 10 3 2 2 2 2" xfId="16751" xr:uid="{00000000-0005-0000-0000-0000B4550000}"/>
    <cellStyle name="Normal 10 3 2 2 2 2 2" xfId="40593" xr:uid="{B24999DF-0A0F-4C1A-B93A-72B6F67233F6}"/>
    <cellStyle name="Normal 10 3 2 2 2 3" xfId="24697" xr:uid="{00000000-0005-0000-0000-0000B5550000}"/>
    <cellStyle name="Normal 10 3 2 2 2 3 2" xfId="48529" xr:uid="{0FB35F86-D643-4E7D-AF7E-31CFACB49646}"/>
    <cellStyle name="Normal 10 3 2 2 2 4" xfId="32652" xr:uid="{82A9EB8F-20BD-4042-9C93-2A785C05B375}"/>
    <cellStyle name="Normal 10 3 2 2 3" xfId="13213" xr:uid="{00000000-0005-0000-0000-0000B6550000}"/>
    <cellStyle name="Normal 10 3 2 2 3 2" xfId="37062" xr:uid="{F98209A2-E1F7-4C08-AEA2-D98DF178A728}"/>
    <cellStyle name="Normal 10 3 2 2 4" xfId="21168" xr:uid="{00000000-0005-0000-0000-0000B7550000}"/>
    <cellStyle name="Normal 10 3 2 2 4 2" xfId="45000" xr:uid="{60A350D5-49C0-4F5E-A1A7-B49DE09A613B}"/>
    <cellStyle name="Normal 10 3 2 2 5" xfId="29121" xr:uid="{18A29B36-332C-43D8-9952-CC9D6E4F3DB8}"/>
    <cellStyle name="Normal 10 3 2 3" xfId="7022" xr:uid="{00000000-0005-0000-0000-0000B8550000}"/>
    <cellStyle name="Normal 10 3 2 3 2" xfId="14993" xr:uid="{00000000-0005-0000-0000-0000B9550000}"/>
    <cellStyle name="Normal 10 3 2 3 2 2" xfId="38835" xr:uid="{F0C3A731-ACF4-4C3A-92C0-4DC4CCA31B99}"/>
    <cellStyle name="Normal 10 3 2 3 3" xfId="22940" xr:uid="{00000000-0005-0000-0000-0000BA550000}"/>
    <cellStyle name="Normal 10 3 2 3 3 2" xfId="46772" xr:uid="{D21CD99D-E76E-482F-8301-DD12B9371CEC}"/>
    <cellStyle name="Normal 10 3 2 3 4" xfId="30894" xr:uid="{21FC0676-8C33-42E2-A380-395D6FCA23FF}"/>
    <cellStyle name="Normal 10 3 2 4" xfId="11457" xr:uid="{00000000-0005-0000-0000-0000BB550000}"/>
    <cellStyle name="Normal 10 3 2 4 2" xfId="35306" xr:uid="{261DA7E9-35F5-4FEE-B900-F777DE4E8D1E}"/>
    <cellStyle name="Normal 10 3 2 5" xfId="19412" xr:uid="{00000000-0005-0000-0000-0000BC550000}"/>
    <cellStyle name="Normal 10 3 2 5 2" xfId="43244" xr:uid="{A93FC8BF-F4D6-49CF-AD12-22ED3C4A9561}"/>
    <cellStyle name="Normal 10 3 2 6" xfId="27364" xr:uid="{ED9BB381-C137-446E-B17B-828889D19288}"/>
    <cellStyle name="Normal 10 3 2_Exh G" xfId="3428" xr:uid="{00000000-0005-0000-0000-0000BD550000}"/>
    <cellStyle name="Normal 10 3 3" xfId="4311" xr:uid="{00000000-0005-0000-0000-0000BE550000}"/>
    <cellStyle name="Normal 10 3 3 2" xfId="7903" xr:uid="{00000000-0005-0000-0000-0000BF550000}"/>
    <cellStyle name="Normal 10 3 3 2 2" xfId="15873" xr:uid="{00000000-0005-0000-0000-0000C0550000}"/>
    <cellStyle name="Normal 10 3 3 2 2 2" xfId="39715" xr:uid="{153A57ED-9787-4AAC-B02A-7F846F062D2F}"/>
    <cellStyle name="Normal 10 3 3 2 3" xfId="23819" xr:uid="{00000000-0005-0000-0000-0000C1550000}"/>
    <cellStyle name="Normal 10 3 3 2 3 2" xfId="47651" xr:uid="{529ACD35-2FD9-4F2B-94CE-CFEDCBAED18D}"/>
    <cellStyle name="Normal 10 3 3 2 4" xfId="31774" xr:uid="{EE093EDD-58BA-4273-9867-20EE99436153}"/>
    <cellStyle name="Normal 10 3 3 3" xfId="12335" xr:uid="{00000000-0005-0000-0000-0000C2550000}"/>
    <cellStyle name="Normal 10 3 3 3 2" xfId="36184" xr:uid="{041C7461-5320-435E-9A6E-CE584FAA9B68}"/>
    <cellStyle name="Normal 10 3 3 4" xfId="20290" xr:uid="{00000000-0005-0000-0000-0000C3550000}"/>
    <cellStyle name="Normal 10 3 3 4 2" xfId="44122" xr:uid="{0C689E48-BB9F-4B85-8ACC-2013F80B0C97}"/>
    <cellStyle name="Normal 10 3 3 5" xfId="28243" xr:uid="{1F43F13C-CAF2-45EE-AC76-0D8A1504E7F1}"/>
    <cellStyle name="Normal 10 3 4" xfId="6131" xr:uid="{00000000-0005-0000-0000-0000C4550000}"/>
    <cellStyle name="Normal 10 3 4 2" xfId="14114" xr:uid="{00000000-0005-0000-0000-0000C5550000}"/>
    <cellStyle name="Normal 10 3 4 2 2" xfId="37957" xr:uid="{BCC57527-5FCA-4AD3-9831-AA578DB018F9}"/>
    <cellStyle name="Normal 10 3 4 3" xfId="22062" xr:uid="{00000000-0005-0000-0000-0000C6550000}"/>
    <cellStyle name="Normal 10 3 4 3 2" xfId="45894" xr:uid="{EBFA392B-E343-4CE6-ADA6-5383924E3AE0}"/>
    <cellStyle name="Normal 10 3 4 4" xfId="30016" xr:uid="{F2BA0E69-A74C-4139-8916-5F19B677FAD6}"/>
    <cellStyle name="Normal 10 3 5" xfId="9683" xr:uid="{00000000-0005-0000-0000-0000C7550000}"/>
    <cellStyle name="Normal 10 3 5 2" xfId="17641" xr:uid="{00000000-0005-0000-0000-0000C8550000}"/>
    <cellStyle name="Normal 10 3 5 2 2" xfId="41481" xr:uid="{6FACFEFC-8002-416B-93A4-204C89C1B5DB}"/>
    <cellStyle name="Normal 10 3 5 3" xfId="25585" xr:uid="{00000000-0005-0000-0000-0000C9550000}"/>
    <cellStyle name="Normal 10 3 5 3 2" xfId="49417" xr:uid="{E451A3D9-1DE4-44D7-BBB4-2A6031AAE2A6}"/>
    <cellStyle name="Normal 10 3 5 4" xfId="33540" xr:uid="{EB0B1A1C-3EFB-480F-89F3-0EF8C333B629}"/>
    <cellStyle name="Normal 10 3 6" xfId="10579" xr:uid="{00000000-0005-0000-0000-0000CA550000}"/>
    <cellStyle name="Normal 10 3 6 2" xfId="34428" xr:uid="{E3007EA3-6D42-4155-8907-43C894A02292}"/>
    <cellStyle name="Normal 10 3 7" xfId="18534" xr:uid="{00000000-0005-0000-0000-0000CB550000}"/>
    <cellStyle name="Normal 10 3 7 2" xfId="42366" xr:uid="{91DE749E-83D3-42C4-818F-B3185BB04E48}"/>
    <cellStyle name="Normal 10 3 8" xfId="26486" xr:uid="{C4882297-FA2B-40E5-98B8-423B2A53862F}"/>
    <cellStyle name="Normal 10 3_Exh G" xfId="3427" xr:uid="{00000000-0005-0000-0000-0000CC550000}"/>
    <cellStyle name="Normal 10 4" xfId="1009" xr:uid="{00000000-0005-0000-0000-0000CD550000}"/>
    <cellStyle name="Normal 10 5" xfId="1660" xr:uid="{00000000-0005-0000-0000-0000CE550000}"/>
    <cellStyle name="Normal 10 5 2" xfId="5187" xr:uid="{00000000-0005-0000-0000-0000CF550000}"/>
    <cellStyle name="Normal 10 5 2 2" xfId="8778" xr:uid="{00000000-0005-0000-0000-0000D0550000}"/>
    <cellStyle name="Normal 10 5 2 2 2" xfId="16748" xr:uid="{00000000-0005-0000-0000-0000D1550000}"/>
    <cellStyle name="Normal 10 5 2 2 2 2" xfId="40590" xr:uid="{11891469-3DFF-4F84-957D-29C373BF77A6}"/>
    <cellStyle name="Normal 10 5 2 2 3" xfId="24694" xr:uid="{00000000-0005-0000-0000-0000D2550000}"/>
    <cellStyle name="Normal 10 5 2 2 3 2" xfId="48526" xr:uid="{F7DAEA37-3BAC-4221-9411-AFFA2C222107}"/>
    <cellStyle name="Normal 10 5 2 2 4" xfId="32649" xr:uid="{2AF07D50-7BA9-4BD9-8316-2EAAA6B9E5B3}"/>
    <cellStyle name="Normal 10 5 2 3" xfId="13210" xr:uid="{00000000-0005-0000-0000-0000D3550000}"/>
    <cellStyle name="Normal 10 5 2 3 2" xfId="37059" xr:uid="{5652A2A8-E167-4236-84E7-30938E0D716C}"/>
    <cellStyle name="Normal 10 5 2 4" xfId="21165" xr:uid="{00000000-0005-0000-0000-0000D4550000}"/>
    <cellStyle name="Normal 10 5 2 4 2" xfId="44997" xr:uid="{DF4366EF-67BE-40E8-931B-B35CDED41C74}"/>
    <cellStyle name="Normal 10 5 2 5" xfId="29118" xr:uid="{2CE9E570-9026-44CB-8C1A-34666A3FCBF9}"/>
    <cellStyle name="Normal 10 5 3" xfId="7019" xr:uid="{00000000-0005-0000-0000-0000D5550000}"/>
    <cellStyle name="Normal 10 5 3 2" xfId="14990" xr:uid="{00000000-0005-0000-0000-0000D6550000}"/>
    <cellStyle name="Normal 10 5 3 2 2" xfId="38832" xr:uid="{DE2E8F38-5627-4051-BF22-306CC7E8A90F}"/>
    <cellStyle name="Normal 10 5 3 3" xfId="22937" xr:uid="{00000000-0005-0000-0000-0000D7550000}"/>
    <cellStyle name="Normal 10 5 3 3 2" xfId="46769" xr:uid="{D65BA575-388B-4861-AA07-588C77DFAD18}"/>
    <cellStyle name="Normal 10 5 3 4" xfId="30891" xr:uid="{2382FA7E-602A-49A3-8DAC-47BEEFB0C5E6}"/>
    <cellStyle name="Normal 10 5 4" xfId="11454" xr:uid="{00000000-0005-0000-0000-0000D8550000}"/>
    <cellStyle name="Normal 10 5 4 2" xfId="35303" xr:uid="{F0D58412-B33D-4A0D-89ED-03028018C437}"/>
    <cellStyle name="Normal 10 5 5" xfId="19409" xr:uid="{00000000-0005-0000-0000-0000D9550000}"/>
    <cellStyle name="Normal 10 5 5 2" xfId="43241" xr:uid="{229BAD69-03A1-443A-A0D8-0F47A59CE17C}"/>
    <cellStyle name="Normal 10 5 6" xfId="27361" xr:uid="{420A8B5A-0BF8-4A1C-8D35-5F294BBD1D7E}"/>
    <cellStyle name="Normal 10 5_Exh G" xfId="3429" xr:uid="{00000000-0005-0000-0000-0000DA550000}"/>
    <cellStyle name="Normal 10 6" xfId="4308" xr:uid="{00000000-0005-0000-0000-0000DB550000}"/>
    <cellStyle name="Normal 10 6 2" xfId="7900" xr:uid="{00000000-0005-0000-0000-0000DC550000}"/>
    <cellStyle name="Normal 10 6 2 2" xfId="15870" xr:uid="{00000000-0005-0000-0000-0000DD550000}"/>
    <cellStyle name="Normal 10 6 2 2 2" xfId="39712" xr:uid="{DD0960B0-D8A5-4962-B366-F60BA7794DE3}"/>
    <cellStyle name="Normal 10 6 2 3" xfId="23816" xr:uid="{00000000-0005-0000-0000-0000DE550000}"/>
    <cellStyle name="Normal 10 6 2 3 2" xfId="47648" xr:uid="{888F2190-560F-48EE-8E17-BB63E3128608}"/>
    <cellStyle name="Normal 10 6 2 4" xfId="31771" xr:uid="{86EC9137-0423-4169-BA7F-DB24B6A37132}"/>
    <cellStyle name="Normal 10 6 3" xfId="12332" xr:uid="{00000000-0005-0000-0000-0000DF550000}"/>
    <cellStyle name="Normal 10 6 3 2" xfId="36181" xr:uid="{19116193-76F9-4E4C-ACB8-F0393687C8C3}"/>
    <cellStyle name="Normal 10 6 4" xfId="20287" xr:uid="{00000000-0005-0000-0000-0000E0550000}"/>
    <cellStyle name="Normal 10 6 4 2" xfId="44119" xr:uid="{9E844FDA-C229-4AD9-B5D9-10CED8447A93}"/>
    <cellStyle name="Normal 10 6 5" xfId="28240" xr:uid="{8AD6150E-2322-4004-BCFD-9543BBDBB449}"/>
    <cellStyle name="Normal 10 7" xfId="6128" xr:uid="{00000000-0005-0000-0000-0000E1550000}"/>
    <cellStyle name="Normal 10 7 2" xfId="14111" xr:uid="{00000000-0005-0000-0000-0000E2550000}"/>
    <cellStyle name="Normal 10 7 2 2" xfId="37954" xr:uid="{55033CD2-D26C-4BF7-BA5F-F69EBE06C33D}"/>
    <cellStyle name="Normal 10 7 3" xfId="22059" xr:uid="{00000000-0005-0000-0000-0000E3550000}"/>
    <cellStyle name="Normal 10 7 3 2" xfId="45891" xr:uid="{408C558A-8C31-443C-9B28-601CF6A5D4A5}"/>
    <cellStyle name="Normal 10 7 4" xfId="30013" xr:uid="{F6158A7E-9DA1-4CE6-AAFF-3C7FB07E879F}"/>
    <cellStyle name="Normal 10 8" xfId="9680" xr:uid="{00000000-0005-0000-0000-0000E4550000}"/>
    <cellStyle name="Normal 10 8 2" xfId="17638" xr:uid="{00000000-0005-0000-0000-0000E5550000}"/>
    <cellStyle name="Normal 10 8 2 2" xfId="41478" xr:uid="{183495A0-FC65-4DA8-A106-37C11E938AA7}"/>
    <cellStyle name="Normal 10 8 3" xfId="25582" xr:uid="{00000000-0005-0000-0000-0000E6550000}"/>
    <cellStyle name="Normal 10 8 3 2" xfId="49414" xr:uid="{56939EFE-0880-42EF-AFB3-B9E7FB70D4EA}"/>
    <cellStyle name="Normal 10 8 4" xfId="33537" xr:uid="{2E8E7513-963E-43BC-8CB3-093DDF4D67B1}"/>
    <cellStyle name="Normal 10 9" xfId="10576" xr:uid="{00000000-0005-0000-0000-0000E7550000}"/>
    <cellStyle name="Normal 10 9 2" xfId="34425" xr:uid="{6D654562-AC93-4C81-9272-FDDCCC5C51BF}"/>
    <cellStyle name="Normal 10_Exh G" xfId="3422" xr:uid="{00000000-0005-0000-0000-0000E8550000}"/>
    <cellStyle name="Normal 11" xfId="638" xr:uid="{00000000-0005-0000-0000-0000E9550000}"/>
    <cellStyle name="Normal 11 10" xfId="18535" xr:uid="{00000000-0005-0000-0000-0000EA550000}"/>
    <cellStyle name="Normal 11 10 2" xfId="42367" xr:uid="{FB7F3ACA-287D-46F5-A81C-FAF7151B9F2C}"/>
    <cellStyle name="Normal 11 11" xfId="26487" xr:uid="{8DE8F2F4-6311-4F6D-BFBE-C84675933177}"/>
    <cellStyle name="Normal 11 2" xfId="639" xr:uid="{00000000-0005-0000-0000-0000EB550000}"/>
    <cellStyle name="Normal 11 2 2" xfId="640" xr:uid="{00000000-0005-0000-0000-0000EC550000}"/>
    <cellStyle name="Normal 11 2 2 2" xfId="1666" xr:uid="{00000000-0005-0000-0000-0000ED550000}"/>
    <cellStyle name="Normal 11 2 2 2 2" xfId="5193" xr:uid="{00000000-0005-0000-0000-0000EE550000}"/>
    <cellStyle name="Normal 11 2 2 2 2 2" xfId="8784" xr:uid="{00000000-0005-0000-0000-0000EF550000}"/>
    <cellStyle name="Normal 11 2 2 2 2 2 2" xfId="16754" xr:uid="{00000000-0005-0000-0000-0000F0550000}"/>
    <cellStyle name="Normal 11 2 2 2 2 2 2 2" xfId="40596" xr:uid="{4A422B26-0D30-4653-AFDA-4875BB8206A2}"/>
    <cellStyle name="Normal 11 2 2 2 2 2 3" xfId="24700" xr:uid="{00000000-0005-0000-0000-0000F1550000}"/>
    <cellStyle name="Normal 11 2 2 2 2 2 3 2" xfId="48532" xr:uid="{28102400-A069-4798-A79F-20C6308E8060}"/>
    <cellStyle name="Normal 11 2 2 2 2 2 4" xfId="32655" xr:uid="{4C0E035A-80CF-4A3E-A4C9-D1CD1A8FB354}"/>
    <cellStyle name="Normal 11 2 2 2 2 3" xfId="13216" xr:uid="{00000000-0005-0000-0000-0000F2550000}"/>
    <cellStyle name="Normal 11 2 2 2 2 3 2" xfId="37065" xr:uid="{1EA3F324-5E3A-4258-AECE-DE01A73BDA71}"/>
    <cellStyle name="Normal 11 2 2 2 2 4" xfId="21171" xr:uid="{00000000-0005-0000-0000-0000F3550000}"/>
    <cellStyle name="Normal 11 2 2 2 2 4 2" xfId="45003" xr:uid="{070B176E-DF05-492B-8BB1-86C9F9B40F57}"/>
    <cellStyle name="Normal 11 2 2 2 2 5" xfId="29124" xr:uid="{95B675BA-3A6D-4B4D-BD07-3F782FA8656F}"/>
    <cellStyle name="Normal 11 2 2 2 3" xfId="7025" xr:uid="{00000000-0005-0000-0000-0000F4550000}"/>
    <cellStyle name="Normal 11 2 2 2 3 2" xfId="14996" xr:uid="{00000000-0005-0000-0000-0000F5550000}"/>
    <cellStyle name="Normal 11 2 2 2 3 2 2" xfId="38838" xr:uid="{F17A0CB9-53EB-4F6D-A2C0-B473E6E8EDE2}"/>
    <cellStyle name="Normal 11 2 2 2 3 3" xfId="22943" xr:uid="{00000000-0005-0000-0000-0000F6550000}"/>
    <cellStyle name="Normal 11 2 2 2 3 3 2" xfId="46775" xr:uid="{D3FA1E4F-F625-44B6-959B-4B983CA1E434}"/>
    <cellStyle name="Normal 11 2 2 2 3 4" xfId="30897" xr:uid="{E257EBAC-9A43-467C-ABDC-A7E5415DD31F}"/>
    <cellStyle name="Normal 11 2 2 2 4" xfId="11460" xr:uid="{00000000-0005-0000-0000-0000F7550000}"/>
    <cellStyle name="Normal 11 2 2 2 4 2" xfId="35309" xr:uid="{43901FD6-1EA9-44D8-A9B7-9C0C7EEF0220}"/>
    <cellStyle name="Normal 11 2 2 2 5" xfId="19415" xr:uid="{00000000-0005-0000-0000-0000F8550000}"/>
    <cellStyle name="Normal 11 2 2 2 5 2" xfId="43247" xr:uid="{5EB3564E-D2CD-4508-9298-C9C11C1F9F5F}"/>
    <cellStyle name="Normal 11 2 2 2 6" xfId="27367" xr:uid="{F6D5A6BF-FA92-42BA-B654-899C74B6E02C}"/>
    <cellStyle name="Normal 11 2 2 2_Exh G" xfId="3433" xr:uid="{00000000-0005-0000-0000-0000F9550000}"/>
    <cellStyle name="Normal 11 2 2 3" xfId="4314" xr:uid="{00000000-0005-0000-0000-0000FA550000}"/>
    <cellStyle name="Normal 11 2 2 3 2" xfId="7906" xr:uid="{00000000-0005-0000-0000-0000FB550000}"/>
    <cellStyle name="Normal 11 2 2 3 2 2" xfId="15876" xr:uid="{00000000-0005-0000-0000-0000FC550000}"/>
    <cellStyle name="Normal 11 2 2 3 2 2 2" xfId="39718" xr:uid="{AD169442-D2A8-4897-93AC-8CEA8DBAF348}"/>
    <cellStyle name="Normal 11 2 2 3 2 3" xfId="23822" xr:uid="{00000000-0005-0000-0000-0000FD550000}"/>
    <cellStyle name="Normal 11 2 2 3 2 3 2" xfId="47654" xr:uid="{D5FCB941-509B-4384-AB47-4E062A7E8005}"/>
    <cellStyle name="Normal 11 2 2 3 2 4" xfId="31777" xr:uid="{6C4D5C23-2ECB-4560-9748-8DEF33338AFD}"/>
    <cellStyle name="Normal 11 2 2 3 3" xfId="12338" xr:uid="{00000000-0005-0000-0000-0000FE550000}"/>
    <cellStyle name="Normal 11 2 2 3 3 2" xfId="36187" xr:uid="{D4836244-485A-448A-ADA9-E5D550F14CA4}"/>
    <cellStyle name="Normal 11 2 2 3 4" xfId="20293" xr:uid="{00000000-0005-0000-0000-0000FF550000}"/>
    <cellStyle name="Normal 11 2 2 3 4 2" xfId="44125" xr:uid="{45214FD0-3E40-43D1-ACB8-CEA6B3E66F52}"/>
    <cellStyle name="Normal 11 2 2 3 5" xfId="28246" xr:uid="{0E567E3F-4888-4ADA-B789-1A82C13DD52E}"/>
    <cellStyle name="Normal 11 2 2 4" xfId="6134" xr:uid="{00000000-0005-0000-0000-000000560000}"/>
    <cellStyle name="Normal 11 2 2 4 2" xfId="14117" xr:uid="{00000000-0005-0000-0000-000001560000}"/>
    <cellStyle name="Normal 11 2 2 4 2 2" xfId="37960" xr:uid="{CB6370B6-7AA4-4BC3-A474-216B77AA39EE}"/>
    <cellStyle name="Normal 11 2 2 4 3" xfId="22065" xr:uid="{00000000-0005-0000-0000-000002560000}"/>
    <cellStyle name="Normal 11 2 2 4 3 2" xfId="45897" xr:uid="{67A82112-53A1-4353-B3DE-1B6FACCA39B4}"/>
    <cellStyle name="Normal 11 2 2 4 4" xfId="30019" xr:uid="{B97CCBFC-E86E-45A0-8198-A491CAB5FF1A}"/>
    <cellStyle name="Normal 11 2 2 5" xfId="9686" xr:uid="{00000000-0005-0000-0000-000003560000}"/>
    <cellStyle name="Normal 11 2 2 5 2" xfId="17644" xr:uid="{00000000-0005-0000-0000-000004560000}"/>
    <cellStyle name="Normal 11 2 2 5 2 2" xfId="41484" xr:uid="{D9865EFC-9FA1-4E83-B30C-875BB6524692}"/>
    <cellStyle name="Normal 11 2 2 5 3" xfId="25588" xr:uid="{00000000-0005-0000-0000-000005560000}"/>
    <cellStyle name="Normal 11 2 2 5 3 2" xfId="49420" xr:uid="{E59B6CDD-4AD5-463F-9A27-1C76A2022E31}"/>
    <cellStyle name="Normal 11 2 2 5 4" xfId="33543" xr:uid="{BDFE94D6-6102-4077-A3FE-80CA24FADD17}"/>
    <cellStyle name="Normal 11 2 2 6" xfId="10582" xr:uid="{00000000-0005-0000-0000-000006560000}"/>
    <cellStyle name="Normal 11 2 2 6 2" xfId="34431" xr:uid="{CE968595-391D-49CA-8D86-0C12DE0A025B}"/>
    <cellStyle name="Normal 11 2 2 7" xfId="18537" xr:uid="{00000000-0005-0000-0000-000007560000}"/>
    <cellStyle name="Normal 11 2 2 7 2" xfId="42369" xr:uid="{9409C1D2-A833-4518-B44C-4071273BA185}"/>
    <cellStyle name="Normal 11 2 2 8" xfId="26489" xr:uid="{7B98068D-32AB-4E4B-9EB5-ABA03E1AB067}"/>
    <cellStyle name="Normal 11 2 2_Exh G" xfId="3432" xr:uid="{00000000-0005-0000-0000-000008560000}"/>
    <cellStyle name="Normal 11 2 3" xfId="1665" xr:uid="{00000000-0005-0000-0000-000009560000}"/>
    <cellStyle name="Normal 11 2 3 2" xfId="5192" xr:uid="{00000000-0005-0000-0000-00000A560000}"/>
    <cellStyle name="Normal 11 2 3 2 2" xfId="8783" xr:uid="{00000000-0005-0000-0000-00000B560000}"/>
    <cellStyle name="Normal 11 2 3 2 2 2" xfId="16753" xr:uid="{00000000-0005-0000-0000-00000C560000}"/>
    <cellStyle name="Normal 11 2 3 2 2 2 2" xfId="40595" xr:uid="{2E8B4D48-680C-4637-BFCE-874B26CF413C}"/>
    <cellStyle name="Normal 11 2 3 2 2 3" xfId="24699" xr:uid="{00000000-0005-0000-0000-00000D560000}"/>
    <cellStyle name="Normal 11 2 3 2 2 3 2" xfId="48531" xr:uid="{623D3125-B15F-4FFB-BE88-B622E452FEF2}"/>
    <cellStyle name="Normal 11 2 3 2 2 4" xfId="32654" xr:uid="{5C864E96-58BA-4748-A9B7-E098278A20C3}"/>
    <cellStyle name="Normal 11 2 3 2 3" xfId="13215" xr:uid="{00000000-0005-0000-0000-00000E560000}"/>
    <cellStyle name="Normal 11 2 3 2 3 2" xfId="37064" xr:uid="{2D0BCE4F-5995-47BC-BF8F-2FD367BD8251}"/>
    <cellStyle name="Normal 11 2 3 2 4" xfId="21170" xr:uid="{00000000-0005-0000-0000-00000F560000}"/>
    <cellStyle name="Normal 11 2 3 2 4 2" xfId="45002" xr:uid="{CE1C7791-9C79-4EC0-9B2D-C11E1236E19C}"/>
    <cellStyle name="Normal 11 2 3 2 5" xfId="29123" xr:uid="{9167AD95-7F4C-4275-8455-F3B2A6BD4E3B}"/>
    <cellStyle name="Normal 11 2 3 3" xfId="7024" xr:uid="{00000000-0005-0000-0000-000010560000}"/>
    <cellStyle name="Normal 11 2 3 3 2" xfId="14995" xr:uid="{00000000-0005-0000-0000-000011560000}"/>
    <cellStyle name="Normal 11 2 3 3 2 2" xfId="38837" xr:uid="{4C44D69C-EECF-4096-B648-83027A4DA99B}"/>
    <cellStyle name="Normal 11 2 3 3 3" xfId="22942" xr:uid="{00000000-0005-0000-0000-000012560000}"/>
    <cellStyle name="Normal 11 2 3 3 3 2" xfId="46774" xr:uid="{C4E62844-BCAC-48AE-AFFD-D7B66FE30D12}"/>
    <cellStyle name="Normal 11 2 3 3 4" xfId="30896" xr:uid="{843E267C-8A85-4EAE-8521-8C15896C5F59}"/>
    <cellStyle name="Normal 11 2 3 4" xfId="11459" xr:uid="{00000000-0005-0000-0000-000013560000}"/>
    <cellStyle name="Normal 11 2 3 4 2" xfId="35308" xr:uid="{72B37283-9997-437D-BC46-FA128BC68FD8}"/>
    <cellStyle name="Normal 11 2 3 5" xfId="19414" xr:uid="{00000000-0005-0000-0000-000014560000}"/>
    <cellStyle name="Normal 11 2 3 5 2" xfId="43246" xr:uid="{7FB12E21-BA14-4841-8921-2EDA6251BC7E}"/>
    <cellStyle name="Normal 11 2 3 6" xfId="27366" xr:uid="{0CEC5EC0-5BAC-45C8-88C5-79A9E8BC131E}"/>
    <cellStyle name="Normal 11 2 3_Exh G" xfId="3434" xr:uid="{00000000-0005-0000-0000-000015560000}"/>
    <cellStyle name="Normal 11 2 4" xfId="4313" xr:uid="{00000000-0005-0000-0000-000016560000}"/>
    <cellStyle name="Normal 11 2 4 2" xfId="7905" xr:uid="{00000000-0005-0000-0000-000017560000}"/>
    <cellStyle name="Normal 11 2 4 2 2" xfId="15875" xr:uid="{00000000-0005-0000-0000-000018560000}"/>
    <cellStyle name="Normal 11 2 4 2 2 2" xfId="39717" xr:uid="{56789995-4B56-47BF-9949-3F1ADA1CD250}"/>
    <cellStyle name="Normal 11 2 4 2 3" xfId="23821" xr:uid="{00000000-0005-0000-0000-000019560000}"/>
    <cellStyle name="Normal 11 2 4 2 3 2" xfId="47653" xr:uid="{3EDDD671-D0C8-4FB1-8E82-1DE7D6C4AF94}"/>
    <cellStyle name="Normal 11 2 4 2 4" xfId="31776" xr:uid="{51FF2E00-51BC-45A5-A779-5602733F451A}"/>
    <cellStyle name="Normal 11 2 4 3" xfId="12337" xr:uid="{00000000-0005-0000-0000-00001A560000}"/>
    <cellStyle name="Normal 11 2 4 3 2" xfId="36186" xr:uid="{ACA7A8C5-FBD7-4C07-B3D2-6ABD78D8D41F}"/>
    <cellStyle name="Normal 11 2 4 4" xfId="20292" xr:uid="{00000000-0005-0000-0000-00001B560000}"/>
    <cellStyle name="Normal 11 2 4 4 2" xfId="44124" xr:uid="{82E970FF-86CB-4F55-BA26-2173D737458A}"/>
    <cellStyle name="Normal 11 2 4 5" xfId="28245" xr:uid="{056C0450-5F45-4B70-A576-76030B70825E}"/>
    <cellStyle name="Normal 11 2 5" xfId="6133" xr:uid="{00000000-0005-0000-0000-00001C560000}"/>
    <cellStyle name="Normal 11 2 5 2" xfId="14116" xr:uid="{00000000-0005-0000-0000-00001D560000}"/>
    <cellStyle name="Normal 11 2 5 2 2" xfId="37959" xr:uid="{FCF14717-8FB7-4A16-B337-59E09B4C5B3F}"/>
    <cellStyle name="Normal 11 2 5 3" xfId="22064" xr:uid="{00000000-0005-0000-0000-00001E560000}"/>
    <cellStyle name="Normal 11 2 5 3 2" xfId="45896" xr:uid="{3353485E-6FC2-47C5-9515-EA4AC3CFED8D}"/>
    <cellStyle name="Normal 11 2 5 4" xfId="30018" xr:uid="{A25F61C9-9418-4153-B75D-1D05DF773CD1}"/>
    <cellStyle name="Normal 11 2 6" xfId="9685" xr:uid="{00000000-0005-0000-0000-00001F560000}"/>
    <cellStyle name="Normal 11 2 6 2" xfId="17643" xr:uid="{00000000-0005-0000-0000-000020560000}"/>
    <cellStyle name="Normal 11 2 6 2 2" xfId="41483" xr:uid="{7418111D-09B6-47F2-AB6B-09B984AB9C6A}"/>
    <cellStyle name="Normal 11 2 6 3" xfId="25587" xr:uid="{00000000-0005-0000-0000-000021560000}"/>
    <cellStyle name="Normal 11 2 6 3 2" xfId="49419" xr:uid="{968CC445-A74E-4EE3-BCBA-6869CBEEFD50}"/>
    <cellStyle name="Normal 11 2 6 4" xfId="33542" xr:uid="{F3B94DF4-5F52-4748-8B90-3F1A0BB050DC}"/>
    <cellStyle name="Normal 11 2 7" xfId="10581" xr:uid="{00000000-0005-0000-0000-000022560000}"/>
    <cellStyle name="Normal 11 2 7 2" xfId="34430" xr:uid="{238D805C-970B-455F-B2BA-75E6757F8B3B}"/>
    <cellStyle name="Normal 11 2 8" xfId="18536" xr:uid="{00000000-0005-0000-0000-000023560000}"/>
    <cellStyle name="Normal 11 2 8 2" xfId="42368" xr:uid="{798E9CE7-5B7B-492D-B81B-242EEC0A1968}"/>
    <cellStyle name="Normal 11 2 9" xfId="26488" xr:uid="{ABB2088D-A628-473C-9039-9D69EE0379C3}"/>
    <cellStyle name="Normal 11 2_Exh G" xfId="3431" xr:uid="{00000000-0005-0000-0000-000024560000}"/>
    <cellStyle name="Normal 11 3" xfId="641" xr:uid="{00000000-0005-0000-0000-000025560000}"/>
    <cellStyle name="Normal 11 3 2" xfId="1667" xr:uid="{00000000-0005-0000-0000-000026560000}"/>
    <cellStyle name="Normal 11 3 2 2" xfId="5194" xr:uid="{00000000-0005-0000-0000-000027560000}"/>
    <cellStyle name="Normal 11 3 2 2 2" xfId="8785" xr:uid="{00000000-0005-0000-0000-000028560000}"/>
    <cellStyle name="Normal 11 3 2 2 2 2" xfId="16755" xr:uid="{00000000-0005-0000-0000-000029560000}"/>
    <cellStyle name="Normal 11 3 2 2 2 2 2" xfId="40597" xr:uid="{7FDADA77-CEE9-4F33-946C-B647731AE207}"/>
    <cellStyle name="Normal 11 3 2 2 2 3" xfId="24701" xr:uid="{00000000-0005-0000-0000-00002A560000}"/>
    <cellStyle name="Normal 11 3 2 2 2 3 2" xfId="48533" xr:uid="{7738EC1A-9B13-427F-9E9D-B37A4512C7FF}"/>
    <cellStyle name="Normal 11 3 2 2 2 4" xfId="32656" xr:uid="{63071830-69BC-4EA9-B022-B2FF76BD77F0}"/>
    <cellStyle name="Normal 11 3 2 2 3" xfId="13217" xr:uid="{00000000-0005-0000-0000-00002B560000}"/>
    <cellStyle name="Normal 11 3 2 2 3 2" xfId="37066" xr:uid="{7D84FB8F-493A-42A3-9937-C3D0932A75CF}"/>
    <cellStyle name="Normal 11 3 2 2 4" xfId="21172" xr:uid="{00000000-0005-0000-0000-00002C560000}"/>
    <cellStyle name="Normal 11 3 2 2 4 2" xfId="45004" xr:uid="{DCF7CEC4-B347-449C-9C92-DEE907ED8C47}"/>
    <cellStyle name="Normal 11 3 2 2 5" xfId="29125" xr:uid="{CA4A625C-F151-4ECE-B933-BA69371AFCA2}"/>
    <cellStyle name="Normal 11 3 2 3" xfId="7026" xr:uid="{00000000-0005-0000-0000-00002D560000}"/>
    <cellStyle name="Normal 11 3 2 3 2" xfId="14997" xr:uid="{00000000-0005-0000-0000-00002E560000}"/>
    <cellStyle name="Normal 11 3 2 3 2 2" xfId="38839" xr:uid="{978F0ADA-6EAA-4099-954D-FEB4B37C2088}"/>
    <cellStyle name="Normal 11 3 2 3 3" xfId="22944" xr:uid="{00000000-0005-0000-0000-00002F560000}"/>
    <cellStyle name="Normal 11 3 2 3 3 2" xfId="46776" xr:uid="{B5A4AC84-30E2-4555-AF69-99632910BB81}"/>
    <cellStyle name="Normal 11 3 2 3 4" xfId="30898" xr:uid="{52CD1474-0C07-4463-8368-2BF6D0808E68}"/>
    <cellStyle name="Normal 11 3 2 4" xfId="11461" xr:uid="{00000000-0005-0000-0000-000030560000}"/>
    <cellStyle name="Normal 11 3 2 4 2" xfId="35310" xr:uid="{5A280B53-09DC-4079-9125-993103DFF525}"/>
    <cellStyle name="Normal 11 3 2 5" xfId="19416" xr:uid="{00000000-0005-0000-0000-000031560000}"/>
    <cellStyle name="Normal 11 3 2 5 2" xfId="43248" xr:uid="{7B25F053-776C-40DD-AACB-4F8205D53E3D}"/>
    <cellStyle name="Normal 11 3 2 6" xfId="27368" xr:uid="{BD7946C6-BC09-489B-8FE5-A65A39571997}"/>
    <cellStyle name="Normal 11 3 2_Exh G" xfId="3436" xr:uid="{00000000-0005-0000-0000-000032560000}"/>
    <cellStyle name="Normal 11 3 3" xfId="4315" xr:uid="{00000000-0005-0000-0000-000033560000}"/>
    <cellStyle name="Normal 11 3 3 2" xfId="7907" xr:uid="{00000000-0005-0000-0000-000034560000}"/>
    <cellStyle name="Normal 11 3 3 2 2" xfId="15877" xr:uid="{00000000-0005-0000-0000-000035560000}"/>
    <cellStyle name="Normal 11 3 3 2 2 2" xfId="39719" xr:uid="{01D25F6A-9C38-4412-A5D2-D9BEDFB357C7}"/>
    <cellStyle name="Normal 11 3 3 2 3" xfId="23823" xr:uid="{00000000-0005-0000-0000-000036560000}"/>
    <cellStyle name="Normal 11 3 3 2 3 2" xfId="47655" xr:uid="{E8383068-9677-49E9-827E-2A7392641DCF}"/>
    <cellStyle name="Normal 11 3 3 2 4" xfId="31778" xr:uid="{322FD87E-E530-4BC3-8559-089A61AD8E6B}"/>
    <cellStyle name="Normal 11 3 3 3" xfId="12339" xr:uid="{00000000-0005-0000-0000-000037560000}"/>
    <cellStyle name="Normal 11 3 3 3 2" xfId="36188" xr:uid="{5EA78D2F-5D4E-471F-85F2-DECA3CE82EBA}"/>
    <cellStyle name="Normal 11 3 3 4" xfId="20294" xr:uid="{00000000-0005-0000-0000-000038560000}"/>
    <cellStyle name="Normal 11 3 3 4 2" xfId="44126" xr:uid="{2CECD7C8-89E0-45F2-872F-74C339D600FE}"/>
    <cellStyle name="Normal 11 3 3 5" xfId="28247" xr:uid="{E627365E-E1AC-4A74-A8F8-65354214893C}"/>
    <cellStyle name="Normal 11 3 4" xfId="6135" xr:uid="{00000000-0005-0000-0000-000039560000}"/>
    <cellStyle name="Normal 11 3 4 2" xfId="14118" xr:uid="{00000000-0005-0000-0000-00003A560000}"/>
    <cellStyle name="Normal 11 3 4 2 2" xfId="37961" xr:uid="{157FB747-BBE2-4C88-8426-3AC74B4BD95F}"/>
    <cellStyle name="Normal 11 3 4 3" xfId="22066" xr:uid="{00000000-0005-0000-0000-00003B560000}"/>
    <cellStyle name="Normal 11 3 4 3 2" xfId="45898" xr:uid="{490AFACB-7FAF-4725-8134-69F84A7FC83C}"/>
    <cellStyle name="Normal 11 3 4 4" xfId="30020" xr:uid="{A4E772BE-FACF-4CBE-94E5-0042484DF251}"/>
    <cellStyle name="Normal 11 3 5" xfId="9687" xr:uid="{00000000-0005-0000-0000-00003C560000}"/>
    <cellStyle name="Normal 11 3 5 2" xfId="17645" xr:uid="{00000000-0005-0000-0000-00003D560000}"/>
    <cellStyle name="Normal 11 3 5 2 2" xfId="41485" xr:uid="{A640D376-E769-431B-AE84-F67226D9B313}"/>
    <cellStyle name="Normal 11 3 5 3" xfId="25589" xr:uid="{00000000-0005-0000-0000-00003E560000}"/>
    <cellStyle name="Normal 11 3 5 3 2" xfId="49421" xr:uid="{D4D2F3BD-7FF9-4401-9A4B-8AABF90FD8B9}"/>
    <cellStyle name="Normal 11 3 5 4" xfId="33544" xr:uid="{C5D839D0-28B2-4107-A001-C11F8B38B846}"/>
    <cellStyle name="Normal 11 3 6" xfId="10583" xr:uid="{00000000-0005-0000-0000-00003F560000}"/>
    <cellStyle name="Normal 11 3 6 2" xfId="34432" xr:uid="{60B06FE1-1551-4EA1-A8E3-E4847FF41993}"/>
    <cellStyle name="Normal 11 3 7" xfId="18538" xr:uid="{00000000-0005-0000-0000-000040560000}"/>
    <cellStyle name="Normal 11 3 7 2" xfId="42370" xr:uid="{91F535D9-3B80-4CEF-9B97-C09CF64DFE4F}"/>
    <cellStyle name="Normal 11 3 8" xfId="26490" xr:uid="{2AB30A4E-5748-4881-BE1B-CB02E763FBBC}"/>
    <cellStyle name="Normal 11 3_Exh G" xfId="3435" xr:uid="{00000000-0005-0000-0000-000041560000}"/>
    <cellStyle name="Normal 11 4" xfId="1010" xr:uid="{00000000-0005-0000-0000-000042560000}"/>
    <cellStyle name="Normal 11 4 2" xfId="1913" xr:uid="{00000000-0005-0000-0000-000043560000}"/>
    <cellStyle name="Normal 11 4 2 2" xfId="5430" xr:uid="{00000000-0005-0000-0000-000044560000}"/>
    <cellStyle name="Normal 11 4 2 2 2" xfId="9021" xr:uid="{00000000-0005-0000-0000-000045560000}"/>
    <cellStyle name="Normal 11 4 2 2 2 2" xfId="16991" xr:uid="{00000000-0005-0000-0000-000046560000}"/>
    <cellStyle name="Normal 11 4 2 2 2 2 2" xfId="40833" xr:uid="{F7600CB2-A540-40FE-B39D-12644FF27E26}"/>
    <cellStyle name="Normal 11 4 2 2 2 3" xfId="24937" xr:uid="{00000000-0005-0000-0000-000047560000}"/>
    <cellStyle name="Normal 11 4 2 2 2 3 2" xfId="48769" xr:uid="{9542B8E9-1A07-4C1E-BE76-5D3964B4E997}"/>
    <cellStyle name="Normal 11 4 2 2 2 4" xfId="32892" xr:uid="{ECADC131-22EF-4A1A-902F-D7046087C69E}"/>
    <cellStyle name="Normal 11 4 2 2 3" xfId="13453" xr:uid="{00000000-0005-0000-0000-000048560000}"/>
    <cellStyle name="Normal 11 4 2 2 3 2" xfId="37302" xr:uid="{947AA8FA-6EFD-4FCE-B9A5-110E44D7FD4F}"/>
    <cellStyle name="Normal 11 4 2 2 4" xfId="21408" xr:uid="{00000000-0005-0000-0000-000049560000}"/>
    <cellStyle name="Normal 11 4 2 2 4 2" xfId="45240" xr:uid="{5CF4427F-C4A0-4118-A03A-04C794BFF1F1}"/>
    <cellStyle name="Normal 11 4 2 2 5" xfId="29361" xr:uid="{D86A04DD-6292-46D2-A483-43AEE3BDFC41}"/>
    <cellStyle name="Normal 11 4 2 3" xfId="7262" xr:uid="{00000000-0005-0000-0000-00004A560000}"/>
    <cellStyle name="Normal 11 4 2 3 2" xfId="15233" xr:uid="{00000000-0005-0000-0000-00004B560000}"/>
    <cellStyle name="Normal 11 4 2 3 2 2" xfId="39075" xr:uid="{6CC69648-347D-43AC-9E4F-7F91EABE355B}"/>
    <cellStyle name="Normal 11 4 2 3 3" xfId="23180" xr:uid="{00000000-0005-0000-0000-00004C560000}"/>
    <cellStyle name="Normal 11 4 2 3 3 2" xfId="47012" xr:uid="{7BF79F84-2ADE-46CE-B7B0-8DFE382507E9}"/>
    <cellStyle name="Normal 11 4 2 3 4" xfId="31134" xr:uid="{A2A004D1-5752-400A-9D9E-272A5214C7ED}"/>
    <cellStyle name="Normal 11 4 2 4" xfId="11697" xr:uid="{00000000-0005-0000-0000-00004D560000}"/>
    <cellStyle name="Normal 11 4 2 4 2" xfId="35546" xr:uid="{F0C3D0A2-C145-4FC3-AFDE-9A3E8E1487A0}"/>
    <cellStyle name="Normal 11 4 2 5" xfId="19652" xr:uid="{00000000-0005-0000-0000-00004E560000}"/>
    <cellStyle name="Normal 11 4 2 5 2" xfId="43484" xr:uid="{ABE23E5A-FADC-456E-9D8F-7DE171989F67}"/>
    <cellStyle name="Normal 11 4 2 6" xfId="27604" xr:uid="{AF59C46B-2010-4AEA-A7BA-500617F2863C}"/>
    <cellStyle name="Normal 11 4 2_Exh G" xfId="3438" xr:uid="{00000000-0005-0000-0000-00004F560000}"/>
    <cellStyle name="Normal 11 4 3" xfId="4551" xr:uid="{00000000-0005-0000-0000-000050560000}"/>
    <cellStyle name="Normal 11 4 3 2" xfId="8143" xr:uid="{00000000-0005-0000-0000-000051560000}"/>
    <cellStyle name="Normal 11 4 3 2 2" xfId="16113" xr:uid="{00000000-0005-0000-0000-000052560000}"/>
    <cellStyle name="Normal 11 4 3 2 2 2" xfId="39955" xr:uid="{49A04FE1-0C4D-4FF1-81F6-BBB54172302A}"/>
    <cellStyle name="Normal 11 4 3 2 3" xfId="24059" xr:uid="{00000000-0005-0000-0000-000053560000}"/>
    <cellStyle name="Normal 11 4 3 2 3 2" xfId="47891" xr:uid="{9C939D86-6730-46FF-BDF7-FF24F7C3075D}"/>
    <cellStyle name="Normal 11 4 3 2 4" xfId="32014" xr:uid="{FFFC6698-5540-42BD-94F7-A95224FF6AA0}"/>
    <cellStyle name="Normal 11 4 3 3" xfId="12575" xr:uid="{00000000-0005-0000-0000-000054560000}"/>
    <cellStyle name="Normal 11 4 3 3 2" xfId="36424" xr:uid="{EF550D1B-411C-4D61-99EA-B6BA1AEBED24}"/>
    <cellStyle name="Normal 11 4 3 4" xfId="20530" xr:uid="{00000000-0005-0000-0000-000055560000}"/>
    <cellStyle name="Normal 11 4 3 4 2" xfId="44362" xr:uid="{37E048DF-000B-4020-B0C1-F3610A5BA25E}"/>
    <cellStyle name="Normal 11 4 3 5" xfId="28483" xr:uid="{B2503B5D-420C-4BF1-8A3C-D88C4B59A1F3}"/>
    <cellStyle name="Normal 11 4 4" xfId="6381" xr:uid="{00000000-0005-0000-0000-000056560000}"/>
    <cellStyle name="Normal 11 4 4 2" xfId="14355" xr:uid="{00000000-0005-0000-0000-000057560000}"/>
    <cellStyle name="Normal 11 4 4 2 2" xfId="38197" xr:uid="{6585F807-9E0F-4615-B0ED-DF16F462C9E8}"/>
    <cellStyle name="Normal 11 4 4 3" xfId="22302" xr:uid="{00000000-0005-0000-0000-000058560000}"/>
    <cellStyle name="Normal 11 4 4 3 2" xfId="46134" xr:uid="{65A0AF6F-35DF-4497-AA37-647E48EBEA11}"/>
    <cellStyle name="Normal 11 4 4 4" xfId="30256" xr:uid="{C27D341C-2C1D-4578-A0B1-89B0082901FB}"/>
    <cellStyle name="Normal 11 4 5" xfId="9923" xr:uid="{00000000-0005-0000-0000-000059560000}"/>
    <cellStyle name="Normal 11 4 5 2" xfId="17881" xr:uid="{00000000-0005-0000-0000-00005A560000}"/>
    <cellStyle name="Normal 11 4 5 2 2" xfId="41721" xr:uid="{17F22099-A8E8-4795-BE40-A6094270794F}"/>
    <cellStyle name="Normal 11 4 5 3" xfId="25825" xr:uid="{00000000-0005-0000-0000-00005B560000}"/>
    <cellStyle name="Normal 11 4 5 3 2" xfId="49657" xr:uid="{A2EA46A2-8316-421D-A7D6-2099B8319F52}"/>
    <cellStyle name="Normal 11 4 5 4" xfId="33780" xr:uid="{E563BAA1-C03D-44B4-BF7A-EB47B8AEA37B}"/>
    <cellStyle name="Normal 11 4 6" xfId="10819" xr:uid="{00000000-0005-0000-0000-00005C560000}"/>
    <cellStyle name="Normal 11 4 6 2" xfId="34668" xr:uid="{E5511FE3-6FED-43F9-BABB-96379CF7A2D6}"/>
    <cellStyle name="Normal 11 4 7" xfId="18774" xr:uid="{00000000-0005-0000-0000-00005D560000}"/>
    <cellStyle name="Normal 11 4 7 2" xfId="42606" xr:uid="{877393FD-73B9-452E-BA62-E03F3C545BFE}"/>
    <cellStyle name="Normal 11 4 8" xfId="26726" xr:uid="{DBF1EDA7-E1B3-4503-B35D-3875E1EBA074}"/>
    <cellStyle name="Normal 11 4_Exh G" xfId="3437" xr:uid="{00000000-0005-0000-0000-00005E560000}"/>
    <cellStyle name="Normal 11 5" xfId="1664" xr:uid="{00000000-0005-0000-0000-00005F560000}"/>
    <cellStyle name="Normal 11 5 2" xfId="5191" xr:uid="{00000000-0005-0000-0000-000060560000}"/>
    <cellStyle name="Normal 11 5 2 2" xfId="8782" xr:uid="{00000000-0005-0000-0000-000061560000}"/>
    <cellStyle name="Normal 11 5 2 2 2" xfId="16752" xr:uid="{00000000-0005-0000-0000-000062560000}"/>
    <cellStyle name="Normal 11 5 2 2 2 2" xfId="40594" xr:uid="{7ECE05E7-A715-43A0-A424-818AB64C6B9E}"/>
    <cellStyle name="Normal 11 5 2 2 3" xfId="24698" xr:uid="{00000000-0005-0000-0000-000063560000}"/>
    <cellStyle name="Normal 11 5 2 2 3 2" xfId="48530" xr:uid="{02AF31DF-2A41-43CB-B43D-7B5B79107D97}"/>
    <cellStyle name="Normal 11 5 2 2 4" xfId="32653" xr:uid="{4FD17C28-20C9-491A-9841-740B3806B64E}"/>
    <cellStyle name="Normal 11 5 2 3" xfId="13214" xr:uid="{00000000-0005-0000-0000-000064560000}"/>
    <cellStyle name="Normal 11 5 2 3 2" xfId="37063" xr:uid="{32EA7BC3-B523-45B9-AF0F-A3783FA1BE56}"/>
    <cellStyle name="Normal 11 5 2 4" xfId="21169" xr:uid="{00000000-0005-0000-0000-000065560000}"/>
    <cellStyle name="Normal 11 5 2 4 2" xfId="45001" xr:uid="{6FBF1B46-5E5D-436A-A0D1-B829DFF03F97}"/>
    <cellStyle name="Normal 11 5 2 5" xfId="29122" xr:uid="{9C3A16CC-299B-4922-AEDB-0F9BFB0BC34D}"/>
    <cellStyle name="Normal 11 5 3" xfId="7023" xr:uid="{00000000-0005-0000-0000-000066560000}"/>
    <cellStyle name="Normal 11 5 3 2" xfId="14994" xr:uid="{00000000-0005-0000-0000-000067560000}"/>
    <cellStyle name="Normal 11 5 3 2 2" xfId="38836" xr:uid="{DE00FC85-8EB8-4004-A1E3-8DD3E6B25E40}"/>
    <cellStyle name="Normal 11 5 3 3" xfId="22941" xr:uid="{00000000-0005-0000-0000-000068560000}"/>
    <cellStyle name="Normal 11 5 3 3 2" xfId="46773" xr:uid="{2FAA6C57-C7CC-4919-A725-AD1635782C47}"/>
    <cellStyle name="Normal 11 5 3 4" xfId="30895" xr:uid="{BC78AD4A-98BA-4D1F-A556-56FB245EA10E}"/>
    <cellStyle name="Normal 11 5 4" xfId="11458" xr:uid="{00000000-0005-0000-0000-000069560000}"/>
    <cellStyle name="Normal 11 5 4 2" xfId="35307" xr:uid="{E8BA9100-552F-4A57-806C-D4AE15A6E42E}"/>
    <cellStyle name="Normal 11 5 5" xfId="19413" xr:uid="{00000000-0005-0000-0000-00006A560000}"/>
    <cellStyle name="Normal 11 5 5 2" xfId="43245" xr:uid="{23F9C611-CDB0-4E80-BD39-9D061F0246F6}"/>
    <cellStyle name="Normal 11 5 6" xfId="27365" xr:uid="{DB80921C-2C98-4D8E-8395-EC1370B4AAB0}"/>
    <cellStyle name="Normal 11 5_Exh G" xfId="3439" xr:uid="{00000000-0005-0000-0000-00006B560000}"/>
    <cellStyle name="Normal 11 6" xfId="4312" xr:uid="{00000000-0005-0000-0000-00006C560000}"/>
    <cellStyle name="Normal 11 6 2" xfId="7904" xr:uid="{00000000-0005-0000-0000-00006D560000}"/>
    <cellStyle name="Normal 11 6 2 2" xfId="15874" xr:uid="{00000000-0005-0000-0000-00006E560000}"/>
    <cellStyle name="Normal 11 6 2 2 2" xfId="39716" xr:uid="{985A5577-1D8D-4ED1-9E95-C11D02BADB30}"/>
    <cellStyle name="Normal 11 6 2 3" xfId="23820" xr:uid="{00000000-0005-0000-0000-00006F560000}"/>
    <cellStyle name="Normal 11 6 2 3 2" xfId="47652" xr:uid="{FA24D6BF-2C1E-47F7-82A4-F978821B9CC9}"/>
    <cellStyle name="Normal 11 6 2 4" xfId="31775" xr:uid="{D6D89E64-0102-4EBD-842B-3A4AC4159708}"/>
    <cellStyle name="Normal 11 6 3" xfId="12336" xr:uid="{00000000-0005-0000-0000-000070560000}"/>
    <cellStyle name="Normal 11 6 3 2" xfId="36185" xr:uid="{17F2499A-353E-497C-81C8-AC0A8DFB57E8}"/>
    <cellStyle name="Normal 11 6 4" xfId="20291" xr:uid="{00000000-0005-0000-0000-000071560000}"/>
    <cellStyle name="Normal 11 6 4 2" xfId="44123" xr:uid="{86DD01E7-C6B0-4132-8BCB-8223A620A96B}"/>
    <cellStyle name="Normal 11 6 5" xfId="28244" xr:uid="{F6186FF3-327D-44BB-BCF6-EE4FFF39EC96}"/>
    <cellStyle name="Normal 11 7" xfId="6132" xr:uid="{00000000-0005-0000-0000-000072560000}"/>
    <cellStyle name="Normal 11 7 2" xfId="14115" xr:uid="{00000000-0005-0000-0000-000073560000}"/>
    <cellStyle name="Normal 11 7 2 2" xfId="37958" xr:uid="{AABFB753-1530-4D30-B31A-C873C85A66C3}"/>
    <cellStyle name="Normal 11 7 3" xfId="22063" xr:uid="{00000000-0005-0000-0000-000074560000}"/>
    <cellStyle name="Normal 11 7 3 2" xfId="45895" xr:uid="{17A171B8-98A1-4DAD-80C5-CB4CB7BFCFDD}"/>
    <cellStyle name="Normal 11 7 4" xfId="30017" xr:uid="{9FF0A2A8-4D4D-426E-B566-9EEAE9B58154}"/>
    <cellStyle name="Normal 11 8" xfId="9684" xr:uid="{00000000-0005-0000-0000-000075560000}"/>
    <cellStyle name="Normal 11 8 2" xfId="17642" xr:uid="{00000000-0005-0000-0000-000076560000}"/>
    <cellStyle name="Normal 11 8 2 2" xfId="41482" xr:uid="{5DA8AC3D-1D19-49AB-BAA7-4122CB588EBC}"/>
    <cellStyle name="Normal 11 8 3" xfId="25586" xr:uid="{00000000-0005-0000-0000-000077560000}"/>
    <cellStyle name="Normal 11 8 3 2" xfId="49418" xr:uid="{CBE9483C-498E-4FB9-8F14-738D59AC0CA8}"/>
    <cellStyle name="Normal 11 8 4" xfId="33541" xr:uid="{1D16F752-2C22-48F8-BC98-1275C0C66DCE}"/>
    <cellStyle name="Normal 11 9" xfId="10580" xr:uid="{00000000-0005-0000-0000-000078560000}"/>
    <cellStyle name="Normal 11 9 2" xfId="34429" xr:uid="{81336FFD-E0C2-4C6D-834F-0BBEFCCF4FD2}"/>
    <cellStyle name="Normal 11_Exh G" xfId="3430" xr:uid="{00000000-0005-0000-0000-000079560000}"/>
    <cellStyle name="Normal 12" xfId="642" xr:uid="{00000000-0005-0000-0000-00007A560000}"/>
    <cellStyle name="Normal 12 10" xfId="18539" xr:uid="{00000000-0005-0000-0000-00007B560000}"/>
    <cellStyle name="Normal 12 10 2" xfId="42371" xr:uid="{74DE5901-0A4B-4C9D-B7FF-B3E39C5D4580}"/>
    <cellStyle name="Normal 12 11" xfId="26491" xr:uid="{F87F7B9A-C994-4F31-8017-ADD31FAA30FE}"/>
    <cellStyle name="Normal 12 2" xfId="643" xr:uid="{00000000-0005-0000-0000-00007C560000}"/>
    <cellStyle name="Normal 12 2 2" xfId="644" xr:uid="{00000000-0005-0000-0000-00007D560000}"/>
    <cellStyle name="Normal 12 2 2 2" xfId="1670" xr:uid="{00000000-0005-0000-0000-00007E560000}"/>
    <cellStyle name="Normal 12 2 2 2 2" xfId="5197" xr:uid="{00000000-0005-0000-0000-00007F560000}"/>
    <cellStyle name="Normal 12 2 2 2 2 2" xfId="8788" xr:uid="{00000000-0005-0000-0000-000080560000}"/>
    <cellStyle name="Normal 12 2 2 2 2 2 2" xfId="16758" xr:uid="{00000000-0005-0000-0000-000081560000}"/>
    <cellStyle name="Normal 12 2 2 2 2 2 2 2" xfId="40600" xr:uid="{CE6546A9-E72E-4281-8CFB-46CF634E2D93}"/>
    <cellStyle name="Normal 12 2 2 2 2 2 3" xfId="24704" xr:uid="{00000000-0005-0000-0000-000082560000}"/>
    <cellStyle name="Normal 12 2 2 2 2 2 3 2" xfId="48536" xr:uid="{7882D875-0EC7-455B-8DC8-4041123DB6E1}"/>
    <cellStyle name="Normal 12 2 2 2 2 2 4" xfId="32659" xr:uid="{0E13E71D-B918-489A-9212-17C6706E1E64}"/>
    <cellStyle name="Normal 12 2 2 2 2 3" xfId="13220" xr:uid="{00000000-0005-0000-0000-000083560000}"/>
    <cellStyle name="Normal 12 2 2 2 2 3 2" xfId="37069" xr:uid="{8F0B00FC-D8F0-4164-A375-5BB10E51549C}"/>
    <cellStyle name="Normal 12 2 2 2 2 4" xfId="21175" xr:uid="{00000000-0005-0000-0000-000084560000}"/>
    <cellStyle name="Normal 12 2 2 2 2 4 2" xfId="45007" xr:uid="{82FF255F-B32E-4E81-85DE-63EB00EF1144}"/>
    <cellStyle name="Normal 12 2 2 2 2 5" xfId="29128" xr:uid="{C153F772-9A6C-454D-821D-F9700A3C30E3}"/>
    <cellStyle name="Normal 12 2 2 2 3" xfId="7029" xr:uid="{00000000-0005-0000-0000-000085560000}"/>
    <cellStyle name="Normal 12 2 2 2 3 2" xfId="15000" xr:uid="{00000000-0005-0000-0000-000086560000}"/>
    <cellStyle name="Normal 12 2 2 2 3 2 2" xfId="38842" xr:uid="{86C559AC-7C21-411B-8F8D-2DB4FD61D532}"/>
    <cellStyle name="Normal 12 2 2 2 3 3" xfId="22947" xr:uid="{00000000-0005-0000-0000-000087560000}"/>
    <cellStyle name="Normal 12 2 2 2 3 3 2" xfId="46779" xr:uid="{B54D5160-7B66-4369-9CF8-D3E3DC446B3B}"/>
    <cellStyle name="Normal 12 2 2 2 3 4" xfId="30901" xr:uid="{1FEDB8DE-F3F0-440A-8FF6-1C072FA99358}"/>
    <cellStyle name="Normal 12 2 2 2 4" xfId="11464" xr:uid="{00000000-0005-0000-0000-000088560000}"/>
    <cellStyle name="Normal 12 2 2 2 4 2" xfId="35313" xr:uid="{82FC3EDA-489B-47AF-89C8-B45A6D41A675}"/>
    <cellStyle name="Normal 12 2 2 2 5" xfId="19419" xr:uid="{00000000-0005-0000-0000-000089560000}"/>
    <cellStyle name="Normal 12 2 2 2 5 2" xfId="43251" xr:uid="{C83408E1-6644-43B5-B6E3-720A191A56B6}"/>
    <cellStyle name="Normal 12 2 2 2 6" xfId="27371" xr:uid="{9A527DA1-E9FA-4066-B44B-65E6BE0E170C}"/>
    <cellStyle name="Normal 12 2 2 2_Exh G" xfId="3443" xr:uid="{00000000-0005-0000-0000-00008A560000}"/>
    <cellStyle name="Normal 12 2 2 3" xfId="4318" xr:uid="{00000000-0005-0000-0000-00008B560000}"/>
    <cellStyle name="Normal 12 2 2 3 2" xfId="7910" xr:uid="{00000000-0005-0000-0000-00008C560000}"/>
    <cellStyle name="Normal 12 2 2 3 2 2" xfId="15880" xr:uid="{00000000-0005-0000-0000-00008D560000}"/>
    <cellStyle name="Normal 12 2 2 3 2 2 2" xfId="39722" xr:uid="{075EBCDC-BFF1-4323-809F-1B5FF48FABF2}"/>
    <cellStyle name="Normal 12 2 2 3 2 3" xfId="23826" xr:uid="{00000000-0005-0000-0000-00008E560000}"/>
    <cellStyle name="Normal 12 2 2 3 2 3 2" xfId="47658" xr:uid="{6CA0A97A-2B83-4034-9B21-B9AA569C7FA0}"/>
    <cellStyle name="Normal 12 2 2 3 2 4" xfId="31781" xr:uid="{97ABEB5F-AD62-4C10-A279-9F8309CA74CB}"/>
    <cellStyle name="Normal 12 2 2 3 3" xfId="12342" xr:uid="{00000000-0005-0000-0000-00008F560000}"/>
    <cellStyle name="Normal 12 2 2 3 3 2" xfId="36191" xr:uid="{03FA9E93-1E1C-4CD7-914F-8962867D8DEB}"/>
    <cellStyle name="Normal 12 2 2 3 4" xfId="20297" xr:uid="{00000000-0005-0000-0000-000090560000}"/>
    <cellStyle name="Normal 12 2 2 3 4 2" xfId="44129" xr:uid="{8C41952F-5225-4320-9362-64F50CF52CE8}"/>
    <cellStyle name="Normal 12 2 2 3 5" xfId="28250" xr:uid="{D6423CF0-6A59-4D0E-A529-EA29F52BA7EF}"/>
    <cellStyle name="Normal 12 2 2 4" xfId="6138" xr:uid="{00000000-0005-0000-0000-000091560000}"/>
    <cellStyle name="Normal 12 2 2 4 2" xfId="14121" xr:uid="{00000000-0005-0000-0000-000092560000}"/>
    <cellStyle name="Normal 12 2 2 4 2 2" xfId="37964" xr:uid="{CCEB6060-A6CD-4131-BB21-FB15D03C6086}"/>
    <cellStyle name="Normal 12 2 2 4 3" xfId="22069" xr:uid="{00000000-0005-0000-0000-000093560000}"/>
    <cellStyle name="Normal 12 2 2 4 3 2" xfId="45901" xr:uid="{E1AE6F27-3642-47FF-B3C9-72FBC1572E72}"/>
    <cellStyle name="Normal 12 2 2 4 4" xfId="30023" xr:uid="{47FF1500-2455-446D-AE25-EE6CF389411C}"/>
    <cellStyle name="Normal 12 2 2 5" xfId="9690" xr:uid="{00000000-0005-0000-0000-000094560000}"/>
    <cellStyle name="Normal 12 2 2 5 2" xfId="17648" xr:uid="{00000000-0005-0000-0000-000095560000}"/>
    <cellStyle name="Normal 12 2 2 5 2 2" xfId="41488" xr:uid="{B61BA92E-D16C-465C-865D-747FF80999FF}"/>
    <cellStyle name="Normal 12 2 2 5 3" xfId="25592" xr:uid="{00000000-0005-0000-0000-000096560000}"/>
    <cellStyle name="Normal 12 2 2 5 3 2" xfId="49424" xr:uid="{E7F55E34-A51E-4F0D-B670-6FBF81D16660}"/>
    <cellStyle name="Normal 12 2 2 5 4" xfId="33547" xr:uid="{1BB81166-0646-4058-BB87-A8DFB69CF4C7}"/>
    <cellStyle name="Normal 12 2 2 6" xfId="10586" xr:uid="{00000000-0005-0000-0000-000097560000}"/>
    <cellStyle name="Normal 12 2 2 6 2" xfId="34435" xr:uid="{85EAEFC6-0A7A-4828-A12C-47F8F991D305}"/>
    <cellStyle name="Normal 12 2 2 7" xfId="18541" xr:uid="{00000000-0005-0000-0000-000098560000}"/>
    <cellStyle name="Normal 12 2 2 7 2" xfId="42373" xr:uid="{1557DA25-1571-4FA8-B53D-329246EEC79C}"/>
    <cellStyle name="Normal 12 2 2 8" xfId="26493" xr:uid="{EB4DB58D-31CF-4DB4-A67B-5B39C796EBE7}"/>
    <cellStyle name="Normal 12 2 2_Exh G" xfId="3442" xr:uid="{00000000-0005-0000-0000-000099560000}"/>
    <cellStyle name="Normal 12 2 3" xfId="1669" xr:uid="{00000000-0005-0000-0000-00009A560000}"/>
    <cellStyle name="Normal 12 2 3 2" xfId="5196" xr:uid="{00000000-0005-0000-0000-00009B560000}"/>
    <cellStyle name="Normal 12 2 3 2 2" xfId="8787" xr:uid="{00000000-0005-0000-0000-00009C560000}"/>
    <cellStyle name="Normal 12 2 3 2 2 2" xfId="16757" xr:uid="{00000000-0005-0000-0000-00009D560000}"/>
    <cellStyle name="Normal 12 2 3 2 2 2 2" xfId="40599" xr:uid="{94B95401-DF2D-4955-8E77-BF7730099995}"/>
    <cellStyle name="Normal 12 2 3 2 2 3" xfId="24703" xr:uid="{00000000-0005-0000-0000-00009E560000}"/>
    <cellStyle name="Normal 12 2 3 2 2 3 2" xfId="48535" xr:uid="{8AC068BD-DE29-43CB-9EDD-DACC64A4899C}"/>
    <cellStyle name="Normal 12 2 3 2 2 4" xfId="32658" xr:uid="{9E7CEF59-CDA2-4D9F-953E-14C86EAB5A32}"/>
    <cellStyle name="Normal 12 2 3 2 3" xfId="13219" xr:uid="{00000000-0005-0000-0000-00009F560000}"/>
    <cellStyle name="Normal 12 2 3 2 3 2" xfId="37068" xr:uid="{CAC0A5CE-CEDC-437E-8C9C-02E392E6239D}"/>
    <cellStyle name="Normal 12 2 3 2 4" xfId="21174" xr:uid="{00000000-0005-0000-0000-0000A0560000}"/>
    <cellStyle name="Normal 12 2 3 2 4 2" xfId="45006" xr:uid="{5894EEDA-3059-47E4-A2C4-F484BE9018FD}"/>
    <cellStyle name="Normal 12 2 3 2 5" xfId="29127" xr:uid="{CBAE1109-731F-48A0-B4B8-FEB71838AEAE}"/>
    <cellStyle name="Normal 12 2 3 3" xfId="7028" xr:uid="{00000000-0005-0000-0000-0000A1560000}"/>
    <cellStyle name="Normal 12 2 3 3 2" xfId="14999" xr:uid="{00000000-0005-0000-0000-0000A2560000}"/>
    <cellStyle name="Normal 12 2 3 3 2 2" xfId="38841" xr:uid="{42B4A7B6-D2F2-4F9B-AA88-CAF86522D659}"/>
    <cellStyle name="Normal 12 2 3 3 3" xfId="22946" xr:uid="{00000000-0005-0000-0000-0000A3560000}"/>
    <cellStyle name="Normal 12 2 3 3 3 2" xfId="46778" xr:uid="{5CAC5BA1-7D3B-4AF7-AC6D-2E196675DACB}"/>
    <cellStyle name="Normal 12 2 3 3 4" xfId="30900" xr:uid="{CD5C527F-D72F-4C83-946B-8EF77D9D4E81}"/>
    <cellStyle name="Normal 12 2 3 4" xfId="11463" xr:uid="{00000000-0005-0000-0000-0000A4560000}"/>
    <cellStyle name="Normal 12 2 3 4 2" xfId="35312" xr:uid="{F26CFF98-9D38-4CCD-8274-77C2F750719D}"/>
    <cellStyle name="Normal 12 2 3 5" xfId="19418" xr:uid="{00000000-0005-0000-0000-0000A5560000}"/>
    <cellStyle name="Normal 12 2 3 5 2" xfId="43250" xr:uid="{687E45C1-1377-4402-A8E9-6CCBE4B1D4E6}"/>
    <cellStyle name="Normal 12 2 3 6" xfId="27370" xr:uid="{57399ABE-4601-4BAC-BE6F-7D29663CECF5}"/>
    <cellStyle name="Normal 12 2 3_Exh G" xfId="3444" xr:uid="{00000000-0005-0000-0000-0000A6560000}"/>
    <cellStyle name="Normal 12 2 4" xfId="4317" xr:uid="{00000000-0005-0000-0000-0000A7560000}"/>
    <cellStyle name="Normal 12 2 4 2" xfId="7909" xr:uid="{00000000-0005-0000-0000-0000A8560000}"/>
    <cellStyle name="Normal 12 2 4 2 2" xfId="15879" xr:uid="{00000000-0005-0000-0000-0000A9560000}"/>
    <cellStyle name="Normal 12 2 4 2 2 2" xfId="39721" xr:uid="{1A091B23-2F15-4EDA-9BB7-A19ED6F73889}"/>
    <cellStyle name="Normal 12 2 4 2 3" xfId="23825" xr:uid="{00000000-0005-0000-0000-0000AA560000}"/>
    <cellStyle name="Normal 12 2 4 2 3 2" xfId="47657" xr:uid="{CD16E6FF-5C95-4F14-A476-4F6C9180D932}"/>
    <cellStyle name="Normal 12 2 4 2 4" xfId="31780" xr:uid="{D1EE9A86-837B-455C-B704-7E05441AEEB3}"/>
    <cellStyle name="Normal 12 2 4 3" xfId="12341" xr:uid="{00000000-0005-0000-0000-0000AB560000}"/>
    <cellStyle name="Normal 12 2 4 3 2" xfId="36190" xr:uid="{C37D929C-E143-4FE0-91C9-F01F947BF588}"/>
    <cellStyle name="Normal 12 2 4 4" xfId="20296" xr:uid="{00000000-0005-0000-0000-0000AC560000}"/>
    <cellStyle name="Normal 12 2 4 4 2" xfId="44128" xr:uid="{C3A45970-46F1-4AF4-BA13-582C25BFBC44}"/>
    <cellStyle name="Normal 12 2 4 5" xfId="28249" xr:uid="{C8DA4EFE-DF94-430E-B05A-7F742448A25D}"/>
    <cellStyle name="Normal 12 2 5" xfId="6137" xr:uid="{00000000-0005-0000-0000-0000AD560000}"/>
    <cellStyle name="Normal 12 2 5 2" xfId="14120" xr:uid="{00000000-0005-0000-0000-0000AE560000}"/>
    <cellStyle name="Normal 12 2 5 2 2" xfId="37963" xr:uid="{51DA890D-EF6C-4B34-AFA7-AA16EBE42A0E}"/>
    <cellStyle name="Normal 12 2 5 3" xfId="22068" xr:uid="{00000000-0005-0000-0000-0000AF560000}"/>
    <cellStyle name="Normal 12 2 5 3 2" xfId="45900" xr:uid="{38929C50-A6A3-4387-9D14-47A9A26679B8}"/>
    <cellStyle name="Normal 12 2 5 4" xfId="30022" xr:uid="{5966D8FD-E282-4491-B51B-704806889C98}"/>
    <cellStyle name="Normal 12 2 6" xfId="9689" xr:uid="{00000000-0005-0000-0000-0000B0560000}"/>
    <cellStyle name="Normal 12 2 6 2" xfId="17647" xr:uid="{00000000-0005-0000-0000-0000B1560000}"/>
    <cellStyle name="Normal 12 2 6 2 2" xfId="41487" xr:uid="{91CAA36B-825C-484D-9BE1-53C8627A6A20}"/>
    <cellStyle name="Normal 12 2 6 3" xfId="25591" xr:uid="{00000000-0005-0000-0000-0000B2560000}"/>
    <cellStyle name="Normal 12 2 6 3 2" xfId="49423" xr:uid="{ABD82CDE-8B28-4D12-99AE-6D55FD9838BE}"/>
    <cellStyle name="Normal 12 2 6 4" xfId="33546" xr:uid="{6A62734D-158C-4FBB-943C-283552BC17B1}"/>
    <cellStyle name="Normal 12 2 7" xfId="10585" xr:uid="{00000000-0005-0000-0000-0000B3560000}"/>
    <cellStyle name="Normal 12 2 7 2" xfId="34434" xr:uid="{8E3EE322-32F1-4E24-9BFC-AFCF49856222}"/>
    <cellStyle name="Normal 12 2 8" xfId="18540" xr:uid="{00000000-0005-0000-0000-0000B4560000}"/>
    <cellStyle name="Normal 12 2 8 2" xfId="42372" xr:uid="{4F8B1E1E-F6B1-4224-9116-779CEA764D7A}"/>
    <cellStyle name="Normal 12 2 9" xfId="26492" xr:uid="{108F043F-76A7-49FF-8B45-D81FF6A12351}"/>
    <cellStyle name="Normal 12 2_Exh G" xfId="3441" xr:uid="{00000000-0005-0000-0000-0000B5560000}"/>
    <cellStyle name="Normal 12 3" xfId="645" xr:uid="{00000000-0005-0000-0000-0000B6560000}"/>
    <cellStyle name="Normal 12 3 2" xfId="1671" xr:uid="{00000000-0005-0000-0000-0000B7560000}"/>
    <cellStyle name="Normal 12 3 2 2" xfId="5198" xr:uid="{00000000-0005-0000-0000-0000B8560000}"/>
    <cellStyle name="Normal 12 3 2 2 2" xfId="8789" xr:uid="{00000000-0005-0000-0000-0000B9560000}"/>
    <cellStyle name="Normal 12 3 2 2 2 2" xfId="16759" xr:uid="{00000000-0005-0000-0000-0000BA560000}"/>
    <cellStyle name="Normal 12 3 2 2 2 2 2" xfId="40601" xr:uid="{2840DCA6-B00B-4766-8D21-985AEF9BE40E}"/>
    <cellStyle name="Normal 12 3 2 2 2 3" xfId="24705" xr:uid="{00000000-0005-0000-0000-0000BB560000}"/>
    <cellStyle name="Normal 12 3 2 2 2 3 2" xfId="48537" xr:uid="{4521FBEA-D15C-450B-97F7-F99EEBFBC0DB}"/>
    <cellStyle name="Normal 12 3 2 2 2 4" xfId="32660" xr:uid="{CAC73CDC-7FE5-4F66-ADBA-3645D8FF3B94}"/>
    <cellStyle name="Normal 12 3 2 2 3" xfId="13221" xr:uid="{00000000-0005-0000-0000-0000BC560000}"/>
    <cellStyle name="Normal 12 3 2 2 3 2" xfId="37070" xr:uid="{E6082CD6-A1DF-4000-9DE1-4F80111CF816}"/>
    <cellStyle name="Normal 12 3 2 2 4" xfId="21176" xr:uid="{00000000-0005-0000-0000-0000BD560000}"/>
    <cellStyle name="Normal 12 3 2 2 4 2" xfId="45008" xr:uid="{239EEDBF-487F-42C3-B09F-A43D83B7E011}"/>
    <cellStyle name="Normal 12 3 2 2 5" xfId="29129" xr:uid="{34C23B87-FCBF-45CF-8E2B-7A234E2D692D}"/>
    <cellStyle name="Normal 12 3 2 3" xfId="7030" xr:uid="{00000000-0005-0000-0000-0000BE560000}"/>
    <cellStyle name="Normal 12 3 2 3 2" xfId="15001" xr:uid="{00000000-0005-0000-0000-0000BF560000}"/>
    <cellStyle name="Normal 12 3 2 3 2 2" xfId="38843" xr:uid="{6E9EA78B-A2F7-4003-8163-4F4C773C0006}"/>
    <cellStyle name="Normal 12 3 2 3 3" xfId="22948" xr:uid="{00000000-0005-0000-0000-0000C0560000}"/>
    <cellStyle name="Normal 12 3 2 3 3 2" xfId="46780" xr:uid="{46468FF8-593F-4A77-8DF7-A897FBAF569A}"/>
    <cellStyle name="Normal 12 3 2 3 4" xfId="30902" xr:uid="{9A352094-C3CC-4848-BAC8-B22A111EB20C}"/>
    <cellStyle name="Normal 12 3 2 4" xfId="11465" xr:uid="{00000000-0005-0000-0000-0000C1560000}"/>
    <cellStyle name="Normal 12 3 2 4 2" xfId="35314" xr:uid="{527B407C-76A0-4E5E-B2BB-6636D7C4F582}"/>
    <cellStyle name="Normal 12 3 2 5" xfId="19420" xr:uid="{00000000-0005-0000-0000-0000C2560000}"/>
    <cellStyle name="Normal 12 3 2 5 2" xfId="43252" xr:uid="{1FC28F7D-9EE1-42F4-919B-2B3B191CC538}"/>
    <cellStyle name="Normal 12 3 2 6" xfId="27372" xr:uid="{D28D496D-292A-43CF-89DA-CF52EEE91F20}"/>
    <cellStyle name="Normal 12 3 2_Exh G" xfId="3446" xr:uid="{00000000-0005-0000-0000-0000C3560000}"/>
    <cellStyle name="Normal 12 3 3" xfId="4319" xr:uid="{00000000-0005-0000-0000-0000C4560000}"/>
    <cellStyle name="Normal 12 3 3 2" xfId="7911" xr:uid="{00000000-0005-0000-0000-0000C5560000}"/>
    <cellStyle name="Normal 12 3 3 2 2" xfId="15881" xr:uid="{00000000-0005-0000-0000-0000C6560000}"/>
    <cellStyle name="Normal 12 3 3 2 2 2" xfId="39723" xr:uid="{5E9CF6DD-64A1-4FA7-8721-4E705F5D5C32}"/>
    <cellStyle name="Normal 12 3 3 2 3" xfId="23827" xr:uid="{00000000-0005-0000-0000-0000C7560000}"/>
    <cellStyle name="Normal 12 3 3 2 3 2" xfId="47659" xr:uid="{7EEE2BFE-FAE3-4094-BD9D-FCDCA74ECBCD}"/>
    <cellStyle name="Normal 12 3 3 2 4" xfId="31782" xr:uid="{81CA35F4-94A0-4C0C-86DD-A2CEB111333E}"/>
    <cellStyle name="Normal 12 3 3 3" xfId="12343" xr:uid="{00000000-0005-0000-0000-0000C8560000}"/>
    <cellStyle name="Normal 12 3 3 3 2" xfId="36192" xr:uid="{BECD49D6-D053-48FB-BEE9-2B1DD5816EAE}"/>
    <cellStyle name="Normal 12 3 3 4" xfId="20298" xr:uid="{00000000-0005-0000-0000-0000C9560000}"/>
    <cellStyle name="Normal 12 3 3 4 2" xfId="44130" xr:uid="{E854ACD5-42D5-4B97-87D9-52B718A94BBB}"/>
    <cellStyle name="Normal 12 3 3 5" xfId="28251" xr:uid="{F4743C47-FB99-409E-AA95-F363D52D8007}"/>
    <cellStyle name="Normal 12 3 4" xfId="6139" xr:uid="{00000000-0005-0000-0000-0000CA560000}"/>
    <cellStyle name="Normal 12 3 4 2" xfId="14122" xr:uid="{00000000-0005-0000-0000-0000CB560000}"/>
    <cellStyle name="Normal 12 3 4 2 2" xfId="37965" xr:uid="{62E29198-011E-45CC-8D6A-D540E3C2C9F3}"/>
    <cellStyle name="Normal 12 3 4 3" xfId="22070" xr:uid="{00000000-0005-0000-0000-0000CC560000}"/>
    <cellStyle name="Normal 12 3 4 3 2" xfId="45902" xr:uid="{7C9DC8C8-6868-446C-BD75-4E69EC40FC6F}"/>
    <cellStyle name="Normal 12 3 4 4" xfId="30024" xr:uid="{E494C759-C28F-4168-A700-930A5947EB69}"/>
    <cellStyle name="Normal 12 3 5" xfId="9691" xr:uid="{00000000-0005-0000-0000-0000CD560000}"/>
    <cellStyle name="Normal 12 3 5 2" xfId="17649" xr:uid="{00000000-0005-0000-0000-0000CE560000}"/>
    <cellStyle name="Normal 12 3 5 2 2" xfId="41489" xr:uid="{841BE3A4-47CC-4043-BA1F-18D7D3DBE4E0}"/>
    <cellStyle name="Normal 12 3 5 3" xfId="25593" xr:uid="{00000000-0005-0000-0000-0000CF560000}"/>
    <cellStyle name="Normal 12 3 5 3 2" xfId="49425" xr:uid="{883911A0-3506-4273-8054-2510F8B1D7E3}"/>
    <cellStyle name="Normal 12 3 5 4" xfId="33548" xr:uid="{49075CD7-0767-4890-84C7-84958A380A9E}"/>
    <cellStyle name="Normal 12 3 6" xfId="10587" xr:uid="{00000000-0005-0000-0000-0000D0560000}"/>
    <cellStyle name="Normal 12 3 6 2" xfId="34436" xr:uid="{4F255502-B6B3-4A92-B44D-1F04F5890766}"/>
    <cellStyle name="Normal 12 3 7" xfId="18542" xr:uid="{00000000-0005-0000-0000-0000D1560000}"/>
    <cellStyle name="Normal 12 3 7 2" xfId="42374" xr:uid="{E2DFB7E7-3158-4094-A334-2D76312BF0C7}"/>
    <cellStyle name="Normal 12 3 8" xfId="26494" xr:uid="{1ED33388-4CEE-4E99-9B22-C76F03FFCE71}"/>
    <cellStyle name="Normal 12 3_Exh G" xfId="3445" xr:uid="{00000000-0005-0000-0000-0000D2560000}"/>
    <cellStyle name="Normal 12 4" xfId="1011" xr:uid="{00000000-0005-0000-0000-0000D3560000}"/>
    <cellStyle name="Normal 12 4 2" xfId="1914" xr:uid="{00000000-0005-0000-0000-0000D4560000}"/>
    <cellStyle name="Normal 12 4 2 2" xfId="5431" xr:uid="{00000000-0005-0000-0000-0000D5560000}"/>
    <cellStyle name="Normal 12 4 2 2 2" xfId="9022" xr:uid="{00000000-0005-0000-0000-0000D6560000}"/>
    <cellStyle name="Normal 12 4 2 2 2 2" xfId="16992" xr:uid="{00000000-0005-0000-0000-0000D7560000}"/>
    <cellStyle name="Normal 12 4 2 2 2 2 2" xfId="40834" xr:uid="{648D7B80-84D6-4486-8815-5853F69F2999}"/>
    <cellStyle name="Normal 12 4 2 2 2 3" xfId="24938" xr:uid="{00000000-0005-0000-0000-0000D8560000}"/>
    <cellStyle name="Normal 12 4 2 2 2 3 2" xfId="48770" xr:uid="{B7722F37-3378-4241-8991-835F860BF3E6}"/>
    <cellStyle name="Normal 12 4 2 2 2 4" xfId="32893" xr:uid="{48EC140D-B635-4A63-BD38-5D3B9315FB9B}"/>
    <cellStyle name="Normal 12 4 2 2 3" xfId="13454" xr:uid="{00000000-0005-0000-0000-0000D9560000}"/>
    <cellStyle name="Normal 12 4 2 2 3 2" xfId="37303" xr:uid="{A2EC2535-1FA0-49C3-B1F3-45E60AC2BA3D}"/>
    <cellStyle name="Normal 12 4 2 2 4" xfId="21409" xr:uid="{00000000-0005-0000-0000-0000DA560000}"/>
    <cellStyle name="Normal 12 4 2 2 4 2" xfId="45241" xr:uid="{1AD73DA8-77BC-443F-91E5-CE2C5B5CBA30}"/>
    <cellStyle name="Normal 12 4 2 2 5" xfId="29362" xr:uid="{1263CD35-BE7D-4C7D-A4B7-9AE875D9CDE3}"/>
    <cellStyle name="Normal 12 4 2 3" xfId="7263" xr:uid="{00000000-0005-0000-0000-0000DB560000}"/>
    <cellStyle name="Normal 12 4 2 3 2" xfId="15234" xr:uid="{00000000-0005-0000-0000-0000DC560000}"/>
    <cellStyle name="Normal 12 4 2 3 2 2" xfId="39076" xr:uid="{78C1AFD5-2211-4133-99F8-4BA601148C79}"/>
    <cellStyle name="Normal 12 4 2 3 3" xfId="23181" xr:uid="{00000000-0005-0000-0000-0000DD560000}"/>
    <cellStyle name="Normal 12 4 2 3 3 2" xfId="47013" xr:uid="{F2E2ACF1-DB5B-4E30-9DC5-85DF1E3EBD07}"/>
    <cellStyle name="Normal 12 4 2 3 4" xfId="31135" xr:uid="{F90037BF-2111-477C-AAA2-A6F9E3442B73}"/>
    <cellStyle name="Normal 12 4 2 4" xfId="11698" xr:uid="{00000000-0005-0000-0000-0000DE560000}"/>
    <cellStyle name="Normal 12 4 2 4 2" xfId="35547" xr:uid="{9EF79539-20FD-4DBD-843A-784626243B1E}"/>
    <cellStyle name="Normal 12 4 2 5" xfId="19653" xr:uid="{00000000-0005-0000-0000-0000DF560000}"/>
    <cellStyle name="Normal 12 4 2 5 2" xfId="43485" xr:uid="{4BEF6540-2DE7-4CBA-89AC-EC4631741300}"/>
    <cellStyle name="Normal 12 4 2 6" xfId="27605" xr:uid="{0F20E80E-FD37-4526-A4BF-ABFEF453F992}"/>
    <cellStyle name="Normal 12 4 2_Exh G" xfId="3448" xr:uid="{00000000-0005-0000-0000-0000E0560000}"/>
    <cellStyle name="Normal 12 4 3" xfId="4552" xr:uid="{00000000-0005-0000-0000-0000E1560000}"/>
    <cellStyle name="Normal 12 4 3 2" xfId="8144" xr:uid="{00000000-0005-0000-0000-0000E2560000}"/>
    <cellStyle name="Normal 12 4 3 2 2" xfId="16114" xr:uid="{00000000-0005-0000-0000-0000E3560000}"/>
    <cellStyle name="Normal 12 4 3 2 2 2" xfId="39956" xr:uid="{9169960E-B1DE-479D-A427-03845815A895}"/>
    <cellStyle name="Normal 12 4 3 2 3" xfId="24060" xr:uid="{00000000-0005-0000-0000-0000E4560000}"/>
    <cellStyle name="Normal 12 4 3 2 3 2" xfId="47892" xr:uid="{58D89948-1CC5-4DF4-A1F8-C787FDB5E258}"/>
    <cellStyle name="Normal 12 4 3 2 4" xfId="32015" xr:uid="{976B3452-12E7-44CF-B6FF-3476AF4A0DC9}"/>
    <cellStyle name="Normal 12 4 3 3" xfId="12576" xr:uid="{00000000-0005-0000-0000-0000E5560000}"/>
    <cellStyle name="Normal 12 4 3 3 2" xfId="36425" xr:uid="{CC5CF8FA-AA12-4E7E-A749-F25B4FBA8055}"/>
    <cellStyle name="Normal 12 4 3 4" xfId="20531" xr:uid="{00000000-0005-0000-0000-0000E6560000}"/>
    <cellStyle name="Normal 12 4 3 4 2" xfId="44363" xr:uid="{D7AE90A6-F54B-440B-BCA1-DC19CADBD80A}"/>
    <cellStyle name="Normal 12 4 3 5" xfId="28484" xr:uid="{F5F4AA8F-95E0-42DB-AAF6-5CB8FEB2190D}"/>
    <cellStyle name="Normal 12 4 4" xfId="6382" xr:uid="{00000000-0005-0000-0000-0000E7560000}"/>
    <cellStyle name="Normal 12 4 4 2" xfId="14356" xr:uid="{00000000-0005-0000-0000-0000E8560000}"/>
    <cellStyle name="Normal 12 4 4 2 2" xfId="38198" xr:uid="{F6FECC30-2AC6-453A-901D-8439ACA956E6}"/>
    <cellStyle name="Normal 12 4 4 3" xfId="22303" xr:uid="{00000000-0005-0000-0000-0000E9560000}"/>
    <cellStyle name="Normal 12 4 4 3 2" xfId="46135" xr:uid="{EA2DA35D-FD75-4761-BE82-58C68F45B4C6}"/>
    <cellStyle name="Normal 12 4 4 4" xfId="30257" xr:uid="{26525A15-4232-4593-A7ED-BE339B615BC6}"/>
    <cellStyle name="Normal 12 4 5" xfId="9924" xr:uid="{00000000-0005-0000-0000-0000EA560000}"/>
    <cellStyle name="Normal 12 4 5 2" xfId="17882" xr:uid="{00000000-0005-0000-0000-0000EB560000}"/>
    <cellStyle name="Normal 12 4 5 2 2" xfId="41722" xr:uid="{12B5CCA3-A787-4D43-909D-1D3F31EF82B1}"/>
    <cellStyle name="Normal 12 4 5 3" xfId="25826" xr:uid="{00000000-0005-0000-0000-0000EC560000}"/>
    <cellStyle name="Normal 12 4 5 3 2" xfId="49658" xr:uid="{0637F5E2-9779-4D6D-B8A1-6A756A84765B}"/>
    <cellStyle name="Normal 12 4 5 4" xfId="33781" xr:uid="{5ECAD22B-1181-4F44-8FBD-F112D8800B05}"/>
    <cellStyle name="Normal 12 4 6" xfId="10820" xr:uid="{00000000-0005-0000-0000-0000ED560000}"/>
    <cellStyle name="Normal 12 4 6 2" xfId="34669" xr:uid="{273D726F-4B32-4556-B1DB-F9B739C795FA}"/>
    <cellStyle name="Normal 12 4 7" xfId="18775" xr:uid="{00000000-0005-0000-0000-0000EE560000}"/>
    <cellStyle name="Normal 12 4 7 2" xfId="42607" xr:uid="{032DFD1E-7108-4B57-AFCB-AC64F4E238AE}"/>
    <cellStyle name="Normal 12 4 8" xfId="26727" xr:uid="{B3597F57-F0C4-4CB0-9AC7-6AFD3065F271}"/>
    <cellStyle name="Normal 12 4_Exh G" xfId="3447" xr:uid="{00000000-0005-0000-0000-0000EF560000}"/>
    <cellStyle name="Normal 12 5" xfId="1668" xr:uid="{00000000-0005-0000-0000-0000F0560000}"/>
    <cellStyle name="Normal 12 5 2" xfId="5195" xr:uid="{00000000-0005-0000-0000-0000F1560000}"/>
    <cellStyle name="Normal 12 5 2 2" xfId="8786" xr:uid="{00000000-0005-0000-0000-0000F2560000}"/>
    <cellStyle name="Normal 12 5 2 2 2" xfId="16756" xr:uid="{00000000-0005-0000-0000-0000F3560000}"/>
    <cellStyle name="Normal 12 5 2 2 2 2" xfId="40598" xr:uid="{318D5987-E36E-408D-98E9-97AD1737A03F}"/>
    <cellStyle name="Normal 12 5 2 2 3" xfId="24702" xr:uid="{00000000-0005-0000-0000-0000F4560000}"/>
    <cellStyle name="Normal 12 5 2 2 3 2" xfId="48534" xr:uid="{9188E141-1B37-4E38-9BDF-9AE70EEADF0A}"/>
    <cellStyle name="Normal 12 5 2 2 4" xfId="32657" xr:uid="{D7B69F4A-B0B1-47ED-AAA8-545060886C01}"/>
    <cellStyle name="Normal 12 5 2 3" xfId="13218" xr:uid="{00000000-0005-0000-0000-0000F5560000}"/>
    <cellStyle name="Normal 12 5 2 3 2" xfId="37067" xr:uid="{DA25AD7A-0D4C-4FC3-9EB5-7A85561A61DB}"/>
    <cellStyle name="Normal 12 5 2 4" xfId="21173" xr:uid="{00000000-0005-0000-0000-0000F6560000}"/>
    <cellStyle name="Normal 12 5 2 4 2" xfId="45005" xr:uid="{D54D7A02-8AB2-40F5-AB72-271BCEE8A566}"/>
    <cellStyle name="Normal 12 5 2 5" xfId="29126" xr:uid="{C4209984-99BA-44C6-9555-908809248239}"/>
    <cellStyle name="Normal 12 5 3" xfId="7027" xr:uid="{00000000-0005-0000-0000-0000F7560000}"/>
    <cellStyle name="Normal 12 5 3 2" xfId="14998" xr:uid="{00000000-0005-0000-0000-0000F8560000}"/>
    <cellStyle name="Normal 12 5 3 2 2" xfId="38840" xr:uid="{8603855E-0F45-4FBF-A58D-2694146755EA}"/>
    <cellStyle name="Normal 12 5 3 3" xfId="22945" xr:uid="{00000000-0005-0000-0000-0000F9560000}"/>
    <cellStyle name="Normal 12 5 3 3 2" xfId="46777" xr:uid="{038FA30E-B899-4FAE-A3C3-D5C9692DBC7C}"/>
    <cellStyle name="Normal 12 5 3 4" xfId="30899" xr:uid="{33FDABE8-4C57-44DD-9ADD-DC9EBF185EC8}"/>
    <cellStyle name="Normal 12 5 4" xfId="11462" xr:uid="{00000000-0005-0000-0000-0000FA560000}"/>
    <cellStyle name="Normal 12 5 4 2" xfId="35311" xr:uid="{79099A1F-AF4A-41D3-B65D-2DB15EF4B3B0}"/>
    <cellStyle name="Normal 12 5 5" xfId="19417" xr:uid="{00000000-0005-0000-0000-0000FB560000}"/>
    <cellStyle name="Normal 12 5 5 2" xfId="43249" xr:uid="{64DD5E71-5682-4325-9F46-FD5124DF7FCB}"/>
    <cellStyle name="Normal 12 5 6" xfId="27369" xr:uid="{D473BBCD-82E9-45C1-9D95-2C1C56D0EE59}"/>
    <cellStyle name="Normal 12 5_Exh G" xfId="3449" xr:uid="{00000000-0005-0000-0000-0000FC560000}"/>
    <cellStyle name="Normal 12 6" xfId="4316" xr:uid="{00000000-0005-0000-0000-0000FD560000}"/>
    <cellStyle name="Normal 12 6 2" xfId="7908" xr:uid="{00000000-0005-0000-0000-0000FE560000}"/>
    <cellStyle name="Normal 12 6 2 2" xfId="15878" xr:uid="{00000000-0005-0000-0000-0000FF560000}"/>
    <cellStyle name="Normal 12 6 2 2 2" xfId="39720" xr:uid="{3C2C18E9-05E9-4099-B1D1-6269A320D345}"/>
    <cellStyle name="Normal 12 6 2 3" xfId="23824" xr:uid="{00000000-0005-0000-0000-000000570000}"/>
    <cellStyle name="Normal 12 6 2 3 2" xfId="47656" xr:uid="{91F5DB53-E4AE-416D-A4F8-0B567BDF5B8C}"/>
    <cellStyle name="Normal 12 6 2 4" xfId="31779" xr:uid="{6D6A45AE-F21C-4C86-9F25-5FA75D54B8B6}"/>
    <cellStyle name="Normal 12 6 3" xfId="12340" xr:uid="{00000000-0005-0000-0000-000001570000}"/>
    <cellStyle name="Normal 12 6 3 2" xfId="36189" xr:uid="{68F6A2F9-CE8A-4B44-B024-796E6AEF4DCD}"/>
    <cellStyle name="Normal 12 6 4" xfId="20295" xr:uid="{00000000-0005-0000-0000-000002570000}"/>
    <cellStyle name="Normal 12 6 4 2" xfId="44127" xr:uid="{9AD11F2E-8FDA-4A1E-B968-C15D4CF45AAF}"/>
    <cellStyle name="Normal 12 6 5" xfId="28248" xr:uid="{AFB2DF8C-F4EC-4CA5-A48C-1B3BB864D5A7}"/>
    <cellStyle name="Normal 12 7" xfId="6136" xr:uid="{00000000-0005-0000-0000-000003570000}"/>
    <cellStyle name="Normal 12 7 2" xfId="14119" xr:uid="{00000000-0005-0000-0000-000004570000}"/>
    <cellStyle name="Normal 12 7 2 2" xfId="37962" xr:uid="{7D2D40AA-FBDF-472E-A4EB-DA3587C52BD3}"/>
    <cellStyle name="Normal 12 7 3" xfId="22067" xr:uid="{00000000-0005-0000-0000-000005570000}"/>
    <cellStyle name="Normal 12 7 3 2" xfId="45899" xr:uid="{1D9BCD86-F13E-4BFA-834F-2855ED9CB85C}"/>
    <cellStyle name="Normal 12 7 4" xfId="30021" xr:uid="{37C118F8-6AB2-4E43-B9D2-687EC759A2D7}"/>
    <cellStyle name="Normal 12 8" xfId="9688" xr:uid="{00000000-0005-0000-0000-000006570000}"/>
    <cellStyle name="Normal 12 8 2" xfId="17646" xr:uid="{00000000-0005-0000-0000-000007570000}"/>
    <cellStyle name="Normal 12 8 2 2" xfId="41486" xr:uid="{971CAD70-9F14-4700-BE6C-AFC157E7D7EA}"/>
    <cellStyle name="Normal 12 8 3" xfId="25590" xr:uid="{00000000-0005-0000-0000-000008570000}"/>
    <cellStyle name="Normal 12 8 3 2" xfId="49422" xr:uid="{03651F11-A777-446C-9DC4-ED54339793D3}"/>
    <cellStyle name="Normal 12 8 4" xfId="33545" xr:uid="{2A266AB1-970D-49C5-A72A-333CB5789790}"/>
    <cellStyle name="Normal 12 9" xfId="10584" xr:uid="{00000000-0005-0000-0000-000009570000}"/>
    <cellStyle name="Normal 12 9 2" xfId="34433" xr:uid="{9AD54871-19D7-438B-B22E-8244665F2E4F}"/>
    <cellStyle name="Normal 12_Exh G" xfId="3440" xr:uid="{00000000-0005-0000-0000-00000A570000}"/>
    <cellStyle name="Normal 13" xfId="646" xr:uid="{00000000-0005-0000-0000-00000B570000}"/>
    <cellStyle name="Normal 13 10" xfId="18543" xr:uid="{00000000-0005-0000-0000-00000C570000}"/>
    <cellStyle name="Normal 13 10 2" xfId="42375" xr:uid="{FBFCDA2C-FB9B-4BEA-AAA2-135C21F0B68E}"/>
    <cellStyle name="Normal 13 11" xfId="26495" xr:uid="{265E1188-D4C6-4B55-89A1-39542EDC1478}"/>
    <cellStyle name="Normal 13 2" xfId="647" xr:uid="{00000000-0005-0000-0000-00000D570000}"/>
    <cellStyle name="Normal 13 2 2" xfId="648" xr:uid="{00000000-0005-0000-0000-00000E570000}"/>
    <cellStyle name="Normal 13 2 2 2" xfId="1674" xr:uid="{00000000-0005-0000-0000-00000F570000}"/>
    <cellStyle name="Normal 13 2 2 2 2" xfId="5201" xr:uid="{00000000-0005-0000-0000-000010570000}"/>
    <cellStyle name="Normal 13 2 2 2 2 2" xfId="8792" xr:uid="{00000000-0005-0000-0000-000011570000}"/>
    <cellStyle name="Normal 13 2 2 2 2 2 2" xfId="16762" xr:uid="{00000000-0005-0000-0000-000012570000}"/>
    <cellStyle name="Normal 13 2 2 2 2 2 2 2" xfId="40604" xr:uid="{E7A962AB-3C13-47DE-8C97-F5A9D9ACFF8F}"/>
    <cellStyle name="Normal 13 2 2 2 2 2 3" xfId="24708" xr:uid="{00000000-0005-0000-0000-000013570000}"/>
    <cellStyle name="Normal 13 2 2 2 2 2 3 2" xfId="48540" xr:uid="{DD46BBFE-DEA7-4104-9A05-43D99E14C795}"/>
    <cellStyle name="Normal 13 2 2 2 2 2 4" xfId="32663" xr:uid="{9E182F2C-09D7-4091-96B8-12E46ECACE46}"/>
    <cellStyle name="Normal 13 2 2 2 2 3" xfId="13224" xr:uid="{00000000-0005-0000-0000-000014570000}"/>
    <cellStyle name="Normal 13 2 2 2 2 3 2" xfId="37073" xr:uid="{A00E35BD-493B-4B0B-A4F4-62D3A60862F3}"/>
    <cellStyle name="Normal 13 2 2 2 2 4" xfId="21179" xr:uid="{00000000-0005-0000-0000-000015570000}"/>
    <cellStyle name="Normal 13 2 2 2 2 4 2" xfId="45011" xr:uid="{05DBF276-CFB7-4384-B028-DC1F707DC9B9}"/>
    <cellStyle name="Normal 13 2 2 2 2 5" xfId="29132" xr:uid="{5E4D30EB-DF1F-4486-904E-084EC61DBD6A}"/>
    <cellStyle name="Normal 13 2 2 2 3" xfId="7033" xr:uid="{00000000-0005-0000-0000-000016570000}"/>
    <cellStyle name="Normal 13 2 2 2 3 2" xfId="15004" xr:uid="{00000000-0005-0000-0000-000017570000}"/>
    <cellStyle name="Normal 13 2 2 2 3 2 2" xfId="38846" xr:uid="{1CB7293E-B495-4C87-A5E3-12AA36DAB637}"/>
    <cellStyle name="Normal 13 2 2 2 3 3" xfId="22951" xr:uid="{00000000-0005-0000-0000-000018570000}"/>
    <cellStyle name="Normal 13 2 2 2 3 3 2" xfId="46783" xr:uid="{609DBF39-3C3F-49D4-9855-60F12C4EE884}"/>
    <cellStyle name="Normal 13 2 2 2 3 4" xfId="30905" xr:uid="{AA91C344-DF63-437E-93C8-6E4FAACA116F}"/>
    <cellStyle name="Normal 13 2 2 2 4" xfId="11468" xr:uid="{00000000-0005-0000-0000-000019570000}"/>
    <cellStyle name="Normal 13 2 2 2 4 2" xfId="35317" xr:uid="{8E9CCB7F-4629-418B-AF4F-F29B070804C0}"/>
    <cellStyle name="Normal 13 2 2 2 5" xfId="19423" xr:uid="{00000000-0005-0000-0000-00001A570000}"/>
    <cellStyle name="Normal 13 2 2 2 5 2" xfId="43255" xr:uid="{192EBF15-1BB4-4260-B73E-62AC907D0623}"/>
    <cellStyle name="Normal 13 2 2 2 6" xfId="27375" xr:uid="{658BB4B4-09F5-4B27-A3BF-D8A1029C452E}"/>
    <cellStyle name="Normal 13 2 2 2_Exh G" xfId="3453" xr:uid="{00000000-0005-0000-0000-00001B570000}"/>
    <cellStyle name="Normal 13 2 2 3" xfId="4322" xr:uid="{00000000-0005-0000-0000-00001C570000}"/>
    <cellStyle name="Normal 13 2 2 3 2" xfId="7914" xr:uid="{00000000-0005-0000-0000-00001D570000}"/>
    <cellStyle name="Normal 13 2 2 3 2 2" xfId="15884" xr:uid="{00000000-0005-0000-0000-00001E570000}"/>
    <cellStyle name="Normal 13 2 2 3 2 2 2" xfId="39726" xr:uid="{683BFFB1-CD21-47A5-8338-552B8288E0F3}"/>
    <cellStyle name="Normal 13 2 2 3 2 3" xfId="23830" xr:uid="{00000000-0005-0000-0000-00001F570000}"/>
    <cellStyle name="Normal 13 2 2 3 2 3 2" xfId="47662" xr:uid="{A977B031-48E1-4782-B266-5F1E7C170E03}"/>
    <cellStyle name="Normal 13 2 2 3 2 4" xfId="31785" xr:uid="{5EA30114-BC0D-41C0-9359-85A7783294A8}"/>
    <cellStyle name="Normal 13 2 2 3 3" xfId="12346" xr:uid="{00000000-0005-0000-0000-000020570000}"/>
    <cellStyle name="Normal 13 2 2 3 3 2" xfId="36195" xr:uid="{B89A3C15-7336-45DD-A456-8F044E4D8DB7}"/>
    <cellStyle name="Normal 13 2 2 3 4" xfId="20301" xr:uid="{00000000-0005-0000-0000-000021570000}"/>
    <cellStyle name="Normal 13 2 2 3 4 2" xfId="44133" xr:uid="{D58871FE-BF3C-4725-B279-3D2B40B03F28}"/>
    <cellStyle name="Normal 13 2 2 3 5" xfId="28254" xr:uid="{951D047C-5010-42B3-ACBE-59443AB21622}"/>
    <cellStyle name="Normal 13 2 2 4" xfId="6142" xr:uid="{00000000-0005-0000-0000-000022570000}"/>
    <cellStyle name="Normal 13 2 2 4 2" xfId="14125" xr:uid="{00000000-0005-0000-0000-000023570000}"/>
    <cellStyle name="Normal 13 2 2 4 2 2" xfId="37968" xr:uid="{57B4C00D-7F7C-489F-953D-E9CC6234EF5E}"/>
    <cellStyle name="Normal 13 2 2 4 3" xfId="22073" xr:uid="{00000000-0005-0000-0000-000024570000}"/>
    <cellStyle name="Normal 13 2 2 4 3 2" xfId="45905" xr:uid="{AEB8AD8E-0EBC-4148-B9B1-32B45B68CD02}"/>
    <cellStyle name="Normal 13 2 2 4 4" xfId="30027" xr:uid="{A636872E-A8BA-4507-906A-B8C4C20C2333}"/>
    <cellStyle name="Normal 13 2 2 5" xfId="9694" xr:uid="{00000000-0005-0000-0000-000025570000}"/>
    <cellStyle name="Normal 13 2 2 5 2" xfId="17652" xr:uid="{00000000-0005-0000-0000-000026570000}"/>
    <cellStyle name="Normal 13 2 2 5 2 2" xfId="41492" xr:uid="{842282D5-32E6-4534-9A5B-E1DF10C7EEF4}"/>
    <cellStyle name="Normal 13 2 2 5 3" xfId="25596" xr:uid="{00000000-0005-0000-0000-000027570000}"/>
    <cellStyle name="Normal 13 2 2 5 3 2" xfId="49428" xr:uid="{547719C9-926E-4713-B802-DBD76DB57208}"/>
    <cellStyle name="Normal 13 2 2 5 4" xfId="33551" xr:uid="{6F05FBB6-B2F1-4940-8E0F-D6E6B10F4027}"/>
    <cellStyle name="Normal 13 2 2 6" xfId="10590" xr:uid="{00000000-0005-0000-0000-000028570000}"/>
    <cellStyle name="Normal 13 2 2 6 2" xfId="34439" xr:uid="{2C784EC4-7202-449C-8769-320FCAA58E39}"/>
    <cellStyle name="Normal 13 2 2 7" xfId="18545" xr:uid="{00000000-0005-0000-0000-000029570000}"/>
    <cellStyle name="Normal 13 2 2 7 2" xfId="42377" xr:uid="{B3F1AE26-4F5C-448E-A152-A36260E703C8}"/>
    <cellStyle name="Normal 13 2 2 8" xfId="26497" xr:uid="{A5C35E4E-1598-4443-BB8A-606D122E47C8}"/>
    <cellStyle name="Normal 13 2 2_Exh G" xfId="3452" xr:uid="{00000000-0005-0000-0000-00002A570000}"/>
    <cellStyle name="Normal 13 2 3" xfId="1673" xr:uid="{00000000-0005-0000-0000-00002B570000}"/>
    <cellStyle name="Normal 13 2 3 2" xfId="5200" xr:uid="{00000000-0005-0000-0000-00002C570000}"/>
    <cellStyle name="Normal 13 2 3 2 2" xfId="8791" xr:uid="{00000000-0005-0000-0000-00002D570000}"/>
    <cellStyle name="Normal 13 2 3 2 2 2" xfId="16761" xr:uid="{00000000-0005-0000-0000-00002E570000}"/>
    <cellStyle name="Normal 13 2 3 2 2 2 2" xfId="40603" xr:uid="{9A9285E2-87B3-433E-A8B1-10E80373BB86}"/>
    <cellStyle name="Normal 13 2 3 2 2 3" xfId="24707" xr:uid="{00000000-0005-0000-0000-00002F570000}"/>
    <cellStyle name="Normal 13 2 3 2 2 3 2" xfId="48539" xr:uid="{F47E8F64-22DA-44A4-B3C3-3EB6CF39E050}"/>
    <cellStyle name="Normal 13 2 3 2 2 4" xfId="32662" xr:uid="{1E37C449-A305-4C27-9911-0F489CAF106C}"/>
    <cellStyle name="Normal 13 2 3 2 3" xfId="13223" xr:uid="{00000000-0005-0000-0000-000030570000}"/>
    <cellStyle name="Normal 13 2 3 2 3 2" xfId="37072" xr:uid="{4A8DB202-D3A5-49A6-B0DB-5CFB99E99ABA}"/>
    <cellStyle name="Normal 13 2 3 2 4" xfId="21178" xr:uid="{00000000-0005-0000-0000-000031570000}"/>
    <cellStyle name="Normal 13 2 3 2 4 2" xfId="45010" xr:uid="{188C34F9-5126-4139-8779-A39F63222DFC}"/>
    <cellStyle name="Normal 13 2 3 2 5" xfId="29131" xr:uid="{C67EA261-7E7F-4BF5-A725-004D9CBC0E3B}"/>
    <cellStyle name="Normal 13 2 3 3" xfId="7032" xr:uid="{00000000-0005-0000-0000-000032570000}"/>
    <cellStyle name="Normal 13 2 3 3 2" xfId="15003" xr:uid="{00000000-0005-0000-0000-000033570000}"/>
    <cellStyle name="Normal 13 2 3 3 2 2" xfId="38845" xr:uid="{83000E35-921E-4899-AEE3-BB3BEF373274}"/>
    <cellStyle name="Normal 13 2 3 3 3" xfId="22950" xr:uid="{00000000-0005-0000-0000-000034570000}"/>
    <cellStyle name="Normal 13 2 3 3 3 2" xfId="46782" xr:uid="{CFF2BB63-6BFA-4CD1-ABD0-27666A596634}"/>
    <cellStyle name="Normal 13 2 3 3 4" xfId="30904" xr:uid="{D08A547E-D886-4283-82A1-034C5A6E4231}"/>
    <cellStyle name="Normal 13 2 3 4" xfId="11467" xr:uid="{00000000-0005-0000-0000-000035570000}"/>
    <cellStyle name="Normal 13 2 3 4 2" xfId="35316" xr:uid="{CF0DAE12-041D-490E-AAA9-10D9BE8784C3}"/>
    <cellStyle name="Normal 13 2 3 5" xfId="19422" xr:uid="{00000000-0005-0000-0000-000036570000}"/>
    <cellStyle name="Normal 13 2 3 5 2" xfId="43254" xr:uid="{B7D102E5-59CE-490A-A049-51F3A8FA035D}"/>
    <cellStyle name="Normal 13 2 3 6" xfId="27374" xr:uid="{FE393A82-6DA5-49D1-B0F5-86E02A51C373}"/>
    <cellStyle name="Normal 13 2 3_Exh G" xfId="3454" xr:uid="{00000000-0005-0000-0000-000037570000}"/>
    <cellStyle name="Normal 13 2 4" xfId="4321" xr:uid="{00000000-0005-0000-0000-000038570000}"/>
    <cellStyle name="Normal 13 2 4 2" xfId="7913" xr:uid="{00000000-0005-0000-0000-000039570000}"/>
    <cellStyle name="Normal 13 2 4 2 2" xfId="15883" xr:uid="{00000000-0005-0000-0000-00003A570000}"/>
    <cellStyle name="Normal 13 2 4 2 2 2" xfId="39725" xr:uid="{CFA7867D-F0FC-4F54-9E2A-19675614D28C}"/>
    <cellStyle name="Normal 13 2 4 2 3" xfId="23829" xr:uid="{00000000-0005-0000-0000-00003B570000}"/>
    <cellStyle name="Normal 13 2 4 2 3 2" xfId="47661" xr:uid="{EC492E97-BD7E-43DB-A27B-99E81D442591}"/>
    <cellStyle name="Normal 13 2 4 2 4" xfId="31784" xr:uid="{363FD03A-57B0-47EA-AC8C-DEB38DD7B7F3}"/>
    <cellStyle name="Normal 13 2 4 3" xfId="12345" xr:uid="{00000000-0005-0000-0000-00003C570000}"/>
    <cellStyle name="Normal 13 2 4 3 2" xfId="36194" xr:uid="{C2367FB0-C6B4-4158-9D09-DF5B2EC0ABF2}"/>
    <cellStyle name="Normal 13 2 4 4" xfId="20300" xr:uid="{00000000-0005-0000-0000-00003D570000}"/>
    <cellStyle name="Normal 13 2 4 4 2" xfId="44132" xr:uid="{A8C28C38-8DD5-46AE-B15F-A7CC04BD93CC}"/>
    <cellStyle name="Normal 13 2 4 5" xfId="28253" xr:uid="{62FC33AA-CA0D-4E63-A47C-19B950528D3C}"/>
    <cellStyle name="Normal 13 2 5" xfId="6141" xr:uid="{00000000-0005-0000-0000-00003E570000}"/>
    <cellStyle name="Normal 13 2 5 2" xfId="14124" xr:uid="{00000000-0005-0000-0000-00003F570000}"/>
    <cellStyle name="Normal 13 2 5 2 2" xfId="37967" xr:uid="{CD24267A-D1EA-4503-A481-59B94CCC6627}"/>
    <cellStyle name="Normal 13 2 5 3" xfId="22072" xr:uid="{00000000-0005-0000-0000-000040570000}"/>
    <cellStyle name="Normal 13 2 5 3 2" xfId="45904" xr:uid="{8DA08847-84E4-458C-AD1F-62177606FC03}"/>
    <cellStyle name="Normal 13 2 5 4" xfId="30026" xr:uid="{0C385799-06DB-4BE7-850F-EC5443D8C28A}"/>
    <cellStyle name="Normal 13 2 6" xfId="9693" xr:uid="{00000000-0005-0000-0000-000041570000}"/>
    <cellStyle name="Normal 13 2 6 2" xfId="17651" xr:uid="{00000000-0005-0000-0000-000042570000}"/>
    <cellStyle name="Normal 13 2 6 2 2" xfId="41491" xr:uid="{DEB1DCA6-3EEC-4547-9DA5-8BD15A7D1026}"/>
    <cellStyle name="Normal 13 2 6 3" xfId="25595" xr:uid="{00000000-0005-0000-0000-000043570000}"/>
    <cellStyle name="Normal 13 2 6 3 2" xfId="49427" xr:uid="{7A3D1C02-1F2A-4F44-8F72-9E56FE67A484}"/>
    <cellStyle name="Normal 13 2 6 4" xfId="33550" xr:uid="{083955F2-61AC-4571-839C-828E85D8ADB3}"/>
    <cellStyle name="Normal 13 2 7" xfId="10589" xr:uid="{00000000-0005-0000-0000-000044570000}"/>
    <cellStyle name="Normal 13 2 7 2" xfId="34438" xr:uid="{5FB26C88-014A-4016-9FC6-349824ECF232}"/>
    <cellStyle name="Normal 13 2 8" xfId="18544" xr:uid="{00000000-0005-0000-0000-000045570000}"/>
    <cellStyle name="Normal 13 2 8 2" xfId="42376" xr:uid="{D839053C-0594-4AA3-B836-ED7E1FF99C8B}"/>
    <cellStyle name="Normal 13 2 9" xfId="26496" xr:uid="{A8501A2A-234C-4749-B5C6-33BF11E8AD2F}"/>
    <cellStyle name="Normal 13 2_Exh G" xfId="3451" xr:uid="{00000000-0005-0000-0000-000046570000}"/>
    <cellStyle name="Normal 13 3" xfId="649" xr:uid="{00000000-0005-0000-0000-000047570000}"/>
    <cellStyle name="Normal 13 3 2" xfId="1675" xr:uid="{00000000-0005-0000-0000-000048570000}"/>
    <cellStyle name="Normal 13 3 2 2" xfId="5202" xr:uid="{00000000-0005-0000-0000-000049570000}"/>
    <cellStyle name="Normal 13 3 2 2 2" xfId="8793" xr:uid="{00000000-0005-0000-0000-00004A570000}"/>
    <cellStyle name="Normal 13 3 2 2 2 2" xfId="16763" xr:uid="{00000000-0005-0000-0000-00004B570000}"/>
    <cellStyle name="Normal 13 3 2 2 2 2 2" xfId="40605" xr:uid="{2592B65D-E404-4CBB-B8E9-1F2E4FB0097B}"/>
    <cellStyle name="Normal 13 3 2 2 2 3" xfId="24709" xr:uid="{00000000-0005-0000-0000-00004C570000}"/>
    <cellStyle name="Normal 13 3 2 2 2 3 2" xfId="48541" xr:uid="{B844E259-BA6C-4638-A361-BB5FD0BE5B53}"/>
    <cellStyle name="Normal 13 3 2 2 2 4" xfId="32664" xr:uid="{A06E0049-4FF3-49AE-BF81-AD76164476CE}"/>
    <cellStyle name="Normal 13 3 2 2 3" xfId="13225" xr:uid="{00000000-0005-0000-0000-00004D570000}"/>
    <cellStyle name="Normal 13 3 2 2 3 2" xfId="37074" xr:uid="{F0842216-30DF-4DCB-B9CD-ADD4D8937B85}"/>
    <cellStyle name="Normal 13 3 2 2 4" xfId="21180" xr:uid="{00000000-0005-0000-0000-00004E570000}"/>
    <cellStyle name="Normal 13 3 2 2 4 2" xfId="45012" xr:uid="{69F564EF-35F6-4BB2-931D-CBF84F873464}"/>
    <cellStyle name="Normal 13 3 2 2 5" xfId="29133" xr:uid="{595C89CC-6D94-4E72-9059-4785C8F8BAEA}"/>
    <cellStyle name="Normal 13 3 2 3" xfId="7034" xr:uid="{00000000-0005-0000-0000-00004F570000}"/>
    <cellStyle name="Normal 13 3 2 3 2" xfId="15005" xr:uid="{00000000-0005-0000-0000-000050570000}"/>
    <cellStyle name="Normal 13 3 2 3 2 2" xfId="38847" xr:uid="{7DF0DB1D-F0AE-4D7D-94DF-08208366480F}"/>
    <cellStyle name="Normal 13 3 2 3 3" xfId="22952" xr:uid="{00000000-0005-0000-0000-000051570000}"/>
    <cellStyle name="Normal 13 3 2 3 3 2" xfId="46784" xr:uid="{4785F8BE-904C-479D-BE6C-3A656110C70A}"/>
    <cellStyle name="Normal 13 3 2 3 4" xfId="30906" xr:uid="{22F7FC55-F50B-42FF-86C2-A68123CB14DF}"/>
    <cellStyle name="Normal 13 3 2 4" xfId="11469" xr:uid="{00000000-0005-0000-0000-000052570000}"/>
    <cellStyle name="Normal 13 3 2 4 2" xfId="35318" xr:uid="{D5E22F23-B40A-4689-9B6A-F9B3A2B7247D}"/>
    <cellStyle name="Normal 13 3 2 5" xfId="19424" xr:uid="{00000000-0005-0000-0000-000053570000}"/>
    <cellStyle name="Normal 13 3 2 5 2" xfId="43256" xr:uid="{995D1B77-DA57-49D2-B782-62B3D42D5DB3}"/>
    <cellStyle name="Normal 13 3 2 6" xfId="27376" xr:uid="{CDA86F09-5909-4AA1-91FF-6C258C2769D6}"/>
    <cellStyle name="Normal 13 3 2_Exh G" xfId="3456" xr:uid="{00000000-0005-0000-0000-000054570000}"/>
    <cellStyle name="Normal 13 3 3" xfId="4323" xr:uid="{00000000-0005-0000-0000-000055570000}"/>
    <cellStyle name="Normal 13 3 3 2" xfId="7915" xr:uid="{00000000-0005-0000-0000-000056570000}"/>
    <cellStyle name="Normal 13 3 3 2 2" xfId="15885" xr:uid="{00000000-0005-0000-0000-000057570000}"/>
    <cellStyle name="Normal 13 3 3 2 2 2" xfId="39727" xr:uid="{B7954930-A79F-496D-9FF5-FBB21C25C552}"/>
    <cellStyle name="Normal 13 3 3 2 3" xfId="23831" xr:uid="{00000000-0005-0000-0000-000058570000}"/>
    <cellStyle name="Normal 13 3 3 2 3 2" xfId="47663" xr:uid="{EDBD5F2C-190D-44CC-BE87-C13BED100BD9}"/>
    <cellStyle name="Normal 13 3 3 2 4" xfId="31786" xr:uid="{AE71D9FC-668A-4775-9F34-2A7FF15521BE}"/>
    <cellStyle name="Normal 13 3 3 3" xfId="12347" xr:uid="{00000000-0005-0000-0000-000059570000}"/>
    <cellStyle name="Normal 13 3 3 3 2" xfId="36196" xr:uid="{92DC62DD-2BC4-4E17-BCCC-EFC54A823572}"/>
    <cellStyle name="Normal 13 3 3 4" xfId="20302" xr:uid="{00000000-0005-0000-0000-00005A570000}"/>
    <cellStyle name="Normal 13 3 3 4 2" xfId="44134" xr:uid="{25A8CDC1-9A95-47D5-9245-1423F767C6C7}"/>
    <cellStyle name="Normal 13 3 3 5" xfId="28255" xr:uid="{B16BF95D-DA8E-4657-BEC2-C255F07B6952}"/>
    <cellStyle name="Normal 13 3 4" xfId="6143" xr:uid="{00000000-0005-0000-0000-00005B570000}"/>
    <cellStyle name="Normal 13 3 4 2" xfId="14126" xr:uid="{00000000-0005-0000-0000-00005C570000}"/>
    <cellStyle name="Normal 13 3 4 2 2" xfId="37969" xr:uid="{7D90FA44-34EE-4E91-8AF7-FD4738D191D8}"/>
    <cellStyle name="Normal 13 3 4 3" xfId="22074" xr:uid="{00000000-0005-0000-0000-00005D570000}"/>
    <cellStyle name="Normal 13 3 4 3 2" xfId="45906" xr:uid="{FE298EA0-C3DD-4FF9-9C4A-61745917F190}"/>
    <cellStyle name="Normal 13 3 4 4" xfId="30028" xr:uid="{62517662-64DF-4263-8F25-E3C91C176B9A}"/>
    <cellStyle name="Normal 13 3 5" xfId="9695" xr:uid="{00000000-0005-0000-0000-00005E570000}"/>
    <cellStyle name="Normal 13 3 5 2" xfId="17653" xr:uid="{00000000-0005-0000-0000-00005F570000}"/>
    <cellStyle name="Normal 13 3 5 2 2" xfId="41493" xr:uid="{C802459E-7C96-443C-9368-3049943FEED7}"/>
    <cellStyle name="Normal 13 3 5 3" xfId="25597" xr:uid="{00000000-0005-0000-0000-000060570000}"/>
    <cellStyle name="Normal 13 3 5 3 2" xfId="49429" xr:uid="{BC8A9D19-315D-4D66-9886-C21DE38B886E}"/>
    <cellStyle name="Normal 13 3 5 4" xfId="33552" xr:uid="{C9624D9B-F2EC-45EB-96C5-E2BB6CA96507}"/>
    <cellStyle name="Normal 13 3 6" xfId="10591" xr:uid="{00000000-0005-0000-0000-000061570000}"/>
    <cellStyle name="Normal 13 3 6 2" xfId="34440" xr:uid="{90A6B791-074A-49AC-AC8A-E409BFE03691}"/>
    <cellStyle name="Normal 13 3 7" xfId="18546" xr:uid="{00000000-0005-0000-0000-000062570000}"/>
    <cellStyle name="Normal 13 3 7 2" xfId="42378" xr:uid="{0359B91B-3512-48F7-B57F-65B4ACCAFB9B}"/>
    <cellStyle name="Normal 13 3 8" xfId="26498" xr:uid="{78D50DE0-3EB2-49BF-B1B3-491230F0DCBC}"/>
    <cellStyle name="Normal 13 3_Exh G" xfId="3455" xr:uid="{00000000-0005-0000-0000-000063570000}"/>
    <cellStyle name="Normal 13 4" xfId="1012" xr:uid="{00000000-0005-0000-0000-000064570000}"/>
    <cellStyle name="Normal 13 4 2" xfId="1915" xr:uid="{00000000-0005-0000-0000-000065570000}"/>
    <cellStyle name="Normal 13 4 2 2" xfId="5432" xr:uid="{00000000-0005-0000-0000-000066570000}"/>
    <cellStyle name="Normal 13 4 2 2 2" xfId="9023" xr:uid="{00000000-0005-0000-0000-000067570000}"/>
    <cellStyle name="Normal 13 4 2 2 2 2" xfId="16993" xr:uid="{00000000-0005-0000-0000-000068570000}"/>
    <cellStyle name="Normal 13 4 2 2 2 2 2" xfId="40835" xr:uid="{D5BDF230-3FAB-40D5-8403-C0DC47253D3E}"/>
    <cellStyle name="Normal 13 4 2 2 2 3" xfId="24939" xr:uid="{00000000-0005-0000-0000-000069570000}"/>
    <cellStyle name="Normal 13 4 2 2 2 3 2" xfId="48771" xr:uid="{1207B3FA-0378-4033-844D-8FA8B4038189}"/>
    <cellStyle name="Normal 13 4 2 2 2 4" xfId="32894" xr:uid="{01A06DEF-87B9-4CE8-B282-AF9B8D2FF712}"/>
    <cellStyle name="Normal 13 4 2 2 3" xfId="13455" xr:uid="{00000000-0005-0000-0000-00006A570000}"/>
    <cellStyle name="Normal 13 4 2 2 3 2" xfId="37304" xr:uid="{3CD86B87-94E4-41C7-A0DA-EB81859FCD40}"/>
    <cellStyle name="Normal 13 4 2 2 4" xfId="21410" xr:uid="{00000000-0005-0000-0000-00006B570000}"/>
    <cellStyle name="Normal 13 4 2 2 4 2" xfId="45242" xr:uid="{C69A037D-48A9-4A91-81D1-FC9793B6FA08}"/>
    <cellStyle name="Normal 13 4 2 2 5" xfId="29363" xr:uid="{E7857CD3-07E9-4C2A-AC11-6F9FEE8A70CB}"/>
    <cellStyle name="Normal 13 4 2 3" xfId="7264" xr:uid="{00000000-0005-0000-0000-00006C570000}"/>
    <cellStyle name="Normal 13 4 2 3 2" xfId="15235" xr:uid="{00000000-0005-0000-0000-00006D570000}"/>
    <cellStyle name="Normal 13 4 2 3 2 2" xfId="39077" xr:uid="{E74BFC50-AC4D-481A-ABAD-46E1E8BE6A38}"/>
    <cellStyle name="Normal 13 4 2 3 3" xfId="23182" xr:uid="{00000000-0005-0000-0000-00006E570000}"/>
    <cellStyle name="Normal 13 4 2 3 3 2" xfId="47014" xr:uid="{B736D0D8-9EFC-4D1C-AE44-13B573D9390B}"/>
    <cellStyle name="Normal 13 4 2 3 4" xfId="31136" xr:uid="{D553884F-BCEC-4134-8B84-AE2C8C7F6100}"/>
    <cellStyle name="Normal 13 4 2 4" xfId="11699" xr:uid="{00000000-0005-0000-0000-00006F570000}"/>
    <cellStyle name="Normal 13 4 2 4 2" xfId="35548" xr:uid="{C9D2D982-8278-4C9A-A525-439251A38804}"/>
    <cellStyle name="Normal 13 4 2 5" xfId="19654" xr:uid="{00000000-0005-0000-0000-000070570000}"/>
    <cellStyle name="Normal 13 4 2 5 2" xfId="43486" xr:uid="{5D6D8B59-F279-4648-A159-934DF883E9C0}"/>
    <cellStyle name="Normal 13 4 2 6" xfId="27606" xr:uid="{4BB04976-2194-40D0-876B-02DDD5A37DF7}"/>
    <cellStyle name="Normal 13 4 2_Exh G" xfId="3458" xr:uid="{00000000-0005-0000-0000-000071570000}"/>
    <cellStyle name="Normal 13 4 3" xfId="4553" xr:uid="{00000000-0005-0000-0000-000072570000}"/>
    <cellStyle name="Normal 13 4 3 2" xfId="8145" xr:uid="{00000000-0005-0000-0000-000073570000}"/>
    <cellStyle name="Normal 13 4 3 2 2" xfId="16115" xr:uid="{00000000-0005-0000-0000-000074570000}"/>
    <cellStyle name="Normal 13 4 3 2 2 2" xfId="39957" xr:uid="{D1231726-1DD2-44B1-89DB-0F181D7A1CEC}"/>
    <cellStyle name="Normal 13 4 3 2 3" xfId="24061" xr:uid="{00000000-0005-0000-0000-000075570000}"/>
    <cellStyle name="Normal 13 4 3 2 3 2" xfId="47893" xr:uid="{7FE9D3F4-FD41-4A8D-A4EE-9B074980A69C}"/>
    <cellStyle name="Normal 13 4 3 2 4" xfId="32016" xr:uid="{B5C4F42D-545E-4E7A-AAF7-04359F8CB5F3}"/>
    <cellStyle name="Normal 13 4 3 3" xfId="12577" xr:uid="{00000000-0005-0000-0000-000076570000}"/>
    <cellStyle name="Normal 13 4 3 3 2" xfId="36426" xr:uid="{0384F55B-A5D6-4B0E-8C71-D817D79F9075}"/>
    <cellStyle name="Normal 13 4 3 4" xfId="20532" xr:uid="{00000000-0005-0000-0000-000077570000}"/>
    <cellStyle name="Normal 13 4 3 4 2" xfId="44364" xr:uid="{9B7987BD-7743-4274-84FC-55D145FB182C}"/>
    <cellStyle name="Normal 13 4 3 5" xfId="28485" xr:uid="{8B0A897F-7187-4FA4-A1EE-FA6D5B677A4E}"/>
    <cellStyle name="Normal 13 4 4" xfId="6383" xr:uid="{00000000-0005-0000-0000-000078570000}"/>
    <cellStyle name="Normal 13 4 4 2" xfId="14357" xr:uid="{00000000-0005-0000-0000-000079570000}"/>
    <cellStyle name="Normal 13 4 4 2 2" xfId="38199" xr:uid="{9A33817E-5444-4140-B59A-3016EE1949DB}"/>
    <cellStyle name="Normal 13 4 4 3" xfId="22304" xr:uid="{00000000-0005-0000-0000-00007A570000}"/>
    <cellStyle name="Normal 13 4 4 3 2" xfId="46136" xr:uid="{923AB8DA-CE9E-4FD9-9FB8-C30B6EA44B17}"/>
    <cellStyle name="Normal 13 4 4 4" xfId="30258" xr:uid="{7E45D254-18EF-42CA-B5D3-F82FA8FCF526}"/>
    <cellStyle name="Normal 13 4 5" xfId="9925" xr:uid="{00000000-0005-0000-0000-00007B570000}"/>
    <cellStyle name="Normal 13 4 5 2" xfId="17883" xr:uid="{00000000-0005-0000-0000-00007C570000}"/>
    <cellStyle name="Normal 13 4 5 2 2" xfId="41723" xr:uid="{AD789336-C1C8-4DBE-8969-213B0F33DF4F}"/>
    <cellStyle name="Normal 13 4 5 3" xfId="25827" xr:uid="{00000000-0005-0000-0000-00007D570000}"/>
    <cellStyle name="Normal 13 4 5 3 2" xfId="49659" xr:uid="{64817B84-BAA4-433D-87C7-3BEC989A2ABF}"/>
    <cellStyle name="Normal 13 4 5 4" xfId="33782" xr:uid="{701994FF-E7CD-424E-8040-4814FA9F91B3}"/>
    <cellStyle name="Normal 13 4 6" xfId="10821" xr:uid="{00000000-0005-0000-0000-00007E570000}"/>
    <cellStyle name="Normal 13 4 6 2" xfId="34670" xr:uid="{EF6E9F87-8C09-47AF-B682-34F19B0DB49C}"/>
    <cellStyle name="Normal 13 4 7" xfId="18776" xr:uid="{00000000-0005-0000-0000-00007F570000}"/>
    <cellStyle name="Normal 13 4 7 2" xfId="42608" xr:uid="{1A92DB23-D992-4E9C-97A2-EA11D6FC284B}"/>
    <cellStyle name="Normal 13 4 8" xfId="26728" xr:uid="{C7F679B0-EFA2-47BE-8B69-C5901D1ED42B}"/>
    <cellStyle name="Normal 13 4_Exh G" xfId="3457" xr:uid="{00000000-0005-0000-0000-000080570000}"/>
    <cellStyle name="Normal 13 5" xfId="1672" xr:uid="{00000000-0005-0000-0000-000081570000}"/>
    <cellStyle name="Normal 13 5 2" xfId="5199" xr:uid="{00000000-0005-0000-0000-000082570000}"/>
    <cellStyle name="Normal 13 5 2 2" xfId="8790" xr:uid="{00000000-0005-0000-0000-000083570000}"/>
    <cellStyle name="Normal 13 5 2 2 2" xfId="16760" xr:uid="{00000000-0005-0000-0000-000084570000}"/>
    <cellStyle name="Normal 13 5 2 2 2 2" xfId="40602" xr:uid="{EBBCDC68-066D-4646-B17B-7128BB97AA28}"/>
    <cellStyle name="Normal 13 5 2 2 3" xfId="24706" xr:uid="{00000000-0005-0000-0000-000085570000}"/>
    <cellStyle name="Normal 13 5 2 2 3 2" xfId="48538" xr:uid="{B7ACAF30-AAFD-4AD8-B5D4-AD1E0D4C49D9}"/>
    <cellStyle name="Normal 13 5 2 2 4" xfId="32661" xr:uid="{7A870AA7-0774-4BED-9030-7969B0A813E4}"/>
    <cellStyle name="Normal 13 5 2 3" xfId="13222" xr:uid="{00000000-0005-0000-0000-000086570000}"/>
    <cellStyle name="Normal 13 5 2 3 2" xfId="37071" xr:uid="{800B65E3-CDC2-4693-B01E-5FC98885BB0E}"/>
    <cellStyle name="Normal 13 5 2 4" xfId="21177" xr:uid="{00000000-0005-0000-0000-000087570000}"/>
    <cellStyle name="Normal 13 5 2 4 2" xfId="45009" xr:uid="{1457BDC6-3F56-49C5-9F2C-ABD0288A256F}"/>
    <cellStyle name="Normal 13 5 2 5" xfId="29130" xr:uid="{8AF51EF9-B369-4BBC-AE5C-05A9F215ED7C}"/>
    <cellStyle name="Normal 13 5 3" xfId="7031" xr:uid="{00000000-0005-0000-0000-000088570000}"/>
    <cellStyle name="Normal 13 5 3 2" xfId="15002" xr:uid="{00000000-0005-0000-0000-000089570000}"/>
    <cellStyle name="Normal 13 5 3 2 2" xfId="38844" xr:uid="{C7B9A4D0-15D7-4672-8333-E2E24D46ED45}"/>
    <cellStyle name="Normal 13 5 3 3" xfId="22949" xr:uid="{00000000-0005-0000-0000-00008A570000}"/>
    <cellStyle name="Normal 13 5 3 3 2" xfId="46781" xr:uid="{3D56BE94-5F31-438B-AB86-B9D6C625C35E}"/>
    <cellStyle name="Normal 13 5 3 4" xfId="30903" xr:uid="{365044FC-7008-44E9-B427-5E92C9065C9C}"/>
    <cellStyle name="Normal 13 5 4" xfId="11466" xr:uid="{00000000-0005-0000-0000-00008B570000}"/>
    <cellStyle name="Normal 13 5 4 2" xfId="35315" xr:uid="{629E1324-8AB2-4C40-B2ED-6CD6E3179613}"/>
    <cellStyle name="Normal 13 5 5" xfId="19421" xr:uid="{00000000-0005-0000-0000-00008C570000}"/>
    <cellStyle name="Normal 13 5 5 2" xfId="43253" xr:uid="{9C776D26-738A-4EA9-AC55-FF3602576581}"/>
    <cellStyle name="Normal 13 5 6" xfId="27373" xr:uid="{8AA04CF6-D23D-49AF-97E9-530C8E8F6E8D}"/>
    <cellStyle name="Normal 13 5_Exh G" xfId="3459" xr:uid="{00000000-0005-0000-0000-00008D570000}"/>
    <cellStyle name="Normal 13 6" xfId="4320" xr:uid="{00000000-0005-0000-0000-00008E570000}"/>
    <cellStyle name="Normal 13 6 2" xfId="7912" xr:uid="{00000000-0005-0000-0000-00008F570000}"/>
    <cellStyle name="Normal 13 6 2 2" xfId="15882" xr:uid="{00000000-0005-0000-0000-000090570000}"/>
    <cellStyle name="Normal 13 6 2 2 2" xfId="39724" xr:uid="{0AA2C701-E90D-41D6-AA7B-ACD71012CBF4}"/>
    <cellStyle name="Normal 13 6 2 3" xfId="23828" xr:uid="{00000000-0005-0000-0000-000091570000}"/>
    <cellStyle name="Normal 13 6 2 3 2" xfId="47660" xr:uid="{9D3B4DCC-D3B2-4A13-AA2E-7F141F259684}"/>
    <cellStyle name="Normal 13 6 2 4" xfId="31783" xr:uid="{BB4C0495-5B7F-43FC-BBF4-3C01344124B9}"/>
    <cellStyle name="Normal 13 6 3" xfId="12344" xr:uid="{00000000-0005-0000-0000-000092570000}"/>
    <cellStyle name="Normal 13 6 3 2" xfId="36193" xr:uid="{6D9C0F01-07C2-41D3-88B6-277E6641DF62}"/>
    <cellStyle name="Normal 13 6 4" xfId="20299" xr:uid="{00000000-0005-0000-0000-000093570000}"/>
    <cellStyle name="Normal 13 6 4 2" xfId="44131" xr:uid="{3D19BF9D-CEDA-4397-93B3-CFBE578A6017}"/>
    <cellStyle name="Normal 13 6 5" xfId="28252" xr:uid="{278D6CD4-AF0C-4196-A57D-74A4473D35E3}"/>
    <cellStyle name="Normal 13 7" xfId="6140" xr:uid="{00000000-0005-0000-0000-000094570000}"/>
    <cellStyle name="Normal 13 7 2" xfId="14123" xr:uid="{00000000-0005-0000-0000-000095570000}"/>
    <cellStyle name="Normal 13 7 2 2" xfId="37966" xr:uid="{4A8D9761-3394-4F21-AE1F-4D2A736AD1E1}"/>
    <cellStyle name="Normal 13 7 3" xfId="22071" xr:uid="{00000000-0005-0000-0000-000096570000}"/>
    <cellStyle name="Normal 13 7 3 2" xfId="45903" xr:uid="{598D7A80-43C2-46B5-A241-515E455BDCF3}"/>
    <cellStyle name="Normal 13 7 4" xfId="30025" xr:uid="{25BD1744-F446-4680-9F99-8987AFC45BA7}"/>
    <cellStyle name="Normal 13 8" xfId="9692" xr:uid="{00000000-0005-0000-0000-000097570000}"/>
    <cellStyle name="Normal 13 8 2" xfId="17650" xr:uid="{00000000-0005-0000-0000-000098570000}"/>
    <cellStyle name="Normal 13 8 2 2" xfId="41490" xr:uid="{19D6D4A0-F2B5-4338-9CB8-F7F1330FC763}"/>
    <cellStyle name="Normal 13 8 3" xfId="25594" xr:uid="{00000000-0005-0000-0000-000099570000}"/>
    <cellStyle name="Normal 13 8 3 2" xfId="49426" xr:uid="{74B6F2F2-CFD5-44E9-A52C-FDF22AEDAC0C}"/>
    <cellStyle name="Normal 13 8 4" xfId="33549" xr:uid="{3DF90E1D-39AB-4FCD-BA98-488702B1ECA8}"/>
    <cellStyle name="Normal 13 9" xfId="10588" xr:uid="{00000000-0005-0000-0000-00009A570000}"/>
    <cellStyle name="Normal 13 9 2" xfId="34437" xr:uid="{9DF9FB6F-C9A0-496F-A833-14993B0207E6}"/>
    <cellStyle name="Normal 13_Exh G" xfId="3450" xr:uid="{00000000-0005-0000-0000-00009B570000}"/>
    <cellStyle name="Normal 14" xfId="650" xr:uid="{00000000-0005-0000-0000-00009C570000}"/>
    <cellStyle name="Normal 14 10" xfId="10592" xr:uid="{00000000-0005-0000-0000-00009D570000}"/>
    <cellStyle name="Normal 14 10 2" xfId="34441" xr:uid="{50DC33FB-4339-4519-AD84-9CCA3EC19E07}"/>
    <cellStyle name="Normal 14 11" xfId="18547" xr:uid="{00000000-0005-0000-0000-00009E570000}"/>
    <cellStyle name="Normal 14 11 2" xfId="42379" xr:uid="{083B69B9-10CA-4830-AF05-DE8C81C8A3C2}"/>
    <cellStyle name="Normal 14 12" xfId="26499" xr:uid="{687BF3BF-672A-4D8F-8F69-77A2137926F3}"/>
    <cellStyle name="Normal 14 2" xfId="651" xr:uid="{00000000-0005-0000-0000-00009F570000}"/>
    <cellStyle name="Normal 14 2 2" xfId="652" xr:uid="{00000000-0005-0000-0000-0000A0570000}"/>
    <cellStyle name="Normal 14 2 2 2" xfId="1678" xr:uid="{00000000-0005-0000-0000-0000A1570000}"/>
    <cellStyle name="Normal 14 2 2 2 2" xfId="5205" xr:uid="{00000000-0005-0000-0000-0000A2570000}"/>
    <cellStyle name="Normal 14 2 2 2 2 2" xfId="8796" xr:uid="{00000000-0005-0000-0000-0000A3570000}"/>
    <cellStyle name="Normal 14 2 2 2 2 2 2" xfId="16766" xr:uid="{00000000-0005-0000-0000-0000A4570000}"/>
    <cellStyle name="Normal 14 2 2 2 2 2 2 2" xfId="40608" xr:uid="{4DE281A1-730B-4422-B60B-A565F2B1F3EC}"/>
    <cellStyle name="Normal 14 2 2 2 2 2 3" xfId="24712" xr:uid="{00000000-0005-0000-0000-0000A5570000}"/>
    <cellStyle name="Normal 14 2 2 2 2 2 3 2" xfId="48544" xr:uid="{E69FF179-02AD-4733-92A2-B7D4F08FDBE2}"/>
    <cellStyle name="Normal 14 2 2 2 2 2 4" xfId="32667" xr:uid="{37BFAF3E-5423-427B-BAE1-86CC0A1352C8}"/>
    <cellStyle name="Normal 14 2 2 2 2 3" xfId="13228" xr:uid="{00000000-0005-0000-0000-0000A6570000}"/>
    <cellStyle name="Normal 14 2 2 2 2 3 2" xfId="37077" xr:uid="{D08D4CD1-9323-4ABC-A16B-75B5EAB7225C}"/>
    <cellStyle name="Normal 14 2 2 2 2 4" xfId="21183" xr:uid="{00000000-0005-0000-0000-0000A7570000}"/>
    <cellStyle name="Normal 14 2 2 2 2 4 2" xfId="45015" xr:uid="{C24C01C7-C7D4-4DC0-9461-8BC01130CBAD}"/>
    <cellStyle name="Normal 14 2 2 2 2 5" xfId="29136" xr:uid="{B515FEB8-4517-42DE-BF7C-563EE6F9AE9C}"/>
    <cellStyle name="Normal 14 2 2 2 3" xfId="7037" xr:uid="{00000000-0005-0000-0000-0000A8570000}"/>
    <cellStyle name="Normal 14 2 2 2 3 2" xfId="15008" xr:uid="{00000000-0005-0000-0000-0000A9570000}"/>
    <cellStyle name="Normal 14 2 2 2 3 2 2" xfId="38850" xr:uid="{FEAF2744-3237-46C9-869D-601D200D4623}"/>
    <cellStyle name="Normal 14 2 2 2 3 3" xfId="22955" xr:uid="{00000000-0005-0000-0000-0000AA570000}"/>
    <cellStyle name="Normal 14 2 2 2 3 3 2" xfId="46787" xr:uid="{B5BA0364-4C46-426A-9FDE-40CC836E07F6}"/>
    <cellStyle name="Normal 14 2 2 2 3 4" xfId="30909" xr:uid="{82966107-1F99-469D-A9FB-52A669C4D9E8}"/>
    <cellStyle name="Normal 14 2 2 2 4" xfId="11472" xr:uid="{00000000-0005-0000-0000-0000AB570000}"/>
    <cellStyle name="Normal 14 2 2 2 4 2" xfId="35321" xr:uid="{E3792A19-A78A-46A7-B183-4DDFB30BFCEA}"/>
    <cellStyle name="Normal 14 2 2 2 5" xfId="19427" xr:uid="{00000000-0005-0000-0000-0000AC570000}"/>
    <cellStyle name="Normal 14 2 2 2 5 2" xfId="43259" xr:uid="{B53B45BA-3BB1-45CB-B43E-0706821E3651}"/>
    <cellStyle name="Normal 14 2 2 2 6" xfId="27379" xr:uid="{F9E9A995-59DB-4AE4-BBC7-41D7410D7EF7}"/>
    <cellStyle name="Normal 14 2 2 2_Exh G" xfId="3463" xr:uid="{00000000-0005-0000-0000-0000AD570000}"/>
    <cellStyle name="Normal 14 2 2 3" xfId="4326" xr:uid="{00000000-0005-0000-0000-0000AE570000}"/>
    <cellStyle name="Normal 14 2 2 3 2" xfId="7918" xr:uid="{00000000-0005-0000-0000-0000AF570000}"/>
    <cellStyle name="Normal 14 2 2 3 2 2" xfId="15888" xr:uid="{00000000-0005-0000-0000-0000B0570000}"/>
    <cellStyle name="Normal 14 2 2 3 2 2 2" xfId="39730" xr:uid="{46CF2916-575E-493A-B6A2-8C03AE1F5B2B}"/>
    <cellStyle name="Normal 14 2 2 3 2 3" xfId="23834" xr:uid="{00000000-0005-0000-0000-0000B1570000}"/>
    <cellStyle name="Normal 14 2 2 3 2 3 2" xfId="47666" xr:uid="{CEFDB3E4-0482-4D93-A4C3-33AE9066B1DD}"/>
    <cellStyle name="Normal 14 2 2 3 2 4" xfId="31789" xr:uid="{199336D0-F996-4DBF-8960-89FAC79DEF8D}"/>
    <cellStyle name="Normal 14 2 2 3 3" xfId="12350" xr:uid="{00000000-0005-0000-0000-0000B2570000}"/>
    <cellStyle name="Normal 14 2 2 3 3 2" xfId="36199" xr:uid="{3C57568D-FFDF-46B8-9633-9B59D46A5647}"/>
    <cellStyle name="Normal 14 2 2 3 4" xfId="20305" xr:uid="{00000000-0005-0000-0000-0000B3570000}"/>
    <cellStyle name="Normal 14 2 2 3 4 2" xfId="44137" xr:uid="{F589DA57-DC74-4834-BC37-427AB73DE109}"/>
    <cellStyle name="Normal 14 2 2 3 5" xfId="28258" xr:uid="{91CEE010-8C5F-49DF-99F5-29DF68A4D4E9}"/>
    <cellStyle name="Normal 14 2 2 4" xfId="6146" xr:uid="{00000000-0005-0000-0000-0000B4570000}"/>
    <cellStyle name="Normal 14 2 2 4 2" xfId="14129" xr:uid="{00000000-0005-0000-0000-0000B5570000}"/>
    <cellStyle name="Normal 14 2 2 4 2 2" xfId="37972" xr:uid="{5B5D0CAE-0128-450A-B7A1-19DBF763B4F4}"/>
    <cellStyle name="Normal 14 2 2 4 3" xfId="22077" xr:uid="{00000000-0005-0000-0000-0000B6570000}"/>
    <cellStyle name="Normal 14 2 2 4 3 2" xfId="45909" xr:uid="{4D17172D-4FD2-4630-952F-C98F7F359C7B}"/>
    <cellStyle name="Normal 14 2 2 4 4" xfId="30031" xr:uid="{875C3186-4F33-4A99-B838-C28CCED3D742}"/>
    <cellStyle name="Normal 14 2 2 5" xfId="9698" xr:uid="{00000000-0005-0000-0000-0000B7570000}"/>
    <cellStyle name="Normal 14 2 2 5 2" xfId="17656" xr:uid="{00000000-0005-0000-0000-0000B8570000}"/>
    <cellStyle name="Normal 14 2 2 5 2 2" xfId="41496" xr:uid="{56835BDA-B768-4FEC-A96A-7CB6A0B9E7DF}"/>
    <cellStyle name="Normal 14 2 2 5 3" xfId="25600" xr:uid="{00000000-0005-0000-0000-0000B9570000}"/>
    <cellStyle name="Normal 14 2 2 5 3 2" xfId="49432" xr:uid="{247C5970-02AB-4B25-B678-2C1430FA0C05}"/>
    <cellStyle name="Normal 14 2 2 5 4" xfId="33555" xr:uid="{08DD6105-DDB6-4C66-AB88-EF3CC2214F97}"/>
    <cellStyle name="Normal 14 2 2 6" xfId="10594" xr:uid="{00000000-0005-0000-0000-0000BA570000}"/>
    <cellStyle name="Normal 14 2 2 6 2" xfId="34443" xr:uid="{689642DD-745B-4EA0-AD90-F49EFA963FFE}"/>
    <cellStyle name="Normal 14 2 2 7" xfId="18549" xr:uid="{00000000-0005-0000-0000-0000BB570000}"/>
    <cellStyle name="Normal 14 2 2 7 2" xfId="42381" xr:uid="{134D6EF8-978E-4F73-A475-B0896E396127}"/>
    <cellStyle name="Normal 14 2 2 8" xfId="26501" xr:uid="{4C2D5CA2-36E7-4E69-9F95-A2F342AE3306}"/>
    <cellStyle name="Normal 14 2 2_Exh G" xfId="3462" xr:uid="{00000000-0005-0000-0000-0000BC570000}"/>
    <cellStyle name="Normal 14 2 3" xfId="1677" xr:uid="{00000000-0005-0000-0000-0000BD570000}"/>
    <cellStyle name="Normal 14 2 3 2" xfId="5204" xr:uid="{00000000-0005-0000-0000-0000BE570000}"/>
    <cellStyle name="Normal 14 2 3 2 2" xfId="8795" xr:uid="{00000000-0005-0000-0000-0000BF570000}"/>
    <cellStyle name="Normal 14 2 3 2 2 2" xfId="16765" xr:uid="{00000000-0005-0000-0000-0000C0570000}"/>
    <cellStyle name="Normal 14 2 3 2 2 2 2" xfId="40607" xr:uid="{25506908-12CB-4A48-9843-5113078C5B03}"/>
    <cellStyle name="Normal 14 2 3 2 2 3" xfId="24711" xr:uid="{00000000-0005-0000-0000-0000C1570000}"/>
    <cellStyle name="Normal 14 2 3 2 2 3 2" xfId="48543" xr:uid="{437FCACB-818F-4C3D-97C0-D2A23C0E1A52}"/>
    <cellStyle name="Normal 14 2 3 2 2 4" xfId="32666" xr:uid="{E83EEB95-D3FD-4CA2-BF04-DBE4A8568215}"/>
    <cellStyle name="Normal 14 2 3 2 3" xfId="13227" xr:uid="{00000000-0005-0000-0000-0000C2570000}"/>
    <cellStyle name="Normal 14 2 3 2 3 2" xfId="37076" xr:uid="{E0456EFE-9AB9-4F15-A7EC-657FC1051FD1}"/>
    <cellStyle name="Normal 14 2 3 2 4" xfId="21182" xr:uid="{00000000-0005-0000-0000-0000C3570000}"/>
    <cellStyle name="Normal 14 2 3 2 4 2" xfId="45014" xr:uid="{6410325F-91E1-45C6-BB81-E1EE83ADA57D}"/>
    <cellStyle name="Normal 14 2 3 2 5" xfId="29135" xr:uid="{C904E170-0670-490E-A730-11D610FB2B7C}"/>
    <cellStyle name="Normal 14 2 3 3" xfId="7036" xr:uid="{00000000-0005-0000-0000-0000C4570000}"/>
    <cellStyle name="Normal 14 2 3 3 2" xfId="15007" xr:uid="{00000000-0005-0000-0000-0000C5570000}"/>
    <cellStyle name="Normal 14 2 3 3 2 2" xfId="38849" xr:uid="{4997CDC3-E1F5-40C6-B18E-7C1A5DA30541}"/>
    <cellStyle name="Normal 14 2 3 3 3" xfId="22954" xr:uid="{00000000-0005-0000-0000-0000C6570000}"/>
    <cellStyle name="Normal 14 2 3 3 3 2" xfId="46786" xr:uid="{991FFC88-F252-49A1-AE72-A1199DE3588C}"/>
    <cellStyle name="Normal 14 2 3 3 4" xfId="30908" xr:uid="{6F85DEA0-5053-48BB-9A37-CC5B9A56E41C}"/>
    <cellStyle name="Normal 14 2 3 4" xfId="11471" xr:uid="{00000000-0005-0000-0000-0000C7570000}"/>
    <cellStyle name="Normal 14 2 3 4 2" xfId="35320" xr:uid="{2F2B3633-89A2-4064-8E42-5FB3644B24C7}"/>
    <cellStyle name="Normal 14 2 3 5" xfId="19426" xr:uid="{00000000-0005-0000-0000-0000C8570000}"/>
    <cellStyle name="Normal 14 2 3 5 2" xfId="43258" xr:uid="{E2598914-349D-4150-B6D8-94B042BD665E}"/>
    <cellStyle name="Normal 14 2 3 6" xfId="27378" xr:uid="{033F1FB9-D5D7-428F-BC8B-B06240472A15}"/>
    <cellStyle name="Normal 14 2 3_Exh G" xfId="3464" xr:uid="{00000000-0005-0000-0000-0000C9570000}"/>
    <cellStyle name="Normal 14 2 4" xfId="4325" xr:uid="{00000000-0005-0000-0000-0000CA570000}"/>
    <cellStyle name="Normal 14 2 4 2" xfId="7917" xr:uid="{00000000-0005-0000-0000-0000CB570000}"/>
    <cellStyle name="Normal 14 2 4 2 2" xfId="15887" xr:uid="{00000000-0005-0000-0000-0000CC570000}"/>
    <cellStyle name="Normal 14 2 4 2 2 2" xfId="39729" xr:uid="{C5C5FF83-1869-46B9-8CA9-5BA0318F58F2}"/>
    <cellStyle name="Normal 14 2 4 2 3" xfId="23833" xr:uid="{00000000-0005-0000-0000-0000CD570000}"/>
    <cellStyle name="Normal 14 2 4 2 3 2" xfId="47665" xr:uid="{8296EA4D-689F-4C8D-B7BE-698363D723CB}"/>
    <cellStyle name="Normal 14 2 4 2 4" xfId="31788" xr:uid="{FFF4F655-AE31-4F7B-B557-19684AAF8F86}"/>
    <cellStyle name="Normal 14 2 4 3" xfId="12349" xr:uid="{00000000-0005-0000-0000-0000CE570000}"/>
    <cellStyle name="Normal 14 2 4 3 2" xfId="36198" xr:uid="{D6FF201B-80EC-4DCD-A45D-A97DFCBD2B11}"/>
    <cellStyle name="Normal 14 2 4 4" xfId="20304" xr:uid="{00000000-0005-0000-0000-0000CF570000}"/>
    <cellStyle name="Normal 14 2 4 4 2" xfId="44136" xr:uid="{2D521A0B-8E2F-42EF-AA7A-AAB89ECB3A87}"/>
    <cellStyle name="Normal 14 2 4 5" xfId="28257" xr:uid="{46DC1B9F-6F65-4145-B0E6-EFB7824546B8}"/>
    <cellStyle name="Normal 14 2 5" xfId="6145" xr:uid="{00000000-0005-0000-0000-0000D0570000}"/>
    <cellStyle name="Normal 14 2 5 2" xfId="14128" xr:uid="{00000000-0005-0000-0000-0000D1570000}"/>
    <cellStyle name="Normal 14 2 5 2 2" xfId="37971" xr:uid="{2CBB3918-9C88-47EA-BCF5-88CB11AC9420}"/>
    <cellStyle name="Normal 14 2 5 3" xfId="22076" xr:uid="{00000000-0005-0000-0000-0000D2570000}"/>
    <cellStyle name="Normal 14 2 5 3 2" xfId="45908" xr:uid="{F6FCBB6C-FB44-42CA-AE1D-0B0B82949927}"/>
    <cellStyle name="Normal 14 2 5 4" xfId="30030" xr:uid="{3A1562E3-9639-4CA3-9F92-32EB14FEEB1D}"/>
    <cellStyle name="Normal 14 2 6" xfId="9697" xr:uid="{00000000-0005-0000-0000-0000D3570000}"/>
    <cellStyle name="Normal 14 2 6 2" xfId="17655" xr:uid="{00000000-0005-0000-0000-0000D4570000}"/>
    <cellStyle name="Normal 14 2 6 2 2" xfId="41495" xr:uid="{97D17F12-D435-49E5-95C0-60C9CE7A2C46}"/>
    <cellStyle name="Normal 14 2 6 3" xfId="25599" xr:uid="{00000000-0005-0000-0000-0000D5570000}"/>
    <cellStyle name="Normal 14 2 6 3 2" xfId="49431" xr:uid="{BD013AE7-7045-4D8B-B33A-E01D68D9C55B}"/>
    <cellStyle name="Normal 14 2 6 4" xfId="33554" xr:uid="{755A4890-ED01-4B17-B8B1-6B4C8515E611}"/>
    <cellStyle name="Normal 14 2 7" xfId="10593" xr:uid="{00000000-0005-0000-0000-0000D6570000}"/>
    <cellStyle name="Normal 14 2 7 2" xfId="34442" xr:uid="{DB6CEC9B-0A26-4F80-BEEE-45C5F9627D3B}"/>
    <cellStyle name="Normal 14 2 8" xfId="18548" xr:uid="{00000000-0005-0000-0000-0000D7570000}"/>
    <cellStyle name="Normal 14 2 8 2" xfId="42380" xr:uid="{2538583F-EDF4-467F-B139-5492B9024986}"/>
    <cellStyle name="Normal 14 2 9" xfId="26500" xr:uid="{C4FDE6C4-031B-4F1A-8BF1-126A0FD10496}"/>
    <cellStyle name="Normal 14 2_Exh G" xfId="3461" xr:uid="{00000000-0005-0000-0000-0000D8570000}"/>
    <cellStyle name="Normal 14 3" xfId="653" xr:uid="{00000000-0005-0000-0000-0000D9570000}"/>
    <cellStyle name="Normal 14 3 2" xfId="1679" xr:uid="{00000000-0005-0000-0000-0000DA570000}"/>
    <cellStyle name="Normal 14 3 2 2" xfId="5206" xr:uid="{00000000-0005-0000-0000-0000DB570000}"/>
    <cellStyle name="Normal 14 3 2 2 2" xfId="8797" xr:uid="{00000000-0005-0000-0000-0000DC570000}"/>
    <cellStyle name="Normal 14 3 2 2 2 2" xfId="16767" xr:uid="{00000000-0005-0000-0000-0000DD570000}"/>
    <cellStyle name="Normal 14 3 2 2 2 2 2" xfId="40609" xr:uid="{0A2307A9-F5A0-48B5-9396-590B03990657}"/>
    <cellStyle name="Normal 14 3 2 2 2 3" xfId="24713" xr:uid="{00000000-0005-0000-0000-0000DE570000}"/>
    <cellStyle name="Normal 14 3 2 2 2 3 2" xfId="48545" xr:uid="{735DFB79-AD7F-4687-AC75-FCC975D1F35F}"/>
    <cellStyle name="Normal 14 3 2 2 2 4" xfId="32668" xr:uid="{63604058-F64E-41AF-9D88-305D60125650}"/>
    <cellStyle name="Normal 14 3 2 2 3" xfId="13229" xr:uid="{00000000-0005-0000-0000-0000DF570000}"/>
    <cellStyle name="Normal 14 3 2 2 3 2" xfId="37078" xr:uid="{62C86107-4BD3-40DC-ADD1-0E96054C7FC9}"/>
    <cellStyle name="Normal 14 3 2 2 4" xfId="21184" xr:uid="{00000000-0005-0000-0000-0000E0570000}"/>
    <cellStyle name="Normal 14 3 2 2 4 2" xfId="45016" xr:uid="{E2771125-91C7-4674-BCCE-0E588B8A38ED}"/>
    <cellStyle name="Normal 14 3 2 2 5" xfId="29137" xr:uid="{DFFED9C1-334C-4DE8-A0A2-87D2632FCFCE}"/>
    <cellStyle name="Normal 14 3 2 3" xfId="7038" xr:uid="{00000000-0005-0000-0000-0000E1570000}"/>
    <cellStyle name="Normal 14 3 2 3 2" xfId="15009" xr:uid="{00000000-0005-0000-0000-0000E2570000}"/>
    <cellStyle name="Normal 14 3 2 3 2 2" xfId="38851" xr:uid="{BF15524F-D0E3-4297-9EC8-512F129AFF57}"/>
    <cellStyle name="Normal 14 3 2 3 3" xfId="22956" xr:uid="{00000000-0005-0000-0000-0000E3570000}"/>
    <cellStyle name="Normal 14 3 2 3 3 2" xfId="46788" xr:uid="{C1D385A7-5D8E-42BF-A324-FDAD5BAAD0E3}"/>
    <cellStyle name="Normal 14 3 2 3 4" xfId="30910" xr:uid="{700E9ABE-DCEB-45B9-9BDD-3485252009D5}"/>
    <cellStyle name="Normal 14 3 2 4" xfId="11473" xr:uid="{00000000-0005-0000-0000-0000E4570000}"/>
    <cellStyle name="Normal 14 3 2 4 2" xfId="35322" xr:uid="{3CC1CFFC-35F3-4CFF-BB4C-F1E0DC83AC19}"/>
    <cellStyle name="Normal 14 3 2 5" xfId="19428" xr:uid="{00000000-0005-0000-0000-0000E5570000}"/>
    <cellStyle name="Normal 14 3 2 5 2" xfId="43260" xr:uid="{1FB59C2A-048C-4569-B4C8-E0650B66DE67}"/>
    <cellStyle name="Normal 14 3 2 6" xfId="27380" xr:uid="{D12B9973-0A30-4D1D-8EA9-207CC25D419A}"/>
    <cellStyle name="Normal 14 3 2_Exh G" xfId="3466" xr:uid="{00000000-0005-0000-0000-0000E6570000}"/>
    <cellStyle name="Normal 14 3 3" xfId="4327" xr:uid="{00000000-0005-0000-0000-0000E7570000}"/>
    <cellStyle name="Normal 14 3 3 2" xfId="7919" xr:uid="{00000000-0005-0000-0000-0000E8570000}"/>
    <cellStyle name="Normal 14 3 3 2 2" xfId="15889" xr:uid="{00000000-0005-0000-0000-0000E9570000}"/>
    <cellStyle name="Normal 14 3 3 2 2 2" xfId="39731" xr:uid="{047D3AD6-7517-458A-AC2E-5EE068431D94}"/>
    <cellStyle name="Normal 14 3 3 2 3" xfId="23835" xr:uid="{00000000-0005-0000-0000-0000EA570000}"/>
    <cellStyle name="Normal 14 3 3 2 3 2" xfId="47667" xr:uid="{E1F77CA7-70D4-4D46-A1DD-17259ACD0114}"/>
    <cellStyle name="Normal 14 3 3 2 4" xfId="31790" xr:uid="{0F8B9B86-A4FB-4FB1-B176-13D99F113F29}"/>
    <cellStyle name="Normal 14 3 3 3" xfId="12351" xr:uid="{00000000-0005-0000-0000-0000EB570000}"/>
    <cellStyle name="Normal 14 3 3 3 2" xfId="36200" xr:uid="{A9F930FF-0527-45FF-B862-930AF9E7B65A}"/>
    <cellStyle name="Normal 14 3 3 4" xfId="20306" xr:uid="{00000000-0005-0000-0000-0000EC570000}"/>
    <cellStyle name="Normal 14 3 3 4 2" xfId="44138" xr:uid="{654A8DC6-6275-492C-BF11-2CDF9D80A94C}"/>
    <cellStyle name="Normal 14 3 3 5" xfId="28259" xr:uid="{395FB91A-39A6-4544-9AB7-CAB571AEBA25}"/>
    <cellStyle name="Normal 14 3 4" xfId="6147" xr:uid="{00000000-0005-0000-0000-0000ED570000}"/>
    <cellStyle name="Normal 14 3 4 2" xfId="14130" xr:uid="{00000000-0005-0000-0000-0000EE570000}"/>
    <cellStyle name="Normal 14 3 4 2 2" xfId="37973" xr:uid="{50156382-1EB4-4F36-980A-BF768C1527B0}"/>
    <cellStyle name="Normal 14 3 4 3" xfId="22078" xr:uid="{00000000-0005-0000-0000-0000EF570000}"/>
    <cellStyle name="Normal 14 3 4 3 2" xfId="45910" xr:uid="{70EEDB12-B290-4A1F-B2F7-864916299A2A}"/>
    <cellStyle name="Normal 14 3 4 4" xfId="30032" xr:uid="{DC8E03F2-D440-4190-9A7C-72BFAF820930}"/>
    <cellStyle name="Normal 14 3 5" xfId="9699" xr:uid="{00000000-0005-0000-0000-0000F0570000}"/>
    <cellStyle name="Normal 14 3 5 2" xfId="17657" xr:uid="{00000000-0005-0000-0000-0000F1570000}"/>
    <cellStyle name="Normal 14 3 5 2 2" xfId="41497" xr:uid="{272582AD-0E86-469F-BD5B-4C4A2F3B6ECD}"/>
    <cellStyle name="Normal 14 3 5 3" xfId="25601" xr:uid="{00000000-0005-0000-0000-0000F2570000}"/>
    <cellStyle name="Normal 14 3 5 3 2" xfId="49433" xr:uid="{996BEE28-559E-4551-8912-C13D22862A79}"/>
    <cellStyle name="Normal 14 3 5 4" xfId="33556" xr:uid="{7DACEA1E-6A56-45F6-B5AE-29F3BF9DE27C}"/>
    <cellStyle name="Normal 14 3 6" xfId="10595" xr:uid="{00000000-0005-0000-0000-0000F3570000}"/>
    <cellStyle name="Normal 14 3 6 2" xfId="34444" xr:uid="{A304E13E-9240-43BB-9B93-F6E1D4A419C7}"/>
    <cellStyle name="Normal 14 3 7" xfId="18550" xr:uid="{00000000-0005-0000-0000-0000F4570000}"/>
    <cellStyle name="Normal 14 3 7 2" xfId="42382" xr:uid="{DE406B8C-0856-49BA-B363-54D37D1DC596}"/>
    <cellStyle name="Normal 14 3 8" xfId="26502" xr:uid="{E22D8495-8382-491E-9BEE-88DDCE0E2FF2}"/>
    <cellStyle name="Normal 14 3_Exh G" xfId="3465" xr:uid="{00000000-0005-0000-0000-0000F5570000}"/>
    <cellStyle name="Normal 14 4" xfId="737" xr:uid="{00000000-0005-0000-0000-0000F6570000}"/>
    <cellStyle name="Normal 14 5" xfId="1013" xr:uid="{00000000-0005-0000-0000-0000F9570000}"/>
    <cellStyle name="Normal 14 6" xfId="1676" xr:uid="{00000000-0005-0000-0000-0000FA570000}"/>
    <cellStyle name="Normal 14 6 2" xfId="5203" xr:uid="{00000000-0005-0000-0000-0000FB570000}"/>
    <cellStyle name="Normal 14 6 2 2" xfId="8794" xr:uid="{00000000-0005-0000-0000-0000FC570000}"/>
    <cellStyle name="Normal 14 6 2 2 2" xfId="16764" xr:uid="{00000000-0005-0000-0000-0000FD570000}"/>
    <cellStyle name="Normal 14 6 2 2 2 2" xfId="40606" xr:uid="{C738BB45-A310-479C-BDDE-2B02DD7F71F0}"/>
    <cellStyle name="Normal 14 6 2 2 3" xfId="24710" xr:uid="{00000000-0005-0000-0000-0000FE570000}"/>
    <cellStyle name="Normal 14 6 2 2 3 2" xfId="48542" xr:uid="{773DDDF3-C0B4-4F49-9CE8-7A2C6E89A441}"/>
    <cellStyle name="Normal 14 6 2 2 4" xfId="32665" xr:uid="{95FEED62-7758-42D0-9000-57B7BA7A49BE}"/>
    <cellStyle name="Normal 14 6 2 3" xfId="13226" xr:uid="{00000000-0005-0000-0000-0000FF570000}"/>
    <cellStyle name="Normal 14 6 2 3 2" xfId="37075" xr:uid="{E8FA6053-62C9-4D75-9809-15D6C69815DC}"/>
    <cellStyle name="Normal 14 6 2 4" xfId="21181" xr:uid="{00000000-0005-0000-0000-000000580000}"/>
    <cellStyle name="Normal 14 6 2 4 2" xfId="45013" xr:uid="{6271A331-9EC0-45D9-AE70-14E8E8A1A4FD}"/>
    <cellStyle name="Normal 14 6 2 5" xfId="29134" xr:uid="{4F19D093-91BE-4158-9992-032CC1456293}"/>
    <cellStyle name="Normal 14 6 3" xfId="7035" xr:uid="{00000000-0005-0000-0000-000001580000}"/>
    <cellStyle name="Normal 14 6 3 2" xfId="15006" xr:uid="{00000000-0005-0000-0000-000002580000}"/>
    <cellStyle name="Normal 14 6 3 2 2" xfId="38848" xr:uid="{C67E8BE8-070F-4ECF-9969-2AF9ECDBDBEC}"/>
    <cellStyle name="Normal 14 6 3 3" xfId="22953" xr:uid="{00000000-0005-0000-0000-000003580000}"/>
    <cellStyle name="Normal 14 6 3 3 2" xfId="46785" xr:uid="{4D40B863-9DE9-4B27-BFE9-8C1E7896F842}"/>
    <cellStyle name="Normal 14 6 3 4" xfId="30907" xr:uid="{335F37DA-356B-4CA7-AB58-C80B5A51ADE1}"/>
    <cellStyle name="Normal 14 6 4" xfId="11470" xr:uid="{00000000-0005-0000-0000-000004580000}"/>
    <cellStyle name="Normal 14 6 4 2" xfId="35319" xr:uid="{98BAEB66-923F-4D9A-A230-26FD90008587}"/>
    <cellStyle name="Normal 14 6 5" xfId="19425" xr:uid="{00000000-0005-0000-0000-000005580000}"/>
    <cellStyle name="Normal 14 6 5 2" xfId="43257" xr:uid="{342000C5-A20F-49A5-AA10-968DB708F50C}"/>
    <cellStyle name="Normal 14 6 6" xfId="27377" xr:uid="{F494606D-57C6-410A-8D85-57287A64789B}"/>
    <cellStyle name="Normal 14 6_Exh G" xfId="3467" xr:uid="{00000000-0005-0000-0000-000006580000}"/>
    <cellStyle name="Normal 14 7" xfId="4324" xr:uid="{00000000-0005-0000-0000-000007580000}"/>
    <cellStyle name="Normal 14 7 2" xfId="7916" xr:uid="{00000000-0005-0000-0000-000008580000}"/>
    <cellStyle name="Normal 14 7 2 2" xfId="15886" xr:uid="{00000000-0005-0000-0000-000009580000}"/>
    <cellStyle name="Normal 14 7 2 2 2" xfId="39728" xr:uid="{75F76BDB-1D70-4E87-850A-C501AA70CDEF}"/>
    <cellStyle name="Normal 14 7 2 3" xfId="23832" xr:uid="{00000000-0005-0000-0000-00000A580000}"/>
    <cellStyle name="Normal 14 7 2 3 2" xfId="47664" xr:uid="{5FD5D76A-D143-4CC9-B239-DE4E1A8BF1CE}"/>
    <cellStyle name="Normal 14 7 2 4" xfId="31787" xr:uid="{140502A6-0ED6-4578-94B5-34B1AC94D559}"/>
    <cellStyle name="Normal 14 7 3" xfId="12348" xr:uid="{00000000-0005-0000-0000-00000B580000}"/>
    <cellStyle name="Normal 14 7 3 2" xfId="36197" xr:uid="{0DD8A3B8-4E57-4486-91AF-E19A5B083704}"/>
    <cellStyle name="Normal 14 7 4" xfId="20303" xr:uid="{00000000-0005-0000-0000-00000C580000}"/>
    <cellStyle name="Normal 14 7 4 2" xfId="44135" xr:uid="{55E376A8-7498-438A-9D60-B224A9A593B6}"/>
    <cellStyle name="Normal 14 7 5" xfId="28256" xr:uid="{87FAC7FB-2FBB-4E04-8CE5-E82138ED2D9C}"/>
    <cellStyle name="Normal 14 8" xfId="6144" xr:uid="{00000000-0005-0000-0000-00000D580000}"/>
    <cellStyle name="Normal 14 8 2" xfId="14127" xr:uid="{00000000-0005-0000-0000-00000E580000}"/>
    <cellStyle name="Normal 14 8 2 2" xfId="37970" xr:uid="{EDA8DD48-9D69-4F86-BE8C-080434C3220A}"/>
    <cellStyle name="Normal 14 8 3" xfId="22075" xr:uid="{00000000-0005-0000-0000-00000F580000}"/>
    <cellStyle name="Normal 14 8 3 2" xfId="45907" xr:uid="{B0631894-59C2-42EC-B4B1-0AC7EFBD655F}"/>
    <cellStyle name="Normal 14 8 4" xfId="30029" xr:uid="{21008920-6EC9-4C1B-A8A7-CD8424981C9D}"/>
    <cellStyle name="Normal 14 9" xfId="9696" xr:uid="{00000000-0005-0000-0000-000010580000}"/>
    <cellStyle name="Normal 14 9 2" xfId="17654" xr:uid="{00000000-0005-0000-0000-000011580000}"/>
    <cellStyle name="Normal 14 9 2 2" xfId="41494" xr:uid="{D1A79BAD-B26A-4706-BFF2-66B33CF4B757}"/>
    <cellStyle name="Normal 14 9 3" xfId="25598" xr:uid="{00000000-0005-0000-0000-000012580000}"/>
    <cellStyle name="Normal 14 9 3 2" xfId="49430" xr:uid="{AF39ABC4-A1CE-4A6C-B9C3-89CA504BA29A}"/>
    <cellStyle name="Normal 14 9 4" xfId="33553" xr:uid="{D968259D-D4D4-42E4-88D8-B8B3C0E30366}"/>
    <cellStyle name="Normal 14_Exh G" xfId="3460" xr:uid="{00000000-0005-0000-0000-000013580000}"/>
    <cellStyle name="Normal 15" xfId="654" xr:uid="{00000000-0005-0000-0000-000014580000}"/>
    <cellStyle name="Normal 15 10" xfId="26503" xr:uid="{21149C01-40AF-4E42-85D8-F42151A8434B}"/>
    <cellStyle name="Normal 15 2" xfId="655" xr:uid="{00000000-0005-0000-0000-000015580000}"/>
    <cellStyle name="Normal 15 2 2" xfId="656" xr:uid="{00000000-0005-0000-0000-000016580000}"/>
    <cellStyle name="Normal 15 2 2 2" xfId="1682" xr:uid="{00000000-0005-0000-0000-000017580000}"/>
    <cellStyle name="Normal 15 2 2 2 2" xfId="5209" xr:uid="{00000000-0005-0000-0000-000018580000}"/>
    <cellStyle name="Normal 15 2 2 2 2 2" xfId="8800" xr:uid="{00000000-0005-0000-0000-000019580000}"/>
    <cellStyle name="Normal 15 2 2 2 2 2 2" xfId="16770" xr:uid="{00000000-0005-0000-0000-00001A580000}"/>
    <cellStyle name="Normal 15 2 2 2 2 2 2 2" xfId="40612" xr:uid="{F379B9FA-4CB6-4189-9656-A52A4858B19C}"/>
    <cellStyle name="Normal 15 2 2 2 2 2 3" xfId="24716" xr:uid="{00000000-0005-0000-0000-00001B580000}"/>
    <cellStyle name="Normal 15 2 2 2 2 2 3 2" xfId="48548" xr:uid="{DB46EC3A-BE78-407E-8010-0EDBF0ACF9FC}"/>
    <cellStyle name="Normal 15 2 2 2 2 2 4" xfId="32671" xr:uid="{08731125-F961-4786-835C-B7A64EE77B7A}"/>
    <cellStyle name="Normal 15 2 2 2 2 3" xfId="13232" xr:uid="{00000000-0005-0000-0000-00001C580000}"/>
    <cellStyle name="Normal 15 2 2 2 2 3 2" xfId="37081" xr:uid="{36459197-8B95-4F15-AD41-20113A26AFE3}"/>
    <cellStyle name="Normal 15 2 2 2 2 4" xfId="21187" xr:uid="{00000000-0005-0000-0000-00001D580000}"/>
    <cellStyle name="Normal 15 2 2 2 2 4 2" xfId="45019" xr:uid="{A2B4E5BA-ADC4-49F0-8FFD-77F3E4784A7C}"/>
    <cellStyle name="Normal 15 2 2 2 2 5" xfId="29140" xr:uid="{E77B6579-F7DE-497E-9631-2EEFC09B1CE1}"/>
    <cellStyle name="Normal 15 2 2 2 3" xfId="7041" xr:uid="{00000000-0005-0000-0000-00001E580000}"/>
    <cellStyle name="Normal 15 2 2 2 3 2" xfId="15012" xr:uid="{00000000-0005-0000-0000-00001F580000}"/>
    <cellStyle name="Normal 15 2 2 2 3 2 2" xfId="38854" xr:uid="{44EF4786-44EB-4D1B-954E-DAC150B207DB}"/>
    <cellStyle name="Normal 15 2 2 2 3 3" xfId="22959" xr:uid="{00000000-0005-0000-0000-000020580000}"/>
    <cellStyle name="Normal 15 2 2 2 3 3 2" xfId="46791" xr:uid="{9E5B2B1C-0D7C-4DC0-A5FE-86A5BA08A9D2}"/>
    <cellStyle name="Normal 15 2 2 2 3 4" xfId="30913" xr:uid="{05124D1A-5C7D-4A7C-800E-E93D419DA796}"/>
    <cellStyle name="Normal 15 2 2 2 4" xfId="11476" xr:uid="{00000000-0005-0000-0000-000021580000}"/>
    <cellStyle name="Normal 15 2 2 2 4 2" xfId="35325" xr:uid="{936FC353-748F-4DE9-932D-B0740E5D5017}"/>
    <cellStyle name="Normal 15 2 2 2 5" xfId="19431" xr:uid="{00000000-0005-0000-0000-000022580000}"/>
    <cellStyle name="Normal 15 2 2 2 5 2" xfId="43263" xr:uid="{5F982E12-DEE7-40C0-95DA-E1781D66BB56}"/>
    <cellStyle name="Normal 15 2 2 2 6" xfId="27383" xr:uid="{DEBF0FF2-865E-4F4E-9DEE-9738071BC969}"/>
    <cellStyle name="Normal 15 2 2 2_Exh G" xfId="3471" xr:uid="{00000000-0005-0000-0000-000023580000}"/>
    <cellStyle name="Normal 15 2 2 3" xfId="4330" xr:uid="{00000000-0005-0000-0000-000024580000}"/>
    <cellStyle name="Normal 15 2 2 3 2" xfId="7922" xr:uid="{00000000-0005-0000-0000-000025580000}"/>
    <cellStyle name="Normal 15 2 2 3 2 2" xfId="15892" xr:uid="{00000000-0005-0000-0000-000026580000}"/>
    <cellStyle name="Normal 15 2 2 3 2 2 2" xfId="39734" xr:uid="{E3E7F5BC-D198-4CE6-ABBF-18DE1607EDF3}"/>
    <cellStyle name="Normal 15 2 2 3 2 3" xfId="23838" xr:uid="{00000000-0005-0000-0000-000027580000}"/>
    <cellStyle name="Normal 15 2 2 3 2 3 2" xfId="47670" xr:uid="{4570C0A4-54DD-4BCA-BDBB-371364BA7C6A}"/>
    <cellStyle name="Normal 15 2 2 3 2 4" xfId="31793" xr:uid="{3BCA10F5-A23B-43EC-AECC-E6C7DA3DBAF8}"/>
    <cellStyle name="Normal 15 2 2 3 3" xfId="12354" xr:uid="{00000000-0005-0000-0000-000028580000}"/>
    <cellStyle name="Normal 15 2 2 3 3 2" xfId="36203" xr:uid="{B7B89EF9-55DF-47DF-9AF4-E71F9F667131}"/>
    <cellStyle name="Normal 15 2 2 3 4" xfId="20309" xr:uid="{00000000-0005-0000-0000-000029580000}"/>
    <cellStyle name="Normal 15 2 2 3 4 2" xfId="44141" xr:uid="{805855F9-7E5E-45FC-8926-A18FB2BDB891}"/>
    <cellStyle name="Normal 15 2 2 3 5" xfId="28262" xr:uid="{1221500B-2DBE-427A-9EC3-E282D97169AA}"/>
    <cellStyle name="Normal 15 2 2 4" xfId="6150" xr:uid="{00000000-0005-0000-0000-00002A580000}"/>
    <cellStyle name="Normal 15 2 2 4 2" xfId="14133" xr:uid="{00000000-0005-0000-0000-00002B580000}"/>
    <cellStyle name="Normal 15 2 2 4 2 2" xfId="37976" xr:uid="{0E100CA0-7F7A-4EE6-9AE9-EAFAD400C9F5}"/>
    <cellStyle name="Normal 15 2 2 4 3" xfId="22081" xr:uid="{00000000-0005-0000-0000-00002C580000}"/>
    <cellStyle name="Normal 15 2 2 4 3 2" xfId="45913" xr:uid="{47C1AA8D-E6A7-459F-8D14-4BD14A42DB8F}"/>
    <cellStyle name="Normal 15 2 2 4 4" xfId="30035" xr:uid="{FB4C63A3-96E2-4DBF-BCAB-B9E64EEDDB33}"/>
    <cellStyle name="Normal 15 2 2 5" xfId="9702" xr:uid="{00000000-0005-0000-0000-00002D580000}"/>
    <cellStyle name="Normal 15 2 2 5 2" xfId="17660" xr:uid="{00000000-0005-0000-0000-00002E580000}"/>
    <cellStyle name="Normal 15 2 2 5 2 2" xfId="41500" xr:uid="{2B6D45FE-DD68-49A7-814E-048CBE1C05B4}"/>
    <cellStyle name="Normal 15 2 2 5 3" xfId="25604" xr:uid="{00000000-0005-0000-0000-00002F580000}"/>
    <cellStyle name="Normal 15 2 2 5 3 2" xfId="49436" xr:uid="{9B3E7ACD-BE50-420D-9F5C-D4247EFED8E3}"/>
    <cellStyle name="Normal 15 2 2 5 4" xfId="33559" xr:uid="{1FB5C8EB-B42C-45BF-8599-87420319707E}"/>
    <cellStyle name="Normal 15 2 2 6" xfId="10598" xr:uid="{00000000-0005-0000-0000-000030580000}"/>
    <cellStyle name="Normal 15 2 2 6 2" xfId="34447" xr:uid="{CD68F73C-1153-48E1-91A5-4B214DDA0450}"/>
    <cellStyle name="Normal 15 2 2 7" xfId="18553" xr:uid="{00000000-0005-0000-0000-000031580000}"/>
    <cellStyle name="Normal 15 2 2 7 2" xfId="42385" xr:uid="{8F63A110-38D6-41BE-997C-34FCBE75162B}"/>
    <cellStyle name="Normal 15 2 2 8" xfId="26505" xr:uid="{77664BDC-0E2C-4AB8-95C0-E07507A28F84}"/>
    <cellStyle name="Normal 15 2 2_Exh G" xfId="3470" xr:uid="{00000000-0005-0000-0000-000032580000}"/>
    <cellStyle name="Normal 15 2 3" xfId="1681" xr:uid="{00000000-0005-0000-0000-000033580000}"/>
    <cellStyle name="Normal 15 2 3 2" xfId="5208" xr:uid="{00000000-0005-0000-0000-000034580000}"/>
    <cellStyle name="Normal 15 2 3 2 2" xfId="8799" xr:uid="{00000000-0005-0000-0000-000035580000}"/>
    <cellStyle name="Normal 15 2 3 2 2 2" xfId="16769" xr:uid="{00000000-0005-0000-0000-000036580000}"/>
    <cellStyle name="Normal 15 2 3 2 2 2 2" xfId="40611" xr:uid="{F351FB24-E090-49C6-B205-C470908AFA8E}"/>
    <cellStyle name="Normal 15 2 3 2 2 3" xfId="24715" xr:uid="{00000000-0005-0000-0000-000037580000}"/>
    <cellStyle name="Normal 15 2 3 2 2 3 2" xfId="48547" xr:uid="{A16C00D2-2B97-4859-BC3D-DB840951FF33}"/>
    <cellStyle name="Normal 15 2 3 2 2 4" xfId="32670" xr:uid="{5D90C92E-9CEA-4FAE-BB89-06821C80F70C}"/>
    <cellStyle name="Normal 15 2 3 2 3" xfId="13231" xr:uid="{00000000-0005-0000-0000-000038580000}"/>
    <cellStyle name="Normal 15 2 3 2 3 2" xfId="37080" xr:uid="{3A5055CA-5075-4A60-AD7C-D633544CE1C3}"/>
    <cellStyle name="Normal 15 2 3 2 4" xfId="21186" xr:uid="{00000000-0005-0000-0000-000039580000}"/>
    <cellStyle name="Normal 15 2 3 2 4 2" xfId="45018" xr:uid="{51E2249D-BD6B-44DC-865E-7BF2226ADF8C}"/>
    <cellStyle name="Normal 15 2 3 2 5" xfId="29139" xr:uid="{54EC0020-4EBD-4E82-9B1A-8DF5A8D767D3}"/>
    <cellStyle name="Normal 15 2 3 3" xfId="7040" xr:uid="{00000000-0005-0000-0000-00003A580000}"/>
    <cellStyle name="Normal 15 2 3 3 2" xfId="15011" xr:uid="{00000000-0005-0000-0000-00003B580000}"/>
    <cellStyle name="Normal 15 2 3 3 2 2" xfId="38853" xr:uid="{5420EB80-4530-4AF7-8E98-B773B2B7BFE8}"/>
    <cellStyle name="Normal 15 2 3 3 3" xfId="22958" xr:uid="{00000000-0005-0000-0000-00003C580000}"/>
    <cellStyle name="Normal 15 2 3 3 3 2" xfId="46790" xr:uid="{269CABE6-1F27-4DD5-9080-CF30D415CD52}"/>
    <cellStyle name="Normal 15 2 3 3 4" xfId="30912" xr:uid="{E5BA7FD4-B4A1-48DE-9800-6E5226ED6A4E}"/>
    <cellStyle name="Normal 15 2 3 4" xfId="11475" xr:uid="{00000000-0005-0000-0000-00003D580000}"/>
    <cellStyle name="Normal 15 2 3 4 2" xfId="35324" xr:uid="{2BA27475-6DC7-4EAA-9BD3-2D7BEB893C7A}"/>
    <cellStyle name="Normal 15 2 3 5" xfId="19430" xr:uid="{00000000-0005-0000-0000-00003E580000}"/>
    <cellStyle name="Normal 15 2 3 5 2" xfId="43262" xr:uid="{B82C79FF-4E0B-40BC-86B3-F1CC92A6DF81}"/>
    <cellStyle name="Normal 15 2 3 6" xfId="27382" xr:uid="{4B388B91-8A4C-4753-AEF6-EC61C422CD0E}"/>
    <cellStyle name="Normal 15 2 3_Exh G" xfId="3472" xr:uid="{00000000-0005-0000-0000-00003F580000}"/>
    <cellStyle name="Normal 15 2 4" xfId="4329" xr:uid="{00000000-0005-0000-0000-000040580000}"/>
    <cellStyle name="Normal 15 2 4 2" xfId="7921" xr:uid="{00000000-0005-0000-0000-000041580000}"/>
    <cellStyle name="Normal 15 2 4 2 2" xfId="15891" xr:uid="{00000000-0005-0000-0000-000042580000}"/>
    <cellStyle name="Normal 15 2 4 2 2 2" xfId="39733" xr:uid="{B3922477-4205-451D-951B-198CBE094193}"/>
    <cellStyle name="Normal 15 2 4 2 3" xfId="23837" xr:uid="{00000000-0005-0000-0000-000043580000}"/>
    <cellStyle name="Normal 15 2 4 2 3 2" xfId="47669" xr:uid="{E7093FB3-21CE-4062-8FE0-B3E82B5516CA}"/>
    <cellStyle name="Normal 15 2 4 2 4" xfId="31792" xr:uid="{23C24D53-2E44-4AEB-8143-A89EF3953EB7}"/>
    <cellStyle name="Normal 15 2 4 3" xfId="12353" xr:uid="{00000000-0005-0000-0000-000044580000}"/>
    <cellStyle name="Normal 15 2 4 3 2" xfId="36202" xr:uid="{18D47DE4-655C-4B74-9181-107BAF965BBB}"/>
    <cellStyle name="Normal 15 2 4 4" xfId="20308" xr:uid="{00000000-0005-0000-0000-000045580000}"/>
    <cellStyle name="Normal 15 2 4 4 2" xfId="44140" xr:uid="{64A6096B-A5B8-419E-A4CC-04B03F39EED9}"/>
    <cellStyle name="Normal 15 2 4 5" xfId="28261" xr:uid="{CBF47298-ABF9-49CC-A097-8AE1898A91EF}"/>
    <cellStyle name="Normal 15 2 5" xfId="6149" xr:uid="{00000000-0005-0000-0000-000046580000}"/>
    <cellStyle name="Normal 15 2 5 2" xfId="14132" xr:uid="{00000000-0005-0000-0000-000047580000}"/>
    <cellStyle name="Normal 15 2 5 2 2" xfId="37975" xr:uid="{0E4B26DF-1A8A-48D4-832C-CB95D4D39D85}"/>
    <cellStyle name="Normal 15 2 5 3" xfId="22080" xr:uid="{00000000-0005-0000-0000-000048580000}"/>
    <cellStyle name="Normal 15 2 5 3 2" xfId="45912" xr:uid="{E266AF53-1BF6-43BC-AFE5-8B4538B0E167}"/>
    <cellStyle name="Normal 15 2 5 4" xfId="30034" xr:uid="{6395E7AA-3F0F-48F4-BB9F-99B37FA84B13}"/>
    <cellStyle name="Normal 15 2 6" xfId="9701" xr:uid="{00000000-0005-0000-0000-000049580000}"/>
    <cellStyle name="Normal 15 2 6 2" xfId="17659" xr:uid="{00000000-0005-0000-0000-00004A580000}"/>
    <cellStyle name="Normal 15 2 6 2 2" xfId="41499" xr:uid="{92ABFA9B-CB30-4BF9-951A-ACE75515D5AC}"/>
    <cellStyle name="Normal 15 2 6 3" xfId="25603" xr:uid="{00000000-0005-0000-0000-00004B580000}"/>
    <cellStyle name="Normal 15 2 6 3 2" xfId="49435" xr:uid="{1EF7EF3F-9AF9-45C2-828D-EBD1BFADB9AC}"/>
    <cellStyle name="Normal 15 2 6 4" xfId="33558" xr:uid="{4B0162DB-4924-4120-867C-39B2A0196435}"/>
    <cellStyle name="Normal 15 2 7" xfId="10597" xr:uid="{00000000-0005-0000-0000-00004C580000}"/>
    <cellStyle name="Normal 15 2 7 2" xfId="34446" xr:uid="{31F00016-77A6-4B4C-A27F-DBEDAF9F9D4D}"/>
    <cellStyle name="Normal 15 2 8" xfId="18552" xr:uid="{00000000-0005-0000-0000-00004D580000}"/>
    <cellStyle name="Normal 15 2 8 2" xfId="42384" xr:uid="{8EF9B64B-7FA7-4A6F-9455-8A8AB9D5EE98}"/>
    <cellStyle name="Normal 15 2 9" xfId="26504" xr:uid="{5EA0CF09-8FDC-4E45-AADB-0B5E3FBAB0F9}"/>
    <cellStyle name="Normal 15 2_Exh G" xfId="3469" xr:uid="{00000000-0005-0000-0000-00004E580000}"/>
    <cellStyle name="Normal 15 3" xfId="657" xr:uid="{00000000-0005-0000-0000-00004F580000}"/>
    <cellStyle name="Normal 15 3 2" xfId="1683" xr:uid="{00000000-0005-0000-0000-000050580000}"/>
    <cellStyle name="Normal 15 3 2 2" xfId="5210" xr:uid="{00000000-0005-0000-0000-000051580000}"/>
    <cellStyle name="Normal 15 3 2 2 2" xfId="8801" xr:uid="{00000000-0005-0000-0000-000052580000}"/>
    <cellStyle name="Normal 15 3 2 2 2 2" xfId="16771" xr:uid="{00000000-0005-0000-0000-000053580000}"/>
    <cellStyle name="Normal 15 3 2 2 2 2 2" xfId="40613" xr:uid="{13BB9C5A-F7B4-4584-9191-31D989D2E9FF}"/>
    <cellStyle name="Normal 15 3 2 2 2 3" xfId="24717" xr:uid="{00000000-0005-0000-0000-000054580000}"/>
    <cellStyle name="Normal 15 3 2 2 2 3 2" xfId="48549" xr:uid="{0F0E8950-3D31-41AB-91E4-2E89F5545997}"/>
    <cellStyle name="Normal 15 3 2 2 2 4" xfId="32672" xr:uid="{5AA48AF4-3197-469B-9CB3-27CCA7154019}"/>
    <cellStyle name="Normal 15 3 2 2 3" xfId="13233" xr:uid="{00000000-0005-0000-0000-000055580000}"/>
    <cellStyle name="Normal 15 3 2 2 3 2" xfId="37082" xr:uid="{C5D40E28-108D-4E53-A591-F6008AC0D7AE}"/>
    <cellStyle name="Normal 15 3 2 2 4" xfId="21188" xr:uid="{00000000-0005-0000-0000-000056580000}"/>
    <cellStyle name="Normal 15 3 2 2 4 2" xfId="45020" xr:uid="{6C7F0EE9-BC6A-4114-9ECB-A125FD1200F8}"/>
    <cellStyle name="Normal 15 3 2 2 5" xfId="29141" xr:uid="{AEA94A2D-3E8D-444D-B62A-95A3C8815083}"/>
    <cellStyle name="Normal 15 3 2 3" xfId="7042" xr:uid="{00000000-0005-0000-0000-000057580000}"/>
    <cellStyle name="Normal 15 3 2 3 2" xfId="15013" xr:uid="{00000000-0005-0000-0000-000058580000}"/>
    <cellStyle name="Normal 15 3 2 3 2 2" xfId="38855" xr:uid="{E49C3531-0BB1-4161-8BB8-9DCBE468334F}"/>
    <cellStyle name="Normal 15 3 2 3 3" xfId="22960" xr:uid="{00000000-0005-0000-0000-000059580000}"/>
    <cellStyle name="Normal 15 3 2 3 3 2" xfId="46792" xr:uid="{C6F4FBA8-96E7-4D4B-8BE1-2AFF16A2CD64}"/>
    <cellStyle name="Normal 15 3 2 3 4" xfId="30914" xr:uid="{4E162BCC-2FFB-4FA6-9319-853759D94DB2}"/>
    <cellStyle name="Normal 15 3 2 4" xfId="11477" xr:uid="{00000000-0005-0000-0000-00005A580000}"/>
    <cellStyle name="Normal 15 3 2 4 2" xfId="35326" xr:uid="{5C16DC8A-530A-4DD4-9546-B24ED6F19ED3}"/>
    <cellStyle name="Normal 15 3 2 5" xfId="19432" xr:uid="{00000000-0005-0000-0000-00005B580000}"/>
    <cellStyle name="Normal 15 3 2 5 2" xfId="43264" xr:uid="{70BADCE5-B231-4AC5-80ED-634A519206BC}"/>
    <cellStyle name="Normal 15 3 2 6" xfId="27384" xr:uid="{8172C6DB-5AA9-4B68-9D72-45066FCE6BAC}"/>
    <cellStyle name="Normal 15 3 2_Exh G" xfId="3474" xr:uid="{00000000-0005-0000-0000-00005C580000}"/>
    <cellStyle name="Normal 15 3 3" xfId="4331" xr:uid="{00000000-0005-0000-0000-00005D580000}"/>
    <cellStyle name="Normal 15 3 3 2" xfId="7923" xr:uid="{00000000-0005-0000-0000-00005E580000}"/>
    <cellStyle name="Normal 15 3 3 2 2" xfId="15893" xr:uid="{00000000-0005-0000-0000-00005F580000}"/>
    <cellStyle name="Normal 15 3 3 2 2 2" xfId="39735" xr:uid="{B5D900F6-546E-4045-B344-977148C914EC}"/>
    <cellStyle name="Normal 15 3 3 2 3" xfId="23839" xr:uid="{00000000-0005-0000-0000-000060580000}"/>
    <cellStyle name="Normal 15 3 3 2 3 2" xfId="47671" xr:uid="{92C4A51A-F8BB-452E-A73F-8AFA8758A2AC}"/>
    <cellStyle name="Normal 15 3 3 2 4" xfId="31794" xr:uid="{856E4DFE-FE6F-4605-9C2E-D8B7626FC56A}"/>
    <cellStyle name="Normal 15 3 3 3" xfId="12355" xr:uid="{00000000-0005-0000-0000-000061580000}"/>
    <cellStyle name="Normal 15 3 3 3 2" xfId="36204" xr:uid="{C5A6A696-6349-467F-8F5F-34BD90966AB3}"/>
    <cellStyle name="Normal 15 3 3 4" xfId="20310" xr:uid="{00000000-0005-0000-0000-000062580000}"/>
    <cellStyle name="Normal 15 3 3 4 2" xfId="44142" xr:uid="{4FD3CBAA-5875-45AF-8DC4-933615FC7C1A}"/>
    <cellStyle name="Normal 15 3 3 5" xfId="28263" xr:uid="{4E2EF0FE-E636-4F54-9A1C-A60E3F95CB5C}"/>
    <cellStyle name="Normal 15 3 4" xfId="6151" xr:uid="{00000000-0005-0000-0000-000063580000}"/>
    <cellStyle name="Normal 15 3 4 2" xfId="14134" xr:uid="{00000000-0005-0000-0000-000064580000}"/>
    <cellStyle name="Normal 15 3 4 2 2" xfId="37977" xr:uid="{7385FD31-3AA5-41D0-9CC5-C0764B65A0B7}"/>
    <cellStyle name="Normal 15 3 4 3" xfId="22082" xr:uid="{00000000-0005-0000-0000-000065580000}"/>
    <cellStyle name="Normal 15 3 4 3 2" xfId="45914" xr:uid="{9A8E275D-C5F6-48BC-BCE2-30D745347323}"/>
    <cellStyle name="Normal 15 3 4 4" xfId="30036" xr:uid="{3EEAA209-5E18-4FE9-81A8-53A4C0CD82E1}"/>
    <cellStyle name="Normal 15 3 5" xfId="9703" xr:uid="{00000000-0005-0000-0000-000066580000}"/>
    <cellStyle name="Normal 15 3 5 2" xfId="17661" xr:uid="{00000000-0005-0000-0000-000067580000}"/>
    <cellStyle name="Normal 15 3 5 2 2" xfId="41501" xr:uid="{826184BA-1554-44C0-921A-3DDA83DEA746}"/>
    <cellStyle name="Normal 15 3 5 3" xfId="25605" xr:uid="{00000000-0005-0000-0000-000068580000}"/>
    <cellStyle name="Normal 15 3 5 3 2" xfId="49437" xr:uid="{88396C2C-8BA8-425A-BB45-993DDF538C59}"/>
    <cellStyle name="Normal 15 3 5 4" xfId="33560" xr:uid="{513752ED-BA10-420A-BDF1-774F7A0E6F54}"/>
    <cellStyle name="Normal 15 3 6" xfId="10599" xr:uid="{00000000-0005-0000-0000-000069580000}"/>
    <cellStyle name="Normal 15 3 6 2" xfId="34448" xr:uid="{6EF2F8FC-50BA-4B96-86CE-81DF0E4D00DE}"/>
    <cellStyle name="Normal 15 3 7" xfId="18554" xr:uid="{00000000-0005-0000-0000-00006A580000}"/>
    <cellStyle name="Normal 15 3 7 2" xfId="42386" xr:uid="{DF701F60-DC3E-41DD-9E8C-CDD964C0633E}"/>
    <cellStyle name="Normal 15 3 8" xfId="26506" xr:uid="{E296EAEA-A535-41EB-8A53-B831A866E639}"/>
    <cellStyle name="Normal 15 3_Exh G" xfId="3473" xr:uid="{00000000-0005-0000-0000-00006B580000}"/>
    <cellStyle name="Normal 15 4" xfId="1680" xr:uid="{00000000-0005-0000-0000-00006C580000}"/>
    <cellStyle name="Normal 15 4 2" xfId="5207" xr:uid="{00000000-0005-0000-0000-00006D580000}"/>
    <cellStyle name="Normal 15 4 2 2" xfId="8798" xr:uid="{00000000-0005-0000-0000-00006E580000}"/>
    <cellStyle name="Normal 15 4 2 2 2" xfId="16768" xr:uid="{00000000-0005-0000-0000-00006F580000}"/>
    <cellStyle name="Normal 15 4 2 2 2 2" xfId="40610" xr:uid="{1C150356-AE1F-4D62-A256-4145DB59CC2D}"/>
    <cellStyle name="Normal 15 4 2 2 3" xfId="24714" xr:uid="{00000000-0005-0000-0000-000070580000}"/>
    <cellStyle name="Normal 15 4 2 2 3 2" xfId="48546" xr:uid="{B0500DE4-3452-4DD7-BE28-7A65C9129F15}"/>
    <cellStyle name="Normal 15 4 2 2 4" xfId="32669" xr:uid="{7CE1111C-73B4-4B74-8388-237ECBB55D00}"/>
    <cellStyle name="Normal 15 4 2 3" xfId="13230" xr:uid="{00000000-0005-0000-0000-000071580000}"/>
    <cellStyle name="Normal 15 4 2 3 2" xfId="37079" xr:uid="{81DC7667-03D5-4F2E-9569-307324848F45}"/>
    <cellStyle name="Normal 15 4 2 4" xfId="21185" xr:uid="{00000000-0005-0000-0000-000072580000}"/>
    <cellStyle name="Normal 15 4 2 4 2" xfId="45017" xr:uid="{5563164D-9AF7-4E25-B0A4-5CEB3B5AC696}"/>
    <cellStyle name="Normal 15 4 2 5" xfId="29138" xr:uid="{858AAF8B-7FA1-4E55-8DD2-79E0EE7CE1BD}"/>
    <cellStyle name="Normal 15 4 3" xfId="7039" xr:uid="{00000000-0005-0000-0000-000073580000}"/>
    <cellStyle name="Normal 15 4 3 2" xfId="15010" xr:uid="{00000000-0005-0000-0000-000074580000}"/>
    <cellStyle name="Normal 15 4 3 2 2" xfId="38852" xr:uid="{4EC088FF-D501-471B-A671-EA0E94498F13}"/>
    <cellStyle name="Normal 15 4 3 3" xfId="22957" xr:uid="{00000000-0005-0000-0000-000075580000}"/>
    <cellStyle name="Normal 15 4 3 3 2" xfId="46789" xr:uid="{456DFDBB-B00B-493B-BD88-6CBB8402127B}"/>
    <cellStyle name="Normal 15 4 3 4" xfId="30911" xr:uid="{B123A98A-9D15-427B-9D7D-ED0BFA007647}"/>
    <cellStyle name="Normal 15 4 4" xfId="11474" xr:uid="{00000000-0005-0000-0000-000076580000}"/>
    <cellStyle name="Normal 15 4 4 2" xfId="35323" xr:uid="{BFE7B5A1-E5DA-41E5-97F4-795B382E6419}"/>
    <cellStyle name="Normal 15 4 5" xfId="19429" xr:uid="{00000000-0005-0000-0000-000077580000}"/>
    <cellStyle name="Normal 15 4 5 2" xfId="43261" xr:uid="{17017260-4293-492F-AB6D-DBFBD9DA1640}"/>
    <cellStyle name="Normal 15 4 6" xfId="27381" xr:uid="{8C181BB1-B884-4413-89A5-D9356AAB7E8A}"/>
    <cellStyle name="Normal 15 4_Exh G" xfId="3475" xr:uid="{00000000-0005-0000-0000-000078580000}"/>
    <cellStyle name="Normal 15 5" xfId="4328" xr:uid="{00000000-0005-0000-0000-000079580000}"/>
    <cellStyle name="Normal 15 5 2" xfId="7920" xr:uid="{00000000-0005-0000-0000-00007A580000}"/>
    <cellStyle name="Normal 15 5 2 2" xfId="15890" xr:uid="{00000000-0005-0000-0000-00007B580000}"/>
    <cellStyle name="Normal 15 5 2 2 2" xfId="39732" xr:uid="{76C9E5BB-1C1F-4455-AE21-55613E081209}"/>
    <cellStyle name="Normal 15 5 2 3" xfId="23836" xr:uid="{00000000-0005-0000-0000-00007C580000}"/>
    <cellStyle name="Normal 15 5 2 3 2" xfId="47668" xr:uid="{3255D300-895A-45B4-8FDA-6EE620DC2DDF}"/>
    <cellStyle name="Normal 15 5 2 4" xfId="31791" xr:uid="{F0290ABE-2198-4229-AF54-41ACE489C609}"/>
    <cellStyle name="Normal 15 5 3" xfId="12352" xr:uid="{00000000-0005-0000-0000-00007D580000}"/>
    <cellStyle name="Normal 15 5 3 2" xfId="36201" xr:uid="{DA8716A3-6DED-4F91-89EC-6EF09B80207C}"/>
    <cellStyle name="Normal 15 5 4" xfId="20307" xr:uid="{00000000-0005-0000-0000-00007E580000}"/>
    <cellStyle name="Normal 15 5 4 2" xfId="44139" xr:uid="{9ED2E680-4B39-4FE1-B13B-C76CD160FF7A}"/>
    <cellStyle name="Normal 15 5 5" xfId="28260" xr:uid="{C40B6ACA-1DE1-4E7C-B4E6-2FAE40D6F913}"/>
    <cellStyle name="Normal 15 6" xfId="6148" xr:uid="{00000000-0005-0000-0000-00007F580000}"/>
    <cellStyle name="Normal 15 6 2" xfId="14131" xr:uid="{00000000-0005-0000-0000-000080580000}"/>
    <cellStyle name="Normal 15 6 2 2" xfId="37974" xr:uid="{A0480116-0B83-4B88-BC3F-61315A021569}"/>
    <cellStyle name="Normal 15 6 3" xfId="22079" xr:uid="{00000000-0005-0000-0000-000081580000}"/>
    <cellStyle name="Normal 15 6 3 2" xfId="45911" xr:uid="{D54F3212-39AF-4F7F-B26B-AF93E4E25645}"/>
    <cellStyle name="Normal 15 6 4" xfId="30033" xr:uid="{6FB4FAA1-FB14-4319-8D7A-9CD10701C794}"/>
    <cellStyle name="Normal 15 7" xfId="9700" xr:uid="{00000000-0005-0000-0000-000082580000}"/>
    <cellStyle name="Normal 15 7 2" xfId="17658" xr:uid="{00000000-0005-0000-0000-000083580000}"/>
    <cellStyle name="Normal 15 7 2 2" xfId="41498" xr:uid="{74CA552D-1435-47BA-BD6B-C389F9FAD077}"/>
    <cellStyle name="Normal 15 7 3" xfId="25602" xr:uid="{00000000-0005-0000-0000-000084580000}"/>
    <cellStyle name="Normal 15 7 3 2" xfId="49434" xr:uid="{DB7D0178-62CA-434A-8345-4E91522E8247}"/>
    <cellStyle name="Normal 15 7 4" xfId="33557" xr:uid="{538EDC4B-E40E-4BDA-A758-F0B2FCD67E7F}"/>
    <cellStyle name="Normal 15 8" xfId="10596" xr:uid="{00000000-0005-0000-0000-000085580000}"/>
    <cellStyle name="Normal 15 8 2" xfId="34445" xr:uid="{87103FE6-2A73-42E2-A100-E7CF37885DEC}"/>
    <cellStyle name="Normal 15 9" xfId="18551" xr:uid="{00000000-0005-0000-0000-000086580000}"/>
    <cellStyle name="Normal 15 9 2" xfId="42383" xr:uid="{4675C1AB-2879-4A6C-B645-15648637B6F6}"/>
    <cellStyle name="Normal 15_Exh G" xfId="3468" xr:uid="{00000000-0005-0000-0000-000087580000}"/>
    <cellStyle name="Normal 16" xfId="658" xr:uid="{00000000-0005-0000-0000-000088580000}"/>
    <cellStyle name="Normal 16 10" xfId="26507" xr:uid="{A6FD268E-EB29-4F63-AFA7-67184380192C}"/>
    <cellStyle name="Normal 16 2" xfId="659" xr:uid="{00000000-0005-0000-0000-000089580000}"/>
    <cellStyle name="Normal 16 2 2" xfId="660" xr:uid="{00000000-0005-0000-0000-00008A580000}"/>
    <cellStyle name="Normal 16 2 2 2" xfId="1686" xr:uid="{00000000-0005-0000-0000-00008B580000}"/>
    <cellStyle name="Normal 16 2 2 2 2" xfId="5213" xr:uid="{00000000-0005-0000-0000-00008C580000}"/>
    <cellStyle name="Normal 16 2 2 2 2 2" xfId="8804" xr:uid="{00000000-0005-0000-0000-00008D580000}"/>
    <cellStyle name="Normal 16 2 2 2 2 2 2" xfId="16774" xr:uid="{00000000-0005-0000-0000-00008E580000}"/>
    <cellStyle name="Normal 16 2 2 2 2 2 2 2" xfId="40616" xr:uid="{BE4B00CD-C715-43CA-AAAA-A926DB1D7079}"/>
    <cellStyle name="Normal 16 2 2 2 2 2 3" xfId="24720" xr:uid="{00000000-0005-0000-0000-00008F580000}"/>
    <cellStyle name="Normal 16 2 2 2 2 2 3 2" xfId="48552" xr:uid="{39BF429B-FD16-42E7-9AFA-2D5F33DB74C5}"/>
    <cellStyle name="Normal 16 2 2 2 2 2 4" xfId="32675" xr:uid="{6709CFB2-CF3C-4FCB-B09F-5ED9F3661E4D}"/>
    <cellStyle name="Normal 16 2 2 2 2 3" xfId="13236" xr:uid="{00000000-0005-0000-0000-000090580000}"/>
    <cellStyle name="Normal 16 2 2 2 2 3 2" xfId="37085" xr:uid="{604206FC-63EB-4A38-9A01-A5EFA09EACAB}"/>
    <cellStyle name="Normal 16 2 2 2 2 4" xfId="21191" xr:uid="{00000000-0005-0000-0000-000091580000}"/>
    <cellStyle name="Normal 16 2 2 2 2 4 2" xfId="45023" xr:uid="{C5E42267-7F63-4196-84CC-BC1D8AE65F0A}"/>
    <cellStyle name="Normal 16 2 2 2 2 5" xfId="29144" xr:uid="{FCF15D18-6ACC-4A99-9783-BC7341C4B9E5}"/>
    <cellStyle name="Normal 16 2 2 2 3" xfId="7045" xr:uid="{00000000-0005-0000-0000-000092580000}"/>
    <cellStyle name="Normal 16 2 2 2 3 2" xfId="15016" xr:uid="{00000000-0005-0000-0000-000093580000}"/>
    <cellStyle name="Normal 16 2 2 2 3 2 2" xfId="38858" xr:uid="{FFDF7BDF-EF3B-4C20-AE3E-37E2B36F00C9}"/>
    <cellStyle name="Normal 16 2 2 2 3 3" xfId="22963" xr:uid="{00000000-0005-0000-0000-000094580000}"/>
    <cellStyle name="Normal 16 2 2 2 3 3 2" xfId="46795" xr:uid="{441F46C2-FB8B-4B4D-AABB-9A94E78B35D4}"/>
    <cellStyle name="Normal 16 2 2 2 3 4" xfId="30917" xr:uid="{8E7C605C-184C-47F2-9BD3-CFC39EEE5016}"/>
    <cellStyle name="Normal 16 2 2 2 4" xfId="11480" xr:uid="{00000000-0005-0000-0000-000095580000}"/>
    <cellStyle name="Normal 16 2 2 2 4 2" xfId="35329" xr:uid="{FFC222C1-0B76-46E9-ADDF-3BCB0FD6A8AC}"/>
    <cellStyle name="Normal 16 2 2 2 5" xfId="19435" xr:uid="{00000000-0005-0000-0000-000096580000}"/>
    <cellStyle name="Normal 16 2 2 2 5 2" xfId="43267" xr:uid="{B8A66CEE-6F8F-4BD0-86B4-AB9FE73F554D}"/>
    <cellStyle name="Normal 16 2 2 2 6" xfId="27387" xr:uid="{611D32C8-A697-4A40-8F42-49C88D1023C6}"/>
    <cellStyle name="Normal 16 2 2 2_Exh G" xfId="3479" xr:uid="{00000000-0005-0000-0000-000097580000}"/>
    <cellStyle name="Normal 16 2 2 3" xfId="4334" xr:uid="{00000000-0005-0000-0000-000098580000}"/>
    <cellStyle name="Normal 16 2 2 3 2" xfId="7926" xr:uid="{00000000-0005-0000-0000-000099580000}"/>
    <cellStyle name="Normal 16 2 2 3 2 2" xfId="15896" xr:uid="{00000000-0005-0000-0000-00009A580000}"/>
    <cellStyle name="Normal 16 2 2 3 2 2 2" xfId="39738" xr:uid="{A267C48F-726A-4A47-A15A-9B6ED3C2A85D}"/>
    <cellStyle name="Normal 16 2 2 3 2 3" xfId="23842" xr:uid="{00000000-0005-0000-0000-00009B580000}"/>
    <cellStyle name="Normal 16 2 2 3 2 3 2" xfId="47674" xr:uid="{7281EB19-5524-4A45-818C-76CC735B2764}"/>
    <cellStyle name="Normal 16 2 2 3 2 4" xfId="31797" xr:uid="{5C54C877-D24C-41EF-BE98-E4A2BB812269}"/>
    <cellStyle name="Normal 16 2 2 3 3" xfId="12358" xr:uid="{00000000-0005-0000-0000-00009C580000}"/>
    <cellStyle name="Normal 16 2 2 3 3 2" xfId="36207" xr:uid="{77F8D3B2-0C39-4ABB-8A26-9A40E3CC0E65}"/>
    <cellStyle name="Normal 16 2 2 3 4" xfId="20313" xr:uid="{00000000-0005-0000-0000-00009D580000}"/>
    <cellStyle name="Normal 16 2 2 3 4 2" xfId="44145" xr:uid="{8D061681-3FDA-4873-AEDF-424AB6F7FCC2}"/>
    <cellStyle name="Normal 16 2 2 3 5" xfId="28266" xr:uid="{01BE6857-68EE-485D-B884-CDEFC7E45A4D}"/>
    <cellStyle name="Normal 16 2 2 4" xfId="6154" xr:uid="{00000000-0005-0000-0000-00009E580000}"/>
    <cellStyle name="Normal 16 2 2 4 2" xfId="14137" xr:uid="{00000000-0005-0000-0000-00009F580000}"/>
    <cellStyle name="Normal 16 2 2 4 2 2" xfId="37980" xr:uid="{2473EFBD-0138-4087-ACC6-E6DC9AE1EB8F}"/>
    <cellStyle name="Normal 16 2 2 4 3" xfId="22085" xr:uid="{00000000-0005-0000-0000-0000A0580000}"/>
    <cellStyle name="Normal 16 2 2 4 3 2" xfId="45917" xr:uid="{0769999D-7650-430F-B668-E527B3203427}"/>
    <cellStyle name="Normal 16 2 2 4 4" xfId="30039" xr:uid="{806A8A45-83AA-44D0-97EF-B15DE07C3B3D}"/>
    <cellStyle name="Normal 16 2 2 5" xfId="9706" xr:uid="{00000000-0005-0000-0000-0000A1580000}"/>
    <cellStyle name="Normal 16 2 2 5 2" xfId="17664" xr:uid="{00000000-0005-0000-0000-0000A2580000}"/>
    <cellStyle name="Normal 16 2 2 5 2 2" xfId="41504" xr:uid="{EE5503D6-B384-4FBE-BC32-3B84EE54033F}"/>
    <cellStyle name="Normal 16 2 2 5 3" xfId="25608" xr:uid="{00000000-0005-0000-0000-0000A3580000}"/>
    <cellStyle name="Normal 16 2 2 5 3 2" xfId="49440" xr:uid="{38A55E71-08FF-46DE-B74D-9D6583CA5EEC}"/>
    <cellStyle name="Normal 16 2 2 5 4" xfId="33563" xr:uid="{3498FE0F-51CC-4D46-9606-68C8FEB856BA}"/>
    <cellStyle name="Normal 16 2 2 6" xfId="10602" xr:uid="{00000000-0005-0000-0000-0000A4580000}"/>
    <cellStyle name="Normal 16 2 2 6 2" xfId="34451" xr:uid="{0C5E19F6-AC9E-4DFB-BB18-E3C16D652968}"/>
    <cellStyle name="Normal 16 2 2 7" xfId="18557" xr:uid="{00000000-0005-0000-0000-0000A5580000}"/>
    <cellStyle name="Normal 16 2 2 7 2" xfId="42389" xr:uid="{34F96B3F-0C09-40C3-92DA-1151B9E04D57}"/>
    <cellStyle name="Normal 16 2 2 8" xfId="26509" xr:uid="{4571E81D-5CF1-4FB0-B11C-734A58E78FE4}"/>
    <cellStyle name="Normal 16 2 2_Exh G" xfId="3478" xr:uid="{00000000-0005-0000-0000-0000A6580000}"/>
    <cellStyle name="Normal 16 2 3" xfId="1685" xr:uid="{00000000-0005-0000-0000-0000A7580000}"/>
    <cellStyle name="Normal 16 2 3 2" xfId="5212" xr:uid="{00000000-0005-0000-0000-0000A8580000}"/>
    <cellStyle name="Normal 16 2 3 2 2" xfId="8803" xr:uid="{00000000-0005-0000-0000-0000A9580000}"/>
    <cellStyle name="Normal 16 2 3 2 2 2" xfId="16773" xr:uid="{00000000-0005-0000-0000-0000AA580000}"/>
    <cellStyle name="Normal 16 2 3 2 2 2 2" xfId="40615" xr:uid="{1958E15A-1D66-4C25-9252-21E65A889C8B}"/>
    <cellStyle name="Normal 16 2 3 2 2 3" xfId="24719" xr:uid="{00000000-0005-0000-0000-0000AB580000}"/>
    <cellStyle name="Normal 16 2 3 2 2 3 2" xfId="48551" xr:uid="{02134602-07DA-4DF7-BF9E-14F80434D180}"/>
    <cellStyle name="Normal 16 2 3 2 2 4" xfId="32674" xr:uid="{560258B2-FF55-4B04-A01F-9B8B147269E7}"/>
    <cellStyle name="Normal 16 2 3 2 3" xfId="13235" xr:uid="{00000000-0005-0000-0000-0000AC580000}"/>
    <cellStyle name="Normal 16 2 3 2 3 2" xfId="37084" xr:uid="{A2DF6C65-BF86-4A17-908A-C711C5DF2B63}"/>
    <cellStyle name="Normal 16 2 3 2 4" xfId="21190" xr:uid="{00000000-0005-0000-0000-0000AD580000}"/>
    <cellStyle name="Normal 16 2 3 2 4 2" xfId="45022" xr:uid="{38731EEE-6BB0-4118-8B00-E29930DC3F76}"/>
    <cellStyle name="Normal 16 2 3 2 5" xfId="29143" xr:uid="{FA824177-7638-47B7-8D65-030CA408616C}"/>
    <cellStyle name="Normal 16 2 3 3" xfId="7044" xr:uid="{00000000-0005-0000-0000-0000AE580000}"/>
    <cellStyle name="Normal 16 2 3 3 2" xfId="15015" xr:uid="{00000000-0005-0000-0000-0000AF580000}"/>
    <cellStyle name="Normal 16 2 3 3 2 2" xfId="38857" xr:uid="{1F17A650-5449-43FD-AE49-8205DD1C4290}"/>
    <cellStyle name="Normal 16 2 3 3 3" xfId="22962" xr:uid="{00000000-0005-0000-0000-0000B0580000}"/>
    <cellStyle name="Normal 16 2 3 3 3 2" xfId="46794" xr:uid="{ED45D079-CA55-44E7-BBBF-3279B27E888D}"/>
    <cellStyle name="Normal 16 2 3 3 4" xfId="30916" xr:uid="{879D5628-72A8-471E-9260-939AC2DB942C}"/>
    <cellStyle name="Normal 16 2 3 4" xfId="11479" xr:uid="{00000000-0005-0000-0000-0000B1580000}"/>
    <cellStyle name="Normal 16 2 3 4 2" xfId="35328" xr:uid="{C3F1051E-835E-40D7-A3A3-EC63AED294C3}"/>
    <cellStyle name="Normal 16 2 3 5" xfId="19434" xr:uid="{00000000-0005-0000-0000-0000B2580000}"/>
    <cellStyle name="Normal 16 2 3 5 2" xfId="43266" xr:uid="{5A705CEB-94D2-429E-8C8C-552024798394}"/>
    <cellStyle name="Normal 16 2 3 6" xfId="27386" xr:uid="{1AA53D9C-ED28-42D8-A5F3-1F6A73850B56}"/>
    <cellStyle name="Normal 16 2 3_Exh G" xfId="3480" xr:uid="{00000000-0005-0000-0000-0000B3580000}"/>
    <cellStyle name="Normal 16 2 4" xfId="4333" xr:uid="{00000000-0005-0000-0000-0000B4580000}"/>
    <cellStyle name="Normal 16 2 4 2" xfId="7925" xr:uid="{00000000-0005-0000-0000-0000B5580000}"/>
    <cellStyle name="Normal 16 2 4 2 2" xfId="15895" xr:uid="{00000000-0005-0000-0000-0000B6580000}"/>
    <cellStyle name="Normal 16 2 4 2 2 2" xfId="39737" xr:uid="{50B2BEF6-0C60-4C80-8DD9-C43BA790E3B1}"/>
    <cellStyle name="Normal 16 2 4 2 3" xfId="23841" xr:uid="{00000000-0005-0000-0000-0000B7580000}"/>
    <cellStyle name="Normal 16 2 4 2 3 2" xfId="47673" xr:uid="{278334C6-0076-446B-BF34-BE0B121ABD59}"/>
    <cellStyle name="Normal 16 2 4 2 4" xfId="31796" xr:uid="{AFC90B34-D424-4A6B-9D2E-7BBFA90FA810}"/>
    <cellStyle name="Normal 16 2 4 3" xfId="12357" xr:uid="{00000000-0005-0000-0000-0000B8580000}"/>
    <cellStyle name="Normal 16 2 4 3 2" xfId="36206" xr:uid="{EEA5E99F-EC5C-4D97-89D7-1C355A2E6E80}"/>
    <cellStyle name="Normal 16 2 4 4" xfId="20312" xr:uid="{00000000-0005-0000-0000-0000B9580000}"/>
    <cellStyle name="Normal 16 2 4 4 2" xfId="44144" xr:uid="{7E2A75C8-36D9-4EF0-A672-A7B11864A96E}"/>
    <cellStyle name="Normal 16 2 4 5" xfId="28265" xr:uid="{18FE4C8D-5D5A-47D1-8ED2-C07A6BB8BB0A}"/>
    <cellStyle name="Normal 16 2 5" xfId="6153" xr:uid="{00000000-0005-0000-0000-0000BA580000}"/>
    <cellStyle name="Normal 16 2 5 2" xfId="14136" xr:uid="{00000000-0005-0000-0000-0000BB580000}"/>
    <cellStyle name="Normal 16 2 5 2 2" xfId="37979" xr:uid="{E1F9584F-E16D-4D03-B70B-A1B7C0146270}"/>
    <cellStyle name="Normal 16 2 5 3" xfId="22084" xr:uid="{00000000-0005-0000-0000-0000BC580000}"/>
    <cellStyle name="Normal 16 2 5 3 2" xfId="45916" xr:uid="{B7835D1E-39B7-41A7-9811-C15302D61218}"/>
    <cellStyle name="Normal 16 2 5 4" xfId="30038" xr:uid="{350240F6-A3B6-479F-9497-FC7B4BD03CA5}"/>
    <cellStyle name="Normal 16 2 6" xfId="9705" xr:uid="{00000000-0005-0000-0000-0000BD580000}"/>
    <cellStyle name="Normal 16 2 6 2" xfId="17663" xr:uid="{00000000-0005-0000-0000-0000BE580000}"/>
    <cellStyle name="Normal 16 2 6 2 2" xfId="41503" xr:uid="{9CFE6887-C61E-4127-B02E-8A3A5B5CB068}"/>
    <cellStyle name="Normal 16 2 6 3" xfId="25607" xr:uid="{00000000-0005-0000-0000-0000BF580000}"/>
    <cellStyle name="Normal 16 2 6 3 2" xfId="49439" xr:uid="{DE4EBF84-0834-45F0-9C8E-C2C34C4AF239}"/>
    <cellStyle name="Normal 16 2 6 4" xfId="33562" xr:uid="{2DA6C31C-A49A-45FE-AEBE-B826B97F69C1}"/>
    <cellStyle name="Normal 16 2 7" xfId="10601" xr:uid="{00000000-0005-0000-0000-0000C0580000}"/>
    <cellStyle name="Normal 16 2 7 2" xfId="34450" xr:uid="{C7A9D26C-1A2B-463A-B5AA-E631AD5B525D}"/>
    <cellStyle name="Normal 16 2 8" xfId="18556" xr:uid="{00000000-0005-0000-0000-0000C1580000}"/>
    <cellStyle name="Normal 16 2 8 2" xfId="42388" xr:uid="{9EA77198-271A-4914-904A-221934264F09}"/>
    <cellStyle name="Normal 16 2 9" xfId="26508" xr:uid="{9204BE35-90E2-435C-962A-DF601398D614}"/>
    <cellStyle name="Normal 16 2_Exh G" xfId="3477" xr:uid="{00000000-0005-0000-0000-0000C2580000}"/>
    <cellStyle name="Normal 16 3" xfId="661" xr:uid="{00000000-0005-0000-0000-0000C3580000}"/>
    <cellStyle name="Normal 16 3 2" xfId="1687" xr:uid="{00000000-0005-0000-0000-0000C4580000}"/>
    <cellStyle name="Normal 16 3 2 2" xfId="5214" xr:uid="{00000000-0005-0000-0000-0000C5580000}"/>
    <cellStyle name="Normal 16 3 2 2 2" xfId="8805" xr:uid="{00000000-0005-0000-0000-0000C6580000}"/>
    <cellStyle name="Normal 16 3 2 2 2 2" xfId="16775" xr:uid="{00000000-0005-0000-0000-0000C7580000}"/>
    <cellStyle name="Normal 16 3 2 2 2 2 2" xfId="40617" xr:uid="{FFCB948B-7D1E-4FD3-8AE0-A1975BB70DBA}"/>
    <cellStyle name="Normal 16 3 2 2 2 3" xfId="24721" xr:uid="{00000000-0005-0000-0000-0000C8580000}"/>
    <cellStyle name="Normal 16 3 2 2 2 3 2" xfId="48553" xr:uid="{B87F88C5-BDC0-4AF3-B6F6-3D3D7B7007F6}"/>
    <cellStyle name="Normal 16 3 2 2 2 4" xfId="32676" xr:uid="{A95BBE95-EFAF-447B-9FC0-4F6E89B750F7}"/>
    <cellStyle name="Normal 16 3 2 2 3" xfId="13237" xr:uid="{00000000-0005-0000-0000-0000C9580000}"/>
    <cellStyle name="Normal 16 3 2 2 3 2" xfId="37086" xr:uid="{3B86D77A-911C-45BF-BD1F-1B8EBAEBB126}"/>
    <cellStyle name="Normal 16 3 2 2 4" xfId="21192" xr:uid="{00000000-0005-0000-0000-0000CA580000}"/>
    <cellStyle name="Normal 16 3 2 2 4 2" xfId="45024" xr:uid="{50C3EB4C-4BA7-40B4-A4CD-E98CC83207FB}"/>
    <cellStyle name="Normal 16 3 2 2 5" xfId="29145" xr:uid="{843896EF-3860-4BAF-BF6D-96BC049E96FF}"/>
    <cellStyle name="Normal 16 3 2 3" xfId="7046" xr:uid="{00000000-0005-0000-0000-0000CB580000}"/>
    <cellStyle name="Normal 16 3 2 3 2" xfId="15017" xr:uid="{00000000-0005-0000-0000-0000CC580000}"/>
    <cellStyle name="Normal 16 3 2 3 2 2" xfId="38859" xr:uid="{1954A31B-71A9-4D13-96F8-86B260F07DD7}"/>
    <cellStyle name="Normal 16 3 2 3 3" xfId="22964" xr:uid="{00000000-0005-0000-0000-0000CD580000}"/>
    <cellStyle name="Normal 16 3 2 3 3 2" xfId="46796" xr:uid="{4A3D0B12-97D3-4CE8-A094-50D0680C4966}"/>
    <cellStyle name="Normal 16 3 2 3 4" xfId="30918" xr:uid="{0E911996-FE6C-4DCD-9A64-17DD95AEDBD3}"/>
    <cellStyle name="Normal 16 3 2 4" xfId="11481" xr:uid="{00000000-0005-0000-0000-0000CE580000}"/>
    <cellStyle name="Normal 16 3 2 4 2" xfId="35330" xr:uid="{07CAD474-D8BB-4546-A7CA-EDF24CD5260F}"/>
    <cellStyle name="Normal 16 3 2 5" xfId="19436" xr:uid="{00000000-0005-0000-0000-0000CF580000}"/>
    <cellStyle name="Normal 16 3 2 5 2" xfId="43268" xr:uid="{A8D3206E-9680-4C10-8FD5-2382F8B3C49D}"/>
    <cellStyle name="Normal 16 3 2 6" xfId="27388" xr:uid="{952923F6-7651-4AB0-939C-FC8CAA976499}"/>
    <cellStyle name="Normal 16 3 2_Exh G" xfId="3482" xr:uid="{00000000-0005-0000-0000-0000D0580000}"/>
    <cellStyle name="Normal 16 3 3" xfId="4335" xr:uid="{00000000-0005-0000-0000-0000D1580000}"/>
    <cellStyle name="Normal 16 3 3 2" xfId="7927" xr:uid="{00000000-0005-0000-0000-0000D2580000}"/>
    <cellStyle name="Normal 16 3 3 2 2" xfId="15897" xr:uid="{00000000-0005-0000-0000-0000D3580000}"/>
    <cellStyle name="Normal 16 3 3 2 2 2" xfId="39739" xr:uid="{5BB10D34-04E0-4ED0-9026-21CCEB1294EB}"/>
    <cellStyle name="Normal 16 3 3 2 3" xfId="23843" xr:uid="{00000000-0005-0000-0000-0000D4580000}"/>
    <cellStyle name="Normal 16 3 3 2 3 2" xfId="47675" xr:uid="{BCCC0915-382D-4208-B621-92A291AAFC22}"/>
    <cellStyle name="Normal 16 3 3 2 4" xfId="31798" xr:uid="{E4914C13-E85C-4FAE-A204-9CD967624891}"/>
    <cellStyle name="Normal 16 3 3 3" xfId="12359" xr:uid="{00000000-0005-0000-0000-0000D5580000}"/>
    <cellStyle name="Normal 16 3 3 3 2" xfId="36208" xr:uid="{D1F9FCA6-DD33-4E5D-8E77-539A98AD9547}"/>
    <cellStyle name="Normal 16 3 3 4" xfId="20314" xr:uid="{00000000-0005-0000-0000-0000D6580000}"/>
    <cellStyle name="Normal 16 3 3 4 2" xfId="44146" xr:uid="{642F6306-D469-4DFA-BF27-1CA440090C27}"/>
    <cellStyle name="Normal 16 3 3 5" xfId="28267" xr:uid="{00D82B51-246A-448A-ADAA-B4725933146D}"/>
    <cellStyle name="Normal 16 3 4" xfId="6155" xr:uid="{00000000-0005-0000-0000-0000D7580000}"/>
    <cellStyle name="Normal 16 3 4 2" xfId="14138" xr:uid="{00000000-0005-0000-0000-0000D8580000}"/>
    <cellStyle name="Normal 16 3 4 2 2" xfId="37981" xr:uid="{10C3F438-A38F-42D9-948F-5B524F04CDA8}"/>
    <cellStyle name="Normal 16 3 4 3" xfId="22086" xr:uid="{00000000-0005-0000-0000-0000D9580000}"/>
    <cellStyle name="Normal 16 3 4 3 2" xfId="45918" xr:uid="{5E673980-87D4-42F2-A91C-D272CF91644F}"/>
    <cellStyle name="Normal 16 3 4 4" xfId="30040" xr:uid="{7AE0921E-8A7A-4191-BB47-4275CA00E19B}"/>
    <cellStyle name="Normal 16 3 5" xfId="9707" xr:uid="{00000000-0005-0000-0000-0000DA580000}"/>
    <cellStyle name="Normal 16 3 5 2" xfId="17665" xr:uid="{00000000-0005-0000-0000-0000DB580000}"/>
    <cellStyle name="Normal 16 3 5 2 2" xfId="41505" xr:uid="{226199AA-1CDF-4FAD-A14B-DB15734003C0}"/>
    <cellStyle name="Normal 16 3 5 3" xfId="25609" xr:uid="{00000000-0005-0000-0000-0000DC580000}"/>
    <cellStyle name="Normal 16 3 5 3 2" xfId="49441" xr:uid="{FC5C5F82-6705-4C12-94DB-5B1379D1492D}"/>
    <cellStyle name="Normal 16 3 5 4" xfId="33564" xr:uid="{0AF6520E-967D-4508-A3E0-DEF1AE6C19B8}"/>
    <cellStyle name="Normal 16 3 6" xfId="10603" xr:uid="{00000000-0005-0000-0000-0000DD580000}"/>
    <cellStyle name="Normal 16 3 6 2" xfId="34452" xr:uid="{03BFC366-9B4C-486C-AE17-3FCA8B2C89E6}"/>
    <cellStyle name="Normal 16 3 7" xfId="18558" xr:uid="{00000000-0005-0000-0000-0000DE580000}"/>
    <cellStyle name="Normal 16 3 7 2" xfId="42390" xr:uid="{FE2D2585-3DE6-422A-85B3-220AB51383E6}"/>
    <cellStyle name="Normal 16 3 8" xfId="26510" xr:uid="{A63D656C-3523-4C2D-BEF4-ED7963AAA8CB}"/>
    <cellStyle name="Normal 16 3_Exh G" xfId="3481" xr:uid="{00000000-0005-0000-0000-0000DF580000}"/>
    <cellStyle name="Normal 16 4" xfId="1684" xr:uid="{00000000-0005-0000-0000-0000E0580000}"/>
    <cellStyle name="Normal 16 4 2" xfId="5211" xr:uid="{00000000-0005-0000-0000-0000E1580000}"/>
    <cellStyle name="Normal 16 4 2 2" xfId="8802" xr:uid="{00000000-0005-0000-0000-0000E2580000}"/>
    <cellStyle name="Normal 16 4 2 2 2" xfId="16772" xr:uid="{00000000-0005-0000-0000-0000E3580000}"/>
    <cellStyle name="Normal 16 4 2 2 2 2" xfId="40614" xr:uid="{30E2C23E-3086-4027-A286-AE5F80D67BD0}"/>
    <cellStyle name="Normal 16 4 2 2 3" xfId="24718" xr:uid="{00000000-0005-0000-0000-0000E4580000}"/>
    <cellStyle name="Normal 16 4 2 2 3 2" xfId="48550" xr:uid="{9872A359-BB45-4681-91EB-D7D7B1676054}"/>
    <cellStyle name="Normal 16 4 2 2 4" xfId="32673" xr:uid="{372467FD-5418-4143-B39E-F5AD42E34321}"/>
    <cellStyle name="Normal 16 4 2 3" xfId="13234" xr:uid="{00000000-0005-0000-0000-0000E5580000}"/>
    <cellStyle name="Normal 16 4 2 3 2" xfId="37083" xr:uid="{412CE1F1-7F2B-4F33-903D-F8DD33C912F3}"/>
    <cellStyle name="Normal 16 4 2 4" xfId="21189" xr:uid="{00000000-0005-0000-0000-0000E6580000}"/>
    <cellStyle name="Normal 16 4 2 4 2" xfId="45021" xr:uid="{9E4ED78C-2C21-4144-93A7-B17C7B47A202}"/>
    <cellStyle name="Normal 16 4 2 5" xfId="29142" xr:uid="{841628B0-5726-46B7-8C81-9CB90836DB04}"/>
    <cellStyle name="Normal 16 4 3" xfId="7043" xr:uid="{00000000-0005-0000-0000-0000E7580000}"/>
    <cellStyle name="Normal 16 4 3 2" xfId="15014" xr:uid="{00000000-0005-0000-0000-0000E8580000}"/>
    <cellStyle name="Normal 16 4 3 2 2" xfId="38856" xr:uid="{91DA8F5F-DAFE-42BC-9A57-92C2A568830C}"/>
    <cellStyle name="Normal 16 4 3 3" xfId="22961" xr:uid="{00000000-0005-0000-0000-0000E9580000}"/>
    <cellStyle name="Normal 16 4 3 3 2" xfId="46793" xr:uid="{34B64492-E944-40FA-B99C-B1FDD1FBB70A}"/>
    <cellStyle name="Normal 16 4 3 4" xfId="30915" xr:uid="{75DE6D21-A163-44DD-9289-3707CB367859}"/>
    <cellStyle name="Normal 16 4 4" xfId="11478" xr:uid="{00000000-0005-0000-0000-0000EA580000}"/>
    <cellStyle name="Normal 16 4 4 2" xfId="35327" xr:uid="{C7316644-92CB-4133-A9E0-140F0865FE7C}"/>
    <cellStyle name="Normal 16 4 5" xfId="19433" xr:uid="{00000000-0005-0000-0000-0000EB580000}"/>
    <cellStyle name="Normal 16 4 5 2" xfId="43265" xr:uid="{1D341720-DE00-42C1-A23B-92535C47B7EF}"/>
    <cellStyle name="Normal 16 4 6" xfId="27385" xr:uid="{4D12D854-30F9-45C5-8BE5-68523F1E0F78}"/>
    <cellStyle name="Normal 16 4_Exh G" xfId="3483" xr:uid="{00000000-0005-0000-0000-0000EC580000}"/>
    <cellStyle name="Normal 16 5" xfId="4332" xr:uid="{00000000-0005-0000-0000-0000ED580000}"/>
    <cellStyle name="Normal 16 5 2" xfId="7924" xr:uid="{00000000-0005-0000-0000-0000EE580000}"/>
    <cellStyle name="Normal 16 5 2 2" xfId="15894" xr:uid="{00000000-0005-0000-0000-0000EF580000}"/>
    <cellStyle name="Normal 16 5 2 2 2" xfId="39736" xr:uid="{72E6E7AF-D83C-4F33-8FC3-5A46731A0B67}"/>
    <cellStyle name="Normal 16 5 2 3" xfId="23840" xr:uid="{00000000-0005-0000-0000-0000F0580000}"/>
    <cellStyle name="Normal 16 5 2 3 2" xfId="47672" xr:uid="{BAB5FBC4-C5D6-4027-A964-9A2D951E1ADF}"/>
    <cellStyle name="Normal 16 5 2 4" xfId="31795" xr:uid="{0D0B5AC3-AD2D-4FB9-BC2D-BDC5F21235B0}"/>
    <cellStyle name="Normal 16 5 3" xfId="12356" xr:uid="{00000000-0005-0000-0000-0000F1580000}"/>
    <cellStyle name="Normal 16 5 3 2" xfId="36205" xr:uid="{2DFDA4F4-94F2-49BC-9465-03BF94565EC3}"/>
    <cellStyle name="Normal 16 5 4" xfId="20311" xr:uid="{00000000-0005-0000-0000-0000F2580000}"/>
    <cellStyle name="Normal 16 5 4 2" xfId="44143" xr:uid="{8DE2707A-5598-4D6C-AC89-7F34A14F0892}"/>
    <cellStyle name="Normal 16 5 5" xfId="28264" xr:uid="{11E669B5-A849-4783-88F4-6CCEBD1939AB}"/>
    <cellStyle name="Normal 16 6" xfId="6152" xr:uid="{00000000-0005-0000-0000-0000F3580000}"/>
    <cellStyle name="Normal 16 6 2" xfId="14135" xr:uid="{00000000-0005-0000-0000-0000F4580000}"/>
    <cellStyle name="Normal 16 6 2 2" xfId="37978" xr:uid="{7379088E-BB63-4CAC-B149-5BBF243F355C}"/>
    <cellStyle name="Normal 16 6 3" xfId="22083" xr:uid="{00000000-0005-0000-0000-0000F5580000}"/>
    <cellStyle name="Normal 16 6 3 2" xfId="45915" xr:uid="{C99B2C35-0DFB-4527-A71B-173BEB33EFDD}"/>
    <cellStyle name="Normal 16 6 4" xfId="30037" xr:uid="{178BE9CD-9C3A-4FC1-85FA-207E13D2AE84}"/>
    <cellStyle name="Normal 16 7" xfId="9704" xr:uid="{00000000-0005-0000-0000-0000F6580000}"/>
    <cellStyle name="Normal 16 7 2" xfId="17662" xr:uid="{00000000-0005-0000-0000-0000F7580000}"/>
    <cellStyle name="Normal 16 7 2 2" xfId="41502" xr:uid="{F957D493-6B94-42DD-BC66-323F4C7B5B2D}"/>
    <cellStyle name="Normal 16 7 3" xfId="25606" xr:uid="{00000000-0005-0000-0000-0000F8580000}"/>
    <cellStyle name="Normal 16 7 3 2" xfId="49438" xr:uid="{D46C6A4B-BFCF-482C-8B8A-EB6994897447}"/>
    <cellStyle name="Normal 16 7 4" xfId="33561" xr:uid="{74A59828-5180-4989-9E48-955F56EF63A1}"/>
    <cellStyle name="Normal 16 8" xfId="10600" xr:uid="{00000000-0005-0000-0000-0000F9580000}"/>
    <cellStyle name="Normal 16 8 2" xfId="34449" xr:uid="{9176336F-9F49-4D72-B168-FA35EE0C3031}"/>
    <cellStyle name="Normal 16 9" xfId="18555" xr:uid="{00000000-0005-0000-0000-0000FA580000}"/>
    <cellStyle name="Normal 16 9 2" xfId="42387" xr:uid="{72E24B7C-1D46-4C4A-9145-3F920078F79F}"/>
    <cellStyle name="Normal 16_Exh G" xfId="3476" xr:uid="{00000000-0005-0000-0000-0000FB580000}"/>
    <cellStyle name="Normal 17" xfId="662" xr:uid="{00000000-0005-0000-0000-0000FC580000}"/>
    <cellStyle name="Normal 17 2" xfId="1688" xr:uid="{00000000-0005-0000-0000-0000FD580000}"/>
    <cellStyle name="Normal 17 2 2" xfId="5215" xr:uid="{00000000-0005-0000-0000-0000FE580000}"/>
    <cellStyle name="Normal 17 2 2 2" xfId="8806" xr:uid="{00000000-0005-0000-0000-0000FF580000}"/>
    <cellStyle name="Normal 17 2 2 2 2" xfId="16776" xr:uid="{00000000-0005-0000-0000-000000590000}"/>
    <cellStyle name="Normal 17 2 2 2 2 2" xfId="40618" xr:uid="{CBEB1649-0744-458C-9825-80F8318492BF}"/>
    <cellStyle name="Normal 17 2 2 2 3" xfId="24722" xr:uid="{00000000-0005-0000-0000-000001590000}"/>
    <cellStyle name="Normal 17 2 2 2 3 2" xfId="48554" xr:uid="{8590307C-B70D-4E80-B1B4-17BD9E16C1BC}"/>
    <cellStyle name="Normal 17 2 2 2 4" xfId="32677" xr:uid="{C2E01FA8-9D70-44BE-892C-675F2AED211B}"/>
    <cellStyle name="Normal 17 2 2 3" xfId="13238" xr:uid="{00000000-0005-0000-0000-000002590000}"/>
    <cellStyle name="Normal 17 2 2 3 2" xfId="37087" xr:uid="{B55F5518-3653-4A4A-B546-7F8A68ED57D2}"/>
    <cellStyle name="Normal 17 2 2 4" xfId="21193" xr:uid="{00000000-0005-0000-0000-000003590000}"/>
    <cellStyle name="Normal 17 2 2 4 2" xfId="45025" xr:uid="{8C78F591-8198-4577-874C-FECCB6F32393}"/>
    <cellStyle name="Normal 17 2 2 5" xfId="29146" xr:uid="{FB54F897-7710-46E7-B510-064313B8A29F}"/>
    <cellStyle name="Normal 17 2 3" xfId="7047" xr:uid="{00000000-0005-0000-0000-000004590000}"/>
    <cellStyle name="Normal 17 2 3 2" xfId="15018" xr:uid="{00000000-0005-0000-0000-000005590000}"/>
    <cellStyle name="Normal 17 2 3 2 2" xfId="38860" xr:uid="{1A4C52FF-28C6-48E2-B3E0-B04B8492DDF1}"/>
    <cellStyle name="Normal 17 2 3 3" xfId="22965" xr:uid="{00000000-0005-0000-0000-000006590000}"/>
    <cellStyle name="Normal 17 2 3 3 2" xfId="46797" xr:uid="{1ECA9D3E-D9AC-4113-8ED1-2CE8729E5C6D}"/>
    <cellStyle name="Normal 17 2 3 4" xfId="30919" xr:uid="{F6801BE3-4844-4458-9F2A-756E9707FF5F}"/>
    <cellStyle name="Normal 17 2 4" xfId="11482" xr:uid="{00000000-0005-0000-0000-000007590000}"/>
    <cellStyle name="Normal 17 2 4 2" xfId="35331" xr:uid="{E0F0C13C-4311-4CD2-B0C6-0761C9867B1F}"/>
    <cellStyle name="Normal 17 2 5" xfId="19437" xr:uid="{00000000-0005-0000-0000-000008590000}"/>
    <cellStyle name="Normal 17 2 5 2" xfId="43269" xr:uid="{CE474272-CDE6-4791-8506-00F927BC4B87}"/>
    <cellStyle name="Normal 17 2 6" xfId="27389" xr:uid="{BDCEC457-2383-4539-AE7A-6765FE9F0F16}"/>
    <cellStyle name="Normal 17 2_Exh G" xfId="3485" xr:uid="{00000000-0005-0000-0000-000009590000}"/>
    <cellStyle name="Normal 17 3" xfId="4336" xr:uid="{00000000-0005-0000-0000-00000A590000}"/>
    <cellStyle name="Normal 17 3 2" xfId="7928" xr:uid="{00000000-0005-0000-0000-00000B590000}"/>
    <cellStyle name="Normal 17 3 2 2" xfId="15898" xr:uid="{00000000-0005-0000-0000-00000C590000}"/>
    <cellStyle name="Normal 17 3 2 2 2" xfId="39740" xr:uid="{2B588A99-0B61-40FD-A7D3-CE75A9C8935E}"/>
    <cellStyle name="Normal 17 3 2 3" xfId="23844" xr:uid="{00000000-0005-0000-0000-00000D590000}"/>
    <cellStyle name="Normal 17 3 2 3 2" xfId="47676" xr:uid="{979526AC-DF92-4773-9566-83D9D6F0D73B}"/>
    <cellStyle name="Normal 17 3 2 4" xfId="31799" xr:uid="{D2E60AF4-E4ED-446C-B97F-75BDC6FD8E42}"/>
    <cellStyle name="Normal 17 3 3" xfId="12360" xr:uid="{00000000-0005-0000-0000-00000E590000}"/>
    <cellStyle name="Normal 17 3 3 2" xfId="36209" xr:uid="{C8DFE15C-20A2-4DDB-BF52-D00E1908BFFE}"/>
    <cellStyle name="Normal 17 3 4" xfId="20315" xr:uid="{00000000-0005-0000-0000-00000F590000}"/>
    <cellStyle name="Normal 17 3 4 2" xfId="44147" xr:uid="{BD812DFC-8F92-4F45-90F0-C632D9754F71}"/>
    <cellStyle name="Normal 17 3 5" xfId="28268" xr:uid="{F5873240-A0BF-4314-8DC5-698146D1F709}"/>
    <cellStyle name="Normal 17 4" xfId="6156" xr:uid="{00000000-0005-0000-0000-000010590000}"/>
    <cellStyle name="Normal 17 4 2" xfId="14139" xr:uid="{00000000-0005-0000-0000-000011590000}"/>
    <cellStyle name="Normal 17 4 2 2" xfId="37982" xr:uid="{D492F8DD-0F98-4B4F-A6B5-7734E5A0F070}"/>
    <cellStyle name="Normal 17 4 3" xfId="22087" xr:uid="{00000000-0005-0000-0000-000012590000}"/>
    <cellStyle name="Normal 17 4 3 2" xfId="45919" xr:uid="{2FA5330D-97E0-4581-BA77-BB7BD6DD7ACD}"/>
    <cellStyle name="Normal 17 4 4" xfId="30041" xr:uid="{A5E949DC-841C-480F-A4EB-F8F53E0B1663}"/>
    <cellStyle name="Normal 17 5" xfId="9708" xr:uid="{00000000-0005-0000-0000-000013590000}"/>
    <cellStyle name="Normal 17 5 2" xfId="17666" xr:uid="{00000000-0005-0000-0000-000014590000}"/>
    <cellStyle name="Normal 17 5 2 2" xfId="41506" xr:uid="{57040DE7-B379-4C35-A71D-D48A40D114FC}"/>
    <cellStyle name="Normal 17 5 3" xfId="25610" xr:uid="{00000000-0005-0000-0000-000015590000}"/>
    <cellStyle name="Normal 17 5 3 2" xfId="49442" xr:uid="{4DB0B8FC-5171-468B-B6B1-E2D53CD01BF0}"/>
    <cellStyle name="Normal 17 5 4" xfId="33565" xr:uid="{AFFED29A-FD6D-4A10-8E6C-5A3AE836D672}"/>
    <cellStyle name="Normal 17 6" xfId="10604" xr:uid="{00000000-0005-0000-0000-000016590000}"/>
    <cellStyle name="Normal 17 6 2" xfId="34453" xr:uid="{1E3FFC6F-B24F-4A5A-A750-F8CCD5EC0D44}"/>
    <cellStyle name="Normal 17 7" xfId="18559" xr:uid="{00000000-0005-0000-0000-000017590000}"/>
    <cellStyle name="Normal 17 7 2" xfId="42391" xr:uid="{A3F949D9-022D-4205-8770-40EC5B6495E4}"/>
    <cellStyle name="Normal 17 8" xfId="26511" xr:uid="{3A93CE96-2F78-43CA-9D1C-3E235D7E1A50}"/>
    <cellStyle name="Normal 17_Exh G" xfId="3484" xr:uid="{00000000-0005-0000-0000-000018590000}"/>
    <cellStyle name="Normal 18" xfId="736" xr:uid="{00000000-0005-0000-0000-000019590000}"/>
    <cellStyle name="Normal 19" xfId="824" xr:uid="{00000000-0005-0000-0000-00001A590000}"/>
    <cellStyle name="Normal 19 2" xfId="1763" xr:uid="{00000000-0005-0000-0000-00001B590000}"/>
    <cellStyle name="Normal 19 2 2" xfId="5290" xr:uid="{00000000-0005-0000-0000-00001C590000}"/>
    <cellStyle name="Normal 19 2 2 2" xfId="8881" xr:uid="{00000000-0005-0000-0000-00001D590000}"/>
    <cellStyle name="Normal 19 2 2 2 2" xfId="16851" xr:uid="{00000000-0005-0000-0000-00001E590000}"/>
    <cellStyle name="Normal 19 2 2 2 2 2" xfId="40693" xr:uid="{5B2ABC8A-89C9-48B1-AF70-F78DCB61F643}"/>
    <cellStyle name="Normal 19 2 2 2 3" xfId="24797" xr:uid="{00000000-0005-0000-0000-00001F590000}"/>
    <cellStyle name="Normal 19 2 2 2 3 2" xfId="48629" xr:uid="{518AB5CF-E5B2-436B-965A-1C1CCB6B1ACA}"/>
    <cellStyle name="Normal 19 2 2 2 4" xfId="32752" xr:uid="{258F00AF-CF29-4F88-9E9C-EBED6D60B2B3}"/>
    <cellStyle name="Normal 19 2 2 3" xfId="13313" xr:uid="{00000000-0005-0000-0000-000020590000}"/>
    <cellStyle name="Normal 19 2 2 3 2" xfId="37162" xr:uid="{EFBC4F81-613E-40B1-9EEA-8DE3D8C3C85C}"/>
    <cellStyle name="Normal 19 2 2 4" xfId="21268" xr:uid="{00000000-0005-0000-0000-000021590000}"/>
    <cellStyle name="Normal 19 2 2 4 2" xfId="45100" xr:uid="{E7F116C7-FFE3-4276-80EF-3179522A0029}"/>
    <cellStyle name="Normal 19 2 2 5" xfId="29221" xr:uid="{27DD1935-69DB-4CCD-8510-4E29416036E7}"/>
    <cellStyle name="Normal 19 2 3" xfId="7122" xr:uid="{00000000-0005-0000-0000-000022590000}"/>
    <cellStyle name="Normal 19 2 3 2" xfId="15093" xr:uid="{00000000-0005-0000-0000-000023590000}"/>
    <cellStyle name="Normal 19 2 3 2 2" xfId="38935" xr:uid="{DEB92A1F-CC09-4770-B7D1-99C392F027A3}"/>
    <cellStyle name="Normal 19 2 3 3" xfId="23040" xr:uid="{00000000-0005-0000-0000-000024590000}"/>
    <cellStyle name="Normal 19 2 3 3 2" xfId="46872" xr:uid="{FB82E61D-6092-4529-A212-BBB6B632D4CD}"/>
    <cellStyle name="Normal 19 2 3 4" xfId="30994" xr:uid="{39C48AAF-2ABF-4F06-9E01-4691AF7E2CAE}"/>
    <cellStyle name="Normal 19 2 4" xfId="11557" xr:uid="{00000000-0005-0000-0000-000025590000}"/>
    <cellStyle name="Normal 19 2 4 2" xfId="35406" xr:uid="{424D5D3B-C840-47B5-8252-57E5698DD9AE}"/>
    <cellStyle name="Normal 19 2 5" xfId="19512" xr:uid="{00000000-0005-0000-0000-000026590000}"/>
    <cellStyle name="Normal 19 2 5 2" xfId="43344" xr:uid="{61A9EE44-5CCE-4665-A061-A9982B1D726D}"/>
    <cellStyle name="Normal 19 2 6" xfId="27464" xr:uid="{889AC3D5-B0E5-4A97-9C57-0E5B95E6858B}"/>
    <cellStyle name="Normal 19 2_Exh G" xfId="3487" xr:uid="{00000000-0005-0000-0000-000027590000}"/>
    <cellStyle name="Normal 19 3" xfId="4411" xr:uid="{00000000-0005-0000-0000-000028590000}"/>
    <cellStyle name="Normal 19 3 2" xfId="8003" xr:uid="{00000000-0005-0000-0000-000029590000}"/>
    <cellStyle name="Normal 19 3 2 2" xfId="15973" xr:uid="{00000000-0005-0000-0000-00002A590000}"/>
    <cellStyle name="Normal 19 3 2 2 2" xfId="39815" xr:uid="{BA15E2CD-85A9-460A-B1C4-DB11BBA392E3}"/>
    <cellStyle name="Normal 19 3 2 3" xfId="23919" xr:uid="{00000000-0005-0000-0000-00002B590000}"/>
    <cellStyle name="Normal 19 3 2 3 2" xfId="47751" xr:uid="{CA74B028-6423-42DA-B6AE-09201A25CE48}"/>
    <cellStyle name="Normal 19 3 2 4" xfId="31874" xr:uid="{050E366D-3CBC-47E4-BAC2-377DAC6FED34}"/>
    <cellStyle name="Normal 19 3 3" xfId="12435" xr:uid="{00000000-0005-0000-0000-00002C590000}"/>
    <cellStyle name="Normal 19 3 3 2" xfId="36284" xr:uid="{7D33ED9C-DC3E-4BAD-9452-D328D79F4DA6}"/>
    <cellStyle name="Normal 19 3 4" xfId="20390" xr:uid="{00000000-0005-0000-0000-00002D590000}"/>
    <cellStyle name="Normal 19 3 4 2" xfId="44222" xr:uid="{DC038BBA-86A3-4589-A6A0-01ED0738A485}"/>
    <cellStyle name="Normal 19 3 5" xfId="28343" xr:uid="{B246B8A9-39C6-42A9-B858-E40C30139AD8}"/>
    <cellStyle name="Normal 19 4" xfId="6241" xr:uid="{00000000-0005-0000-0000-00002E590000}"/>
    <cellStyle name="Normal 19 4 2" xfId="14215" xr:uid="{00000000-0005-0000-0000-00002F590000}"/>
    <cellStyle name="Normal 19 4 2 2" xfId="38057" xr:uid="{599EBAAE-87C3-4EF3-8A4B-0E3E89B6822B}"/>
    <cellStyle name="Normal 19 4 3" xfId="22162" xr:uid="{00000000-0005-0000-0000-000030590000}"/>
    <cellStyle name="Normal 19 4 3 2" xfId="45994" xr:uid="{7D741624-F8C5-44B0-9267-1BCDEFB7CEAC}"/>
    <cellStyle name="Normal 19 4 4" xfId="30116" xr:uid="{5F74C9B9-EE21-4FB0-9808-9E234F6F0501}"/>
    <cellStyle name="Normal 19 5" xfId="9783" xr:uid="{00000000-0005-0000-0000-000031590000}"/>
    <cellStyle name="Normal 19 5 2" xfId="17741" xr:uid="{00000000-0005-0000-0000-000032590000}"/>
    <cellStyle name="Normal 19 5 2 2" xfId="41581" xr:uid="{71E7F761-33A1-4483-9936-A72BD4DF4FA7}"/>
    <cellStyle name="Normal 19 5 3" xfId="25685" xr:uid="{00000000-0005-0000-0000-000033590000}"/>
    <cellStyle name="Normal 19 5 3 2" xfId="49517" xr:uid="{680AB394-DCCC-4074-BA2A-670437EBB0A4}"/>
    <cellStyle name="Normal 19 5 4" xfId="33640" xr:uid="{BF5784CF-1792-42FB-8550-80E447AB00E4}"/>
    <cellStyle name="Normal 19 6" xfId="10679" xr:uid="{00000000-0005-0000-0000-000034590000}"/>
    <cellStyle name="Normal 19 6 2" xfId="34528" xr:uid="{44B12C2C-4DF9-4AD5-B1AE-1F70CBDDD822}"/>
    <cellStyle name="Normal 19 7" xfId="18634" xr:uid="{00000000-0005-0000-0000-000035590000}"/>
    <cellStyle name="Normal 19 7 2" xfId="42466" xr:uid="{4824B267-7420-48ED-9915-05432C8FCCEF}"/>
    <cellStyle name="Normal 19 8" xfId="26586" xr:uid="{25CF70A7-EBEA-44BE-9A45-0B60E78F4EFD}"/>
    <cellStyle name="Normal 19_Exh G" xfId="3486" xr:uid="{00000000-0005-0000-0000-000036590000}"/>
    <cellStyle name="Normal 2" xfId="1" xr:uid="{00000000-0005-0000-0000-000037590000}"/>
    <cellStyle name="Normal 2 10" xfId="5454" xr:uid="{00000000-0005-0000-0000-000038590000}"/>
    <cellStyle name="Normal 2 10 2" xfId="9044" xr:uid="{00000000-0005-0000-0000-000039590000}"/>
    <cellStyle name="Normal 2 10 2 2" xfId="17011" xr:uid="{00000000-0005-0000-0000-00003A590000}"/>
    <cellStyle name="Normal 2 10 2 2 2" xfId="40853" xr:uid="{CA64C857-0E4D-4095-B12A-C4924280CFBA}"/>
    <cellStyle name="Normal 2 10 2 3" xfId="24957" xr:uid="{00000000-0005-0000-0000-00003B590000}"/>
    <cellStyle name="Normal 2 10 2 3 2" xfId="48789" xr:uid="{86712D4D-4B6B-457B-9593-03784B4C9BB8}"/>
    <cellStyle name="Normal 2 10 2 4" xfId="32912" xr:uid="{71FBAA7C-1A27-4A61-82CC-4E1CF5EDEBF4}"/>
    <cellStyle name="Normal 2 10 3" xfId="13474" xr:uid="{00000000-0005-0000-0000-00003C590000}"/>
    <cellStyle name="Normal 2 10 3 2" xfId="37323" xr:uid="{4E763002-6455-479E-8B20-55E2DBF62A1D}"/>
    <cellStyle name="Normal 2 10 4" xfId="21428" xr:uid="{00000000-0005-0000-0000-00003D590000}"/>
    <cellStyle name="Normal 2 10 4 2" xfId="45260" xr:uid="{9CDD32F5-0FF6-498C-BA8C-2321537B70B8}"/>
    <cellStyle name="Normal 2 10 5" xfId="29382" xr:uid="{933B2BD8-A164-4E0A-97F3-1D18FF929208}"/>
    <cellStyle name="Normal 2 11" xfId="5457" xr:uid="{00000000-0005-0000-0000-00003E590000}"/>
    <cellStyle name="Normal 2 11 2" xfId="9047" xr:uid="{00000000-0005-0000-0000-00003F590000}"/>
    <cellStyle name="Normal 2 11 2 2" xfId="17012" xr:uid="{00000000-0005-0000-0000-000040590000}"/>
    <cellStyle name="Normal 2 11 2 2 2" xfId="40854" xr:uid="{6F381C3A-2742-4E43-81CD-D8FD78BCC7F2}"/>
    <cellStyle name="Normal 2 11 2 3" xfId="24958" xr:uid="{00000000-0005-0000-0000-000041590000}"/>
    <cellStyle name="Normal 2 11 2 3 2" xfId="48790" xr:uid="{D14CDD11-3A83-4E5E-81DF-5CC3D9D748F4}"/>
    <cellStyle name="Normal 2 11 2 4" xfId="32913" xr:uid="{37FBBE42-34DE-4D66-9E26-AAB89F4B1668}"/>
    <cellStyle name="Normal 2 11 3" xfId="13475" xr:uid="{00000000-0005-0000-0000-000042590000}"/>
    <cellStyle name="Normal 2 11 3 2" xfId="37324" xr:uid="{880CC8E0-B78D-4F71-A6A0-82FBB7CFEEAB}"/>
    <cellStyle name="Normal 2 11 4" xfId="21429" xr:uid="{00000000-0005-0000-0000-000043590000}"/>
    <cellStyle name="Normal 2 11 4 2" xfId="45261" xr:uid="{FA9C8238-5237-498F-BC5D-2191F7CB86AD}"/>
    <cellStyle name="Normal 2 11 5" xfId="29383" xr:uid="{705D4795-728C-4F45-942B-3C13BA6D41DF}"/>
    <cellStyle name="Normal 2 12" xfId="5475" xr:uid="{00000000-0005-0000-0000-000044590000}"/>
    <cellStyle name="Normal 2 12 2" xfId="9054" xr:uid="{00000000-0005-0000-0000-000045590000}"/>
    <cellStyle name="Normal 2 12 2 2" xfId="17015" xr:uid="{00000000-0005-0000-0000-000046590000}"/>
    <cellStyle name="Normal 2 12 2 2 2" xfId="40857" xr:uid="{CE08DC2E-0ECF-4D2C-B27B-7C421E6206CF}"/>
    <cellStyle name="Normal 2 12 2 3" xfId="24961" xr:uid="{00000000-0005-0000-0000-000047590000}"/>
    <cellStyle name="Normal 2 12 2 3 2" xfId="48793" xr:uid="{1BC5D93A-43FF-4DF7-9445-80ABAF0F67C7}"/>
    <cellStyle name="Normal 2 12 2 4" xfId="32916" xr:uid="{7013E045-97F8-4806-A73F-626E21C58374}"/>
    <cellStyle name="Normal 2 12 3" xfId="13478" xr:uid="{00000000-0005-0000-0000-000048590000}"/>
    <cellStyle name="Normal 2 12 3 2" xfId="37327" xr:uid="{934825D1-3AFB-4219-AD79-A9291D26D6DA}"/>
    <cellStyle name="Normal 2 12 4" xfId="21432" xr:uid="{00000000-0005-0000-0000-000049590000}"/>
    <cellStyle name="Normal 2 12 4 2" xfId="45264" xr:uid="{8E4A6420-C73F-44B4-9F03-97D314CF6E47}"/>
    <cellStyle name="Normal 2 12 5" xfId="29386" xr:uid="{7DA6A644-1520-4161-B164-2F14788DFE52}"/>
    <cellStyle name="Normal 2 13" xfId="5481" xr:uid="{00000000-0005-0000-0000-00004A590000}"/>
    <cellStyle name="Normal 2 13 2" xfId="9059" xr:uid="{00000000-0005-0000-0000-00004B590000}"/>
    <cellStyle name="Normal 2 13 2 2" xfId="17018" xr:uid="{00000000-0005-0000-0000-00004C590000}"/>
    <cellStyle name="Normal 2 13 2 2 2" xfId="40860" xr:uid="{1A0C09B2-B4F3-4BEA-848B-AACF75B8F005}"/>
    <cellStyle name="Normal 2 13 2 3" xfId="24964" xr:uid="{00000000-0005-0000-0000-00004D590000}"/>
    <cellStyle name="Normal 2 13 2 3 2" xfId="48796" xr:uid="{425D28B4-1CD7-4EBC-9D9C-235BE32BE464}"/>
    <cellStyle name="Normal 2 13 2 4" xfId="32919" xr:uid="{5D0C0387-3291-4EA3-92C8-60FBD43BDE8D}"/>
    <cellStyle name="Normal 2 13 3" xfId="13481" xr:uid="{00000000-0005-0000-0000-00004E590000}"/>
    <cellStyle name="Normal 2 13 3 2" xfId="37330" xr:uid="{01EEE57E-9E86-4D5E-AECF-EDE173D0F02B}"/>
    <cellStyle name="Normal 2 13 4" xfId="21435" xr:uid="{00000000-0005-0000-0000-00004F590000}"/>
    <cellStyle name="Normal 2 13 4 2" xfId="45267" xr:uid="{BF85894B-2A00-4DF6-86C7-FFD30F033C7D}"/>
    <cellStyle name="Normal 2 13 5" xfId="29389" xr:uid="{4E13AB3D-92BD-4B4C-A1FB-E91D1AD63A6F}"/>
    <cellStyle name="Normal 2 14" xfId="5487" xr:uid="{00000000-0005-0000-0000-000050590000}"/>
    <cellStyle name="Normal 2 14 2" xfId="5507" xr:uid="{00000000-0005-0000-0000-000051590000}"/>
    <cellStyle name="Normal 2 14 3" xfId="13484" xr:uid="{00000000-0005-0000-0000-000052590000}"/>
    <cellStyle name="Normal 2 14 3 2" xfId="37331" xr:uid="{53FF9071-205A-42CA-B1A9-9507AAD078DB}"/>
    <cellStyle name="Normal 2 14 4" xfId="21436" xr:uid="{00000000-0005-0000-0000-000053590000}"/>
    <cellStyle name="Normal 2 14 4 2" xfId="45268" xr:uid="{368F7750-C68F-4ADE-B9C7-80A7A62184F7}"/>
    <cellStyle name="Normal 2 14 5" xfId="29390" xr:uid="{2A9983A8-2855-4237-8284-4C66F3E14061}"/>
    <cellStyle name="Normal 2 15" xfId="5493" xr:uid="{00000000-0005-0000-0000-000054590000}"/>
    <cellStyle name="Normal 2 15 2" xfId="13489" xr:uid="{00000000-0005-0000-0000-000055590000}"/>
    <cellStyle name="Normal 2 15 2 2" xfId="37334" xr:uid="{BFF33DCC-F8E0-41A8-8B03-F663413A5D6D}"/>
    <cellStyle name="Normal 2 15 3" xfId="21439" xr:uid="{00000000-0005-0000-0000-000056590000}"/>
    <cellStyle name="Normal 2 15 3 2" xfId="45271" xr:uid="{A3CB689D-0673-4DC3-AB4C-E18CDC2DC468}"/>
    <cellStyle name="Normal 2 15 4" xfId="29393" xr:uid="{2CFB5E36-766C-4347-8B04-F49CB97039E9}"/>
    <cellStyle name="Normal 2 16" xfId="5498" xr:uid="{00000000-0005-0000-0000-000057590000}"/>
    <cellStyle name="Normal 2 16 2" xfId="13493" xr:uid="{00000000-0005-0000-0000-000058590000}"/>
    <cellStyle name="Normal 2 16 2 2" xfId="37337" xr:uid="{180EEF91-F1F8-4E24-9949-82623DBA6F89}"/>
    <cellStyle name="Normal 2 16 3" xfId="21442" xr:uid="{00000000-0005-0000-0000-000059590000}"/>
    <cellStyle name="Normal 2 16 3 2" xfId="45274" xr:uid="{A157F319-99EA-46EF-9B76-D25EB890EA28}"/>
    <cellStyle name="Normal 2 16 4" xfId="29396" xr:uid="{B7E78D63-4AB2-44C5-A16D-0AB05EFE9420}"/>
    <cellStyle name="Normal 2 17" xfId="9062" xr:uid="{00000000-0005-0000-0000-00005A590000}"/>
    <cellStyle name="Normal 2 17 2" xfId="17021" xr:uid="{00000000-0005-0000-0000-00005B590000}"/>
    <cellStyle name="Normal 2 17 2 2" xfId="40861" xr:uid="{3269B66B-819B-4AB7-9316-DB77EEDE9B93}"/>
    <cellStyle name="Normal 2 17 3" xfId="24965" xr:uid="{00000000-0005-0000-0000-00005C590000}"/>
    <cellStyle name="Normal 2 17 3 2" xfId="48797" xr:uid="{9A3CD6CF-C3E6-40D7-84E5-7F72EC064C7E}"/>
    <cellStyle name="Normal 2 17 4" xfId="32920" xr:uid="{588FA9DA-27BB-425A-82EA-4C3DC945A1E3}"/>
    <cellStyle name="Normal 2 18" xfId="9950" xr:uid="{00000000-0005-0000-0000-00005D590000}"/>
    <cellStyle name="Normal 2 18 2" xfId="17907" xr:uid="{00000000-0005-0000-0000-00005E590000}"/>
    <cellStyle name="Normal 2 18 2 2" xfId="41745" xr:uid="{02C5C722-951E-4DAE-8BB5-0432FFC85EC9}"/>
    <cellStyle name="Normal 2 18 3" xfId="25849" xr:uid="{00000000-0005-0000-0000-00005F590000}"/>
    <cellStyle name="Normal 2 18 3 2" xfId="49681" xr:uid="{B20B1106-552A-4BA3-BFF6-56243D226A79}"/>
    <cellStyle name="Normal 2 18 4" xfId="33804" xr:uid="{1AF24AAD-962A-4FC2-953F-BA60382AD946}"/>
    <cellStyle name="Normal 2 19" xfId="9959" xr:uid="{00000000-0005-0000-0000-000060590000}"/>
    <cellStyle name="Normal 2 19 2" xfId="33808" xr:uid="{70AD8C96-C0A3-40A1-8793-DED3E2124329}"/>
    <cellStyle name="Normal 2 2" xfId="15" xr:uid="{00000000-0005-0000-0000-000061590000}"/>
    <cellStyle name="Normal 2 2 10" xfId="5495" xr:uid="{00000000-0005-0000-0000-000062590000}"/>
    <cellStyle name="Normal 2 2 10 2" xfId="13491" xr:uid="{00000000-0005-0000-0000-000063590000}"/>
    <cellStyle name="Normal 2 2 10 2 2" xfId="37336" xr:uid="{082509E2-CB2A-4396-A2E6-9D4D0D728F41}"/>
    <cellStyle name="Normal 2 2 10 3" xfId="21441" xr:uid="{00000000-0005-0000-0000-000064590000}"/>
    <cellStyle name="Normal 2 2 10 3 2" xfId="45273" xr:uid="{4F90B1C3-FEF9-4B81-B18C-39539B9C8D68}"/>
    <cellStyle name="Normal 2 2 10 4" xfId="29395" xr:uid="{D38603B3-1628-40C2-8D29-C7BF5C8198BF}"/>
    <cellStyle name="Normal 2 2 11" xfId="5502" xr:uid="{00000000-0005-0000-0000-000065590000}"/>
    <cellStyle name="Normal 2 2 11 2" xfId="13494" xr:uid="{00000000-0005-0000-0000-000066590000}"/>
    <cellStyle name="Normal 2 2 11 2 2" xfId="37338" xr:uid="{A6CD7530-F076-4F2D-8B70-24A85DD02046}"/>
    <cellStyle name="Normal 2 2 11 3" xfId="21443" xr:uid="{00000000-0005-0000-0000-000067590000}"/>
    <cellStyle name="Normal 2 2 11 3 2" xfId="45275" xr:uid="{5417BAB6-1FEF-4C29-B99B-4C7144245821}"/>
    <cellStyle name="Normal 2 2 11 4" xfId="29397" xr:uid="{C7BCEAEE-DAED-4BAD-9F4C-2E3C33BB060E}"/>
    <cellStyle name="Normal 2 2 12" xfId="9063" xr:uid="{00000000-0005-0000-0000-000068590000}"/>
    <cellStyle name="Normal 2 2 12 2" xfId="17022" xr:uid="{00000000-0005-0000-0000-000069590000}"/>
    <cellStyle name="Normal 2 2 12 2 2" xfId="40862" xr:uid="{E99533CF-5C5C-464A-872C-42D7CC6BF07F}"/>
    <cellStyle name="Normal 2 2 12 3" xfId="24966" xr:uid="{00000000-0005-0000-0000-00006A590000}"/>
    <cellStyle name="Normal 2 2 12 3 2" xfId="48798" xr:uid="{A320C410-2794-4ADA-A1BF-715B475A10CA}"/>
    <cellStyle name="Normal 2 2 12 4" xfId="32921" xr:uid="{0C79E119-86B5-4042-80A2-50FC35DEEF6B}"/>
    <cellStyle name="Normal 2 2 13" xfId="9064" xr:uid="{00000000-0005-0000-0000-00006B590000}"/>
    <cellStyle name="Normal 2 2 14" xfId="9951" xr:uid="{00000000-0005-0000-0000-00006C590000}"/>
    <cellStyle name="Normal 2 2 14 2" xfId="17908" xr:uid="{00000000-0005-0000-0000-00006D590000}"/>
    <cellStyle name="Normal 2 2 14 2 2" xfId="41746" xr:uid="{AC16A0B6-914D-4CAC-B3A4-1965BD1FE787}"/>
    <cellStyle name="Normal 2 2 14 3" xfId="25850" xr:uid="{00000000-0005-0000-0000-00006E590000}"/>
    <cellStyle name="Normal 2 2 14 3 2" xfId="49682" xr:uid="{14B83742-4E16-432A-BB69-A3F473692810}"/>
    <cellStyle name="Normal 2 2 14 4" xfId="33805" xr:uid="{2B46D65C-3B24-49BD-8E0E-99D93ADDDADC}"/>
    <cellStyle name="Normal 2 2 15" xfId="9960" xr:uid="{00000000-0005-0000-0000-00006F590000}"/>
    <cellStyle name="Normal 2 2 15 2" xfId="33809" xr:uid="{0F849721-D032-4DA7-A4AB-E7D5645A724C}"/>
    <cellStyle name="Normal 2 2 16" xfId="25862" xr:uid="{00000000-0005-0000-0000-000070590000}"/>
    <cellStyle name="Normal 2 2 2" xfId="663" xr:uid="{00000000-0005-0000-0000-000071590000}"/>
    <cellStyle name="Normal 2 2 2 2" xfId="1689" xr:uid="{00000000-0005-0000-0000-000072590000}"/>
    <cellStyle name="Normal 2 2 2 2 2" xfId="5216" xr:uid="{00000000-0005-0000-0000-000073590000}"/>
    <cellStyle name="Normal 2 2 2 2 2 2" xfId="8807" xr:uid="{00000000-0005-0000-0000-000074590000}"/>
    <cellStyle name="Normal 2 2 2 2 2 2 2" xfId="16777" xr:uid="{00000000-0005-0000-0000-000075590000}"/>
    <cellStyle name="Normal 2 2 2 2 2 2 2 2" xfId="40619" xr:uid="{05CA9161-5010-4CEB-B8F0-0C17F42FF7FE}"/>
    <cellStyle name="Normal 2 2 2 2 2 2 3" xfId="24723" xr:uid="{00000000-0005-0000-0000-000076590000}"/>
    <cellStyle name="Normal 2 2 2 2 2 2 3 2" xfId="48555" xr:uid="{0E3ED9EB-A39A-476F-A1D2-08F74AF61F0A}"/>
    <cellStyle name="Normal 2 2 2 2 2 2 4" xfId="32678" xr:uid="{91C2F312-8529-4910-ACE7-45649C23CB4B}"/>
    <cellStyle name="Normal 2 2 2 2 2 3" xfId="13239" xr:uid="{00000000-0005-0000-0000-000077590000}"/>
    <cellStyle name="Normal 2 2 2 2 2 3 2" xfId="37088" xr:uid="{EDA704F4-FC07-4491-9EE5-44BBC8F41B46}"/>
    <cellStyle name="Normal 2 2 2 2 2 4" xfId="21194" xr:uid="{00000000-0005-0000-0000-000078590000}"/>
    <cellStyle name="Normal 2 2 2 2 2 4 2" xfId="45026" xr:uid="{03EB3905-33CD-4DB5-8999-9B1A383C958F}"/>
    <cellStyle name="Normal 2 2 2 2 2 5" xfId="29147" xr:uid="{9EB6F73E-F6C4-4ADC-AA0E-7B7E1427443B}"/>
    <cellStyle name="Normal 2 2 2 2 3" xfId="7048" xr:uid="{00000000-0005-0000-0000-000079590000}"/>
    <cellStyle name="Normal 2 2 2 2 3 2" xfId="15019" xr:uid="{00000000-0005-0000-0000-00007A590000}"/>
    <cellStyle name="Normal 2 2 2 2 3 2 2" xfId="38861" xr:uid="{CE9BC003-0692-4420-9BBB-DC982FCDA782}"/>
    <cellStyle name="Normal 2 2 2 2 3 3" xfId="22966" xr:uid="{00000000-0005-0000-0000-00007B590000}"/>
    <cellStyle name="Normal 2 2 2 2 3 3 2" xfId="46798" xr:uid="{C099D7F7-285C-4E76-B3DA-ABD4B96DE614}"/>
    <cellStyle name="Normal 2 2 2 2 3 4" xfId="30920" xr:uid="{F33BCA04-70EB-4DE6-9AB5-099F2B65EEF1}"/>
    <cellStyle name="Normal 2 2 2 2 4" xfId="11483" xr:uid="{00000000-0005-0000-0000-00007C590000}"/>
    <cellStyle name="Normal 2 2 2 2 4 2" xfId="35332" xr:uid="{E0042E79-2227-4B90-935C-531902483ABE}"/>
    <cellStyle name="Normal 2 2 2 2 5" xfId="19438" xr:uid="{00000000-0005-0000-0000-00007D590000}"/>
    <cellStyle name="Normal 2 2 2 2 5 2" xfId="43270" xr:uid="{535C7EF9-DE83-430D-A360-947B08448D08}"/>
    <cellStyle name="Normal 2 2 2 2 6" xfId="27390" xr:uid="{EA5B24B8-5048-424C-8E3A-36F617F7F296}"/>
    <cellStyle name="Normal 2 2 2 2_Exh G" xfId="3490" xr:uid="{00000000-0005-0000-0000-00007E590000}"/>
    <cellStyle name="Normal 2 2 2 3" xfId="4337" xr:uid="{00000000-0005-0000-0000-00007F590000}"/>
    <cellStyle name="Normal 2 2 2 3 2" xfId="7929" xr:uid="{00000000-0005-0000-0000-000080590000}"/>
    <cellStyle name="Normal 2 2 2 3 2 2" xfId="15899" xr:uid="{00000000-0005-0000-0000-000081590000}"/>
    <cellStyle name="Normal 2 2 2 3 2 2 2" xfId="39741" xr:uid="{33439CE0-CE7D-4755-8A85-DB06CD12C459}"/>
    <cellStyle name="Normal 2 2 2 3 2 3" xfId="23845" xr:uid="{00000000-0005-0000-0000-000082590000}"/>
    <cellStyle name="Normal 2 2 2 3 2 3 2" xfId="47677" xr:uid="{C95BE1C7-7092-4C80-B915-D77F176D27FA}"/>
    <cellStyle name="Normal 2 2 2 3 2 4" xfId="31800" xr:uid="{43674D97-25E4-47F9-9273-2FE0F38E34B7}"/>
    <cellStyle name="Normal 2 2 2 3 3" xfId="12361" xr:uid="{00000000-0005-0000-0000-000083590000}"/>
    <cellStyle name="Normal 2 2 2 3 3 2" xfId="36210" xr:uid="{8EC68992-412D-4326-A729-C7435C60DA30}"/>
    <cellStyle name="Normal 2 2 2 3 4" xfId="20316" xr:uid="{00000000-0005-0000-0000-000084590000}"/>
    <cellStyle name="Normal 2 2 2 3 4 2" xfId="44148" xr:uid="{EB2B009D-CAAF-4020-8C78-E2F441B7F5B4}"/>
    <cellStyle name="Normal 2 2 2 3 5" xfId="28269" xr:uid="{531493D9-4D06-465C-906A-8E5142A9B286}"/>
    <cellStyle name="Normal 2 2 2 4" xfId="6157" xr:uid="{00000000-0005-0000-0000-000085590000}"/>
    <cellStyle name="Normal 2 2 2 4 2" xfId="14140" xr:uid="{00000000-0005-0000-0000-000086590000}"/>
    <cellStyle name="Normal 2 2 2 4 2 2" xfId="37983" xr:uid="{D24C46E5-331E-4913-8166-862CB5374948}"/>
    <cellStyle name="Normal 2 2 2 4 3" xfId="22088" xr:uid="{00000000-0005-0000-0000-000087590000}"/>
    <cellStyle name="Normal 2 2 2 4 3 2" xfId="45920" xr:uid="{2AF5DE24-4476-42C2-9CC0-B674FC17886E}"/>
    <cellStyle name="Normal 2 2 2 4 4" xfId="30042" xr:uid="{3451B5C1-0E4A-45EC-ACF5-320C4445F41D}"/>
    <cellStyle name="Normal 2 2 2 5" xfId="9709" xr:uid="{00000000-0005-0000-0000-000088590000}"/>
    <cellStyle name="Normal 2 2 2 5 2" xfId="17667" xr:uid="{00000000-0005-0000-0000-000089590000}"/>
    <cellStyle name="Normal 2 2 2 5 2 2" xfId="41507" xr:uid="{783F2A89-7B65-497E-AD09-46A24481B1DD}"/>
    <cellStyle name="Normal 2 2 2 5 3" xfId="25611" xr:uid="{00000000-0005-0000-0000-00008A590000}"/>
    <cellStyle name="Normal 2 2 2 5 3 2" xfId="49443" xr:uid="{EB2983A7-1585-4556-B915-7E0AA62DFC89}"/>
    <cellStyle name="Normal 2 2 2 5 4" xfId="33566" xr:uid="{57BCB749-2C18-405D-BAA0-C9BD2C8E135D}"/>
    <cellStyle name="Normal 2 2 2 6" xfId="10605" xr:uid="{00000000-0005-0000-0000-00008B590000}"/>
    <cellStyle name="Normal 2 2 2 6 2" xfId="34454" xr:uid="{8D8C0D61-4FC5-4710-ADD6-467999521D39}"/>
    <cellStyle name="Normal 2 2 2 7" xfId="18560" xr:uid="{00000000-0005-0000-0000-00008C590000}"/>
    <cellStyle name="Normal 2 2 2 7 2" xfId="42392" xr:uid="{11890A84-5A03-4FDF-B816-7FC30A4E1939}"/>
    <cellStyle name="Normal 2 2 2 8" xfId="26512" xr:uid="{A533B630-704F-4A5A-8572-06F9C37601E9}"/>
    <cellStyle name="Normal 2 2 2_Exh G" xfId="3489" xr:uid="{00000000-0005-0000-0000-00008D590000}"/>
    <cellStyle name="Normal 2 2 4" xfId="3692" xr:uid="{00000000-0005-0000-0000-00008F590000}"/>
    <cellStyle name="Normal 2 2 5" xfId="5463" xr:uid="{00000000-0005-0000-0000-000090590000}"/>
    <cellStyle name="Normal 2 2 5 2" xfId="9048" xr:uid="{00000000-0005-0000-0000-000091590000}"/>
    <cellStyle name="Normal 2 2 5 2 2" xfId="17013" xr:uid="{00000000-0005-0000-0000-000092590000}"/>
    <cellStyle name="Normal 2 2 5 2 2 2" xfId="40855" xr:uid="{88A756D3-8C04-4845-8D43-EBC4D0EF0BF8}"/>
    <cellStyle name="Normal 2 2 5 2 3" xfId="24959" xr:uid="{00000000-0005-0000-0000-000093590000}"/>
    <cellStyle name="Normal 2 2 5 2 3 2" xfId="48791" xr:uid="{49E2727D-A7F0-44C2-9B08-11D0AD8A2C65}"/>
    <cellStyle name="Normal 2 2 5 2 4" xfId="32914" xr:uid="{CA1478AB-A214-49BD-8E08-620EE9E64940}"/>
    <cellStyle name="Normal 2 2 5 3" xfId="13476" xr:uid="{00000000-0005-0000-0000-000094590000}"/>
    <cellStyle name="Normal 2 2 5 3 2" xfId="37325" xr:uid="{B4EFB79E-C46A-4479-9A10-2D73D4DFA6B6}"/>
    <cellStyle name="Normal 2 2 5 4" xfId="21430" xr:uid="{00000000-0005-0000-0000-000095590000}"/>
    <cellStyle name="Normal 2 2 5 4 2" xfId="45262" xr:uid="{D53C26F2-1C9E-4F23-9895-70FEBA490119}"/>
    <cellStyle name="Normal 2 2 5 5" xfId="29384" xr:uid="{5EE61492-D19A-4A65-AF12-A74B76449568}"/>
    <cellStyle name="Normal 2 2 6" xfId="5470" xr:uid="{00000000-0005-0000-0000-000096590000}"/>
    <cellStyle name="Normal 2 2 6 2" xfId="9050" xr:uid="{00000000-0005-0000-0000-000097590000}"/>
    <cellStyle name="Normal 2 2 6 2 2" xfId="17014" xr:uid="{00000000-0005-0000-0000-000098590000}"/>
    <cellStyle name="Normal 2 2 6 2 2 2" xfId="40856" xr:uid="{1310FF05-7ACF-4319-BB71-FCB8DEB38D75}"/>
    <cellStyle name="Normal 2 2 6 2 3" xfId="24960" xr:uid="{00000000-0005-0000-0000-000099590000}"/>
    <cellStyle name="Normal 2 2 6 2 3 2" xfId="48792" xr:uid="{EBE4349C-766D-4979-BC9C-68EED463584C}"/>
    <cellStyle name="Normal 2 2 6 2 4" xfId="32915" xr:uid="{AEC58115-9E0A-4580-A821-2E6C03516575}"/>
    <cellStyle name="Normal 2 2 6 3" xfId="13477" xr:uid="{00000000-0005-0000-0000-00009A590000}"/>
    <cellStyle name="Normal 2 2 6 3 2" xfId="37326" xr:uid="{A20B7E8B-083A-478E-B0B1-A301531E6E5D}"/>
    <cellStyle name="Normal 2 2 6 4" xfId="21431" xr:uid="{00000000-0005-0000-0000-00009B590000}"/>
    <cellStyle name="Normal 2 2 6 4 2" xfId="45263" xr:uid="{C295ED51-20FB-485D-A459-A0F5468CF889}"/>
    <cellStyle name="Normal 2 2 6 5" xfId="29385" xr:uid="{6C6C0616-AC05-494F-A0D8-155AD4CE91D2}"/>
    <cellStyle name="Normal 2 2 7" xfId="5488" xr:uid="{00000000-0005-0000-0000-00009C590000}"/>
    <cellStyle name="Normal 2 2 7 2" xfId="5512" xr:uid="{00000000-0005-0000-0000-00009D590000}"/>
    <cellStyle name="Normal 2 2 7 3" xfId="13485" xr:uid="{00000000-0005-0000-0000-00009E590000}"/>
    <cellStyle name="Normal 2 2 7 3 2" xfId="37332" xr:uid="{D36A97EF-0044-4C2D-B982-AE1C85B5D74A}"/>
    <cellStyle name="Normal 2 2 7 4" xfId="21437" xr:uid="{00000000-0005-0000-0000-00009F590000}"/>
    <cellStyle name="Normal 2 2 7 4 2" xfId="45269" xr:uid="{9FB16E1F-4F17-410A-BD7C-62D637A1F2B7}"/>
    <cellStyle name="Normal 2 2 7 5" xfId="29391" xr:uid="{1908E5A6-4CB3-4AF0-BDBB-77AEAC16E6AD}"/>
    <cellStyle name="Normal 2 2 8" xfId="5490" xr:uid="{00000000-0005-0000-0000-0000A0590000}"/>
    <cellStyle name="Normal 2 2 8 2" xfId="13486" xr:uid="{00000000-0005-0000-0000-0000A1590000}"/>
    <cellStyle name="Normal 2 2 8 2 2" xfId="37333" xr:uid="{7C778C82-E261-4523-A3F6-D534F94A0B9A}"/>
    <cellStyle name="Normal 2 2 8 3" xfId="21438" xr:uid="{00000000-0005-0000-0000-0000A2590000}"/>
    <cellStyle name="Normal 2 2 8 3 2" xfId="45270" xr:uid="{23180705-62E1-41D5-AB60-7E3706506D00}"/>
    <cellStyle name="Normal 2 2 8 4" xfId="29392" xr:uid="{17FE8D38-CA3B-4721-B774-2E489D2BA79D}"/>
    <cellStyle name="Normal 2 2 9" xfId="5494" xr:uid="{00000000-0005-0000-0000-0000A3590000}"/>
    <cellStyle name="Normal 2 2 9 2" xfId="13490" xr:uid="{00000000-0005-0000-0000-0000A4590000}"/>
    <cellStyle name="Normal 2 2 9 2 2" xfId="37335" xr:uid="{306A2A7B-3CE3-44EB-9CB7-5DFAA8155466}"/>
    <cellStyle name="Normal 2 2 9 3" xfId="21440" xr:uid="{00000000-0005-0000-0000-0000A5590000}"/>
    <cellStyle name="Normal 2 2 9 3 2" xfId="45272" xr:uid="{7D93B973-DD5F-47CA-9364-E77D1E5A1AEA}"/>
    <cellStyle name="Normal 2 2 9 4" xfId="29394" xr:uid="{52A38E6E-C4FC-4E37-9EE8-9C54BF410621}"/>
    <cellStyle name="Normal 2 2_Exh G" xfId="3488" xr:uid="{00000000-0005-0000-0000-0000A6590000}"/>
    <cellStyle name="Normal 2 3" xfId="664" xr:uid="{00000000-0005-0000-0000-0000A7590000}"/>
    <cellStyle name="Normal 2 3 10" xfId="26513" xr:uid="{7EBA1C10-6AC7-46C9-B9F6-14DD8768E21C}"/>
    <cellStyle name="Normal 2 3 2" xfId="833" xr:uid="{00000000-0005-0000-0000-0000A8590000}"/>
    <cellStyle name="Normal 2 3 2 2" xfId="1769" xr:uid="{00000000-0005-0000-0000-0000A9590000}"/>
    <cellStyle name="Normal 2 3 2_Exh G" xfId="3492" xr:uid="{00000000-0005-0000-0000-0000AA590000}"/>
    <cellStyle name="Normal 2 3 3" xfId="1690" xr:uid="{00000000-0005-0000-0000-0000AB590000}"/>
    <cellStyle name="Normal 2 3 3 2" xfId="5217" xr:uid="{00000000-0005-0000-0000-0000AC590000}"/>
    <cellStyle name="Normal 2 3 3 2 2" xfId="8808" xr:uid="{00000000-0005-0000-0000-0000AD590000}"/>
    <cellStyle name="Normal 2 3 3 2 2 2" xfId="16778" xr:uid="{00000000-0005-0000-0000-0000AE590000}"/>
    <cellStyle name="Normal 2 3 3 2 2 2 2" xfId="40620" xr:uid="{90C35C50-1CCC-4D16-B9D4-7D140862FABE}"/>
    <cellStyle name="Normal 2 3 3 2 2 3" xfId="24724" xr:uid="{00000000-0005-0000-0000-0000AF590000}"/>
    <cellStyle name="Normal 2 3 3 2 2 3 2" xfId="48556" xr:uid="{435577D2-9E4E-4980-97DD-6D64DE722813}"/>
    <cellStyle name="Normal 2 3 3 2 2 4" xfId="32679" xr:uid="{CAFF9C11-B42D-40F7-A44E-6190F3740C44}"/>
    <cellStyle name="Normal 2 3 3 2 3" xfId="13240" xr:uid="{00000000-0005-0000-0000-0000B0590000}"/>
    <cellStyle name="Normal 2 3 3 2 3 2" xfId="37089" xr:uid="{E4540856-B6E0-4558-BF0F-BBEE50BB76FE}"/>
    <cellStyle name="Normal 2 3 3 2 4" xfId="21195" xr:uid="{00000000-0005-0000-0000-0000B1590000}"/>
    <cellStyle name="Normal 2 3 3 2 4 2" xfId="45027" xr:uid="{C67BF61D-BB2B-4F57-A0DD-0259F1CAC28A}"/>
    <cellStyle name="Normal 2 3 3 2 5" xfId="29148" xr:uid="{7EF5649A-4D0F-419C-A36A-7F90E506E9A9}"/>
    <cellStyle name="Normal 2 3 3 3" xfId="7049" xr:uid="{00000000-0005-0000-0000-0000B2590000}"/>
    <cellStyle name="Normal 2 3 3 3 2" xfId="15020" xr:uid="{00000000-0005-0000-0000-0000B3590000}"/>
    <cellStyle name="Normal 2 3 3 3 2 2" xfId="38862" xr:uid="{78D59A54-CB50-43FE-BB09-C45E2A08932A}"/>
    <cellStyle name="Normal 2 3 3 3 3" xfId="22967" xr:uid="{00000000-0005-0000-0000-0000B4590000}"/>
    <cellStyle name="Normal 2 3 3 3 3 2" xfId="46799" xr:uid="{1AB9F581-AB55-4674-87E2-9BD9A8AD4539}"/>
    <cellStyle name="Normal 2 3 3 3 4" xfId="30921" xr:uid="{1ECF316E-85A0-45EA-88F5-28F2A0D0606B}"/>
    <cellStyle name="Normal 2 3 3 4" xfId="11484" xr:uid="{00000000-0005-0000-0000-0000B5590000}"/>
    <cellStyle name="Normal 2 3 3 4 2" xfId="35333" xr:uid="{E36C6936-189E-4773-8C2E-8055E6B061DA}"/>
    <cellStyle name="Normal 2 3 3 5" xfId="19439" xr:uid="{00000000-0005-0000-0000-0000B6590000}"/>
    <cellStyle name="Normal 2 3 3 5 2" xfId="43271" xr:uid="{DE681D3C-F13F-403C-A4E6-6F3708F1E9D8}"/>
    <cellStyle name="Normal 2 3 3 6" xfId="27391" xr:uid="{1653CD93-4888-426A-BB54-C21D8524F198}"/>
    <cellStyle name="Normal 2 3 3_Exh G" xfId="3493" xr:uid="{00000000-0005-0000-0000-0000B7590000}"/>
    <cellStyle name="Normal 2 3 4" xfId="4338" xr:uid="{00000000-0005-0000-0000-0000B8590000}"/>
    <cellStyle name="Normal 2 3 4 2" xfId="7930" xr:uid="{00000000-0005-0000-0000-0000B9590000}"/>
    <cellStyle name="Normal 2 3 4 2 2" xfId="15900" xr:uid="{00000000-0005-0000-0000-0000BA590000}"/>
    <cellStyle name="Normal 2 3 4 2 2 2" xfId="39742" xr:uid="{762279E9-D1C7-40C8-A0E7-E91A8610B236}"/>
    <cellStyle name="Normal 2 3 4 2 3" xfId="23846" xr:uid="{00000000-0005-0000-0000-0000BB590000}"/>
    <cellStyle name="Normal 2 3 4 2 3 2" xfId="47678" xr:uid="{7CB39C11-37AE-4612-98F6-0CF4EFA3CEC9}"/>
    <cellStyle name="Normal 2 3 4 2 4" xfId="31801" xr:uid="{2F265F1C-60EC-41ED-BF25-A1F62713AE1B}"/>
    <cellStyle name="Normal 2 3 4 3" xfId="12362" xr:uid="{00000000-0005-0000-0000-0000BC590000}"/>
    <cellStyle name="Normal 2 3 4 3 2" xfId="36211" xr:uid="{EE1DAE62-740A-41E9-9AD7-C299559DF50E}"/>
    <cellStyle name="Normal 2 3 4 4" xfId="20317" xr:uid="{00000000-0005-0000-0000-0000BD590000}"/>
    <cellStyle name="Normal 2 3 4 4 2" xfId="44149" xr:uid="{89A83E7E-573B-4DED-9DEF-0E3D8F307C8E}"/>
    <cellStyle name="Normal 2 3 4 5" xfId="28270" xr:uid="{6065C7AB-0447-42E8-ABDC-FB049FDA2FB4}"/>
    <cellStyle name="Normal 2 3 5" xfId="6158" xr:uid="{00000000-0005-0000-0000-0000BE590000}"/>
    <cellStyle name="Normal 2 3 5 2" xfId="14141" xr:uid="{00000000-0005-0000-0000-0000BF590000}"/>
    <cellStyle name="Normal 2 3 5 2 2" xfId="37984" xr:uid="{BA400C9A-3D47-4FCE-AA87-AE403D3F29BA}"/>
    <cellStyle name="Normal 2 3 5 3" xfId="22089" xr:uid="{00000000-0005-0000-0000-0000C0590000}"/>
    <cellStyle name="Normal 2 3 5 3 2" xfId="45921" xr:uid="{C60554F8-2F8B-4D3E-8CDB-BFBE0D19672E}"/>
    <cellStyle name="Normal 2 3 5 4" xfId="30043" xr:uid="{3B8DB166-7767-481E-865D-CEF0394B7825}"/>
    <cellStyle name="Normal 2 3 6" xfId="7283" xr:uid="{00000000-0005-0000-0000-0000C1590000}"/>
    <cellStyle name="Normal 2 3 6 2" xfId="15253" xr:uid="{00000000-0005-0000-0000-0000C2590000}"/>
    <cellStyle name="Normal 2 3 6 2 2" xfId="39095" xr:uid="{4C99232A-9244-4E81-8E45-ADC941EE2F96}"/>
    <cellStyle name="Normal 2 3 6 3" xfId="23200" xr:uid="{00000000-0005-0000-0000-0000C3590000}"/>
    <cellStyle name="Normal 2 3 6 3 2" xfId="47032" xr:uid="{766C022F-E377-4282-B319-51BB404DF9DE}"/>
    <cellStyle name="Normal 2 3 6 4" xfId="31154" xr:uid="{52FBFC9B-8C4B-4E4B-88C5-D4BC54DB9293}"/>
    <cellStyle name="Normal 2 3 7" xfId="9710" xr:uid="{00000000-0005-0000-0000-0000C4590000}"/>
    <cellStyle name="Normal 2 3 7 2" xfId="17668" xr:uid="{00000000-0005-0000-0000-0000C5590000}"/>
    <cellStyle name="Normal 2 3 7 2 2" xfId="41508" xr:uid="{AA492640-635A-4E01-9DDB-CACBFDC00E8B}"/>
    <cellStyle name="Normal 2 3 7 3" xfId="25612" xr:uid="{00000000-0005-0000-0000-0000C6590000}"/>
    <cellStyle name="Normal 2 3 7 3 2" xfId="49444" xr:uid="{4CEBB174-DA2B-4DCB-8B06-E0239BE4CF4F}"/>
    <cellStyle name="Normal 2 3 7 4" xfId="33567" xr:uid="{25FA3257-ADC0-4433-AAEA-96FBCA3598D5}"/>
    <cellStyle name="Normal 2 3 8" xfId="10606" xr:uid="{00000000-0005-0000-0000-0000C7590000}"/>
    <cellStyle name="Normal 2 3 8 2" xfId="34455" xr:uid="{A5C7D6F2-9B83-41D7-8EB9-8113DCDD16CF}"/>
    <cellStyle name="Normal 2 3 9" xfId="18561" xr:uid="{00000000-0005-0000-0000-0000C8590000}"/>
    <cellStyle name="Normal 2 3 9 2" xfId="42393" xr:uid="{1D6B96BF-8056-48B5-BCE2-DC1E5B875302}"/>
    <cellStyle name="Normal 2 3_Exh G" xfId="3491" xr:uid="{00000000-0005-0000-0000-0000C9590000}"/>
    <cellStyle name="Normal 2 4" xfId="826" xr:uid="{00000000-0005-0000-0000-0000CA590000}"/>
    <cellStyle name="Normal 2 4 2" xfId="1764" xr:uid="{00000000-0005-0000-0000-0000CB590000}"/>
    <cellStyle name="Normal 2 4_Exh G" xfId="3494" xr:uid="{00000000-0005-0000-0000-0000CC590000}"/>
    <cellStyle name="Normal 2 5" xfId="834" xr:uid="{00000000-0005-0000-0000-0000CD590000}"/>
    <cellStyle name="Normal 2 5 2" xfId="1770" xr:uid="{00000000-0005-0000-0000-0000CE590000}"/>
    <cellStyle name="Normal 2 5_Exh G" xfId="3495" xr:uid="{00000000-0005-0000-0000-0000CF590000}"/>
    <cellStyle name="Normal 2 6" xfId="835" xr:uid="{00000000-0005-0000-0000-0000D0590000}"/>
    <cellStyle name="Normal 2 6 2" xfId="1771" xr:uid="{00000000-0005-0000-0000-0000D1590000}"/>
    <cellStyle name="Normal 2 6_Exh G" xfId="3496" xr:uid="{00000000-0005-0000-0000-0000D2590000}"/>
    <cellStyle name="Normal 2 7" xfId="836" xr:uid="{00000000-0005-0000-0000-0000D3590000}"/>
    <cellStyle name="Normal 2 7 2" xfId="855" xr:uid="{00000000-0005-0000-0000-0000D4590000}"/>
    <cellStyle name="Normal 2 7 2 2" xfId="1790" xr:uid="{00000000-0005-0000-0000-0000D5590000}"/>
    <cellStyle name="Normal 2 7 2_Exh G" xfId="3498" xr:uid="{00000000-0005-0000-0000-0000D6590000}"/>
    <cellStyle name="Normal 2 7 3" xfId="1772" xr:uid="{00000000-0005-0000-0000-0000D7590000}"/>
    <cellStyle name="Normal 2 7_Exh G" xfId="3497" xr:uid="{00000000-0005-0000-0000-0000D8590000}"/>
    <cellStyle name="Normal 2 8" xfId="856" xr:uid="{00000000-0005-0000-0000-0000D9590000}"/>
    <cellStyle name="Normal 2 8 2" xfId="1791" xr:uid="{00000000-0005-0000-0000-0000DA590000}"/>
    <cellStyle name="Normal 2 8_Exh G" xfId="3499" xr:uid="{00000000-0005-0000-0000-0000DB590000}"/>
    <cellStyle name="Normal 2 9" xfId="1014" xr:uid="{00000000-0005-0000-0000-0000DC590000}"/>
    <cellStyle name="Normal 20" xfId="825" xr:uid="{00000000-0005-0000-0000-0000DD590000}"/>
    <cellStyle name="Normal 21" xfId="827" xr:uid="{00000000-0005-0000-0000-0000DE590000}"/>
    <cellStyle name="Normal 22" xfId="828" xr:uid="{00000000-0005-0000-0000-0000DF590000}"/>
    <cellStyle name="Normal 22 10" xfId="18635" xr:uid="{00000000-0005-0000-0000-0000E0590000}"/>
    <cellStyle name="Normal 22 10 2" xfId="42467" xr:uid="{31947228-6284-4DC2-9617-ACA2E6EA5459}"/>
    <cellStyle name="Normal 22 11" xfId="26587" xr:uid="{22396913-E7FA-4A6A-886D-15E72AB366BD}"/>
    <cellStyle name="Normal 22 2" xfId="1765" xr:uid="{00000000-0005-0000-0000-0000E1590000}"/>
    <cellStyle name="Normal 22 2 2" xfId="5291" xr:uid="{00000000-0005-0000-0000-0000E2590000}"/>
    <cellStyle name="Normal 22 2 2 2" xfId="8882" xr:uid="{00000000-0005-0000-0000-0000E3590000}"/>
    <cellStyle name="Normal 22 2 2 2 2" xfId="16852" xr:uid="{00000000-0005-0000-0000-0000E4590000}"/>
    <cellStyle name="Normal 22 2 2 2 2 2" xfId="40694" xr:uid="{DDDCBC29-0FE7-4281-8F0F-37E524ADB6C4}"/>
    <cellStyle name="Normal 22 2 2 2 3" xfId="24798" xr:uid="{00000000-0005-0000-0000-0000E5590000}"/>
    <cellStyle name="Normal 22 2 2 2 3 2" xfId="48630" xr:uid="{B2D42A6F-44C8-433A-A967-8B71AAD503C0}"/>
    <cellStyle name="Normal 22 2 2 2 4" xfId="32753" xr:uid="{52F6FDD4-6F20-44CD-828F-FEC7B155E5D4}"/>
    <cellStyle name="Normal 22 2 2 3" xfId="13314" xr:uid="{00000000-0005-0000-0000-0000E6590000}"/>
    <cellStyle name="Normal 22 2 2 3 2" xfId="37163" xr:uid="{D0B876EC-1ED2-4CA0-B5FF-0AA4CE1FE720}"/>
    <cellStyle name="Normal 22 2 2 4" xfId="21269" xr:uid="{00000000-0005-0000-0000-0000E7590000}"/>
    <cellStyle name="Normal 22 2 2 4 2" xfId="45101" xr:uid="{7C5CCC13-182D-4687-92CF-18CE7A7F3A03}"/>
    <cellStyle name="Normal 22 2 2 5" xfId="29222" xr:uid="{8D9EC4CE-FCE0-4F99-B331-6DBE7A39806A}"/>
    <cellStyle name="Normal 22 2 3" xfId="7123" xr:uid="{00000000-0005-0000-0000-0000E8590000}"/>
    <cellStyle name="Normal 22 2 3 2" xfId="15094" xr:uid="{00000000-0005-0000-0000-0000E9590000}"/>
    <cellStyle name="Normal 22 2 3 2 2" xfId="38936" xr:uid="{9C1DB8D1-C330-43A2-ACAC-59B566FB0108}"/>
    <cellStyle name="Normal 22 2 3 3" xfId="23041" xr:uid="{00000000-0005-0000-0000-0000EA590000}"/>
    <cellStyle name="Normal 22 2 3 3 2" xfId="46873" xr:uid="{C1CAA8DD-E0F7-40BF-A182-C76C11E456C2}"/>
    <cellStyle name="Normal 22 2 3 4" xfId="30995" xr:uid="{54062A95-16E3-4AB0-AC49-E38A08066BBE}"/>
    <cellStyle name="Normal 22 2 4" xfId="11558" xr:uid="{00000000-0005-0000-0000-0000EB590000}"/>
    <cellStyle name="Normal 22 2 4 2" xfId="35407" xr:uid="{9C1389D6-74C0-4D27-85BB-97E1DCE188CE}"/>
    <cellStyle name="Normal 22 2 5" xfId="19513" xr:uid="{00000000-0005-0000-0000-0000EC590000}"/>
    <cellStyle name="Normal 22 2 5 2" xfId="43345" xr:uid="{FC021F9D-6F30-488C-B592-2A521BCADAD3}"/>
    <cellStyle name="Normal 22 2 6" xfId="27465" xr:uid="{5608E945-EC8A-44BC-8647-BBC3C43DB392}"/>
    <cellStyle name="Normal 22 2_Exh G" xfId="3501" xr:uid="{00000000-0005-0000-0000-0000ED590000}"/>
    <cellStyle name="Normal 22 3" xfId="4412" xr:uid="{00000000-0005-0000-0000-0000EE590000}"/>
    <cellStyle name="Normal 22 3 2" xfId="8004" xr:uid="{00000000-0005-0000-0000-0000EF590000}"/>
    <cellStyle name="Normal 22 3 2 2" xfId="15974" xr:uid="{00000000-0005-0000-0000-0000F0590000}"/>
    <cellStyle name="Normal 22 3 2 2 2" xfId="39816" xr:uid="{56D5E541-6DDE-4745-AF59-92BC17C4173F}"/>
    <cellStyle name="Normal 22 3 2 3" xfId="23920" xr:uid="{00000000-0005-0000-0000-0000F1590000}"/>
    <cellStyle name="Normal 22 3 2 3 2" xfId="47752" xr:uid="{22A788EF-6240-4A9D-B221-C77B3C4EC4BB}"/>
    <cellStyle name="Normal 22 3 2 4" xfId="31875" xr:uid="{D1CA4997-3216-4458-80E2-8FCBF9B03B4A}"/>
    <cellStyle name="Normal 22 3 3" xfId="12436" xr:uid="{00000000-0005-0000-0000-0000F2590000}"/>
    <cellStyle name="Normal 22 3 3 2" xfId="36285" xr:uid="{8EB68725-02DF-414E-8FD2-C88B8FF385AC}"/>
    <cellStyle name="Normal 22 3 4" xfId="20391" xr:uid="{00000000-0005-0000-0000-0000F3590000}"/>
    <cellStyle name="Normal 22 3 4 2" xfId="44223" xr:uid="{53D26A7E-9369-4D1C-8C24-FFD231E16DD8}"/>
    <cellStyle name="Normal 22 3 5" xfId="28344" xr:uid="{3B337913-C627-4DC7-9731-DC86153553D6}"/>
    <cellStyle name="Normal 22 4" xfId="5479" xr:uid="{00000000-0005-0000-0000-0000F4590000}"/>
    <cellStyle name="Normal 22 4 2" xfId="9058" xr:uid="{00000000-0005-0000-0000-0000F5590000}"/>
    <cellStyle name="Normal 22 4 2 2" xfId="17017" xr:uid="{00000000-0005-0000-0000-0000F6590000}"/>
    <cellStyle name="Normal 22 4 2 2 2" xfId="40859" xr:uid="{EAF5C9A6-5CA1-4BE6-BF5E-1F6371DD2244}"/>
    <cellStyle name="Normal 22 4 2 3" xfId="24963" xr:uid="{00000000-0005-0000-0000-0000F7590000}"/>
    <cellStyle name="Normal 22 4 2 3 2" xfId="48795" xr:uid="{BC005DE5-D234-4D6B-90A7-5204863496A4}"/>
    <cellStyle name="Normal 22 4 2 4" xfId="32918" xr:uid="{2EEC1C81-079C-40DC-8DC8-107D000D5EC9}"/>
    <cellStyle name="Normal 22 4 3" xfId="13480" xr:uid="{00000000-0005-0000-0000-0000F8590000}"/>
    <cellStyle name="Normal 22 4 3 2" xfId="37329" xr:uid="{9259C4E1-45CA-4B30-90E8-91C96AEC2196}"/>
    <cellStyle name="Normal 22 4 4" xfId="21434" xr:uid="{00000000-0005-0000-0000-0000F9590000}"/>
    <cellStyle name="Normal 22 4 4 2" xfId="45266" xr:uid="{A0A47890-6605-4BB7-A0D6-D5D94B907FA4}"/>
    <cellStyle name="Normal 22 4 5" xfId="29388" xr:uid="{47D5B65B-972E-4ACB-ABAB-0B53F7519B24}"/>
    <cellStyle name="Normal 22 5" xfId="6242" xr:uid="{00000000-0005-0000-0000-0000FA590000}"/>
    <cellStyle name="Normal 22 5 2" xfId="14216" xr:uid="{00000000-0005-0000-0000-0000FB590000}"/>
    <cellStyle name="Normal 22 5 2 2" xfId="38058" xr:uid="{1F09014C-EF47-4D0F-9B91-5C5A12202349}"/>
    <cellStyle name="Normal 22 5 3" xfId="22163" xr:uid="{00000000-0005-0000-0000-0000FC590000}"/>
    <cellStyle name="Normal 22 5 3 2" xfId="45995" xr:uid="{DF88879D-188E-41F7-ACD2-3410797478C3}"/>
    <cellStyle name="Normal 22 5 4" xfId="30117" xr:uid="{228773AF-E040-46F9-B4AD-20C59322F245}"/>
    <cellStyle name="Normal 22 6" xfId="9784" xr:uid="{00000000-0005-0000-0000-0000FD590000}"/>
    <cellStyle name="Normal 22 6 2" xfId="17742" xr:uid="{00000000-0005-0000-0000-0000FE590000}"/>
    <cellStyle name="Normal 22 6 2 2" xfId="41582" xr:uid="{507227AD-AE84-46F8-A6D9-FE57AE4C0617}"/>
    <cellStyle name="Normal 22 6 3" xfId="25686" xr:uid="{00000000-0005-0000-0000-0000FF590000}"/>
    <cellStyle name="Normal 22 6 3 2" xfId="49518" xr:uid="{F7D58918-755D-4766-8F2B-B92A63474A72}"/>
    <cellStyle name="Normal 22 6 4" xfId="33641" xr:uid="{14896CC1-337C-43C6-8B87-F429D1BA760D}"/>
    <cellStyle name="Normal 22 7" xfId="9944" xr:uid="{00000000-0005-0000-0000-0000005A0000}"/>
    <cellStyle name="Normal 22 7 2" xfId="17902" xr:uid="{00000000-0005-0000-0000-0000015A0000}"/>
    <cellStyle name="Normal 22 7 2 2" xfId="41742" xr:uid="{3CFF87DE-AE81-4EC7-9B75-61D7C8C23A57}"/>
    <cellStyle name="Normal 22 7 3" xfId="25846" xr:uid="{00000000-0005-0000-0000-0000025A0000}"/>
    <cellStyle name="Normal 22 7 3 2" xfId="49678" xr:uid="{929F3391-080B-40DF-8472-0AEC53304DDD}"/>
    <cellStyle name="Normal 22 7 4" xfId="33801" xr:uid="{EF7EA776-EF8E-45EF-A108-083DE36E14D3}"/>
    <cellStyle name="Normal 22 8" xfId="9946" xr:uid="{00000000-0005-0000-0000-0000035A0000}"/>
    <cellStyle name="Normal 22 8 2" xfId="17904" xr:uid="{00000000-0005-0000-0000-0000045A0000}"/>
    <cellStyle name="Normal 22 8 2 2" xfId="41744" xr:uid="{6E769E63-D316-4403-B88F-79D7D2FBA8C4}"/>
    <cellStyle name="Normal 22 8 3" xfId="25848" xr:uid="{00000000-0005-0000-0000-0000055A0000}"/>
    <cellStyle name="Normal 22 8 3 2" xfId="49680" xr:uid="{ECA951CB-90DE-4CDA-8097-C4E836E07820}"/>
    <cellStyle name="Normal 22 8 4" xfId="33803" xr:uid="{666EC59C-8EB4-468C-B427-971B90C4C90F}"/>
    <cellStyle name="Normal 22 9" xfId="10680" xr:uid="{00000000-0005-0000-0000-0000065A0000}"/>
    <cellStyle name="Normal 22 9 2" xfId="34529" xr:uid="{5557E314-5136-4A49-BF07-D5159F78D705}"/>
    <cellStyle name="Normal 22_Exh G" xfId="3500" xr:uid="{00000000-0005-0000-0000-0000075A0000}"/>
    <cellStyle name="Normal 23" xfId="837" xr:uid="{00000000-0005-0000-0000-0000085A0000}"/>
    <cellStyle name="Normal 24" xfId="838" xr:uid="{00000000-0005-0000-0000-0000095A0000}"/>
    <cellStyle name="Normal 24 2" xfId="1773" xr:uid="{00000000-0005-0000-0000-00000A5A0000}"/>
    <cellStyle name="Normal 24 2 2" xfId="5293" xr:uid="{00000000-0005-0000-0000-00000B5A0000}"/>
    <cellStyle name="Normal 24 2 2 2" xfId="8884" xr:uid="{00000000-0005-0000-0000-00000C5A0000}"/>
    <cellStyle name="Normal 24 2 2 2 2" xfId="16854" xr:uid="{00000000-0005-0000-0000-00000D5A0000}"/>
    <cellStyle name="Normal 24 2 2 2 2 2" xfId="40696" xr:uid="{78E4027E-58AB-4BE8-BAB6-37B646854A9C}"/>
    <cellStyle name="Normal 24 2 2 2 3" xfId="24800" xr:uid="{00000000-0005-0000-0000-00000E5A0000}"/>
    <cellStyle name="Normal 24 2 2 2 3 2" xfId="48632" xr:uid="{5A50FE6A-DE5C-4BED-B204-783E0F9116C0}"/>
    <cellStyle name="Normal 24 2 2 2 4" xfId="32755" xr:uid="{A5423978-E5E9-4E90-8608-8CC7FD683C2E}"/>
    <cellStyle name="Normal 24 2 2 3" xfId="13316" xr:uid="{00000000-0005-0000-0000-00000F5A0000}"/>
    <cellStyle name="Normal 24 2 2 3 2" xfId="37165" xr:uid="{429555E4-E1BF-4C66-911A-97D8FA687943}"/>
    <cellStyle name="Normal 24 2 2 4" xfId="21271" xr:uid="{00000000-0005-0000-0000-0000105A0000}"/>
    <cellStyle name="Normal 24 2 2 4 2" xfId="45103" xr:uid="{ED05053D-577F-49F1-83FB-B8EB50DF1A0D}"/>
    <cellStyle name="Normal 24 2 2 5" xfId="29224" xr:uid="{3C36D7B3-A627-4F39-8453-3DD53457AE6E}"/>
    <cellStyle name="Normal 24 2 3" xfId="7125" xr:uid="{00000000-0005-0000-0000-0000115A0000}"/>
    <cellStyle name="Normal 24 2 3 2" xfId="15096" xr:uid="{00000000-0005-0000-0000-0000125A0000}"/>
    <cellStyle name="Normal 24 2 3 2 2" xfId="38938" xr:uid="{5417A021-1B4F-49BF-84C0-227778E7F90C}"/>
    <cellStyle name="Normal 24 2 3 3" xfId="23043" xr:uid="{00000000-0005-0000-0000-0000135A0000}"/>
    <cellStyle name="Normal 24 2 3 3 2" xfId="46875" xr:uid="{00E1532D-373F-417F-B024-B09DDB02DD31}"/>
    <cellStyle name="Normal 24 2 3 4" xfId="30997" xr:uid="{E4A68E10-8B85-407C-9B75-5D2FDFF4B78B}"/>
    <cellStyle name="Normal 24 2 4" xfId="11560" xr:uid="{00000000-0005-0000-0000-0000145A0000}"/>
    <cellStyle name="Normal 24 2 4 2" xfId="35409" xr:uid="{CD755745-9153-404E-BCA5-DB15C8E1129F}"/>
    <cellStyle name="Normal 24 2 5" xfId="19515" xr:uid="{00000000-0005-0000-0000-0000155A0000}"/>
    <cellStyle name="Normal 24 2 5 2" xfId="43347" xr:uid="{FFC1900B-C84B-4981-9A34-43D63B63C750}"/>
    <cellStyle name="Normal 24 2 6" xfId="27467" xr:uid="{6DE44637-CF6F-4927-8769-5370D50BB682}"/>
    <cellStyle name="Normal 24 2_Exh G" xfId="3503" xr:uid="{00000000-0005-0000-0000-0000165A0000}"/>
    <cellStyle name="Normal 24 3" xfId="4414" xr:uid="{00000000-0005-0000-0000-0000175A0000}"/>
    <cellStyle name="Normal 24 3 2" xfId="8006" xr:uid="{00000000-0005-0000-0000-0000185A0000}"/>
    <cellStyle name="Normal 24 3 2 2" xfId="15976" xr:uid="{00000000-0005-0000-0000-0000195A0000}"/>
    <cellStyle name="Normal 24 3 2 2 2" xfId="39818" xr:uid="{F27ACDB3-8627-46DC-8C12-6D95909F88BC}"/>
    <cellStyle name="Normal 24 3 2 3" xfId="23922" xr:uid="{00000000-0005-0000-0000-00001A5A0000}"/>
    <cellStyle name="Normal 24 3 2 3 2" xfId="47754" xr:uid="{32E50BC7-D857-4A60-9003-F72766CE7096}"/>
    <cellStyle name="Normal 24 3 2 4" xfId="31877" xr:uid="{0889A5C2-33BF-4387-8598-94653BD89A5A}"/>
    <cellStyle name="Normal 24 3 3" xfId="12438" xr:uid="{00000000-0005-0000-0000-00001B5A0000}"/>
    <cellStyle name="Normal 24 3 3 2" xfId="36287" xr:uid="{BEB5200F-54BE-452D-B9EA-E179AB091B27}"/>
    <cellStyle name="Normal 24 3 4" xfId="20393" xr:uid="{00000000-0005-0000-0000-00001C5A0000}"/>
    <cellStyle name="Normal 24 3 4 2" xfId="44225" xr:uid="{3569DCBD-8238-4800-9F51-44A8CF15F6C3}"/>
    <cellStyle name="Normal 24 3 5" xfId="28346" xr:uid="{21BD3045-3C3B-4A18-B33D-667DF0C449F8}"/>
    <cellStyle name="Normal 24 4" xfId="6244" xr:uid="{00000000-0005-0000-0000-00001D5A0000}"/>
    <cellStyle name="Normal 24 4 2" xfId="14218" xr:uid="{00000000-0005-0000-0000-00001E5A0000}"/>
    <cellStyle name="Normal 24 4 2 2" xfId="38060" xr:uid="{15C9D778-0BC9-4466-B73D-E93EA17C56D6}"/>
    <cellStyle name="Normal 24 4 3" xfId="22165" xr:uid="{00000000-0005-0000-0000-00001F5A0000}"/>
    <cellStyle name="Normal 24 4 3 2" xfId="45997" xr:uid="{C46981C3-0406-4C15-B7F3-9E3813FBE512}"/>
    <cellStyle name="Normal 24 4 4" xfId="30119" xr:uid="{3FC524CE-5096-4A76-8A4D-D95105A5714B}"/>
    <cellStyle name="Normal 24 5" xfId="9786" xr:uid="{00000000-0005-0000-0000-0000205A0000}"/>
    <cellStyle name="Normal 24 5 2" xfId="17744" xr:uid="{00000000-0005-0000-0000-0000215A0000}"/>
    <cellStyle name="Normal 24 5 2 2" xfId="41584" xr:uid="{CAD9003B-368D-428D-A419-A6C1C16DB730}"/>
    <cellStyle name="Normal 24 5 3" xfId="25688" xr:uid="{00000000-0005-0000-0000-0000225A0000}"/>
    <cellStyle name="Normal 24 5 3 2" xfId="49520" xr:uid="{36112C38-BF51-422E-98A0-D94A47019289}"/>
    <cellStyle name="Normal 24 5 4" xfId="33643" xr:uid="{63BD8D66-8CCC-4F0C-A01C-75C65AF2ADC3}"/>
    <cellStyle name="Normal 24 6" xfId="10682" xr:uid="{00000000-0005-0000-0000-0000235A0000}"/>
    <cellStyle name="Normal 24 6 2" xfId="34531" xr:uid="{C874C65C-9A23-4BB7-BF5C-20A7B718BDA4}"/>
    <cellStyle name="Normal 24 7" xfId="18637" xr:uid="{00000000-0005-0000-0000-0000245A0000}"/>
    <cellStyle name="Normal 24 7 2" xfId="42469" xr:uid="{B8B23BF4-D3A2-408B-AB81-FB6DD9F74712}"/>
    <cellStyle name="Normal 24 8" xfId="26589" xr:uid="{6059FEA6-E40F-4363-B0AE-F362B678C5D0}"/>
    <cellStyle name="Normal 24_Exh G" xfId="3502" xr:uid="{00000000-0005-0000-0000-0000255A0000}"/>
    <cellStyle name="Normal 25" xfId="857" xr:uid="{00000000-0005-0000-0000-0000265A0000}"/>
    <cellStyle name="Normal 26" xfId="1039" xr:uid="{00000000-0005-0000-0000-0000275A0000}"/>
    <cellStyle name="Normal 26 2" xfId="4571" xr:uid="{00000000-0005-0000-0000-0000285A0000}"/>
    <cellStyle name="Normal 26_Exh G" xfId="3504" xr:uid="{00000000-0005-0000-0000-0000295A0000}"/>
    <cellStyle name="Normal 27" xfId="1038" xr:uid="{00000000-0005-0000-0000-00002A5A0000}"/>
    <cellStyle name="Normal 27 2" xfId="25865" xr:uid="{00000000-0005-0000-0000-00002B5A0000}"/>
    <cellStyle name="Normal 28" xfId="5450" xr:uid="{00000000-0005-0000-0000-00002C5A0000}"/>
    <cellStyle name="Normal 29" xfId="5451" xr:uid="{00000000-0005-0000-0000-00002D5A0000}"/>
    <cellStyle name="Normal 29 2" xfId="9041" xr:uid="{00000000-0005-0000-0000-00002E5A0000}"/>
    <cellStyle name="Normal 3" xfId="2" xr:uid="{00000000-0005-0000-0000-00002F5A0000}"/>
    <cellStyle name="Normal 3 10" xfId="6403" xr:uid="{00000000-0005-0000-0000-0000305A0000}"/>
    <cellStyle name="Normal 3 11" xfId="49820" xr:uid="{A9B57D07-A9FA-43B9-B1EA-A68B6BE4180B}"/>
    <cellStyle name="Normal 3 2" xfId="665" xr:uid="{00000000-0005-0000-0000-0000315A0000}"/>
    <cellStyle name="Normal 3 2 10" xfId="26514" xr:uid="{8E735E9D-8663-47AE-A21E-11108BC8919A}"/>
    <cellStyle name="Normal 3 2 2" xfId="666" xr:uid="{00000000-0005-0000-0000-0000325A0000}"/>
    <cellStyle name="Normal 3 2 2 2" xfId="1692" xr:uid="{00000000-0005-0000-0000-0000335A0000}"/>
    <cellStyle name="Normal 3 2 2 2 2" xfId="5219" xr:uid="{00000000-0005-0000-0000-0000345A0000}"/>
    <cellStyle name="Normal 3 2 2 2 2 2" xfId="8810" xr:uid="{00000000-0005-0000-0000-0000355A0000}"/>
    <cellStyle name="Normal 3 2 2 2 2 2 2" xfId="16780" xr:uid="{00000000-0005-0000-0000-0000365A0000}"/>
    <cellStyle name="Normal 3 2 2 2 2 2 2 2" xfId="40622" xr:uid="{5865A4F8-8273-4804-B509-57D87E102BA7}"/>
    <cellStyle name="Normal 3 2 2 2 2 2 3" xfId="24726" xr:uid="{00000000-0005-0000-0000-0000375A0000}"/>
    <cellStyle name="Normal 3 2 2 2 2 2 3 2" xfId="48558" xr:uid="{7203DB1E-39E6-4D29-A068-681AA7DD0662}"/>
    <cellStyle name="Normal 3 2 2 2 2 2 4" xfId="32681" xr:uid="{C7F0333F-C4CA-4C64-A0C4-AF2C899B55FA}"/>
    <cellStyle name="Normal 3 2 2 2 2 3" xfId="13242" xr:uid="{00000000-0005-0000-0000-0000385A0000}"/>
    <cellStyle name="Normal 3 2 2 2 2 3 2" xfId="37091" xr:uid="{198A6414-49E0-4AAA-8EB8-ADE8ACCFEAAD}"/>
    <cellStyle name="Normal 3 2 2 2 2 4" xfId="21197" xr:uid="{00000000-0005-0000-0000-0000395A0000}"/>
    <cellStyle name="Normal 3 2 2 2 2 4 2" xfId="45029" xr:uid="{906A1E8A-0EAE-4303-9B85-D7AA2FB7D843}"/>
    <cellStyle name="Normal 3 2 2 2 2 5" xfId="29150" xr:uid="{FAA7A720-24F0-44AF-89D5-179509EF73F5}"/>
    <cellStyle name="Normal 3 2 2 2 3" xfId="7051" xr:uid="{00000000-0005-0000-0000-00003A5A0000}"/>
    <cellStyle name="Normal 3 2 2 2 3 2" xfId="15022" xr:uid="{00000000-0005-0000-0000-00003B5A0000}"/>
    <cellStyle name="Normal 3 2 2 2 3 2 2" xfId="38864" xr:uid="{85BCEA76-4052-4B96-8A72-90181ED06749}"/>
    <cellStyle name="Normal 3 2 2 2 3 3" xfId="22969" xr:uid="{00000000-0005-0000-0000-00003C5A0000}"/>
    <cellStyle name="Normal 3 2 2 2 3 3 2" xfId="46801" xr:uid="{28D9924A-D694-42A7-BE2A-89DDA6ACEB2A}"/>
    <cellStyle name="Normal 3 2 2 2 3 4" xfId="30923" xr:uid="{19780A3D-9D12-4355-AE2A-2321A01387E4}"/>
    <cellStyle name="Normal 3 2 2 2 4" xfId="11486" xr:uid="{00000000-0005-0000-0000-00003D5A0000}"/>
    <cellStyle name="Normal 3 2 2 2 4 2" xfId="35335" xr:uid="{384F5503-2712-4085-BA73-AB5ED2769E01}"/>
    <cellStyle name="Normal 3 2 2 2 5" xfId="19441" xr:uid="{00000000-0005-0000-0000-00003E5A0000}"/>
    <cellStyle name="Normal 3 2 2 2 5 2" xfId="43273" xr:uid="{41B49686-446A-45E1-9EBE-1A1488814567}"/>
    <cellStyle name="Normal 3 2 2 2 6" xfId="27393" xr:uid="{438345BA-C66B-46A0-8E5D-670471087E9D}"/>
    <cellStyle name="Normal 3 2 2 2_Exh G" xfId="3507" xr:uid="{00000000-0005-0000-0000-00003F5A0000}"/>
    <cellStyle name="Normal 3 2 2 3" xfId="4340" xr:uid="{00000000-0005-0000-0000-0000405A0000}"/>
    <cellStyle name="Normal 3 2 2 3 2" xfId="7932" xr:uid="{00000000-0005-0000-0000-0000415A0000}"/>
    <cellStyle name="Normal 3 2 2 3 2 2" xfId="15902" xr:uid="{00000000-0005-0000-0000-0000425A0000}"/>
    <cellStyle name="Normal 3 2 2 3 2 2 2" xfId="39744" xr:uid="{79C37170-D400-4D0B-BFB3-F25771F6DA3B}"/>
    <cellStyle name="Normal 3 2 2 3 2 3" xfId="23848" xr:uid="{00000000-0005-0000-0000-0000435A0000}"/>
    <cellStyle name="Normal 3 2 2 3 2 3 2" xfId="47680" xr:uid="{C9599BC9-302C-4BD2-992F-8F9F1A771EC6}"/>
    <cellStyle name="Normal 3 2 2 3 2 4" xfId="31803" xr:uid="{10F856B5-78B6-4711-96CA-80AE57D9F34A}"/>
    <cellStyle name="Normal 3 2 2 3 3" xfId="12364" xr:uid="{00000000-0005-0000-0000-0000445A0000}"/>
    <cellStyle name="Normal 3 2 2 3 3 2" xfId="36213" xr:uid="{E373C16C-93FC-4DE5-9A58-F485F6019F2E}"/>
    <cellStyle name="Normal 3 2 2 3 4" xfId="20319" xr:uid="{00000000-0005-0000-0000-0000455A0000}"/>
    <cellStyle name="Normal 3 2 2 3 4 2" xfId="44151" xr:uid="{F6D598D0-98F5-4E90-B76C-6AC86DDF675F}"/>
    <cellStyle name="Normal 3 2 2 3 5" xfId="28272" xr:uid="{E979A139-FFB5-4E5E-AE1F-D3876D813E09}"/>
    <cellStyle name="Normal 3 2 2 4" xfId="6160" xr:uid="{00000000-0005-0000-0000-0000465A0000}"/>
    <cellStyle name="Normal 3 2 2 4 2" xfId="14143" xr:uid="{00000000-0005-0000-0000-0000475A0000}"/>
    <cellStyle name="Normal 3 2 2 4 2 2" xfId="37986" xr:uid="{8D75B7D1-C6A6-42C6-A86E-9E036E5083D0}"/>
    <cellStyle name="Normal 3 2 2 4 3" xfId="22091" xr:uid="{00000000-0005-0000-0000-0000485A0000}"/>
    <cellStyle name="Normal 3 2 2 4 3 2" xfId="45923" xr:uid="{055C676A-6250-4280-89DF-21B9EDCDCD3E}"/>
    <cellStyle name="Normal 3 2 2 4 4" xfId="30045" xr:uid="{EFA0A9FA-95B1-4A7A-8DD0-9E63B6E1AB45}"/>
    <cellStyle name="Normal 3 2 2 5" xfId="9712" xr:uid="{00000000-0005-0000-0000-0000495A0000}"/>
    <cellStyle name="Normal 3 2 2 5 2" xfId="17670" xr:uid="{00000000-0005-0000-0000-00004A5A0000}"/>
    <cellStyle name="Normal 3 2 2 5 2 2" xfId="41510" xr:uid="{4DB77D2B-54F0-481D-9F54-DB1E8D1F9FBD}"/>
    <cellStyle name="Normal 3 2 2 5 3" xfId="25614" xr:uid="{00000000-0005-0000-0000-00004B5A0000}"/>
    <cellStyle name="Normal 3 2 2 5 3 2" xfId="49446" xr:uid="{A8406A9C-F709-4EC1-9AF3-CD49CCABBD2C}"/>
    <cellStyle name="Normal 3 2 2 5 4" xfId="33569" xr:uid="{05D5F4F4-697F-4848-B531-F34F3C683EB4}"/>
    <cellStyle name="Normal 3 2 2 6" xfId="10608" xr:uid="{00000000-0005-0000-0000-00004C5A0000}"/>
    <cellStyle name="Normal 3 2 2 6 2" xfId="34457" xr:uid="{8943871A-87FF-40A9-9E6A-597F08BC674B}"/>
    <cellStyle name="Normal 3 2 2 7" xfId="18563" xr:uid="{00000000-0005-0000-0000-00004D5A0000}"/>
    <cellStyle name="Normal 3 2 2 7 2" xfId="42395" xr:uid="{2A8398DD-7F15-4C25-9A96-BDF5D5F26DDF}"/>
    <cellStyle name="Normal 3 2 2 8" xfId="26515" xr:uid="{471D227A-F66C-4A85-8AAE-959A02327833}"/>
    <cellStyle name="Normal 3 2 2_Exh G" xfId="3506" xr:uid="{00000000-0005-0000-0000-00004E5A0000}"/>
    <cellStyle name="Normal 3 2 3" xfId="1016" xr:uid="{00000000-0005-0000-0000-00004F5A0000}"/>
    <cellStyle name="Normal 3 2 3 2" xfId="1917" xr:uid="{00000000-0005-0000-0000-0000505A0000}"/>
    <cellStyle name="Normal 3 2 3 2 2" xfId="5434" xr:uid="{00000000-0005-0000-0000-0000515A0000}"/>
    <cellStyle name="Normal 3 2 3 2 2 2" xfId="9025" xr:uid="{00000000-0005-0000-0000-0000525A0000}"/>
    <cellStyle name="Normal 3 2 3 2 2 2 2" xfId="16995" xr:uid="{00000000-0005-0000-0000-0000535A0000}"/>
    <cellStyle name="Normal 3 2 3 2 2 2 2 2" xfId="40837" xr:uid="{67516DFB-82C4-40AC-872D-3717EA0F3CD6}"/>
    <cellStyle name="Normal 3 2 3 2 2 2 3" xfId="24941" xr:uid="{00000000-0005-0000-0000-0000545A0000}"/>
    <cellStyle name="Normal 3 2 3 2 2 2 3 2" xfId="48773" xr:uid="{5FC2995E-6B0C-4B3D-8CDD-0703FEF8974D}"/>
    <cellStyle name="Normal 3 2 3 2 2 2 4" xfId="32896" xr:uid="{EECB7DB6-AF6E-46C0-B6D8-081C295DFB0E}"/>
    <cellStyle name="Normal 3 2 3 2 2 3" xfId="13457" xr:uid="{00000000-0005-0000-0000-0000555A0000}"/>
    <cellStyle name="Normal 3 2 3 2 2 3 2" xfId="37306" xr:uid="{56B0857A-D76E-428F-B411-421075514B1F}"/>
    <cellStyle name="Normal 3 2 3 2 2 4" xfId="21412" xr:uid="{00000000-0005-0000-0000-0000565A0000}"/>
    <cellStyle name="Normal 3 2 3 2 2 4 2" xfId="45244" xr:uid="{F0E251FE-5007-47CD-9C6C-180894D0077F}"/>
    <cellStyle name="Normal 3 2 3 2 2 5" xfId="29365" xr:uid="{65B79373-F584-42B4-A70B-6770F792F336}"/>
    <cellStyle name="Normal 3 2 3 2 3" xfId="7266" xr:uid="{00000000-0005-0000-0000-0000575A0000}"/>
    <cellStyle name="Normal 3 2 3 2 3 2" xfId="15237" xr:uid="{00000000-0005-0000-0000-0000585A0000}"/>
    <cellStyle name="Normal 3 2 3 2 3 2 2" xfId="39079" xr:uid="{431A6467-BEB1-440D-A8ED-C10242FD06C8}"/>
    <cellStyle name="Normal 3 2 3 2 3 3" xfId="23184" xr:uid="{00000000-0005-0000-0000-0000595A0000}"/>
    <cellStyle name="Normal 3 2 3 2 3 3 2" xfId="47016" xr:uid="{A529CA79-C820-4BEF-9189-F050FF8F7C1F}"/>
    <cellStyle name="Normal 3 2 3 2 3 4" xfId="31138" xr:uid="{A22FB146-3DBF-458D-BCA2-12CF785CB346}"/>
    <cellStyle name="Normal 3 2 3 2 4" xfId="11701" xr:uid="{00000000-0005-0000-0000-00005A5A0000}"/>
    <cellStyle name="Normal 3 2 3 2 4 2" xfId="35550" xr:uid="{7A5611F6-12FE-4179-99A2-BD7866FD50B1}"/>
    <cellStyle name="Normal 3 2 3 2 5" xfId="19656" xr:uid="{00000000-0005-0000-0000-00005B5A0000}"/>
    <cellStyle name="Normal 3 2 3 2 5 2" xfId="43488" xr:uid="{D90B3EA8-0BD9-4D12-BF98-D643435BBA57}"/>
    <cellStyle name="Normal 3 2 3 2 6" xfId="27608" xr:uid="{4F844FB9-BB5D-4397-92B3-E2DD4675746B}"/>
    <cellStyle name="Normal 3 2 3 2_Exh G" xfId="3509" xr:uid="{00000000-0005-0000-0000-00005C5A0000}"/>
    <cellStyle name="Normal 3 2 3 3" xfId="4555" xr:uid="{00000000-0005-0000-0000-00005D5A0000}"/>
    <cellStyle name="Normal 3 2 3 3 2" xfId="8147" xr:uid="{00000000-0005-0000-0000-00005E5A0000}"/>
    <cellStyle name="Normal 3 2 3 3 2 2" xfId="16117" xr:uid="{00000000-0005-0000-0000-00005F5A0000}"/>
    <cellStyle name="Normal 3 2 3 3 2 2 2" xfId="39959" xr:uid="{9AA4E2FD-7946-4E1F-8E0E-68918AE2EC71}"/>
    <cellStyle name="Normal 3 2 3 3 2 3" xfId="24063" xr:uid="{00000000-0005-0000-0000-0000605A0000}"/>
    <cellStyle name="Normal 3 2 3 3 2 3 2" xfId="47895" xr:uid="{C3088529-6265-42A5-AFDD-C8E2334C3554}"/>
    <cellStyle name="Normal 3 2 3 3 2 4" xfId="32018" xr:uid="{C94848AC-27EC-4225-ADC1-A2EC68761CDD}"/>
    <cellStyle name="Normal 3 2 3 3 3" xfId="12579" xr:uid="{00000000-0005-0000-0000-0000615A0000}"/>
    <cellStyle name="Normal 3 2 3 3 3 2" xfId="36428" xr:uid="{2B25F25B-31AA-40BD-82CE-010738A2CAFD}"/>
    <cellStyle name="Normal 3 2 3 3 4" xfId="20534" xr:uid="{00000000-0005-0000-0000-0000625A0000}"/>
    <cellStyle name="Normal 3 2 3 3 4 2" xfId="44366" xr:uid="{DFDFA728-7969-45ED-ABCE-590095839F2A}"/>
    <cellStyle name="Normal 3 2 3 3 5" xfId="28487" xr:uid="{E8891464-4F84-4EA7-94AF-858E3E426EC9}"/>
    <cellStyle name="Normal 3 2 3 4" xfId="6385" xr:uid="{00000000-0005-0000-0000-0000635A0000}"/>
    <cellStyle name="Normal 3 2 3 4 2" xfId="14359" xr:uid="{00000000-0005-0000-0000-0000645A0000}"/>
    <cellStyle name="Normal 3 2 3 4 2 2" xfId="38201" xr:uid="{3500EF31-F612-4119-94E2-0BC65D4BE3A1}"/>
    <cellStyle name="Normal 3 2 3 4 3" xfId="22306" xr:uid="{00000000-0005-0000-0000-0000655A0000}"/>
    <cellStyle name="Normal 3 2 3 4 3 2" xfId="46138" xr:uid="{1140E684-F922-42CC-9113-56B22B9D06E8}"/>
    <cellStyle name="Normal 3 2 3 4 4" xfId="30260" xr:uid="{7D86A6B7-44D1-48AA-BA1F-86B786408C99}"/>
    <cellStyle name="Normal 3 2 3 5" xfId="9927" xr:uid="{00000000-0005-0000-0000-0000665A0000}"/>
    <cellStyle name="Normal 3 2 3 5 2" xfId="17885" xr:uid="{00000000-0005-0000-0000-0000675A0000}"/>
    <cellStyle name="Normal 3 2 3 5 2 2" xfId="41725" xr:uid="{771074BE-4359-4A7B-8666-C538CC8D9AB1}"/>
    <cellStyle name="Normal 3 2 3 5 3" xfId="25829" xr:uid="{00000000-0005-0000-0000-0000685A0000}"/>
    <cellStyle name="Normal 3 2 3 5 3 2" xfId="49661" xr:uid="{D6A7D107-6AE9-438F-B2CB-D09EAF24D119}"/>
    <cellStyle name="Normal 3 2 3 5 4" xfId="33784" xr:uid="{8F934E8D-04A6-46DA-B8CC-60650BB81FAC}"/>
    <cellStyle name="Normal 3 2 3 6" xfId="10823" xr:uid="{00000000-0005-0000-0000-0000695A0000}"/>
    <cellStyle name="Normal 3 2 3 6 2" xfId="34672" xr:uid="{75E27A0A-C210-484B-ACC4-2ACECF6C6828}"/>
    <cellStyle name="Normal 3 2 3 7" xfId="18778" xr:uid="{00000000-0005-0000-0000-00006A5A0000}"/>
    <cellStyle name="Normal 3 2 3 7 2" xfId="42610" xr:uid="{67D0D14A-98B0-48E2-BD81-8805BD957C19}"/>
    <cellStyle name="Normal 3 2 3 8" xfId="26730" xr:uid="{977CB5AE-A5C2-40CB-8962-9513D46E3DDC}"/>
    <cellStyle name="Normal 3 2 3_Exh G" xfId="3508" xr:uid="{00000000-0005-0000-0000-00006B5A0000}"/>
    <cellStyle name="Normal 3 2 4" xfId="1691" xr:uid="{00000000-0005-0000-0000-00006C5A0000}"/>
    <cellStyle name="Normal 3 2 4 2" xfId="5218" xr:uid="{00000000-0005-0000-0000-00006D5A0000}"/>
    <cellStyle name="Normal 3 2 4 2 2" xfId="8809" xr:uid="{00000000-0005-0000-0000-00006E5A0000}"/>
    <cellStyle name="Normal 3 2 4 2 2 2" xfId="16779" xr:uid="{00000000-0005-0000-0000-00006F5A0000}"/>
    <cellStyle name="Normal 3 2 4 2 2 2 2" xfId="40621" xr:uid="{6BC3349C-6C61-4053-B9C2-1ABBCA1C5B6E}"/>
    <cellStyle name="Normal 3 2 4 2 2 3" xfId="24725" xr:uid="{00000000-0005-0000-0000-0000705A0000}"/>
    <cellStyle name="Normal 3 2 4 2 2 3 2" xfId="48557" xr:uid="{6906E151-31D2-415A-A550-E57CFFA3CD09}"/>
    <cellStyle name="Normal 3 2 4 2 2 4" xfId="32680" xr:uid="{3C8B561D-26CC-4EE0-8C62-A8FEEFA085E1}"/>
    <cellStyle name="Normal 3 2 4 2 3" xfId="13241" xr:uid="{00000000-0005-0000-0000-0000715A0000}"/>
    <cellStyle name="Normal 3 2 4 2 3 2" xfId="37090" xr:uid="{C8E32DE5-F45B-45D4-89D4-4ED66F39E45A}"/>
    <cellStyle name="Normal 3 2 4 2 4" xfId="21196" xr:uid="{00000000-0005-0000-0000-0000725A0000}"/>
    <cellStyle name="Normal 3 2 4 2 4 2" xfId="45028" xr:uid="{26C5FA4A-13F4-4F43-901E-2997FB66D010}"/>
    <cellStyle name="Normal 3 2 4 2 5" xfId="29149" xr:uid="{D259D284-D634-490F-B85D-41E72683EF99}"/>
    <cellStyle name="Normal 3 2 4 3" xfId="7050" xr:uid="{00000000-0005-0000-0000-0000735A0000}"/>
    <cellStyle name="Normal 3 2 4 3 2" xfId="15021" xr:uid="{00000000-0005-0000-0000-0000745A0000}"/>
    <cellStyle name="Normal 3 2 4 3 2 2" xfId="38863" xr:uid="{5BD278FA-3C26-415F-8C14-7248AC0D0AF0}"/>
    <cellStyle name="Normal 3 2 4 3 3" xfId="22968" xr:uid="{00000000-0005-0000-0000-0000755A0000}"/>
    <cellStyle name="Normal 3 2 4 3 3 2" xfId="46800" xr:uid="{4C3D8588-65BC-4B7D-99F0-90F16F4F944F}"/>
    <cellStyle name="Normal 3 2 4 3 4" xfId="30922" xr:uid="{6DDFCC73-BAAA-4FE1-B488-786B58BFDAFD}"/>
    <cellStyle name="Normal 3 2 4 4" xfId="11485" xr:uid="{00000000-0005-0000-0000-0000765A0000}"/>
    <cellStyle name="Normal 3 2 4 4 2" xfId="35334" xr:uid="{BBF94091-D6B7-4C6E-8621-EBB010699ED3}"/>
    <cellStyle name="Normal 3 2 4 5" xfId="19440" xr:uid="{00000000-0005-0000-0000-0000775A0000}"/>
    <cellStyle name="Normal 3 2 4 5 2" xfId="43272" xr:uid="{CD865D77-07B7-4BC2-A3F5-2D98A584A092}"/>
    <cellStyle name="Normal 3 2 4 6" xfId="27392" xr:uid="{59282816-F4AD-4AFF-965F-F86E2B3A1445}"/>
    <cellStyle name="Normal 3 2 4_Exh G" xfId="3510" xr:uid="{00000000-0005-0000-0000-0000785A0000}"/>
    <cellStyle name="Normal 3 2 5" xfId="4339" xr:uid="{00000000-0005-0000-0000-0000795A0000}"/>
    <cellStyle name="Normal 3 2 5 2" xfId="7931" xr:uid="{00000000-0005-0000-0000-00007A5A0000}"/>
    <cellStyle name="Normal 3 2 5 2 2" xfId="15901" xr:uid="{00000000-0005-0000-0000-00007B5A0000}"/>
    <cellStyle name="Normal 3 2 5 2 2 2" xfId="39743" xr:uid="{0C4920B6-9AB5-4DF4-AFE1-682B1BB608C2}"/>
    <cellStyle name="Normal 3 2 5 2 3" xfId="23847" xr:uid="{00000000-0005-0000-0000-00007C5A0000}"/>
    <cellStyle name="Normal 3 2 5 2 3 2" xfId="47679" xr:uid="{E032A6AC-012D-4CB9-BFE7-058870671475}"/>
    <cellStyle name="Normal 3 2 5 2 4" xfId="31802" xr:uid="{67300B4A-5F12-4D4F-AB4B-86A758676D54}"/>
    <cellStyle name="Normal 3 2 5 3" xfId="12363" xr:uid="{00000000-0005-0000-0000-00007D5A0000}"/>
    <cellStyle name="Normal 3 2 5 3 2" xfId="36212" xr:uid="{C03F8669-B420-4824-A594-0617460E24ED}"/>
    <cellStyle name="Normal 3 2 5 4" xfId="20318" xr:uid="{00000000-0005-0000-0000-00007E5A0000}"/>
    <cellStyle name="Normal 3 2 5 4 2" xfId="44150" xr:uid="{75A0780D-E1C9-4526-A76D-1E752E8B696F}"/>
    <cellStyle name="Normal 3 2 5 5" xfId="28271" xr:uid="{512AD40A-A2CD-4402-9AD2-5432678232CC}"/>
    <cellStyle name="Normal 3 2 6" xfId="6159" xr:uid="{00000000-0005-0000-0000-00007F5A0000}"/>
    <cellStyle name="Normal 3 2 6 2" xfId="14142" xr:uid="{00000000-0005-0000-0000-0000805A0000}"/>
    <cellStyle name="Normal 3 2 6 2 2" xfId="37985" xr:uid="{1510BEB2-2F72-4462-9830-D265477B8A9A}"/>
    <cellStyle name="Normal 3 2 6 3" xfId="22090" xr:uid="{00000000-0005-0000-0000-0000815A0000}"/>
    <cellStyle name="Normal 3 2 6 3 2" xfId="45922" xr:uid="{F324C2EC-EA2B-4EB9-8E0C-FB1E9073E267}"/>
    <cellStyle name="Normal 3 2 6 4" xfId="30044" xr:uid="{6425A3E6-3A4B-4456-B6D2-7BDCE277A45F}"/>
    <cellStyle name="Normal 3 2 7" xfId="9711" xr:uid="{00000000-0005-0000-0000-0000825A0000}"/>
    <cellStyle name="Normal 3 2 7 2" xfId="17669" xr:uid="{00000000-0005-0000-0000-0000835A0000}"/>
    <cellStyle name="Normal 3 2 7 2 2" xfId="41509" xr:uid="{ED0CD159-8F33-4F01-B978-186763EEDC4C}"/>
    <cellStyle name="Normal 3 2 7 3" xfId="25613" xr:uid="{00000000-0005-0000-0000-0000845A0000}"/>
    <cellStyle name="Normal 3 2 7 3 2" xfId="49445" xr:uid="{4E039654-3FCD-4810-B3F7-E9529B3352C5}"/>
    <cellStyle name="Normal 3 2 7 4" xfId="33568" xr:uid="{78C7E7E7-EFC5-4527-ACAB-E2F8738CA0A0}"/>
    <cellStyle name="Normal 3 2 8" xfId="10607" xr:uid="{00000000-0005-0000-0000-0000855A0000}"/>
    <cellStyle name="Normal 3 2 8 2" xfId="34456" xr:uid="{D9875C60-3B18-4528-B3E7-037551DD8DB0}"/>
    <cellStyle name="Normal 3 2 9" xfId="18562" xr:uid="{00000000-0005-0000-0000-0000865A0000}"/>
    <cellStyle name="Normal 3 2 9 2" xfId="42394" xr:uid="{C6B9A555-4E24-4438-A91F-5E9B1D003750}"/>
    <cellStyle name="Normal 3 2_Exh G" xfId="3505" xr:uid="{00000000-0005-0000-0000-0000875A0000}"/>
    <cellStyle name="Normal 3 3" xfId="667" xr:uid="{00000000-0005-0000-0000-0000885A0000}"/>
    <cellStyle name="Normal 3 3 2" xfId="1693" xr:uid="{00000000-0005-0000-0000-0000895A0000}"/>
    <cellStyle name="Normal 3 3 2 2" xfId="5220" xr:uid="{00000000-0005-0000-0000-00008A5A0000}"/>
    <cellStyle name="Normal 3 3 2 2 2" xfId="8811" xr:uid="{00000000-0005-0000-0000-00008B5A0000}"/>
    <cellStyle name="Normal 3 3 2 2 2 2" xfId="16781" xr:uid="{00000000-0005-0000-0000-00008C5A0000}"/>
    <cellStyle name="Normal 3 3 2 2 2 2 2" xfId="40623" xr:uid="{A3D283C7-F7A6-42D8-933A-89917DEF10C2}"/>
    <cellStyle name="Normal 3 3 2 2 2 3" xfId="24727" xr:uid="{00000000-0005-0000-0000-00008D5A0000}"/>
    <cellStyle name="Normal 3 3 2 2 2 3 2" xfId="48559" xr:uid="{0F5D9003-EB85-43F1-8364-39591F68ECA9}"/>
    <cellStyle name="Normal 3 3 2 2 2 4" xfId="32682" xr:uid="{E53BA89F-CA66-4DB7-B15E-CC0CCE62491E}"/>
    <cellStyle name="Normal 3 3 2 2 3" xfId="13243" xr:uid="{00000000-0005-0000-0000-00008E5A0000}"/>
    <cellStyle name="Normal 3 3 2 2 3 2" xfId="37092" xr:uid="{7C61AF97-EC6E-4376-B78D-284BB927D2D6}"/>
    <cellStyle name="Normal 3 3 2 2 4" xfId="21198" xr:uid="{00000000-0005-0000-0000-00008F5A0000}"/>
    <cellStyle name="Normal 3 3 2 2 4 2" xfId="45030" xr:uid="{D55D6581-A423-41C8-86BF-B2455ECB4124}"/>
    <cellStyle name="Normal 3 3 2 2 5" xfId="29151" xr:uid="{F3D43E99-603E-4511-BECA-A2DB365C0499}"/>
    <cellStyle name="Normal 3 3 2 3" xfId="7052" xr:uid="{00000000-0005-0000-0000-0000905A0000}"/>
    <cellStyle name="Normal 3 3 2 3 2" xfId="15023" xr:uid="{00000000-0005-0000-0000-0000915A0000}"/>
    <cellStyle name="Normal 3 3 2 3 2 2" xfId="38865" xr:uid="{EC02C9D8-DAAE-4E62-9DB4-3A308F71FF87}"/>
    <cellStyle name="Normal 3 3 2 3 3" xfId="22970" xr:uid="{00000000-0005-0000-0000-0000925A0000}"/>
    <cellStyle name="Normal 3 3 2 3 3 2" xfId="46802" xr:uid="{082AC056-3D73-4C4C-89A6-D1E9F7938438}"/>
    <cellStyle name="Normal 3 3 2 3 4" xfId="30924" xr:uid="{4467CF73-98CA-4752-9063-70A71D94DE41}"/>
    <cellStyle name="Normal 3 3 2 4" xfId="11487" xr:uid="{00000000-0005-0000-0000-0000935A0000}"/>
    <cellStyle name="Normal 3 3 2 4 2" xfId="35336" xr:uid="{C5F39555-367C-4BBF-B00C-4FF60678E257}"/>
    <cellStyle name="Normal 3 3 2 5" xfId="19442" xr:uid="{00000000-0005-0000-0000-0000945A0000}"/>
    <cellStyle name="Normal 3 3 2 5 2" xfId="43274" xr:uid="{60E08524-82F4-4384-90E1-A39E2E9D4543}"/>
    <cellStyle name="Normal 3 3 2 6" xfId="27394" xr:uid="{AABAD101-F0DF-476D-85EA-97EEC33A9900}"/>
    <cellStyle name="Normal 3 3 2_Exh G" xfId="3512" xr:uid="{00000000-0005-0000-0000-0000955A0000}"/>
    <cellStyle name="Normal 3 3 3" xfId="4341" xr:uid="{00000000-0005-0000-0000-0000965A0000}"/>
    <cellStyle name="Normal 3 3 3 2" xfId="7933" xr:uid="{00000000-0005-0000-0000-0000975A0000}"/>
    <cellStyle name="Normal 3 3 3 2 2" xfId="15903" xr:uid="{00000000-0005-0000-0000-0000985A0000}"/>
    <cellStyle name="Normal 3 3 3 2 2 2" xfId="39745" xr:uid="{286D5959-F68D-4AD2-9D87-009FB8160A7C}"/>
    <cellStyle name="Normal 3 3 3 2 3" xfId="23849" xr:uid="{00000000-0005-0000-0000-0000995A0000}"/>
    <cellStyle name="Normal 3 3 3 2 3 2" xfId="47681" xr:uid="{6E844428-E050-405C-A9B3-9D3911A0CF17}"/>
    <cellStyle name="Normal 3 3 3 2 4" xfId="31804" xr:uid="{D6344D2C-A74A-4D01-A81C-E4FF795B424F}"/>
    <cellStyle name="Normal 3 3 3 3" xfId="12365" xr:uid="{00000000-0005-0000-0000-00009A5A0000}"/>
    <cellStyle name="Normal 3 3 3 3 2" xfId="36214" xr:uid="{0019C411-6D58-44D8-8856-D37B0ED633FF}"/>
    <cellStyle name="Normal 3 3 3 4" xfId="20320" xr:uid="{00000000-0005-0000-0000-00009B5A0000}"/>
    <cellStyle name="Normal 3 3 3 4 2" xfId="44152" xr:uid="{26E03B27-C89F-482A-865C-6439527D1D96}"/>
    <cellStyle name="Normal 3 3 3 5" xfId="28273" xr:uid="{48443D11-745C-423B-8C11-D1E3FAA033B1}"/>
    <cellStyle name="Normal 3 3 4" xfId="6161" xr:uid="{00000000-0005-0000-0000-00009C5A0000}"/>
    <cellStyle name="Normal 3 3 4 2" xfId="14144" xr:uid="{00000000-0005-0000-0000-00009D5A0000}"/>
    <cellStyle name="Normal 3 3 4 2 2" xfId="37987" xr:uid="{3652950D-81AF-4DE0-8D43-E1762A836378}"/>
    <cellStyle name="Normal 3 3 4 3" xfId="22092" xr:uid="{00000000-0005-0000-0000-00009E5A0000}"/>
    <cellStyle name="Normal 3 3 4 3 2" xfId="45924" xr:uid="{A29D40F1-E45B-4140-9EB1-4352E8174D74}"/>
    <cellStyle name="Normal 3 3 4 4" xfId="30046" xr:uid="{F4F7EDD7-A6CD-4A50-9316-CE246511F638}"/>
    <cellStyle name="Normal 3 3 5" xfId="9713" xr:uid="{00000000-0005-0000-0000-00009F5A0000}"/>
    <cellStyle name="Normal 3 3 5 2" xfId="17671" xr:uid="{00000000-0005-0000-0000-0000A05A0000}"/>
    <cellStyle name="Normal 3 3 5 2 2" xfId="41511" xr:uid="{D11CEB18-207F-427E-AF08-A7C306630B12}"/>
    <cellStyle name="Normal 3 3 5 3" xfId="25615" xr:uid="{00000000-0005-0000-0000-0000A15A0000}"/>
    <cellStyle name="Normal 3 3 5 3 2" xfId="49447" xr:uid="{790C71AA-C6BA-48DE-83AB-BB8A55376079}"/>
    <cellStyle name="Normal 3 3 5 4" xfId="33570" xr:uid="{E1123C10-A712-4BC0-BF93-29BA7C783D0E}"/>
    <cellStyle name="Normal 3 3 6" xfId="10609" xr:uid="{00000000-0005-0000-0000-0000A25A0000}"/>
    <cellStyle name="Normal 3 3 6 2" xfId="34458" xr:uid="{9A1B2711-D20C-4F1C-8F7C-DB489F720F6F}"/>
    <cellStyle name="Normal 3 3 7" xfId="18564" xr:uid="{00000000-0005-0000-0000-0000A35A0000}"/>
    <cellStyle name="Normal 3 3 7 2" xfId="42396" xr:uid="{45003ED4-4C18-460A-9971-D9F3EC38950B}"/>
    <cellStyle name="Normal 3 3 8" xfId="26516" xr:uid="{74970A78-40DD-4D73-948A-A6195BBDBB31}"/>
    <cellStyle name="Normal 3 3_Exh G" xfId="3511" xr:uid="{00000000-0005-0000-0000-0000A45A0000}"/>
    <cellStyle name="Normal 3 4" xfId="1015" xr:uid="{00000000-0005-0000-0000-0000A55A0000}"/>
    <cellStyle name="Normal 3 4 2" xfId="1916" xr:uid="{00000000-0005-0000-0000-0000A65A0000}"/>
    <cellStyle name="Normal 3 4 2 2" xfId="5433" xr:uid="{00000000-0005-0000-0000-0000A75A0000}"/>
    <cellStyle name="Normal 3 4 2 2 2" xfId="9024" xr:uid="{00000000-0005-0000-0000-0000A85A0000}"/>
    <cellStyle name="Normal 3 4 2 2 2 2" xfId="16994" xr:uid="{00000000-0005-0000-0000-0000A95A0000}"/>
    <cellStyle name="Normal 3 4 2 2 2 2 2" xfId="40836" xr:uid="{D72FDD52-8193-4AE0-A48C-D661AFA11F31}"/>
    <cellStyle name="Normal 3 4 2 2 2 3" xfId="24940" xr:uid="{00000000-0005-0000-0000-0000AA5A0000}"/>
    <cellStyle name="Normal 3 4 2 2 2 3 2" xfId="48772" xr:uid="{14FD1B2D-7DB0-4A48-AA63-7BC5BF46121A}"/>
    <cellStyle name="Normal 3 4 2 2 2 4" xfId="32895" xr:uid="{12261900-5E02-498C-8C11-8F34314F4BA0}"/>
    <cellStyle name="Normal 3 4 2 2 3" xfId="13456" xr:uid="{00000000-0005-0000-0000-0000AB5A0000}"/>
    <cellStyle name="Normal 3 4 2 2 3 2" xfId="37305" xr:uid="{E6E0B72B-B57B-4126-9BFE-AA85DF1F2558}"/>
    <cellStyle name="Normal 3 4 2 2 4" xfId="21411" xr:uid="{00000000-0005-0000-0000-0000AC5A0000}"/>
    <cellStyle name="Normal 3 4 2 2 4 2" xfId="45243" xr:uid="{6FDA1DEA-97F0-4B58-920A-D69CE4D6669A}"/>
    <cellStyle name="Normal 3 4 2 2 5" xfId="29364" xr:uid="{84A0B80B-8207-42AC-A77E-43658E18AC3E}"/>
    <cellStyle name="Normal 3 4 2 3" xfId="7265" xr:uid="{00000000-0005-0000-0000-0000AD5A0000}"/>
    <cellStyle name="Normal 3 4 2 3 2" xfId="15236" xr:uid="{00000000-0005-0000-0000-0000AE5A0000}"/>
    <cellStyle name="Normal 3 4 2 3 2 2" xfId="39078" xr:uid="{6C93929E-B57F-4025-95C6-CC44E857E34C}"/>
    <cellStyle name="Normal 3 4 2 3 3" xfId="23183" xr:uid="{00000000-0005-0000-0000-0000AF5A0000}"/>
    <cellStyle name="Normal 3 4 2 3 3 2" xfId="47015" xr:uid="{726F9917-81EC-474E-941E-2DF6F9531EB5}"/>
    <cellStyle name="Normal 3 4 2 3 4" xfId="31137" xr:uid="{6E5B3D2D-8A5A-47BF-830C-3F9E1B7ED6C5}"/>
    <cellStyle name="Normal 3 4 2 4" xfId="11700" xr:uid="{00000000-0005-0000-0000-0000B05A0000}"/>
    <cellStyle name="Normal 3 4 2 4 2" xfId="35549" xr:uid="{32705D4C-B91E-4024-B501-41523B728302}"/>
    <cellStyle name="Normal 3 4 2 5" xfId="19655" xr:uid="{00000000-0005-0000-0000-0000B15A0000}"/>
    <cellStyle name="Normal 3 4 2 5 2" xfId="43487" xr:uid="{8BB1F2E9-C0B1-4539-A250-ECD9776A1FD3}"/>
    <cellStyle name="Normal 3 4 2 6" xfId="27607" xr:uid="{E4EE7908-236E-4B7C-8EE8-AF7C1B37CBEE}"/>
    <cellStyle name="Normal 3 4 2_Exh G" xfId="3514" xr:uid="{00000000-0005-0000-0000-0000B25A0000}"/>
    <cellStyle name="Normal 3 4 3" xfId="4554" xr:uid="{00000000-0005-0000-0000-0000B35A0000}"/>
    <cellStyle name="Normal 3 4 3 2" xfId="8146" xr:uid="{00000000-0005-0000-0000-0000B45A0000}"/>
    <cellStyle name="Normal 3 4 3 2 2" xfId="16116" xr:uid="{00000000-0005-0000-0000-0000B55A0000}"/>
    <cellStyle name="Normal 3 4 3 2 2 2" xfId="39958" xr:uid="{ADD358FD-FCEE-4C79-8516-39D86593A113}"/>
    <cellStyle name="Normal 3 4 3 2 3" xfId="24062" xr:uid="{00000000-0005-0000-0000-0000B65A0000}"/>
    <cellStyle name="Normal 3 4 3 2 3 2" xfId="47894" xr:uid="{E8AB8E65-7459-4EA5-92CB-8DC35F95021E}"/>
    <cellStyle name="Normal 3 4 3 2 4" xfId="32017" xr:uid="{43303025-1B33-42FC-AC3B-8F95B34908DB}"/>
    <cellStyle name="Normal 3 4 3 3" xfId="12578" xr:uid="{00000000-0005-0000-0000-0000B75A0000}"/>
    <cellStyle name="Normal 3 4 3 3 2" xfId="36427" xr:uid="{E7E48D67-A958-4115-B65D-A8939602978C}"/>
    <cellStyle name="Normal 3 4 3 4" xfId="20533" xr:uid="{00000000-0005-0000-0000-0000B85A0000}"/>
    <cellStyle name="Normal 3 4 3 4 2" xfId="44365" xr:uid="{02C46267-D450-4E80-A51D-EB140A2F951D}"/>
    <cellStyle name="Normal 3 4 3 5" xfId="28486" xr:uid="{7F4F5141-9D06-4D8E-BB0E-126FE67D0C3E}"/>
    <cellStyle name="Normal 3 4 4" xfId="6384" xr:uid="{00000000-0005-0000-0000-0000B95A0000}"/>
    <cellStyle name="Normal 3 4 4 2" xfId="14358" xr:uid="{00000000-0005-0000-0000-0000BA5A0000}"/>
    <cellStyle name="Normal 3 4 4 2 2" xfId="38200" xr:uid="{AA3BA163-7AB6-45B3-A413-EBBECCDEFB23}"/>
    <cellStyle name="Normal 3 4 4 3" xfId="22305" xr:uid="{00000000-0005-0000-0000-0000BB5A0000}"/>
    <cellStyle name="Normal 3 4 4 3 2" xfId="46137" xr:uid="{26B41090-EBD2-4AB8-AC02-A916011A6ACF}"/>
    <cellStyle name="Normal 3 4 4 4" xfId="30259" xr:uid="{B9FFE2D1-9BAC-4C56-9256-A0EF9EAE19A9}"/>
    <cellStyle name="Normal 3 4 5" xfId="9926" xr:uid="{00000000-0005-0000-0000-0000BC5A0000}"/>
    <cellStyle name="Normal 3 4 5 2" xfId="17884" xr:uid="{00000000-0005-0000-0000-0000BD5A0000}"/>
    <cellStyle name="Normal 3 4 5 2 2" xfId="41724" xr:uid="{DC2469D1-353B-4A4C-9DD2-4FD4DC8AB1A8}"/>
    <cellStyle name="Normal 3 4 5 3" xfId="25828" xr:uid="{00000000-0005-0000-0000-0000BE5A0000}"/>
    <cellStyle name="Normal 3 4 5 3 2" xfId="49660" xr:uid="{6FCD0C32-3B0B-4453-BA56-8D89B151D36F}"/>
    <cellStyle name="Normal 3 4 5 4" xfId="33783" xr:uid="{BDE8FD9B-1650-457D-8750-0B540A594732}"/>
    <cellStyle name="Normal 3 4 6" xfId="10822" xr:uid="{00000000-0005-0000-0000-0000BF5A0000}"/>
    <cellStyle name="Normal 3 4 6 2" xfId="34671" xr:uid="{BE064379-358F-4247-91B2-97B215F6B300}"/>
    <cellStyle name="Normal 3 4 7" xfId="18777" xr:uid="{00000000-0005-0000-0000-0000C05A0000}"/>
    <cellStyle name="Normal 3 4 7 2" xfId="42609" xr:uid="{6371ACE5-8124-4DC7-BD20-22DF61395FDF}"/>
    <cellStyle name="Normal 3 4 8" xfId="26729" xr:uid="{93774915-426B-4D4E-B482-E560591BDAAF}"/>
    <cellStyle name="Normal 3 4_Exh G" xfId="3513" xr:uid="{00000000-0005-0000-0000-0000C15A0000}"/>
    <cellStyle name="Normal 3 5" xfId="5458" xr:uid="{00000000-0005-0000-0000-0000C25A0000}"/>
    <cellStyle name="Normal 3 6" xfId="5467" xr:uid="{00000000-0005-0000-0000-0000C35A0000}"/>
    <cellStyle name="Normal 3 7" xfId="5482" xr:uid="{00000000-0005-0000-0000-0000C45A0000}"/>
    <cellStyle name="Normal 3 8" xfId="5508" xr:uid="{00000000-0005-0000-0000-0000C55A0000}"/>
    <cellStyle name="Normal 3 9" xfId="5499" xr:uid="{00000000-0005-0000-0000-0000C65A0000}"/>
    <cellStyle name="Normal 30" xfId="5453" xr:uid="{00000000-0005-0000-0000-0000C75A0000}"/>
    <cellStyle name="Normal 30 2" xfId="9043" xr:uid="{00000000-0005-0000-0000-0000C85A0000}"/>
    <cellStyle name="Normal 31" xfId="5455" xr:uid="{00000000-0005-0000-0000-0000C95A0000}"/>
    <cellStyle name="Normal 31 2" xfId="9045" xr:uid="{00000000-0005-0000-0000-0000CA5A0000}"/>
    <cellStyle name="Normal 32" xfId="5456" xr:uid="{00000000-0005-0000-0000-0000CB5A0000}"/>
    <cellStyle name="Normal 32 2" xfId="9046" xr:uid="{00000000-0005-0000-0000-0000CC5A0000}"/>
    <cellStyle name="Normal 33" xfId="5473" xr:uid="{00000000-0005-0000-0000-0000CD5A0000}"/>
    <cellStyle name="Normal 33 2" xfId="9052" xr:uid="{00000000-0005-0000-0000-0000CE5A0000}"/>
    <cellStyle name="Normal 34" xfId="5474" xr:uid="{00000000-0005-0000-0000-0000CF5A0000}"/>
    <cellStyle name="Normal 34 2" xfId="9053" xr:uid="{00000000-0005-0000-0000-0000D05A0000}"/>
    <cellStyle name="Normal 35" xfId="5476" xr:uid="{00000000-0005-0000-0000-0000D15A0000}"/>
    <cellStyle name="Normal 35 2" xfId="9055" xr:uid="{00000000-0005-0000-0000-0000D25A0000}"/>
    <cellStyle name="Normal 36" xfId="5477" xr:uid="{00000000-0005-0000-0000-0000D35A0000}"/>
    <cellStyle name="Normal 36 2" xfId="9056" xr:uid="{00000000-0005-0000-0000-0000D45A0000}"/>
    <cellStyle name="Normal 37" xfId="5478" xr:uid="{00000000-0005-0000-0000-0000D55A0000}"/>
    <cellStyle name="Normal 37 2" xfId="9057" xr:uid="{00000000-0005-0000-0000-0000D65A0000}"/>
    <cellStyle name="Normal 37 2 2" xfId="17016" xr:uid="{00000000-0005-0000-0000-0000D75A0000}"/>
    <cellStyle name="Normal 37 2 2 2" xfId="40858" xr:uid="{161A778C-1C81-42B4-B578-96CE1BD60C39}"/>
    <cellStyle name="Normal 37 2 3" xfId="24962" xr:uid="{00000000-0005-0000-0000-0000D85A0000}"/>
    <cellStyle name="Normal 37 2 3 2" xfId="48794" xr:uid="{926C806C-ADCA-461F-9BBC-DE25391A9E98}"/>
    <cellStyle name="Normal 37 2 4" xfId="32917" xr:uid="{452D333C-2EC4-4B35-9A56-4D5CE79A4391}"/>
    <cellStyle name="Normal 37 3" xfId="13479" xr:uid="{00000000-0005-0000-0000-0000D95A0000}"/>
    <cellStyle name="Normal 37 3 2" xfId="37328" xr:uid="{2A397325-D99B-47F3-965D-252A9D1C14FF}"/>
    <cellStyle name="Normal 37 4" xfId="21433" xr:uid="{00000000-0005-0000-0000-0000DA5A0000}"/>
    <cellStyle name="Normal 37 4 2" xfId="45265" xr:uid="{00CFBEE0-51E0-4075-A243-D4FF688ACEDC}"/>
    <cellStyle name="Normal 37 5" xfId="29387" xr:uid="{BFEF0C60-6F7E-4C20-B2BC-0B95C8CF453A}"/>
    <cellStyle name="Normal 38" xfId="5480" xr:uid="{00000000-0005-0000-0000-0000DB5A0000}"/>
    <cellStyle name="Normal 39" xfId="5485" xr:uid="{00000000-0005-0000-0000-0000DC5A0000}"/>
    <cellStyle name="Normal 39 2" xfId="5505" xr:uid="{00000000-0005-0000-0000-0000DD5A0000}"/>
    <cellStyle name="Normal 39 2 2" xfId="13495" xr:uid="{00000000-0005-0000-0000-0000DE5A0000}"/>
    <cellStyle name="Normal 39 3" xfId="13482" xr:uid="{00000000-0005-0000-0000-0000DF5A0000}"/>
    <cellStyle name="Normal 4" xfId="3" xr:uid="{00000000-0005-0000-0000-0000E05A0000}"/>
    <cellStyle name="Normal 4 10" xfId="5509" xr:uid="{00000000-0005-0000-0000-0000E15A0000}"/>
    <cellStyle name="Normal 4 11" xfId="5500" xr:uid="{00000000-0005-0000-0000-0000E25A0000}"/>
    <cellStyle name="Normal 4 2" xfId="668" xr:uid="{00000000-0005-0000-0000-0000E35A0000}"/>
    <cellStyle name="Normal 4 2 10" xfId="5497" xr:uid="{00000000-0005-0000-0000-0000E45A0000}"/>
    <cellStyle name="Normal 4 2 11" xfId="9714" xr:uid="{00000000-0005-0000-0000-0000E55A0000}"/>
    <cellStyle name="Normal 4 2 11 2" xfId="17672" xr:uid="{00000000-0005-0000-0000-0000E65A0000}"/>
    <cellStyle name="Normal 4 2 11 2 2" xfId="41512" xr:uid="{D4FE9E9C-91BC-4B29-B51C-3D7DAE5ED16E}"/>
    <cellStyle name="Normal 4 2 11 3" xfId="25616" xr:uid="{00000000-0005-0000-0000-0000E75A0000}"/>
    <cellStyle name="Normal 4 2 11 3 2" xfId="49448" xr:uid="{310BCA1A-62A0-425D-AB16-98F61EEC9399}"/>
    <cellStyle name="Normal 4 2 11 4" xfId="33571" xr:uid="{A3E0D0A8-7965-4503-9D7A-40DA5AB595FB}"/>
    <cellStyle name="Normal 4 2 12" xfId="10610" xr:uid="{00000000-0005-0000-0000-0000E85A0000}"/>
    <cellStyle name="Normal 4 2 12 2" xfId="34459" xr:uid="{B03CABAA-F0D9-41DD-AC63-CBF9D9E94573}"/>
    <cellStyle name="Normal 4 2 13" xfId="18565" xr:uid="{00000000-0005-0000-0000-0000E95A0000}"/>
    <cellStyle name="Normal 4 2 13 2" xfId="42397" xr:uid="{298595F9-5173-48C3-B171-390DC0C19B4A}"/>
    <cellStyle name="Normal 4 2 14" xfId="26517" xr:uid="{754FA3D9-6343-441F-9F0B-46BE5CA76D64}"/>
    <cellStyle name="Normal 4 2 2" xfId="669" xr:uid="{00000000-0005-0000-0000-0000EA5A0000}"/>
    <cellStyle name="Normal 4 2 2 2" xfId="1695" xr:uid="{00000000-0005-0000-0000-0000EB5A0000}"/>
    <cellStyle name="Normal 4 2 2 2 2" xfId="5222" xr:uid="{00000000-0005-0000-0000-0000EC5A0000}"/>
    <cellStyle name="Normal 4 2 2 2 2 2" xfId="8813" xr:uid="{00000000-0005-0000-0000-0000ED5A0000}"/>
    <cellStyle name="Normal 4 2 2 2 2 2 2" xfId="16783" xr:uid="{00000000-0005-0000-0000-0000EE5A0000}"/>
    <cellStyle name="Normal 4 2 2 2 2 2 2 2" xfId="40625" xr:uid="{A2A81480-3A6C-4F85-A3FD-AF259F7C6D54}"/>
    <cellStyle name="Normal 4 2 2 2 2 2 3" xfId="24729" xr:uid="{00000000-0005-0000-0000-0000EF5A0000}"/>
    <cellStyle name="Normal 4 2 2 2 2 2 3 2" xfId="48561" xr:uid="{4A581F53-AA3E-4190-8459-FF1F9B2CC50F}"/>
    <cellStyle name="Normal 4 2 2 2 2 2 4" xfId="32684" xr:uid="{799CBE96-5DBA-4D2C-9A00-4DE632BF60A6}"/>
    <cellStyle name="Normal 4 2 2 2 2 3" xfId="13245" xr:uid="{00000000-0005-0000-0000-0000F05A0000}"/>
    <cellStyle name="Normal 4 2 2 2 2 3 2" xfId="37094" xr:uid="{DA2DAF94-DDF3-4EB9-8212-9D4455631DC1}"/>
    <cellStyle name="Normal 4 2 2 2 2 4" xfId="21200" xr:uid="{00000000-0005-0000-0000-0000F15A0000}"/>
    <cellStyle name="Normal 4 2 2 2 2 4 2" xfId="45032" xr:uid="{C1C7933B-3427-424A-8FF6-1B3749D4838C}"/>
    <cellStyle name="Normal 4 2 2 2 2 5" xfId="29153" xr:uid="{27C14F40-E4D0-4A93-8D4D-811701A0BA27}"/>
    <cellStyle name="Normal 4 2 2 2 3" xfId="7054" xr:uid="{00000000-0005-0000-0000-0000F25A0000}"/>
    <cellStyle name="Normal 4 2 2 2 3 2" xfId="15025" xr:uid="{00000000-0005-0000-0000-0000F35A0000}"/>
    <cellStyle name="Normal 4 2 2 2 3 2 2" xfId="38867" xr:uid="{D5118EF6-D199-48F3-B084-3F344CCA4949}"/>
    <cellStyle name="Normal 4 2 2 2 3 3" xfId="22972" xr:uid="{00000000-0005-0000-0000-0000F45A0000}"/>
    <cellStyle name="Normal 4 2 2 2 3 3 2" xfId="46804" xr:uid="{381EB0C2-0315-4272-BE70-F6EB573FEDC7}"/>
    <cellStyle name="Normal 4 2 2 2 3 4" xfId="30926" xr:uid="{71618219-5AA4-4B1B-B70B-2E56FA36BEF7}"/>
    <cellStyle name="Normal 4 2 2 2 4" xfId="11489" xr:uid="{00000000-0005-0000-0000-0000F55A0000}"/>
    <cellStyle name="Normal 4 2 2 2 4 2" xfId="35338" xr:uid="{FCFE2840-AFEC-4C20-83ED-6CF4259A55A6}"/>
    <cellStyle name="Normal 4 2 2 2 5" xfId="19444" xr:uid="{00000000-0005-0000-0000-0000F65A0000}"/>
    <cellStyle name="Normal 4 2 2 2 5 2" xfId="43276" xr:uid="{24A94AE8-8307-467F-BF0A-83B352FBA97E}"/>
    <cellStyle name="Normal 4 2 2 2 6" xfId="27396" xr:uid="{A8DEDE8F-B4E4-45B0-A80C-81A59345C842}"/>
    <cellStyle name="Normal 4 2 2 2_Exh G" xfId="3518" xr:uid="{00000000-0005-0000-0000-0000F75A0000}"/>
    <cellStyle name="Normal 4 2 2 3" xfId="4343" xr:uid="{00000000-0005-0000-0000-0000F85A0000}"/>
    <cellStyle name="Normal 4 2 2 3 2" xfId="7935" xr:uid="{00000000-0005-0000-0000-0000F95A0000}"/>
    <cellStyle name="Normal 4 2 2 3 2 2" xfId="15905" xr:uid="{00000000-0005-0000-0000-0000FA5A0000}"/>
    <cellStyle name="Normal 4 2 2 3 2 2 2" xfId="39747" xr:uid="{A75CABCC-34C1-43AA-A0FC-4F973E1BB6F8}"/>
    <cellStyle name="Normal 4 2 2 3 2 3" xfId="23851" xr:uid="{00000000-0005-0000-0000-0000FB5A0000}"/>
    <cellStyle name="Normal 4 2 2 3 2 3 2" xfId="47683" xr:uid="{F79A0840-1746-45CE-9224-440502F73A3C}"/>
    <cellStyle name="Normal 4 2 2 3 2 4" xfId="31806" xr:uid="{ABE22496-BEB4-46B9-BA0A-AF1811EAD02C}"/>
    <cellStyle name="Normal 4 2 2 3 3" xfId="12367" xr:uid="{00000000-0005-0000-0000-0000FC5A0000}"/>
    <cellStyle name="Normal 4 2 2 3 3 2" xfId="36216" xr:uid="{26F639CD-9777-4547-8674-100509A68B21}"/>
    <cellStyle name="Normal 4 2 2 3 4" xfId="20322" xr:uid="{00000000-0005-0000-0000-0000FD5A0000}"/>
    <cellStyle name="Normal 4 2 2 3 4 2" xfId="44154" xr:uid="{F76C8ACE-DB65-4908-AC59-1861105CCFA0}"/>
    <cellStyle name="Normal 4 2 2 3 5" xfId="28275" xr:uid="{09DF61B6-47D4-4254-84D8-C30C1BD0E7D9}"/>
    <cellStyle name="Normal 4 2 2 4" xfId="6163" xr:uid="{00000000-0005-0000-0000-0000FE5A0000}"/>
    <cellStyle name="Normal 4 2 2 4 2" xfId="14146" xr:uid="{00000000-0005-0000-0000-0000FF5A0000}"/>
    <cellStyle name="Normal 4 2 2 4 2 2" xfId="37989" xr:uid="{FA7F0CA2-6054-47EB-A4E0-7D69BF601876}"/>
    <cellStyle name="Normal 4 2 2 4 3" xfId="22094" xr:uid="{00000000-0005-0000-0000-0000005B0000}"/>
    <cellStyle name="Normal 4 2 2 4 3 2" xfId="45926" xr:uid="{1AFC6B18-D743-4F69-9D11-305630F53112}"/>
    <cellStyle name="Normal 4 2 2 4 4" xfId="30048" xr:uid="{02606D28-79C3-4735-A768-2D1CF1CFF871}"/>
    <cellStyle name="Normal 4 2 2 5" xfId="9715" xr:uid="{00000000-0005-0000-0000-0000015B0000}"/>
    <cellStyle name="Normal 4 2 2 5 2" xfId="17673" xr:uid="{00000000-0005-0000-0000-0000025B0000}"/>
    <cellStyle name="Normal 4 2 2 5 2 2" xfId="41513" xr:uid="{8C5870B8-907B-4C23-92B1-CF0CAB561C73}"/>
    <cellStyle name="Normal 4 2 2 5 3" xfId="25617" xr:uid="{00000000-0005-0000-0000-0000035B0000}"/>
    <cellStyle name="Normal 4 2 2 5 3 2" xfId="49449" xr:uid="{ECCE9DA5-57E4-460F-9107-2239AA658313}"/>
    <cellStyle name="Normal 4 2 2 5 4" xfId="33572" xr:uid="{AE86A50E-5022-49F3-8AB6-1010D573CABB}"/>
    <cellStyle name="Normal 4 2 2 6" xfId="10611" xr:uid="{00000000-0005-0000-0000-0000045B0000}"/>
    <cellStyle name="Normal 4 2 2 6 2" xfId="34460" xr:uid="{0889EE6D-8E7E-4A3F-9E9A-F152DBA34E75}"/>
    <cellStyle name="Normal 4 2 2 7" xfId="18566" xr:uid="{00000000-0005-0000-0000-0000055B0000}"/>
    <cellStyle name="Normal 4 2 2 7 2" xfId="42398" xr:uid="{E68AB874-D251-46F0-8BA7-E2F437B29A4B}"/>
    <cellStyle name="Normal 4 2 2 8" xfId="26518" xr:uid="{B729D2FE-78F1-448E-BDB0-7D8670DBD3A1}"/>
    <cellStyle name="Normal 4 2 2_Exh G" xfId="3517" xr:uid="{00000000-0005-0000-0000-0000065B0000}"/>
    <cellStyle name="Normal 4 2 3" xfId="1018" xr:uid="{00000000-0005-0000-0000-0000075B0000}"/>
    <cellStyle name="Normal 4 2 3 2" xfId="1919" xr:uid="{00000000-0005-0000-0000-0000085B0000}"/>
    <cellStyle name="Normal 4 2 3 2 2" xfId="5436" xr:uid="{00000000-0005-0000-0000-0000095B0000}"/>
    <cellStyle name="Normal 4 2 3 2 2 2" xfId="9027" xr:uid="{00000000-0005-0000-0000-00000A5B0000}"/>
    <cellStyle name="Normal 4 2 3 2 2 2 2" xfId="16997" xr:uid="{00000000-0005-0000-0000-00000B5B0000}"/>
    <cellStyle name="Normal 4 2 3 2 2 2 2 2" xfId="40839" xr:uid="{0CF12FB3-5C15-4EAB-B3AE-77EC2EDFFCB8}"/>
    <cellStyle name="Normal 4 2 3 2 2 2 3" xfId="24943" xr:uid="{00000000-0005-0000-0000-00000C5B0000}"/>
    <cellStyle name="Normal 4 2 3 2 2 2 3 2" xfId="48775" xr:uid="{6A0A8BDA-5F64-44C9-9B03-4788308DD815}"/>
    <cellStyle name="Normal 4 2 3 2 2 2 4" xfId="32898" xr:uid="{1073A1CD-AE54-4FC9-B2D0-5A678A21415B}"/>
    <cellStyle name="Normal 4 2 3 2 2 3" xfId="13459" xr:uid="{00000000-0005-0000-0000-00000D5B0000}"/>
    <cellStyle name="Normal 4 2 3 2 2 3 2" xfId="37308" xr:uid="{72E1B9D4-7FC3-4760-823C-F8350026680A}"/>
    <cellStyle name="Normal 4 2 3 2 2 4" xfId="21414" xr:uid="{00000000-0005-0000-0000-00000E5B0000}"/>
    <cellStyle name="Normal 4 2 3 2 2 4 2" xfId="45246" xr:uid="{C618C59C-D309-4315-8CBD-1102E2DBB436}"/>
    <cellStyle name="Normal 4 2 3 2 2 5" xfId="29367" xr:uid="{8C86D2C8-E083-4833-B688-50C51AF311E5}"/>
    <cellStyle name="Normal 4 2 3 2 3" xfId="7268" xr:uid="{00000000-0005-0000-0000-00000F5B0000}"/>
    <cellStyle name="Normal 4 2 3 2 3 2" xfId="15239" xr:uid="{00000000-0005-0000-0000-0000105B0000}"/>
    <cellStyle name="Normal 4 2 3 2 3 2 2" xfId="39081" xr:uid="{536A2EEE-942D-4694-AD87-6EE985A9DD89}"/>
    <cellStyle name="Normal 4 2 3 2 3 3" xfId="23186" xr:uid="{00000000-0005-0000-0000-0000115B0000}"/>
    <cellStyle name="Normal 4 2 3 2 3 3 2" xfId="47018" xr:uid="{CA0EAE84-983A-4B88-B970-44601C00E400}"/>
    <cellStyle name="Normal 4 2 3 2 3 4" xfId="31140" xr:uid="{53E2F811-FD2D-4A29-9147-C1B5FA0ECB49}"/>
    <cellStyle name="Normal 4 2 3 2 4" xfId="11703" xr:uid="{00000000-0005-0000-0000-0000125B0000}"/>
    <cellStyle name="Normal 4 2 3 2 4 2" xfId="35552" xr:uid="{8B28B491-DBF3-4D3F-9282-4425DB3C6207}"/>
    <cellStyle name="Normal 4 2 3 2 5" xfId="19658" xr:uid="{00000000-0005-0000-0000-0000135B0000}"/>
    <cellStyle name="Normal 4 2 3 2 5 2" xfId="43490" xr:uid="{3837740A-BC98-43E6-AA2C-AD656DDCB2AD}"/>
    <cellStyle name="Normal 4 2 3 2 6" xfId="27610" xr:uid="{A56F8236-1B83-45B0-B0E4-D5385D1CFFE5}"/>
    <cellStyle name="Normal 4 2 3 2_Exh G" xfId="3520" xr:uid="{00000000-0005-0000-0000-0000145B0000}"/>
    <cellStyle name="Normal 4 2 3 3" xfId="4557" xr:uid="{00000000-0005-0000-0000-0000155B0000}"/>
    <cellStyle name="Normal 4 2 3 3 2" xfId="8149" xr:uid="{00000000-0005-0000-0000-0000165B0000}"/>
    <cellStyle name="Normal 4 2 3 3 2 2" xfId="16119" xr:uid="{00000000-0005-0000-0000-0000175B0000}"/>
    <cellStyle name="Normal 4 2 3 3 2 2 2" xfId="39961" xr:uid="{94F56576-CF9C-4639-BE50-20AD4D7D75EA}"/>
    <cellStyle name="Normal 4 2 3 3 2 3" xfId="24065" xr:uid="{00000000-0005-0000-0000-0000185B0000}"/>
    <cellStyle name="Normal 4 2 3 3 2 3 2" xfId="47897" xr:uid="{B3754F1B-ED1F-4D94-80EF-EECB6C733AAC}"/>
    <cellStyle name="Normal 4 2 3 3 2 4" xfId="32020" xr:uid="{F2A3B4B8-0BA9-4AB6-9566-DFD97F09B682}"/>
    <cellStyle name="Normal 4 2 3 3 3" xfId="12581" xr:uid="{00000000-0005-0000-0000-0000195B0000}"/>
    <cellStyle name="Normal 4 2 3 3 3 2" xfId="36430" xr:uid="{FBC4F45D-2431-495F-8C4B-E00017CAB22A}"/>
    <cellStyle name="Normal 4 2 3 3 4" xfId="20536" xr:uid="{00000000-0005-0000-0000-00001A5B0000}"/>
    <cellStyle name="Normal 4 2 3 3 4 2" xfId="44368" xr:uid="{D5691C13-A449-4F80-883A-A3A7190DB9FB}"/>
    <cellStyle name="Normal 4 2 3 3 5" xfId="28489" xr:uid="{B1BB44B6-D47F-4B0E-AF7D-E53447B6A4E8}"/>
    <cellStyle name="Normal 4 2 3 4" xfId="6387" xr:uid="{00000000-0005-0000-0000-00001B5B0000}"/>
    <cellStyle name="Normal 4 2 3 4 2" xfId="14361" xr:uid="{00000000-0005-0000-0000-00001C5B0000}"/>
    <cellStyle name="Normal 4 2 3 4 2 2" xfId="38203" xr:uid="{C166A558-36E2-446D-B4C4-D7A48CD2F885}"/>
    <cellStyle name="Normal 4 2 3 4 3" xfId="22308" xr:uid="{00000000-0005-0000-0000-00001D5B0000}"/>
    <cellStyle name="Normal 4 2 3 4 3 2" xfId="46140" xr:uid="{E9AEF763-52E5-47DB-B585-7F5BF81A5418}"/>
    <cellStyle name="Normal 4 2 3 4 4" xfId="30262" xr:uid="{C9495894-160F-4ED2-9469-A1E911240E9D}"/>
    <cellStyle name="Normal 4 2 3 5" xfId="9929" xr:uid="{00000000-0005-0000-0000-00001E5B0000}"/>
    <cellStyle name="Normal 4 2 3 5 2" xfId="17887" xr:uid="{00000000-0005-0000-0000-00001F5B0000}"/>
    <cellStyle name="Normal 4 2 3 5 2 2" xfId="41727" xr:uid="{570043E6-E2BD-4587-A7D4-FEF9D954B8FE}"/>
    <cellStyle name="Normal 4 2 3 5 3" xfId="25831" xr:uid="{00000000-0005-0000-0000-0000205B0000}"/>
    <cellStyle name="Normal 4 2 3 5 3 2" xfId="49663" xr:uid="{92B21F28-9034-43A1-91E8-8CDDC495FB8B}"/>
    <cellStyle name="Normal 4 2 3 5 4" xfId="33786" xr:uid="{D577321F-0279-4970-99F3-D92707E5DB46}"/>
    <cellStyle name="Normal 4 2 3 6" xfId="10825" xr:uid="{00000000-0005-0000-0000-0000215B0000}"/>
    <cellStyle name="Normal 4 2 3 6 2" xfId="34674" xr:uid="{26726439-CBD4-44D0-A9D5-C00A37AC1F0B}"/>
    <cellStyle name="Normal 4 2 3 7" xfId="18780" xr:uid="{00000000-0005-0000-0000-0000225B0000}"/>
    <cellStyle name="Normal 4 2 3 7 2" xfId="42612" xr:uid="{ADD81AEB-0D0E-48A3-9A5E-3D6CF5600DA9}"/>
    <cellStyle name="Normal 4 2 3 8" xfId="26732" xr:uid="{F8495095-4CC4-4EA7-9A7A-4FA31C0C69E6}"/>
    <cellStyle name="Normal 4 2 3_Exh G" xfId="3519" xr:uid="{00000000-0005-0000-0000-0000235B0000}"/>
    <cellStyle name="Normal 4 2 4" xfId="1694" xr:uid="{00000000-0005-0000-0000-0000245B0000}"/>
    <cellStyle name="Normal 4 2 4 2" xfId="5221" xr:uid="{00000000-0005-0000-0000-0000255B0000}"/>
    <cellStyle name="Normal 4 2 4 2 2" xfId="8812" xr:uid="{00000000-0005-0000-0000-0000265B0000}"/>
    <cellStyle name="Normal 4 2 4 2 2 2" xfId="16782" xr:uid="{00000000-0005-0000-0000-0000275B0000}"/>
    <cellStyle name="Normal 4 2 4 2 2 2 2" xfId="40624" xr:uid="{8A410990-40E1-4801-AE54-A143673E7130}"/>
    <cellStyle name="Normal 4 2 4 2 2 3" xfId="24728" xr:uid="{00000000-0005-0000-0000-0000285B0000}"/>
    <cellStyle name="Normal 4 2 4 2 2 3 2" xfId="48560" xr:uid="{1CE42006-675F-4317-A689-133A372F3DC5}"/>
    <cellStyle name="Normal 4 2 4 2 2 4" xfId="32683" xr:uid="{E293A1C7-B377-4A88-A3B0-2DA393120BBD}"/>
    <cellStyle name="Normal 4 2 4 2 3" xfId="13244" xr:uid="{00000000-0005-0000-0000-0000295B0000}"/>
    <cellStyle name="Normal 4 2 4 2 3 2" xfId="37093" xr:uid="{537CBFC5-84F8-4E92-9D40-D8E3DB0B9EA7}"/>
    <cellStyle name="Normal 4 2 4 2 4" xfId="21199" xr:uid="{00000000-0005-0000-0000-00002A5B0000}"/>
    <cellStyle name="Normal 4 2 4 2 4 2" xfId="45031" xr:uid="{6959E99D-EC4A-448F-B533-CE3627AA9827}"/>
    <cellStyle name="Normal 4 2 4 2 5" xfId="29152" xr:uid="{7E6D5CEE-8EAD-4FFB-BD4F-6ED36BE09CB3}"/>
    <cellStyle name="Normal 4 2 4 3" xfId="7053" xr:uid="{00000000-0005-0000-0000-00002B5B0000}"/>
    <cellStyle name="Normal 4 2 4 3 2" xfId="15024" xr:uid="{00000000-0005-0000-0000-00002C5B0000}"/>
    <cellStyle name="Normal 4 2 4 3 2 2" xfId="38866" xr:uid="{C98D3F7F-B19D-4F88-AC3C-C2C3580C6993}"/>
    <cellStyle name="Normal 4 2 4 3 3" xfId="22971" xr:uid="{00000000-0005-0000-0000-00002D5B0000}"/>
    <cellStyle name="Normal 4 2 4 3 3 2" xfId="46803" xr:uid="{7BA9A754-3D55-4D2A-800B-DB18A507184C}"/>
    <cellStyle name="Normal 4 2 4 3 4" xfId="30925" xr:uid="{CDD7A2DD-E3D1-4049-AB34-BA5239CC3325}"/>
    <cellStyle name="Normal 4 2 4 4" xfId="11488" xr:uid="{00000000-0005-0000-0000-00002E5B0000}"/>
    <cellStyle name="Normal 4 2 4 4 2" xfId="35337" xr:uid="{1ED9514F-E234-427D-B7DD-1BB515F7CF15}"/>
    <cellStyle name="Normal 4 2 4 5" xfId="19443" xr:uid="{00000000-0005-0000-0000-00002F5B0000}"/>
    <cellStyle name="Normal 4 2 4 5 2" xfId="43275" xr:uid="{DB39A032-6452-4015-B8CF-9540E4FCCCB0}"/>
    <cellStyle name="Normal 4 2 4 6" xfId="27395" xr:uid="{118B784C-2995-4B04-B3AA-594E6634BC5F}"/>
    <cellStyle name="Normal 4 2 4_Exh G" xfId="3521" xr:uid="{00000000-0005-0000-0000-0000305B0000}"/>
    <cellStyle name="Normal 4 2 5" xfId="4342" xr:uid="{00000000-0005-0000-0000-0000315B0000}"/>
    <cellStyle name="Normal 4 2 5 2" xfId="7934" xr:uid="{00000000-0005-0000-0000-0000325B0000}"/>
    <cellStyle name="Normal 4 2 5 2 2" xfId="15904" xr:uid="{00000000-0005-0000-0000-0000335B0000}"/>
    <cellStyle name="Normal 4 2 5 2 2 2" xfId="39746" xr:uid="{4A670C80-07AD-4B52-A6F4-DB5504429589}"/>
    <cellStyle name="Normal 4 2 5 2 3" xfId="23850" xr:uid="{00000000-0005-0000-0000-0000345B0000}"/>
    <cellStyle name="Normal 4 2 5 2 3 2" xfId="47682" xr:uid="{F3A60766-7EDF-403F-8033-24699256D9AD}"/>
    <cellStyle name="Normal 4 2 5 2 4" xfId="31805" xr:uid="{CD2C5F65-6A7A-48BC-B0F1-097D3E789DCB}"/>
    <cellStyle name="Normal 4 2 5 3" xfId="12366" xr:uid="{00000000-0005-0000-0000-0000355B0000}"/>
    <cellStyle name="Normal 4 2 5 3 2" xfId="36215" xr:uid="{0B675E7D-FB76-47D0-892C-352BBF57CF88}"/>
    <cellStyle name="Normal 4 2 5 4" xfId="20321" xr:uid="{00000000-0005-0000-0000-0000365B0000}"/>
    <cellStyle name="Normal 4 2 5 4 2" xfId="44153" xr:uid="{E104A238-5118-4929-A999-FAF3141EE6AF}"/>
    <cellStyle name="Normal 4 2 5 5" xfId="28274" xr:uid="{07187815-E500-474F-B6D4-86137F70F48B}"/>
    <cellStyle name="Normal 4 2 6" xfId="5464" xr:uid="{00000000-0005-0000-0000-0000375B0000}"/>
    <cellStyle name="Normal 4 2 7" xfId="5471" xr:uid="{00000000-0005-0000-0000-0000385B0000}"/>
    <cellStyle name="Normal 4 2 8" xfId="6162" xr:uid="{00000000-0005-0000-0000-0000395B0000}"/>
    <cellStyle name="Normal 4 2 8 2" xfId="14145" xr:uid="{00000000-0005-0000-0000-00003A5B0000}"/>
    <cellStyle name="Normal 4 2 8 2 2" xfId="37988" xr:uid="{D1CD2FE6-0782-4826-82EE-4665A3D0A63C}"/>
    <cellStyle name="Normal 4 2 8 3" xfId="22093" xr:uid="{00000000-0005-0000-0000-00003B5B0000}"/>
    <cellStyle name="Normal 4 2 8 3 2" xfId="45925" xr:uid="{8D8728F7-3F39-446B-A3B4-281F4C3AF1EC}"/>
    <cellStyle name="Normal 4 2 8 4" xfId="30047" xr:uid="{9A867873-03DF-4F40-A46B-5F99ADCA6AF3}"/>
    <cellStyle name="Normal 4 2 9" xfId="5503" xr:uid="{00000000-0005-0000-0000-00003C5B0000}"/>
    <cellStyle name="Normal 4 2_Exh G" xfId="3516" xr:uid="{00000000-0005-0000-0000-00003D5B0000}"/>
    <cellStyle name="Normal 4 3" xfId="670" xr:uid="{00000000-0005-0000-0000-00003E5B0000}"/>
    <cellStyle name="Normal 4 3 2" xfId="1696" xr:uid="{00000000-0005-0000-0000-00003F5B0000}"/>
    <cellStyle name="Normal 4 3 2 2" xfId="5223" xr:uid="{00000000-0005-0000-0000-0000405B0000}"/>
    <cellStyle name="Normal 4 3 2 2 2" xfId="8814" xr:uid="{00000000-0005-0000-0000-0000415B0000}"/>
    <cellStyle name="Normal 4 3 2 2 2 2" xfId="16784" xr:uid="{00000000-0005-0000-0000-0000425B0000}"/>
    <cellStyle name="Normal 4 3 2 2 2 2 2" xfId="40626" xr:uid="{66D390C3-4969-4953-9E36-F6CF5D7ABA44}"/>
    <cellStyle name="Normal 4 3 2 2 2 3" xfId="24730" xr:uid="{00000000-0005-0000-0000-0000435B0000}"/>
    <cellStyle name="Normal 4 3 2 2 2 3 2" xfId="48562" xr:uid="{8D93ED8E-2EFB-483C-BA01-5004CB7E60AE}"/>
    <cellStyle name="Normal 4 3 2 2 2 4" xfId="32685" xr:uid="{5BA1CF63-8DC2-4956-BFDE-2CCB04D7D407}"/>
    <cellStyle name="Normal 4 3 2 2 3" xfId="13246" xr:uid="{00000000-0005-0000-0000-0000445B0000}"/>
    <cellStyle name="Normal 4 3 2 2 3 2" xfId="37095" xr:uid="{762DCD33-1319-4B61-B580-A1E9CA9300AC}"/>
    <cellStyle name="Normal 4 3 2 2 4" xfId="21201" xr:uid="{00000000-0005-0000-0000-0000455B0000}"/>
    <cellStyle name="Normal 4 3 2 2 4 2" xfId="45033" xr:uid="{E5D61FA6-5CEC-4EFF-A1AB-27A4ADECF760}"/>
    <cellStyle name="Normal 4 3 2 2 5" xfId="29154" xr:uid="{EFB0814A-A3B8-4231-ACF6-8393411BC55F}"/>
    <cellStyle name="Normal 4 3 2 3" xfId="7055" xr:uid="{00000000-0005-0000-0000-0000465B0000}"/>
    <cellStyle name="Normal 4 3 2 3 2" xfId="15026" xr:uid="{00000000-0005-0000-0000-0000475B0000}"/>
    <cellStyle name="Normal 4 3 2 3 2 2" xfId="38868" xr:uid="{4221E60A-CB09-4D73-8BC4-B3FB92A5D044}"/>
    <cellStyle name="Normal 4 3 2 3 3" xfId="22973" xr:uid="{00000000-0005-0000-0000-0000485B0000}"/>
    <cellStyle name="Normal 4 3 2 3 3 2" xfId="46805" xr:uid="{0004A40F-57A9-4C11-9F58-8CCFCFCD9173}"/>
    <cellStyle name="Normal 4 3 2 3 4" xfId="30927" xr:uid="{48B3A057-6757-4C0C-AF1F-A979914BDB97}"/>
    <cellStyle name="Normal 4 3 2 4" xfId="11490" xr:uid="{00000000-0005-0000-0000-0000495B0000}"/>
    <cellStyle name="Normal 4 3 2 4 2" xfId="35339" xr:uid="{0A53A42B-E07D-45B0-9A7A-2A198E893293}"/>
    <cellStyle name="Normal 4 3 2 5" xfId="19445" xr:uid="{00000000-0005-0000-0000-00004A5B0000}"/>
    <cellStyle name="Normal 4 3 2 5 2" xfId="43277" xr:uid="{4505F875-47BA-4F16-A572-9631150928DA}"/>
    <cellStyle name="Normal 4 3 2 6" xfId="27397" xr:uid="{A101CBDD-C2E6-46D5-8BC8-58483DB516C3}"/>
    <cellStyle name="Normal 4 3 2_Exh G" xfId="3523" xr:uid="{00000000-0005-0000-0000-00004B5B0000}"/>
    <cellStyle name="Normal 4 3 3" xfId="4344" xr:uid="{00000000-0005-0000-0000-00004C5B0000}"/>
    <cellStyle name="Normal 4 3 3 2" xfId="7936" xr:uid="{00000000-0005-0000-0000-00004D5B0000}"/>
    <cellStyle name="Normal 4 3 3 2 2" xfId="15906" xr:uid="{00000000-0005-0000-0000-00004E5B0000}"/>
    <cellStyle name="Normal 4 3 3 2 2 2" xfId="39748" xr:uid="{6C5989C6-3084-49BA-B66B-4813F2E37220}"/>
    <cellStyle name="Normal 4 3 3 2 3" xfId="23852" xr:uid="{00000000-0005-0000-0000-00004F5B0000}"/>
    <cellStyle name="Normal 4 3 3 2 3 2" xfId="47684" xr:uid="{24293E9B-E507-452F-9753-8271796D41F1}"/>
    <cellStyle name="Normal 4 3 3 2 4" xfId="31807" xr:uid="{EE1D5EFC-49ED-474A-93EF-8216A413B26E}"/>
    <cellStyle name="Normal 4 3 3 3" xfId="12368" xr:uid="{00000000-0005-0000-0000-0000505B0000}"/>
    <cellStyle name="Normal 4 3 3 3 2" xfId="36217" xr:uid="{BEB12262-1317-4F75-B314-73CE7EDB4C97}"/>
    <cellStyle name="Normal 4 3 3 4" xfId="20323" xr:uid="{00000000-0005-0000-0000-0000515B0000}"/>
    <cellStyle name="Normal 4 3 3 4 2" xfId="44155" xr:uid="{D3FDEDC8-5961-41E5-B1E7-40335BE4DD42}"/>
    <cellStyle name="Normal 4 3 3 5" xfId="28276" xr:uid="{53D1ACDF-B7E7-40E7-8F43-988A032B2A35}"/>
    <cellStyle name="Normal 4 3 4" xfId="6164" xr:uid="{00000000-0005-0000-0000-0000525B0000}"/>
    <cellStyle name="Normal 4 3 4 2" xfId="14147" xr:uid="{00000000-0005-0000-0000-0000535B0000}"/>
    <cellStyle name="Normal 4 3 4 2 2" xfId="37990" xr:uid="{63DC00F6-A8C4-4569-8066-2532D59CC017}"/>
    <cellStyle name="Normal 4 3 4 3" xfId="22095" xr:uid="{00000000-0005-0000-0000-0000545B0000}"/>
    <cellStyle name="Normal 4 3 4 3 2" xfId="45927" xr:uid="{7CBA2233-A23C-4F28-ACE6-5EBE6C065F28}"/>
    <cellStyle name="Normal 4 3 4 4" xfId="30049" xr:uid="{6FB79863-6B68-4610-8A5C-F556EAB15121}"/>
    <cellStyle name="Normal 4 3 5" xfId="9716" xr:uid="{00000000-0005-0000-0000-0000555B0000}"/>
    <cellStyle name="Normal 4 3 5 2" xfId="17674" xr:uid="{00000000-0005-0000-0000-0000565B0000}"/>
    <cellStyle name="Normal 4 3 5 2 2" xfId="41514" xr:uid="{939F35A7-43FF-4863-AE07-EA6B9DEFC711}"/>
    <cellStyle name="Normal 4 3 5 3" xfId="25618" xr:uid="{00000000-0005-0000-0000-0000575B0000}"/>
    <cellStyle name="Normal 4 3 5 3 2" xfId="49450" xr:uid="{D43BFEF4-B5DB-487E-89B8-1B1B885810A6}"/>
    <cellStyle name="Normal 4 3 5 4" xfId="33573" xr:uid="{EEC43314-BC42-4FA4-9DAB-F86D897F14C0}"/>
    <cellStyle name="Normal 4 3 6" xfId="10612" xr:uid="{00000000-0005-0000-0000-0000585B0000}"/>
    <cellStyle name="Normal 4 3 6 2" xfId="34461" xr:uid="{EFA05D23-6BFC-4B15-8929-D599AEA11D71}"/>
    <cellStyle name="Normal 4 3 7" xfId="18567" xr:uid="{00000000-0005-0000-0000-0000595B0000}"/>
    <cellStyle name="Normal 4 3 7 2" xfId="42399" xr:uid="{EFF53BE8-82A5-4A1C-8FA6-2770F4C152D3}"/>
    <cellStyle name="Normal 4 3 8" xfId="26519" xr:uid="{BAD7F576-DA1C-491A-8EE2-AB2287C461B1}"/>
    <cellStyle name="Normal 4 3_Exh G" xfId="3522" xr:uid="{00000000-0005-0000-0000-00005A5B0000}"/>
    <cellStyle name="Normal 4 4" xfId="1017" xr:uid="{00000000-0005-0000-0000-00005B5B0000}"/>
    <cellStyle name="Normal 4 4 2" xfId="1918" xr:uid="{00000000-0005-0000-0000-00005C5B0000}"/>
    <cellStyle name="Normal 4 4 2 2" xfId="5435" xr:uid="{00000000-0005-0000-0000-00005D5B0000}"/>
    <cellStyle name="Normal 4 4 2 2 2" xfId="9026" xr:uid="{00000000-0005-0000-0000-00005E5B0000}"/>
    <cellStyle name="Normal 4 4 2 2 2 2" xfId="16996" xr:uid="{00000000-0005-0000-0000-00005F5B0000}"/>
    <cellStyle name="Normal 4 4 2 2 2 2 2" xfId="40838" xr:uid="{74A092C0-0DE6-4B7D-AD63-5D945A49A528}"/>
    <cellStyle name="Normal 4 4 2 2 2 3" xfId="24942" xr:uid="{00000000-0005-0000-0000-0000605B0000}"/>
    <cellStyle name="Normal 4 4 2 2 2 3 2" xfId="48774" xr:uid="{74844784-60A9-47BB-8A1B-93C1354420B7}"/>
    <cellStyle name="Normal 4 4 2 2 2 4" xfId="32897" xr:uid="{84C7D302-3F66-41B1-82BD-74B71F5FF3DB}"/>
    <cellStyle name="Normal 4 4 2 2 3" xfId="13458" xr:uid="{00000000-0005-0000-0000-0000615B0000}"/>
    <cellStyle name="Normal 4 4 2 2 3 2" xfId="37307" xr:uid="{54198E69-EB02-4FFA-8429-67AE5FB644F1}"/>
    <cellStyle name="Normal 4 4 2 2 4" xfId="21413" xr:uid="{00000000-0005-0000-0000-0000625B0000}"/>
    <cellStyle name="Normal 4 4 2 2 4 2" xfId="45245" xr:uid="{8E3A7681-FACC-499F-BEFE-02966BB10A56}"/>
    <cellStyle name="Normal 4 4 2 2 5" xfId="29366" xr:uid="{1E8D4740-6123-4DEF-A0A5-AC61F2C2C78C}"/>
    <cellStyle name="Normal 4 4 2 3" xfId="7267" xr:uid="{00000000-0005-0000-0000-0000635B0000}"/>
    <cellStyle name="Normal 4 4 2 3 2" xfId="15238" xr:uid="{00000000-0005-0000-0000-0000645B0000}"/>
    <cellStyle name="Normal 4 4 2 3 2 2" xfId="39080" xr:uid="{878BA881-B7E1-45ED-BC99-E44865A74F8C}"/>
    <cellStyle name="Normal 4 4 2 3 3" xfId="23185" xr:uid="{00000000-0005-0000-0000-0000655B0000}"/>
    <cellStyle name="Normal 4 4 2 3 3 2" xfId="47017" xr:uid="{1035E536-331E-40E5-8361-0C7554CD3863}"/>
    <cellStyle name="Normal 4 4 2 3 4" xfId="31139" xr:uid="{720C91A9-6F55-4FB1-8C74-E5467C56A558}"/>
    <cellStyle name="Normal 4 4 2 4" xfId="11702" xr:uid="{00000000-0005-0000-0000-0000665B0000}"/>
    <cellStyle name="Normal 4 4 2 4 2" xfId="35551" xr:uid="{06978E9F-3746-48DF-920F-3F3CF89883A3}"/>
    <cellStyle name="Normal 4 4 2 5" xfId="19657" xr:uid="{00000000-0005-0000-0000-0000675B0000}"/>
    <cellStyle name="Normal 4 4 2 5 2" xfId="43489" xr:uid="{B7DFDE71-D03B-455B-8095-E7E7A465DC28}"/>
    <cellStyle name="Normal 4 4 2 6" xfId="27609" xr:uid="{5945A45A-E3FF-44FB-81AA-AA1708856EB1}"/>
    <cellStyle name="Normal 4 4 2_Exh G" xfId="3525" xr:uid="{00000000-0005-0000-0000-0000685B0000}"/>
    <cellStyle name="Normal 4 4 3" xfId="4556" xr:uid="{00000000-0005-0000-0000-0000695B0000}"/>
    <cellStyle name="Normal 4 4 3 2" xfId="8148" xr:uid="{00000000-0005-0000-0000-00006A5B0000}"/>
    <cellStyle name="Normal 4 4 3 2 2" xfId="16118" xr:uid="{00000000-0005-0000-0000-00006B5B0000}"/>
    <cellStyle name="Normal 4 4 3 2 2 2" xfId="39960" xr:uid="{C9CE5802-E5C5-4A44-B86A-8CEE15A19FD5}"/>
    <cellStyle name="Normal 4 4 3 2 3" xfId="24064" xr:uid="{00000000-0005-0000-0000-00006C5B0000}"/>
    <cellStyle name="Normal 4 4 3 2 3 2" xfId="47896" xr:uid="{93E122ED-DE40-4F03-8F61-8722396093CC}"/>
    <cellStyle name="Normal 4 4 3 2 4" xfId="32019" xr:uid="{9743689D-95EE-44C6-9F22-5DDC0B71A83B}"/>
    <cellStyle name="Normal 4 4 3 3" xfId="12580" xr:uid="{00000000-0005-0000-0000-00006D5B0000}"/>
    <cellStyle name="Normal 4 4 3 3 2" xfId="36429" xr:uid="{981F37E0-8795-4AB9-B950-D5A90F1061CD}"/>
    <cellStyle name="Normal 4 4 3 4" xfId="20535" xr:uid="{00000000-0005-0000-0000-00006E5B0000}"/>
    <cellStyle name="Normal 4 4 3 4 2" xfId="44367" xr:uid="{6699BF0E-8F46-4775-AF29-004595A293D9}"/>
    <cellStyle name="Normal 4 4 3 5" xfId="28488" xr:uid="{1C9D3FAC-D607-41E2-955B-44DA5FF454A9}"/>
    <cellStyle name="Normal 4 4 4" xfId="6386" xr:uid="{00000000-0005-0000-0000-00006F5B0000}"/>
    <cellStyle name="Normal 4 4 4 2" xfId="14360" xr:uid="{00000000-0005-0000-0000-0000705B0000}"/>
    <cellStyle name="Normal 4 4 4 2 2" xfId="38202" xr:uid="{4397CCB3-25ED-4705-B385-2C252A21F977}"/>
    <cellStyle name="Normal 4 4 4 3" xfId="22307" xr:uid="{00000000-0005-0000-0000-0000715B0000}"/>
    <cellStyle name="Normal 4 4 4 3 2" xfId="46139" xr:uid="{46F5ACFD-FBAE-4AC2-9BBA-F47973D01B9B}"/>
    <cellStyle name="Normal 4 4 4 4" xfId="30261" xr:uid="{C296F7FF-913D-45AE-AE15-8A97953B5C06}"/>
    <cellStyle name="Normal 4 4 5" xfId="9928" xr:uid="{00000000-0005-0000-0000-0000725B0000}"/>
    <cellStyle name="Normal 4 4 5 2" xfId="17886" xr:uid="{00000000-0005-0000-0000-0000735B0000}"/>
    <cellStyle name="Normal 4 4 5 2 2" xfId="41726" xr:uid="{1FFE099F-8863-4D36-ADA2-3900ECF8B3E9}"/>
    <cellStyle name="Normal 4 4 5 3" xfId="25830" xr:uid="{00000000-0005-0000-0000-0000745B0000}"/>
    <cellStyle name="Normal 4 4 5 3 2" xfId="49662" xr:uid="{20ACC2F1-55EB-458E-A910-68EC6D0F6394}"/>
    <cellStyle name="Normal 4 4 5 4" xfId="33785" xr:uid="{EE5F08CF-20C7-49AB-9BC0-2CE5EC72ECE8}"/>
    <cellStyle name="Normal 4 4 6" xfId="10824" xr:uid="{00000000-0005-0000-0000-0000755B0000}"/>
    <cellStyle name="Normal 4 4 6 2" xfId="34673" xr:uid="{458229C9-D527-4455-B53D-E1CE4C76C16D}"/>
    <cellStyle name="Normal 4 4 7" xfId="18779" xr:uid="{00000000-0005-0000-0000-0000765B0000}"/>
    <cellStyle name="Normal 4 4 7 2" xfId="42611" xr:uid="{6A0D028F-4F27-4B36-AC9C-0FFDEBF087C8}"/>
    <cellStyle name="Normal 4 4 8" xfId="26731" xr:uid="{C0219FA1-FB3A-4FEE-8E9D-4C93206E869F}"/>
    <cellStyle name="Normal 4 4_Exh G" xfId="3524" xr:uid="{00000000-0005-0000-0000-0000775B0000}"/>
    <cellStyle name="Normal 4 5" xfId="1042" xr:uid="{00000000-0005-0000-0000-0000785B0000}"/>
    <cellStyle name="Normal 4 6" xfId="3690" xr:uid="{00000000-0005-0000-0000-0000795B0000}"/>
    <cellStyle name="Normal 4 7" xfId="5460" xr:uid="{00000000-0005-0000-0000-00007A5B0000}"/>
    <cellStyle name="Normal 4 8" xfId="5468" xr:uid="{00000000-0005-0000-0000-00007B5B0000}"/>
    <cellStyle name="Normal 4 9" xfId="5483" xr:uid="{00000000-0005-0000-0000-00007C5B0000}"/>
    <cellStyle name="Normal 4_Exh G" xfId="3515" xr:uid="{00000000-0005-0000-0000-00007D5B0000}"/>
    <cellStyle name="Normal 40" xfId="5486" xr:uid="{00000000-0005-0000-0000-00007E5B0000}"/>
    <cellStyle name="Normal 40 2" xfId="13483" xr:uid="{00000000-0005-0000-0000-00007F5B0000}"/>
    <cellStyle name="Normal 41" xfId="5491" xr:uid="{00000000-0005-0000-0000-0000805B0000}"/>
    <cellStyle name="Normal 41 2" xfId="13487" xr:uid="{00000000-0005-0000-0000-0000815B0000}"/>
    <cellStyle name="Normal 42" xfId="5492" xr:uid="{00000000-0005-0000-0000-0000825B0000}"/>
    <cellStyle name="Normal 42 2" xfId="13488" xr:uid="{00000000-0005-0000-0000-0000835B0000}"/>
    <cellStyle name="Normal 43" xfId="5496" xr:uid="{00000000-0005-0000-0000-0000845B0000}"/>
    <cellStyle name="Normal 43 2" xfId="13492" xr:uid="{00000000-0005-0000-0000-0000855B0000}"/>
    <cellStyle name="Normal 44" xfId="6240" xr:uid="{00000000-0005-0000-0000-0000865B0000}"/>
    <cellStyle name="Normal 44 2" xfId="14214" xr:uid="{00000000-0005-0000-0000-0000875B0000}"/>
    <cellStyle name="Normal 45" xfId="9060" xr:uid="{00000000-0005-0000-0000-0000885B0000}"/>
    <cellStyle name="Normal 45 2" xfId="17019" xr:uid="{00000000-0005-0000-0000-0000895B0000}"/>
    <cellStyle name="Normal 46" xfId="9061" xr:uid="{00000000-0005-0000-0000-00008A5B0000}"/>
    <cellStyle name="Normal 46 2" xfId="17020" xr:uid="{00000000-0005-0000-0000-00008B5B0000}"/>
    <cellStyle name="Normal 47" xfId="9943" xr:uid="{00000000-0005-0000-0000-00008C5B0000}"/>
    <cellStyle name="Normal 47 2" xfId="17901" xr:uid="{00000000-0005-0000-0000-00008D5B0000}"/>
    <cellStyle name="Normal 47 2 2" xfId="41741" xr:uid="{C894D257-7AF7-48BB-95F7-86BB2C13A818}"/>
    <cellStyle name="Normal 47 3" xfId="25845" xr:uid="{00000000-0005-0000-0000-00008E5B0000}"/>
    <cellStyle name="Normal 47 3 2" xfId="49677" xr:uid="{D044D8AC-9682-4C44-AAFA-370B85BAE31F}"/>
    <cellStyle name="Normal 47 4" xfId="33800" xr:uid="{A43380EB-3EF9-4457-AF16-349251BBB010}"/>
    <cellStyle name="Normal 48" xfId="9945" xr:uid="{00000000-0005-0000-0000-00008F5B0000}"/>
    <cellStyle name="Normal 48 2" xfId="17903" xr:uid="{00000000-0005-0000-0000-0000905B0000}"/>
    <cellStyle name="Normal 48 2 2" xfId="41743" xr:uid="{540217B4-1E7C-461C-808A-3DE2E0BA5101}"/>
    <cellStyle name="Normal 48 3" xfId="25847" xr:uid="{00000000-0005-0000-0000-0000915B0000}"/>
    <cellStyle name="Normal 48 3 2" xfId="49679" xr:uid="{7C8AA8F7-0C81-4642-986D-F18E097DC54F}"/>
    <cellStyle name="Normal 48 4" xfId="33802" xr:uid="{598253AF-8E19-4B31-AB13-CCA715060B29}"/>
    <cellStyle name="Normal 49" xfId="9947" xr:uid="{00000000-0005-0000-0000-0000925B0000}"/>
    <cellStyle name="Normal 5" xfId="5" xr:uid="{00000000-0005-0000-0000-0000935B0000}"/>
    <cellStyle name="Normal 5 2" xfId="811" xr:uid="{00000000-0005-0000-0000-0000945B0000}"/>
    <cellStyle name="Normal 5 2 10" xfId="9782" xr:uid="{00000000-0005-0000-0000-0000955B0000}"/>
    <cellStyle name="Normal 5 2 10 2" xfId="17740" xr:uid="{00000000-0005-0000-0000-0000965B0000}"/>
    <cellStyle name="Normal 5 2 10 2 2" xfId="41580" xr:uid="{16C3E8A5-534B-4BC7-B5E1-B5974B6274A9}"/>
    <cellStyle name="Normal 5 2 10 3" xfId="25684" xr:uid="{00000000-0005-0000-0000-0000975B0000}"/>
    <cellStyle name="Normal 5 2 10 3 2" xfId="49516" xr:uid="{E35E1C0B-7B39-40FD-AE4E-8B49057AC38C}"/>
    <cellStyle name="Normal 5 2 10 4" xfId="33639" xr:uid="{EEDF0490-3B4D-425C-9E8B-757981CD3267}"/>
    <cellStyle name="Normal 5 2 11" xfId="10678" xr:uid="{00000000-0005-0000-0000-0000985B0000}"/>
    <cellStyle name="Normal 5 2 11 2" xfId="34527" xr:uid="{AA2E0682-8F9A-4079-8755-397E19E02D94}"/>
    <cellStyle name="Normal 5 2 12" xfId="18633" xr:uid="{00000000-0005-0000-0000-0000995B0000}"/>
    <cellStyle name="Normal 5 2 12 2" xfId="42465" xr:uid="{2D206685-6124-4225-8A11-0561D7981DEF}"/>
    <cellStyle name="Normal 5 2 13" xfId="26585" xr:uid="{E0B9890E-C7C9-476A-B49E-6FB390DB6E06}"/>
    <cellStyle name="Normal 5 2 2" xfId="1020" xr:uid="{00000000-0005-0000-0000-00009A5B0000}"/>
    <cellStyle name="Normal 5 2 2 2" xfId="1921" xr:uid="{00000000-0005-0000-0000-00009B5B0000}"/>
    <cellStyle name="Normal 5 2 2 2 2" xfId="5438" xr:uid="{00000000-0005-0000-0000-00009C5B0000}"/>
    <cellStyle name="Normal 5 2 2 2 2 2" xfId="9029" xr:uid="{00000000-0005-0000-0000-00009D5B0000}"/>
    <cellStyle name="Normal 5 2 2 2 2 2 2" xfId="16999" xr:uid="{00000000-0005-0000-0000-00009E5B0000}"/>
    <cellStyle name="Normal 5 2 2 2 2 2 2 2" xfId="40841" xr:uid="{7E366E3B-50A2-42A2-A8DE-253A59E5C8B0}"/>
    <cellStyle name="Normal 5 2 2 2 2 2 3" xfId="24945" xr:uid="{00000000-0005-0000-0000-00009F5B0000}"/>
    <cellStyle name="Normal 5 2 2 2 2 2 3 2" xfId="48777" xr:uid="{137B9155-9C87-4597-A801-9A366DCF087F}"/>
    <cellStyle name="Normal 5 2 2 2 2 2 4" xfId="32900" xr:uid="{0BE18F5A-2B64-4177-8B09-F669F3F07B59}"/>
    <cellStyle name="Normal 5 2 2 2 2 3" xfId="13461" xr:uid="{00000000-0005-0000-0000-0000A05B0000}"/>
    <cellStyle name="Normal 5 2 2 2 2 3 2" xfId="37310" xr:uid="{955A9DE0-383D-4C89-A9CD-D28AEAE06D1E}"/>
    <cellStyle name="Normal 5 2 2 2 2 4" xfId="21416" xr:uid="{00000000-0005-0000-0000-0000A15B0000}"/>
    <cellStyle name="Normal 5 2 2 2 2 4 2" xfId="45248" xr:uid="{C7E575B0-1985-4BAF-B938-BC624F53C1EA}"/>
    <cellStyle name="Normal 5 2 2 2 2 5" xfId="29369" xr:uid="{0FDF0E6F-6C89-426F-972E-6F3ADBBDE59C}"/>
    <cellStyle name="Normal 5 2 2 2 3" xfId="7270" xr:uid="{00000000-0005-0000-0000-0000A25B0000}"/>
    <cellStyle name="Normal 5 2 2 2 3 2" xfId="15241" xr:uid="{00000000-0005-0000-0000-0000A35B0000}"/>
    <cellStyle name="Normal 5 2 2 2 3 2 2" xfId="39083" xr:uid="{E7433DBA-B238-4988-8A70-B34026376B9A}"/>
    <cellStyle name="Normal 5 2 2 2 3 3" xfId="23188" xr:uid="{00000000-0005-0000-0000-0000A45B0000}"/>
    <cellStyle name="Normal 5 2 2 2 3 3 2" xfId="47020" xr:uid="{A7E8C9D5-EA83-4868-BBAF-D13A0122C74E}"/>
    <cellStyle name="Normal 5 2 2 2 3 4" xfId="31142" xr:uid="{5805930B-BCE0-4229-991E-B49681451F89}"/>
    <cellStyle name="Normal 5 2 2 2 4" xfId="11705" xr:uid="{00000000-0005-0000-0000-0000A55B0000}"/>
    <cellStyle name="Normal 5 2 2 2 4 2" xfId="35554" xr:uid="{09F094CB-5818-483B-9E81-E30DA4713D79}"/>
    <cellStyle name="Normal 5 2 2 2 5" xfId="19660" xr:uid="{00000000-0005-0000-0000-0000A65B0000}"/>
    <cellStyle name="Normal 5 2 2 2 5 2" xfId="43492" xr:uid="{49F3535D-3F95-4CBF-BBF8-B7B14282E0E3}"/>
    <cellStyle name="Normal 5 2 2 2 6" xfId="27612" xr:uid="{45EBBE49-AF53-43DD-92F9-5765DB43D6D0}"/>
    <cellStyle name="Normal 5 2 2 2_Exh G" xfId="3528" xr:uid="{00000000-0005-0000-0000-0000A75B0000}"/>
    <cellStyle name="Normal 5 2 2 3" xfId="4559" xr:uid="{00000000-0005-0000-0000-0000A85B0000}"/>
    <cellStyle name="Normal 5 2 2 3 2" xfId="8151" xr:uid="{00000000-0005-0000-0000-0000A95B0000}"/>
    <cellStyle name="Normal 5 2 2 3 2 2" xfId="16121" xr:uid="{00000000-0005-0000-0000-0000AA5B0000}"/>
    <cellStyle name="Normal 5 2 2 3 2 2 2" xfId="39963" xr:uid="{0C4463CC-3A6A-452E-9BA4-1A002031FAB9}"/>
    <cellStyle name="Normal 5 2 2 3 2 3" xfId="24067" xr:uid="{00000000-0005-0000-0000-0000AB5B0000}"/>
    <cellStyle name="Normal 5 2 2 3 2 3 2" xfId="47899" xr:uid="{454D7446-D955-4B52-9E81-CF0CD56E154E}"/>
    <cellStyle name="Normal 5 2 2 3 2 4" xfId="32022" xr:uid="{509749A0-3A2C-44BA-84E2-0B85A9904894}"/>
    <cellStyle name="Normal 5 2 2 3 3" xfId="12583" xr:uid="{00000000-0005-0000-0000-0000AC5B0000}"/>
    <cellStyle name="Normal 5 2 2 3 3 2" xfId="36432" xr:uid="{3E5A4959-2DD0-44B1-A11E-355A050A82EE}"/>
    <cellStyle name="Normal 5 2 2 3 4" xfId="20538" xr:uid="{00000000-0005-0000-0000-0000AD5B0000}"/>
    <cellStyle name="Normal 5 2 2 3 4 2" xfId="44370" xr:uid="{1AEBC6B7-44BA-4761-9B0E-7B671963589B}"/>
    <cellStyle name="Normal 5 2 2 3 5" xfId="28491" xr:uid="{92957B10-CB19-45CB-BF94-9E49543DD8C0}"/>
    <cellStyle name="Normal 5 2 2 4" xfId="6389" xr:uid="{00000000-0005-0000-0000-0000AE5B0000}"/>
    <cellStyle name="Normal 5 2 2 4 2" xfId="14363" xr:uid="{00000000-0005-0000-0000-0000AF5B0000}"/>
    <cellStyle name="Normal 5 2 2 4 2 2" xfId="38205" xr:uid="{8DDBF1F4-C6C3-4436-98A7-96D98890A772}"/>
    <cellStyle name="Normal 5 2 2 4 3" xfId="22310" xr:uid="{00000000-0005-0000-0000-0000B05B0000}"/>
    <cellStyle name="Normal 5 2 2 4 3 2" xfId="46142" xr:uid="{757BA193-D55A-4AEB-9070-D14BEC617B8B}"/>
    <cellStyle name="Normal 5 2 2 4 4" xfId="30264" xr:uid="{47A7850A-FCDB-49C4-93F6-6589A1DFEE25}"/>
    <cellStyle name="Normal 5 2 2 5" xfId="9931" xr:uid="{00000000-0005-0000-0000-0000B15B0000}"/>
    <cellStyle name="Normal 5 2 2 5 2" xfId="17889" xr:uid="{00000000-0005-0000-0000-0000B25B0000}"/>
    <cellStyle name="Normal 5 2 2 5 2 2" xfId="41729" xr:uid="{06BAEBE7-2CF1-453E-90C5-567A033BF960}"/>
    <cellStyle name="Normal 5 2 2 5 3" xfId="25833" xr:uid="{00000000-0005-0000-0000-0000B35B0000}"/>
    <cellStyle name="Normal 5 2 2 5 3 2" xfId="49665" xr:uid="{D91E9FBB-E713-44AF-B65D-ED7501B6391F}"/>
    <cellStyle name="Normal 5 2 2 5 4" xfId="33788" xr:uid="{D2ADB937-DA0F-4688-81E2-C75F7F7742F1}"/>
    <cellStyle name="Normal 5 2 2 6" xfId="10827" xr:uid="{00000000-0005-0000-0000-0000B45B0000}"/>
    <cellStyle name="Normal 5 2 2 6 2" xfId="34676" xr:uid="{E7C770D6-F97A-494C-903D-98D2DE6F6829}"/>
    <cellStyle name="Normal 5 2 2 7" xfId="18782" xr:uid="{00000000-0005-0000-0000-0000B55B0000}"/>
    <cellStyle name="Normal 5 2 2 7 2" xfId="42614" xr:uid="{52C745D1-6C81-423F-BF8D-DC0D83B2B7AF}"/>
    <cellStyle name="Normal 5 2 2 8" xfId="26734" xr:uid="{10370B5A-4D33-4A06-84EE-882359402FBD}"/>
    <cellStyle name="Normal 5 2 2_Exh G" xfId="3527" xr:uid="{00000000-0005-0000-0000-0000B65B0000}"/>
    <cellStyle name="Normal 5 2 3" xfId="1762" xr:uid="{00000000-0005-0000-0000-0000B75B0000}"/>
    <cellStyle name="Normal 5 2 3 2" xfId="5289" xr:uid="{00000000-0005-0000-0000-0000B85B0000}"/>
    <cellStyle name="Normal 5 2 3 2 2" xfId="8880" xr:uid="{00000000-0005-0000-0000-0000B95B0000}"/>
    <cellStyle name="Normal 5 2 3 2 2 2" xfId="16850" xr:uid="{00000000-0005-0000-0000-0000BA5B0000}"/>
    <cellStyle name="Normal 5 2 3 2 2 2 2" xfId="40692" xr:uid="{2F9F77F2-5589-401A-AA40-CCEAB7E858A5}"/>
    <cellStyle name="Normal 5 2 3 2 2 3" xfId="24796" xr:uid="{00000000-0005-0000-0000-0000BB5B0000}"/>
    <cellStyle name="Normal 5 2 3 2 2 3 2" xfId="48628" xr:uid="{350A08F0-AA2B-4BB0-90BA-4DAF6F285C53}"/>
    <cellStyle name="Normal 5 2 3 2 2 4" xfId="32751" xr:uid="{A7A01E46-F503-4C73-AAA4-2F0A29AE9643}"/>
    <cellStyle name="Normal 5 2 3 2 3" xfId="13312" xr:uid="{00000000-0005-0000-0000-0000BC5B0000}"/>
    <cellStyle name="Normal 5 2 3 2 3 2" xfId="37161" xr:uid="{7D69541D-FD7A-4AD0-8005-9564BDE9DD55}"/>
    <cellStyle name="Normal 5 2 3 2 4" xfId="21267" xr:uid="{00000000-0005-0000-0000-0000BD5B0000}"/>
    <cellStyle name="Normal 5 2 3 2 4 2" xfId="45099" xr:uid="{01513940-4492-4675-984F-03E284564AF8}"/>
    <cellStyle name="Normal 5 2 3 2 5" xfId="29220" xr:uid="{55B33F87-6BA5-459E-B1FB-259787306935}"/>
    <cellStyle name="Normal 5 2 3 3" xfId="7121" xr:uid="{00000000-0005-0000-0000-0000BE5B0000}"/>
    <cellStyle name="Normal 5 2 3 3 2" xfId="15092" xr:uid="{00000000-0005-0000-0000-0000BF5B0000}"/>
    <cellStyle name="Normal 5 2 3 3 2 2" xfId="38934" xr:uid="{9722E5C6-55EE-4C1A-8DDC-66E0EFC3543D}"/>
    <cellStyle name="Normal 5 2 3 3 3" xfId="23039" xr:uid="{00000000-0005-0000-0000-0000C05B0000}"/>
    <cellStyle name="Normal 5 2 3 3 3 2" xfId="46871" xr:uid="{5E0C0A87-5657-4A36-852C-C099F8244AB5}"/>
    <cellStyle name="Normal 5 2 3 3 4" xfId="30993" xr:uid="{C6D60E03-AAE4-4836-BCCF-8CB339807737}"/>
    <cellStyle name="Normal 5 2 3 4" xfId="11556" xr:uid="{00000000-0005-0000-0000-0000C15B0000}"/>
    <cellStyle name="Normal 5 2 3 4 2" xfId="35405" xr:uid="{536EF997-A927-444E-8762-0A50670C7F01}"/>
    <cellStyle name="Normal 5 2 3 5" xfId="19511" xr:uid="{00000000-0005-0000-0000-0000C25B0000}"/>
    <cellStyle name="Normal 5 2 3 5 2" xfId="43343" xr:uid="{4C0C4D69-5EB9-46B7-8291-CDF935847EF4}"/>
    <cellStyle name="Normal 5 2 3 6" xfId="27463" xr:uid="{2C183011-FB94-4704-A688-87BBFD988821}"/>
    <cellStyle name="Normal 5 2 3_Exh G" xfId="3529" xr:uid="{00000000-0005-0000-0000-0000C35B0000}"/>
    <cellStyle name="Normal 5 2 4" xfId="4410" xr:uid="{00000000-0005-0000-0000-0000C45B0000}"/>
    <cellStyle name="Normal 5 2 4 2" xfId="8002" xr:uid="{00000000-0005-0000-0000-0000C55B0000}"/>
    <cellStyle name="Normal 5 2 4 2 2" xfId="15972" xr:uid="{00000000-0005-0000-0000-0000C65B0000}"/>
    <cellStyle name="Normal 5 2 4 2 2 2" xfId="39814" xr:uid="{85B9F26E-AFAF-4443-A274-A824631C8271}"/>
    <cellStyle name="Normal 5 2 4 2 3" xfId="23918" xr:uid="{00000000-0005-0000-0000-0000C75B0000}"/>
    <cellStyle name="Normal 5 2 4 2 3 2" xfId="47750" xr:uid="{B010533D-EE43-42E2-974D-ADB31254C1C2}"/>
    <cellStyle name="Normal 5 2 4 2 4" xfId="31873" xr:uid="{E013174E-02CB-4987-A471-52CDCF7DCE6F}"/>
    <cellStyle name="Normal 5 2 4 3" xfId="12434" xr:uid="{00000000-0005-0000-0000-0000C85B0000}"/>
    <cellStyle name="Normal 5 2 4 3 2" xfId="36283" xr:uid="{EDE0EA03-F12F-4440-9100-BC1CC4E89116}"/>
    <cellStyle name="Normal 5 2 4 4" xfId="20389" xr:uid="{00000000-0005-0000-0000-0000C95B0000}"/>
    <cellStyle name="Normal 5 2 4 4 2" xfId="44221" xr:uid="{D1700D8E-63A6-4BE8-A46B-4AD9990AE7E9}"/>
    <cellStyle name="Normal 5 2 4 5" xfId="28342" xr:uid="{AC1028BA-2228-4E77-9303-F240246B99A2}"/>
    <cellStyle name="Normal 5 2 5" xfId="5466" xr:uid="{00000000-0005-0000-0000-0000CA5B0000}"/>
    <cellStyle name="Normal 5 2 5 2" xfId="9049" xr:uid="{00000000-0005-0000-0000-0000CB5B0000}"/>
    <cellStyle name="Normal 5 2 6" xfId="5472" xr:uid="{00000000-0005-0000-0000-0000CC5B0000}"/>
    <cellStyle name="Normal 5 2 6 2" xfId="9051" xr:uid="{00000000-0005-0000-0000-0000CD5B0000}"/>
    <cellStyle name="Normal 5 2 7" xfId="6234" xr:uid="{00000000-0005-0000-0000-0000CE5B0000}"/>
    <cellStyle name="Normal 5 2 7 2" xfId="14213" xr:uid="{00000000-0005-0000-0000-0000CF5B0000}"/>
    <cellStyle name="Normal 5 2 7 2 2" xfId="38056" xr:uid="{E4000B0F-0E27-45D1-A895-856B6E9D4D35}"/>
    <cellStyle name="Normal 5 2 7 3" xfId="22161" xr:uid="{00000000-0005-0000-0000-0000D05B0000}"/>
    <cellStyle name="Normal 5 2 7 3 2" xfId="45993" xr:uid="{FF6DA7BD-C3E1-4367-BE1C-6C6E4D8A263F}"/>
    <cellStyle name="Normal 5 2 7 4" xfId="30115" xr:uid="{1A40978C-304D-4E65-9664-35F956A53E81}"/>
    <cellStyle name="Normal 5 2 8" xfId="5504" xr:uid="{00000000-0005-0000-0000-0000D15B0000}"/>
    <cellStyle name="Normal 5 2 9" xfId="6235" xr:uid="{00000000-0005-0000-0000-0000D25B0000}"/>
    <cellStyle name="Normal 5 2_Exh G" xfId="3526" xr:uid="{00000000-0005-0000-0000-0000D35B0000}"/>
    <cellStyle name="Normal 5 3" xfId="1019" xr:uid="{00000000-0005-0000-0000-0000D45B0000}"/>
    <cellStyle name="Normal 5 3 2" xfId="1920" xr:uid="{00000000-0005-0000-0000-0000D55B0000}"/>
    <cellStyle name="Normal 5 3 2 2" xfId="5437" xr:uid="{00000000-0005-0000-0000-0000D65B0000}"/>
    <cellStyle name="Normal 5 3 2 2 2" xfId="9028" xr:uid="{00000000-0005-0000-0000-0000D75B0000}"/>
    <cellStyle name="Normal 5 3 2 2 2 2" xfId="16998" xr:uid="{00000000-0005-0000-0000-0000D85B0000}"/>
    <cellStyle name="Normal 5 3 2 2 2 2 2" xfId="40840" xr:uid="{83B2E9CD-4AD7-4F48-A32F-B578D5D9FD2F}"/>
    <cellStyle name="Normal 5 3 2 2 2 3" xfId="24944" xr:uid="{00000000-0005-0000-0000-0000D95B0000}"/>
    <cellStyle name="Normal 5 3 2 2 2 3 2" xfId="48776" xr:uid="{5B9D0430-0CB4-4E67-8620-3027085B62AB}"/>
    <cellStyle name="Normal 5 3 2 2 2 4" xfId="32899" xr:uid="{ECDC09E2-C56F-4009-AD03-6C64F547B1A8}"/>
    <cellStyle name="Normal 5 3 2 2 3" xfId="13460" xr:uid="{00000000-0005-0000-0000-0000DA5B0000}"/>
    <cellStyle name="Normal 5 3 2 2 3 2" xfId="37309" xr:uid="{B6B18022-CBF4-4B94-9E82-4A39B669AC75}"/>
    <cellStyle name="Normal 5 3 2 2 4" xfId="21415" xr:uid="{00000000-0005-0000-0000-0000DB5B0000}"/>
    <cellStyle name="Normal 5 3 2 2 4 2" xfId="45247" xr:uid="{53328BFC-5B10-491A-9AB5-3612ABE5F017}"/>
    <cellStyle name="Normal 5 3 2 2 5" xfId="29368" xr:uid="{CF4FAD9D-6B34-4577-9F96-0EF84819DFEA}"/>
    <cellStyle name="Normal 5 3 2 3" xfId="7269" xr:uid="{00000000-0005-0000-0000-0000DC5B0000}"/>
    <cellStyle name="Normal 5 3 2 3 2" xfId="15240" xr:uid="{00000000-0005-0000-0000-0000DD5B0000}"/>
    <cellStyle name="Normal 5 3 2 3 2 2" xfId="39082" xr:uid="{112008D6-DF4D-4472-8C9F-7D4FA7757DED}"/>
    <cellStyle name="Normal 5 3 2 3 3" xfId="23187" xr:uid="{00000000-0005-0000-0000-0000DE5B0000}"/>
    <cellStyle name="Normal 5 3 2 3 3 2" xfId="47019" xr:uid="{6AC69D58-B8E1-42FF-BB3E-3695BC5D800B}"/>
    <cellStyle name="Normal 5 3 2 3 4" xfId="31141" xr:uid="{9F735EBB-027E-4BD9-A3D2-CBC79AB51707}"/>
    <cellStyle name="Normal 5 3 2 4" xfId="11704" xr:uid="{00000000-0005-0000-0000-0000DF5B0000}"/>
    <cellStyle name="Normal 5 3 2 4 2" xfId="35553" xr:uid="{0368FE80-D7AE-4DDD-BDBF-F084F0347D2B}"/>
    <cellStyle name="Normal 5 3 2 5" xfId="19659" xr:uid="{00000000-0005-0000-0000-0000E05B0000}"/>
    <cellStyle name="Normal 5 3 2 5 2" xfId="43491" xr:uid="{FF47D24E-74F5-4CC9-ABD9-0E34B404E801}"/>
    <cellStyle name="Normal 5 3 2 6" xfId="27611" xr:uid="{D6E7B058-F54C-44A6-9E0B-C76784D19018}"/>
    <cellStyle name="Normal 5 3 2_Exh G" xfId="3531" xr:uid="{00000000-0005-0000-0000-0000E15B0000}"/>
    <cellStyle name="Normal 5 3 3" xfId="4558" xr:uid="{00000000-0005-0000-0000-0000E25B0000}"/>
    <cellStyle name="Normal 5 3 3 2" xfId="8150" xr:uid="{00000000-0005-0000-0000-0000E35B0000}"/>
    <cellStyle name="Normal 5 3 3 2 2" xfId="16120" xr:uid="{00000000-0005-0000-0000-0000E45B0000}"/>
    <cellStyle name="Normal 5 3 3 2 2 2" xfId="39962" xr:uid="{E834D649-0E49-4056-871E-96699D517125}"/>
    <cellStyle name="Normal 5 3 3 2 3" xfId="24066" xr:uid="{00000000-0005-0000-0000-0000E55B0000}"/>
    <cellStyle name="Normal 5 3 3 2 3 2" xfId="47898" xr:uid="{3217F206-93AA-4492-8126-2FF698E29D8B}"/>
    <cellStyle name="Normal 5 3 3 2 4" xfId="32021" xr:uid="{E9026164-E5F4-40CA-B138-BDA335978C7B}"/>
    <cellStyle name="Normal 5 3 3 3" xfId="12582" xr:uid="{00000000-0005-0000-0000-0000E65B0000}"/>
    <cellStyle name="Normal 5 3 3 3 2" xfId="36431" xr:uid="{C3B3825D-A1ED-4119-823B-6EDC70125366}"/>
    <cellStyle name="Normal 5 3 3 4" xfId="20537" xr:uid="{00000000-0005-0000-0000-0000E75B0000}"/>
    <cellStyle name="Normal 5 3 3 4 2" xfId="44369" xr:uid="{9B978B88-B0A5-4F3E-9262-48CBB6BA0E8B}"/>
    <cellStyle name="Normal 5 3 3 5" xfId="28490" xr:uid="{744699C6-ECB8-4DFF-935A-8BAE00C4A4F4}"/>
    <cellStyle name="Normal 5 3 4" xfId="6388" xr:uid="{00000000-0005-0000-0000-0000E85B0000}"/>
    <cellStyle name="Normal 5 3 4 2" xfId="14362" xr:uid="{00000000-0005-0000-0000-0000E95B0000}"/>
    <cellStyle name="Normal 5 3 4 2 2" xfId="38204" xr:uid="{8FE16914-CC25-4F54-B5A1-A4DE44F5057B}"/>
    <cellStyle name="Normal 5 3 4 3" xfId="22309" xr:uid="{00000000-0005-0000-0000-0000EA5B0000}"/>
    <cellStyle name="Normal 5 3 4 3 2" xfId="46141" xr:uid="{1AE713E9-5208-4009-BE94-2DA9C2012DEE}"/>
    <cellStyle name="Normal 5 3 4 4" xfId="30263" xr:uid="{D99B4A87-69FB-4BF7-ABEF-250B26F45BF5}"/>
    <cellStyle name="Normal 5 3 5" xfId="9930" xr:uid="{00000000-0005-0000-0000-0000EB5B0000}"/>
    <cellStyle name="Normal 5 3 5 2" xfId="17888" xr:uid="{00000000-0005-0000-0000-0000EC5B0000}"/>
    <cellStyle name="Normal 5 3 5 2 2" xfId="41728" xr:uid="{E2BE326D-54F4-4115-9489-958119280ADA}"/>
    <cellStyle name="Normal 5 3 5 3" xfId="25832" xr:uid="{00000000-0005-0000-0000-0000ED5B0000}"/>
    <cellStyle name="Normal 5 3 5 3 2" xfId="49664" xr:uid="{4873AD86-F653-4672-AB4B-474E77164655}"/>
    <cellStyle name="Normal 5 3 5 4" xfId="33787" xr:uid="{3D6B51E8-0D34-4985-B30F-66FE45BCCAFF}"/>
    <cellStyle name="Normal 5 3 6" xfId="10826" xr:uid="{00000000-0005-0000-0000-0000EE5B0000}"/>
    <cellStyle name="Normal 5 3 6 2" xfId="34675" xr:uid="{B9386769-14B6-4FA8-9BD2-8EF347976FD9}"/>
    <cellStyle name="Normal 5 3 7" xfId="18781" xr:uid="{00000000-0005-0000-0000-0000EF5B0000}"/>
    <cellStyle name="Normal 5 3 7 2" xfId="42613" xr:uid="{F1346E3C-9112-4D48-9E09-CFB96237CC3B}"/>
    <cellStyle name="Normal 5 3 8" xfId="26733" xr:uid="{D4E09084-3C80-4A4B-AA34-160446B2C41C}"/>
    <cellStyle name="Normal 5 3_Exh G" xfId="3530" xr:uid="{00000000-0005-0000-0000-0000F05B0000}"/>
    <cellStyle name="Normal 5 4" xfId="5462" xr:uid="{00000000-0005-0000-0000-0000F15B0000}"/>
    <cellStyle name="Normal 5 5" xfId="5469" xr:uid="{00000000-0005-0000-0000-0000F25B0000}"/>
    <cellStyle name="Normal 5 6" xfId="5484" xr:uid="{00000000-0005-0000-0000-0000F35B0000}"/>
    <cellStyle name="Normal 5 7" xfId="5511" xr:uid="{00000000-0005-0000-0000-0000F45B0000}"/>
    <cellStyle name="Normal 5 8" xfId="5501" xr:uid="{00000000-0005-0000-0000-0000F55B0000}"/>
    <cellStyle name="Normal 5 9" xfId="9042" xr:uid="{00000000-0005-0000-0000-0000F65B0000}"/>
    <cellStyle name="Normal 50" xfId="9948" xr:uid="{00000000-0005-0000-0000-0000F75B0000}"/>
    <cellStyle name="Normal 50 2" xfId="17905" xr:uid="{00000000-0005-0000-0000-0000F85B0000}"/>
    <cellStyle name="Normal 51" xfId="9949" xr:uid="{00000000-0005-0000-0000-0000F95B0000}"/>
    <cellStyle name="Normal 51 2" xfId="17906" xr:uid="{00000000-0005-0000-0000-0000FA5B0000}"/>
    <cellStyle name="Normal 52" xfId="9952" xr:uid="{00000000-0005-0000-0000-0000FB5B0000}"/>
    <cellStyle name="Normal 52 2" xfId="17909" xr:uid="{00000000-0005-0000-0000-0000FC5B0000}"/>
    <cellStyle name="Normal 53" xfId="9953" xr:uid="{00000000-0005-0000-0000-0000FD5B0000}"/>
    <cellStyle name="Normal 53 2" xfId="17910" xr:uid="{00000000-0005-0000-0000-0000FE5B0000}"/>
    <cellStyle name="Normal 54" xfId="9954" xr:uid="{00000000-0005-0000-0000-0000FF5B0000}"/>
    <cellStyle name="Normal 54 2" xfId="17911" xr:uid="{00000000-0005-0000-0000-0000005C0000}"/>
    <cellStyle name="Normal 55" xfId="9955" xr:uid="{00000000-0005-0000-0000-0000015C0000}"/>
    <cellStyle name="Normal 55 2" xfId="17912" xr:uid="{00000000-0005-0000-0000-0000025C0000}"/>
    <cellStyle name="Normal 56" xfId="9956" xr:uid="{00000000-0005-0000-0000-0000035C0000}"/>
    <cellStyle name="Normal 56 2" xfId="17913" xr:uid="{00000000-0005-0000-0000-0000045C0000}"/>
    <cellStyle name="Normal 57" xfId="9957" xr:uid="{00000000-0005-0000-0000-0000055C0000}"/>
    <cellStyle name="Normal 57 2" xfId="17914" xr:uid="{00000000-0005-0000-0000-0000065C0000}"/>
    <cellStyle name="Normal 57 2 2" xfId="41747" xr:uid="{4C5C7D43-961A-4D88-A8D5-F0BA5099414C}"/>
    <cellStyle name="Normal 57 3" xfId="25851" xr:uid="{00000000-0005-0000-0000-0000075C0000}"/>
    <cellStyle name="Normal 57 3 2" xfId="49683" xr:uid="{665CC5C5-9CEE-490B-B2C3-F778DEA4CFE7}"/>
    <cellStyle name="Normal 57 4" xfId="33806" xr:uid="{D884C984-9BD2-4347-B768-977185CA12C2}"/>
    <cellStyle name="Normal 58" xfId="9958" xr:uid="{00000000-0005-0000-0000-0000085C0000}"/>
    <cellStyle name="Normal 58 2" xfId="33807" xr:uid="{F9247D12-CEF2-43E0-B39C-40F9DB6B6DD2}"/>
    <cellStyle name="Normal 59" xfId="25853" xr:uid="{00000000-0005-0000-0000-0000095C0000}"/>
    <cellStyle name="Normal 59 2" xfId="49684" xr:uid="{E59435A3-FCE8-46C9-B64A-6DFE78A97A02}"/>
    <cellStyle name="Normal 6" xfId="7" xr:uid="{00000000-0005-0000-0000-00000A5C0000}"/>
    <cellStyle name="Normal 6 2" xfId="671" xr:uid="{00000000-0005-0000-0000-00000B5C0000}"/>
    <cellStyle name="Normal 6 2 2" xfId="672" xr:uid="{00000000-0005-0000-0000-00000C5C0000}"/>
    <cellStyle name="Normal 6 2 2 2" xfId="1698" xr:uid="{00000000-0005-0000-0000-00000D5C0000}"/>
    <cellStyle name="Normal 6 2 2 2 2" xfId="5225" xr:uid="{00000000-0005-0000-0000-00000E5C0000}"/>
    <cellStyle name="Normal 6 2 2 2 2 2" xfId="8816" xr:uid="{00000000-0005-0000-0000-00000F5C0000}"/>
    <cellStyle name="Normal 6 2 2 2 2 2 2" xfId="16786" xr:uid="{00000000-0005-0000-0000-0000105C0000}"/>
    <cellStyle name="Normal 6 2 2 2 2 2 2 2" xfId="40628" xr:uid="{81D0AD05-99DD-4E89-A868-EFA14370AD60}"/>
    <cellStyle name="Normal 6 2 2 2 2 2 3" xfId="24732" xr:uid="{00000000-0005-0000-0000-0000115C0000}"/>
    <cellStyle name="Normal 6 2 2 2 2 2 3 2" xfId="48564" xr:uid="{4A67A498-B854-4B66-98F8-752DE4CC9769}"/>
    <cellStyle name="Normal 6 2 2 2 2 2 4" xfId="32687" xr:uid="{A6039D21-85B7-46A4-AAF0-1FF7FEF512F8}"/>
    <cellStyle name="Normal 6 2 2 2 2 3" xfId="13248" xr:uid="{00000000-0005-0000-0000-0000125C0000}"/>
    <cellStyle name="Normal 6 2 2 2 2 3 2" xfId="37097" xr:uid="{9E24BB74-0F6B-4D4E-BB64-0C882B5CA493}"/>
    <cellStyle name="Normal 6 2 2 2 2 4" xfId="21203" xr:uid="{00000000-0005-0000-0000-0000135C0000}"/>
    <cellStyle name="Normal 6 2 2 2 2 4 2" xfId="45035" xr:uid="{2A91D031-072A-4CA0-B1E6-02C6F949B2BC}"/>
    <cellStyle name="Normal 6 2 2 2 2 5" xfId="29156" xr:uid="{772A7F78-F2FE-4017-9B80-B1642F0CCA6B}"/>
    <cellStyle name="Normal 6 2 2 2 3" xfId="7057" xr:uid="{00000000-0005-0000-0000-0000145C0000}"/>
    <cellStyle name="Normal 6 2 2 2 3 2" xfId="15028" xr:uid="{00000000-0005-0000-0000-0000155C0000}"/>
    <cellStyle name="Normal 6 2 2 2 3 2 2" xfId="38870" xr:uid="{C590DD3B-8013-41DD-B015-3FD751B7AA8A}"/>
    <cellStyle name="Normal 6 2 2 2 3 3" xfId="22975" xr:uid="{00000000-0005-0000-0000-0000165C0000}"/>
    <cellStyle name="Normal 6 2 2 2 3 3 2" xfId="46807" xr:uid="{89AD3532-C710-4A07-896C-FA4D9D467BE0}"/>
    <cellStyle name="Normal 6 2 2 2 3 4" xfId="30929" xr:uid="{04FDE233-A134-4BBD-9F08-1A3C83FFA1E0}"/>
    <cellStyle name="Normal 6 2 2 2 4" xfId="11492" xr:uid="{00000000-0005-0000-0000-0000175C0000}"/>
    <cellStyle name="Normal 6 2 2 2 4 2" xfId="35341" xr:uid="{AA7313D5-EBB4-4DA6-91FC-8E45D1626A67}"/>
    <cellStyle name="Normal 6 2 2 2 5" xfId="19447" xr:uid="{00000000-0005-0000-0000-0000185C0000}"/>
    <cellStyle name="Normal 6 2 2 2 5 2" xfId="43279" xr:uid="{00E4149D-E8D1-4614-9BF9-FE18E1BF9A89}"/>
    <cellStyle name="Normal 6 2 2 2 6" xfId="27399" xr:uid="{9B8406D9-E501-42B4-B1A6-BD7A0D3E2734}"/>
    <cellStyle name="Normal 6 2 2 2_Exh G" xfId="3534" xr:uid="{00000000-0005-0000-0000-0000195C0000}"/>
    <cellStyle name="Normal 6 2 2 3" xfId="4346" xr:uid="{00000000-0005-0000-0000-00001A5C0000}"/>
    <cellStyle name="Normal 6 2 2 3 2" xfId="7938" xr:uid="{00000000-0005-0000-0000-00001B5C0000}"/>
    <cellStyle name="Normal 6 2 2 3 2 2" xfId="15908" xr:uid="{00000000-0005-0000-0000-00001C5C0000}"/>
    <cellStyle name="Normal 6 2 2 3 2 2 2" xfId="39750" xr:uid="{3EF4DFA8-3B40-4216-928B-F8C981DBC784}"/>
    <cellStyle name="Normal 6 2 2 3 2 3" xfId="23854" xr:uid="{00000000-0005-0000-0000-00001D5C0000}"/>
    <cellStyle name="Normal 6 2 2 3 2 3 2" xfId="47686" xr:uid="{C0801D33-858C-4FF5-9FD9-4FDB4AF51B6A}"/>
    <cellStyle name="Normal 6 2 2 3 2 4" xfId="31809" xr:uid="{CECEF1CF-E438-4D3C-9BFC-3029F6EA97F3}"/>
    <cellStyle name="Normal 6 2 2 3 3" xfId="12370" xr:uid="{00000000-0005-0000-0000-00001E5C0000}"/>
    <cellStyle name="Normal 6 2 2 3 3 2" xfId="36219" xr:uid="{6CA1BE02-E27B-4EF3-9A62-EF89E2FD03D6}"/>
    <cellStyle name="Normal 6 2 2 3 4" xfId="20325" xr:uid="{00000000-0005-0000-0000-00001F5C0000}"/>
    <cellStyle name="Normal 6 2 2 3 4 2" xfId="44157" xr:uid="{BF728E80-1A57-40F7-A845-081796F1F7D6}"/>
    <cellStyle name="Normal 6 2 2 3 5" xfId="28278" xr:uid="{19922E8F-AA98-4E08-956D-21BA6B25CDE9}"/>
    <cellStyle name="Normal 6 2 2 4" xfId="6166" xr:uid="{00000000-0005-0000-0000-0000205C0000}"/>
    <cellStyle name="Normal 6 2 2 4 2" xfId="14149" xr:uid="{00000000-0005-0000-0000-0000215C0000}"/>
    <cellStyle name="Normal 6 2 2 4 2 2" xfId="37992" xr:uid="{F4768A7A-8E88-4278-AFBC-DF52AC368D16}"/>
    <cellStyle name="Normal 6 2 2 4 3" xfId="22097" xr:uid="{00000000-0005-0000-0000-0000225C0000}"/>
    <cellStyle name="Normal 6 2 2 4 3 2" xfId="45929" xr:uid="{1A06E939-5CA9-4819-80AB-C40F1A673BDB}"/>
    <cellStyle name="Normal 6 2 2 4 4" xfId="30051" xr:uid="{67E4CEB6-DC2D-4FE5-9B3E-47BBC2495275}"/>
    <cellStyle name="Normal 6 2 2 5" xfId="9718" xr:uid="{00000000-0005-0000-0000-0000235C0000}"/>
    <cellStyle name="Normal 6 2 2 5 2" xfId="17676" xr:uid="{00000000-0005-0000-0000-0000245C0000}"/>
    <cellStyle name="Normal 6 2 2 5 2 2" xfId="41516" xr:uid="{833F6E88-3D66-47EF-9C3E-E52A53EF59A1}"/>
    <cellStyle name="Normal 6 2 2 5 3" xfId="25620" xr:uid="{00000000-0005-0000-0000-0000255C0000}"/>
    <cellStyle name="Normal 6 2 2 5 3 2" xfId="49452" xr:uid="{20C3B42C-AE77-47EA-92B7-BC8C78A30EE1}"/>
    <cellStyle name="Normal 6 2 2 5 4" xfId="33575" xr:uid="{F3ACACAA-3006-48E7-A56B-5B3F5022B1E6}"/>
    <cellStyle name="Normal 6 2 2 6" xfId="10614" xr:uid="{00000000-0005-0000-0000-0000265C0000}"/>
    <cellStyle name="Normal 6 2 2 6 2" xfId="34463" xr:uid="{8169C5F2-333D-48EE-9519-9C17D921BBAA}"/>
    <cellStyle name="Normal 6 2 2 7" xfId="18569" xr:uid="{00000000-0005-0000-0000-0000275C0000}"/>
    <cellStyle name="Normal 6 2 2 7 2" xfId="42401" xr:uid="{286C9CEF-DC98-4F66-BAB4-9C28EC2B854D}"/>
    <cellStyle name="Normal 6 2 2 8" xfId="26521" xr:uid="{E1410258-C146-4C65-84E7-9CBE05E2F635}"/>
    <cellStyle name="Normal 6 2 2_Exh G" xfId="3533" xr:uid="{00000000-0005-0000-0000-0000285C0000}"/>
    <cellStyle name="Normal 6 2 3" xfId="1697" xr:uid="{00000000-0005-0000-0000-0000295C0000}"/>
    <cellStyle name="Normal 6 2 3 2" xfId="5224" xr:uid="{00000000-0005-0000-0000-00002A5C0000}"/>
    <cellStyle name="Normal 6 2 3 2 2" xfId="8815" xr:uid="{00000000-0005-0000-0000-00002B5C0000}"/>
    <cellStyle name="Normal 6 2 3 2 2 2" xfId="16785" xr:uid="{00000000-0005-0000-0000-00002C5C0000}"/>
    <cellStyle name="Normal 6 2 3 2 2 2 2" xfId="40627" xr:uid="{F80032EE-831E-4206-BCF3-AC26BA445220}"/>
    <cellStyle name="Normal 6 2 3 2 2 3" xfId="24731" xr:uid="{00000000-0005-0000-0000-00002D5C0000}"/>
    <cellStyle name="Normal 6 2 3 2 2 3 2" xfId="48563" xr:uid="{D0D8B8AF-44EF-4FB2-B8A8-578166DD7E79}"/>
    <cellStyle name="Normal 6 2 3 2 2 4" xfId="32686" xr:uid="{72582EEC-6D34-4FCE-B003-7B842715721F}"/>
    <cellStyle name="Normal 6 2 3 2 3" xfId="13247" xr:uid="{00000000-0005-0000-0000-00002E5C0000}"/>
    <cellStyle name="Normal 6 2 3 2 3 2" xfId="37096" xr:uid="{397B15E9-0B97-45DC-A3C7-13AD021DD2DD}"/>
    <cellStyle name="Normal 6 2 3 2 4" xfId="21202" xr:uid="{00000000-0005-0000-0000-00002F5C0000}"/>
    <cellStyle name="Normal 6 2 3 2 4 2" xfId="45034" xr:uid="{B504C9D6-029F-435A-92EA-C8DC820C50B8}"/>
    <cellStyle name="Normal 6 2 3 2 5" xfId="29155" xr:uid="{A20D9CB1-4B6E-45ED-8910-0093E9D9D6BF}"/>
    <cellStyle name="Normal 6 2 3 3" xfId="7056" xr:uid="{00000000-0005-0000-0000-0000305C0000}"/>
    <cellStyle name="Normal 6 2 3 3 2" xfId="15027" xr:uid="{00000000-0005-0000-0000-0000315C0000}"/>
    <cellStyle name="Normal 6 2 3 3 2 2" xfId="38869" xr:uid="{27193CE4-3DE8-43B8-9C3B-17378E5E0556}"/>
    <cellStyle name="Normal 6 2 3 3 3" xfId="22974" xr:uid="{00000000-0005-0000-0000-0000325C0000}"/>
    <cellStyle name="Normal 6 2 3 3 3 2" xfId="46806" xr:uid="{18AEA82B-EA64-4DF8-B099-7F0EDE3E2266}"/>
    <cellStyle name="Normal 6 2 3 3 4" xfId="30928" xr:uid="{F8C2AC97-BA18-43D0-ABF9-8B85BB3BB2DC}"/>
    <cellStyle name="Normal 6 2 3 4" xfId="11491" xr:uid="{00000000-0005-0000-0000-0000335C0000}"/>
    <cellStyle name="Normal 6 2 3 4 2" xfId="35340" xr:uid="{D8BCDF6F-1D7A-4ACD-804C-E4E4D71FFF65}"/>
    <cellStyle name="Normal 6 2 3 5" xfId="19446" xr:uid="{00000000-0005-0000-0000-0000345C0000}"/>
    <cellStyle name="Normal 6 2 3 5 2" xfId="43278" xr:uid="{BC917E7F-DDE0-4585-A4F7-F3744DC954A2}"/>
    <cellStyle name="Normal 6 2 3 6" xfId="27398" xr:uid="{4A754FA9-C4CB-466B-AF0F-3513B654D754}"/>
    <cellStyle name="Normal 6 2 3_Exh G" xfId="3535" xr:uid="{00000000-0005-0000-0000-0000355C0000}"/>
    <cellStyle name="Normal 6 2 4" xfId="4345" xr:uid="{00000000-0005-0000-0000-0000365C0000}"/>
    <cellStyle name="Normal 6 2 4 2" xfId="7937" xr:uid="{00000000-0005-0000-0000-0000375C0000}"/>
    <cellStyle name="Normal 6 2 4 2 2" xfId="15907" xr:uid="{00000000-0005-0000-0000-0000385C0000}"/>
    <cellStyle name="Normal 6 2 4 2 2 2" xfId="39749" xr:uid="{8C757703-6A4F-407A-8D7D-CC8AA63965D3}"/>
    <cellStyle name="Normal 6 2 4 2 3" xfId="23853" xr:uid="{00000000-0005-0000-0000-0000395C0000}"/>
    <cellStyle name="Normal 6 2 4 2 3 2" xfId="47685" xr:uid="{1C1CA53D-A682-4283-8F4F-30F197B1DB7C}"/>
    <cellStyle name="Normal 6 2 4 2 4" xfId="31808" xr:uid="{41F20BF4-79ED-4B30-BF52-CAE36C82B394}"/>
    <cellStyle name="Normal 6 2 4 3" xfId="12369" xr:uid="{00000000-0005-0000-0000-00003A5C0000}"/>
    <cellStyle name="Normal 6 2 4 3 2" xfId="36218" xr:uid="{931D03A3-8CD1-49D6-B1B5-3508DAA01487}"/>
    <cellStyle name="Normal 6 2 4 4" xfId="20324" xr:uid="{00000000-0005-0000-0000-00003B5C0000}"/>
    <cellStyle name="Normal 6 2 4 4 2" xfId="44156" xr:uid="{5ADB4EDA-F32F-4C32-9174-727E12513DDF}"/>
    <cellStyle name="Normal 6 2 4 5" xfId="28277" xr:uid="{CC2EE59E-3425-4228-81DD-59016DA9C7DD}"/>
    <cellStyle name="Normal 6 2 5" xfId="6165" xr:uid="{00000000-0005-0000-0000-00003C5C0000}"/>
    <cellStyle name="Normal 6 2 5 2" xfId="14148" xr:uid="{00000000-0005-0000-0000-00003D5C0000}"/>
    <cellStyle name="Normal 6 2 5 2 2" xfId="37991" xr:uid="{CA4AE2D1-A7BC-4705-A31F-09D2CBC6F3F4}"/>
    <cellStyle name="Normal 6 2 5 3" xfId="22096" xr:uid="{00000000-0005-0000-0000-00003E5C0000}"/>
    <cellStyle name="Normal 6 2 5 3 2" xfId="45928" xr:uid="{55FC8930-BDFE-4D0F-8D4C-B61B0247FADB}"/>
    <cellStyle name="Normal 6 2 5 4" xfId="30050" xr:uid="{E9D09E70-09E5-49D6-9B7C-DCD5E86FBD7A}"/>
    <cellStyle name="Normal 6 2 6" xfId="9717" xr:uid="{00000000-0005-0000-0000-00003F5C0000}"/>
    <cellStyle name="Normal 6 2 6 2" xfId="17675" xr:uid="{00000000-0005-0000-0000-0000405C0000}"/>
    <cellStyle name="Normal 6 2 6 2 2" xfId="41515" xr:uid="{3244AA27-7FCC-4AD3-A742-755E5FCD6F48}"/>
    <cellStyle name="Normal 6 2 6 3" xfId="25619" xr:uid="{00000000-0005-0000-0000-0000415C0000}"/>
    <cellStyle name="Normal 6 2 6 3 2" xfId="49451" xr:uid="{F36F319F-0512-4EDA-8BAE-222A4659E8E1}"/>
    <cellStyle name="Normal 6 2 6 4" xfId="33574" xr:uid="{7A2F59FC-D1A0-472C-BDCC-4B40ACCA1372}"/>
    <cellStyle name="Normal 6 2 7" xfId="10613" xr:uid="{00000000-0005-0000-0000-0000425C0000}"/>
    <cellStyle name="Normal 6 2 7 2" xfId="34462" xr:uid="{3EDAD2C4-6A3D-4D79-BA70-AFD5063BA864}"/>
    <cellStyle name="Normal 6 2 8" xfId="18568" xr:uid="{00000000-0005-0000-0000-0000435C0000}"/>
    <cellStyle name="Normal 6 2 8 2" xfId="42400" xr:uid="{3299C5C9-8A5C-49B6-8DA3-B423C24B5938}"/>
    <cellStyle name="Normal 6 2 9" xfId="26520" xr:uid="{54B9AA36-DBBF-4E76-88E7-F1310A2B5792}"/>
    <cellStyle name="Normal 6 2_Exh G" xfId="3532" xr:uid="{00000000-0005-0000-0000-0000445C0000}"/>
    <cellStyle name="Normal 6 3" xfId="673" xr:uid="{00000000-0005-0000-0000-0000455C0000}"/>
    <cellStyle name="Normal 6 3 2" xfId="1699" xr:uid="{00000000-0005-0000-0000-0000465C0000}"/>
    <cellStyle name="Normal 6 3 2 2" xfId="5226" xr:uid="{00000000-0005-0000-0000-0000475C0000}"/>
    <cellStyle name="Normal 6 3 2 2 2" xfId="8817" xr:uid="{00000000-0005-0000-0000-0000485C0000}"/>
    <cellStyle name="Normal 6 3 2 2 2 2" xfId="16787" xr:uid="{00000000-0005-0000-0000-0000495C0000}"/>
    <cellStyle name="Normal 6 3 2 2 2 2 2" xfId="40629" xr:uid="{B107A4C3-CD79-48A6-9AF8-996C81B66084}"/>
    <cellStyle name="Normal 6 3 2 2 2 3" xfId="24733" xr:uid="{00000000-0005-0000-0000-00004A5C0000}"/>
    <cellStyle name="Normal 6 3 2 2 2 3 2" xfId="48565" xr:uid="{7B1EA573-95EC-4348-84C3-371F79711434}"/>
    <cellStyle name="Normal 6 3 2 2 2 4" xfId="32688" xr:uid="{609D2C46-C8B3-4188-BF80-9118A28C6000}"/>
    <cellStyle name="Normal 6 3 2 2 3" xfId="13249" xr:uid="{00000000-0005-0000-0000-00004B5C0000}"/>
    <cellStyle name="Normal 6 3 2 2 3 2" xfId="37098" xr:uid="{7A77CBBB-CA4C-428C-B9E8-3A5817D93E8E}"/>
    <cellStyle name="Normal 6 3 2 2 4" xfId="21204" xr:uid="{00000000-0005-0000-0000-00004C5C0000}"/>
    <cellStyle name="Normal 6 3 2 2 4 2" xfId="45036" xr:uid="{C90BA967-88B6-489A-AAF4-ED3ECA6AF403}"/>
    <cellStyle name="Normal 6 3 2 2 5" xfId="29157" xr:uid="{109D5074-47A3-4916-AE0F-2EC3BF935922}"/>
    <cellStyle name="Normal 6 3 2 3" xfId="7058" xr:uid="{00000000-0005-0000-0000-00004D5C0000}"/>
    <cellStyle name="Normal 6 3 2 3 2" xfId="15029" xr:uid="{00000000-0005-0000-0000-00004E5C0000}"/>
    <cellStyle name="Normal 6 3 2 3 2 2" xfId="38871" xr:uid="{A28FEA7A-9440-4C97-BF00-E19FB468019A}"/>
    <cellStyle name="Normal 6 3 2 3 3" xfId="22976" xr:uid="{00000000-0005-0000-0000-00004F5C0000}"/>
    <cellStyle name="Normal 6 3 2 3 3 2" xfId="46808" xr:uid="{149F52C8-A687-4F72-B976-52529488CBAF}"/>
    <cellStyle name="Normal 6 3 2 3 4" xfId="30930" xr:uid="{88AC5ABC-7BF2-421D-A2D5-81A11768101D}"/>
    <cellStyle name="Normal 6 3 2 4" xfId="11493" xr:uid="{00000000-0005-0000-0000-0000505C0000}"/>
    <cellStyle name="Normal 6 3 2 4 2" xfId="35342" xr:uid="{58532F9B-4021-45B3-9889-D1FCC24F2001}"/>
    <cellStyle name="Normal 6 3 2 5" xfId="19448" xr:uid="{00000000-0005-0000-0000-0000515C0000}"/>
    <cellStyle name="Normal 6 3 2 5 2" xfId="43280" xr:uid="{5E184F73-4AA1-4B7B-85DE-E4C9620F2975}"/>
    <cellStyle name="Normal 6 3 2 6" xfId="27400" xr:uid="{F4DF8306-F677-4142-893E-1ABEB2FB314E}"/>
    <cellStyle name="Normal 6 3 2_Exh G" xfId="3537" xr:uid="{00000000-0005-0000-0000-0000525C0000}"/>
    <cellStyle name="Normal 6 3 3" xfId="4347" xr:uid="{00000000-0005-0000-0000-0000535C0000}"/>
    <cellStyle name="Normal 6 3 3 2" xfId="7939" xr:uid="{00000000-0005-0000-0000-0000545C0000}"/>
    <cellStyle name="Normal 6 3 3 2 2" xfId="15909" xr:uid="{00000000-0005-0000-0000-0000555C0000}"/>
    <cellStyle name="Normal 6 3 3 2 2 2" xfId="39751" xr:uid="{1CC7D53E-10EF-4486-8FEF-A5846B6172BD}"/>
    <cellStyle name="Normal 6 3 3 2 3" xfId="23855" xr:uid="{00000000-0005-0000-0000-0000565C0000}"/>
    <cellStyle name="Normal 6 3 3 2 3 2" xfId="47687" xr:uid="{1FEBB912-4048-463F-BE3B-56AE7EDDC3DC}"/>
    <cellStyle name="Normal 6 3 3 2 4" xfId="31810" xr:uid="{71FA5EE9-B89E-443B-8F79-8E1DF2DDF45D}"/>
    <cellStyle name="Normal 6 3 3 3" xfId="12371" xr:uid="{00000000-0005-0000-0000-0000575C0000}"/>
    <cellStyle name="Normal 6 3 3 3 2" xfId="36220" xr:uid="{3C26122F-E700-4589-8404-9FE1DEA26EA4}"/>
    <cellStyle name="Normal 6 3 3 4" xfId="20326" xr:uid="{00000000-0005-0000-0000-0000585C0000}"/>
    <cellStyle name="Normal 6 3 3 4 2" xfId="44158" xr:uid="{7CF6BC36-A932-4B9F-A911-326B4B76BADC}"/>
    <cellStyle name="Normal 6 3 3 5" xfId="28279" xr:uid="{F6D24A9B-8C5D-4D4B-8921-EF26C73A4CE1}"/>
    <cellStyle name="Normal 6 3 4" xfId="6167" xr:uid="{00000000-0005-0000-0000-0000595C0000}"/>
    <cellStyle name="Normal 6 3 4 2" xfId="14150" xr:uid="{00000000-0005-0000-0000-00005A5C0000}"/>
    <cellStyle name="Normal 6 3 4 2 2" xfId="37993" xr:uid="{7BF43140-5167-4829-AA09-C9BDE3C463B7}"/>
    <cellStyle name="Normal 6 3 4 3" xfId="22098" xr:uid="{00000000-0005-0000-0000-00005B5C0000}"/>
    <cellStyle name="Normal 6 3 4 3 2" xfId="45930" xr:uid="{2D7B8D60-C50F-4CF3-A5DD-23541A59BDCC}"/>
    <cellStyle name="Normal 6 3 4 4" xfId="30052" xr:uid="{A4B9F9BE-C245-481A-B303-36C00B7ABAF8}"/>
    <cellStyle name="Normal 6 3 5" xfId="9719" xr:uid="{00000000-0005-0000-0000-00005C5C0000}"/>
    <cellStyle name="Normal 6 3 5 2" xfId="17677" xr:uid="{00000000-0005-0000-0000-00005D5C0000}"/>
    <cellStyle name="Normal 6 3 5 2 2" xfId="41517" xr:uid="{3228814C-F6EC-4036-9145-1A10B1B3FA51}"/>
    <cellStyle name="Normal 6 3 5 3" xfId="25621" xr:uid="{00000000-0005-0000-0000-00005E5C0000}"/>
    <cellStyle name="Normal 6 3 5 3 2" xfId="49453" xr:uid="{F9529FC5-1530-4028-BC54-8089BB5CA674}"/>
    <cellStyle name="Normal 6 3 5 4" xfId="33576" xr:uid="{6AB2804D-D83A-44D5-BC3C-A474E0FA762B}"/>
    <cellStyle name="Normal 6 3 6" xfId="10615" xr:uid="{00000000-0005-0000-0000-00005F5C0000}"/>
    <cellStyle name="Normal 6 3 6 2" xfId="34464" xr:uid="{3D86AAC3-3F94-418D-BB2E-9A652AA50797}"/>
    <cellStyle name="Normal 6 3 7" xfId="18570" xr:uid="{00000000-0005-0000-0000-0000605C0000}"/>
    <cellStyle name="Normal 6 3 7 2" xfId="42402" xr:uid="{D11ED0BD-93EC-41DC-AE8F-4E069ACBCFE0}"/>
    <cellStyle name="Normal 6 3 8" xfId="26522" xr:uid="{473D5499-E958-4650-A063-804F9F2E76C2}"/>
    <cellStyle name="Normal 6 3_Exh G" xfId="3536" xr:uid="{00000000-0005-0000-0000-0000615C0000}"/>
    <cellStyle name="Normal 6 4" xfId="1021" xr:uid="{00000000-0005-0000-0000-0000625C0000}"/>
    <cellStyle name="Normal 60" xfId="49697" xr:uid="{21714B4E-006B-4FAF-8A57-C62674FCFD8C}"/>
    <cellStyle name="Normal 61" xfId="49782" xr:uid="{E268CA34-7E45-483D-ABEB-5CE3333CD824}"/>
    <cellStyle name="Normal 62" xfId="49821" xr:uid="{B34CF199-254D-4CBD-A328-5E9B29B8025B}"/>
    <cellStyle name="Normal 7" xfId="14" xr:uid="{00000000-0005-0000-0000-0000635C0000}"/>
    <cellStyle name="Normal 7 2" xfId="674" xr:uid="{00000000-0005-0000-0000-0000645C0000}"/>
    <cellStyle name="Normal 7 2 2" xfId="675" xr:uid="{00000000-0005-0000-0000-0000655C0000}"/>
    <cellStyle name="Normal 7 2 2 2" xfId="1701" xr:uid="{00000000-0005-0000-0000-0000665C0000}"/>
    <cellStyle name="Normal 7 2 2 2 2" xfId="5228" xr:uid="{00000000-0005-0000-0000-0000675C0000}"/>
    <cellStyle name="Normal 7 2 2 2 2 2" xfId="8819" xr:uid="{00000000-0005-0000-0000-0000685C0000}"/>
    <cellStyle name="Normal 7 2 2 2 2 2 2" xfId="16789" xr:uid="{00000000-0005-0000-0000-0000695C0000}"/>
    <cellStyle name="Normal 7 2 2 2 2 2 2 2" xfId="40631" xr:uid="{FF0F6E1B-1864-41BD-BD9B-345625AF7802}"/>
    <cellStyle name="Normal 7 2 2 2 2 2 3" xfId="24735" xr:uid="{00000000-0005-0000-0000-00006A5C0000}"/>
    <cellStyle name="Normal 7 2 2 2 2 2 3 2" xfId="48567" xr:uid="{B5F1DB96-2BC8-4C04-8BCB-2CF7D2AD02E5}"/>
    <cellStyle name="Normal 7 2 2 2 2 2 4" xfId="32690" xr:uid="{472590A4-F1D1-490A-BEB5-7B4806AF5B7C}"/>
    <cellStyle name="Normal 7 2 2 2 2 3" xfId="13251" xr:uid="{00000000-0005-0000-0000-00006B5C0000}"/>
    <cellStyle name="Normal 7 2 2 2 2 3 2" xfId="37100" xr:uid="{1942B260-F92F-45FA-B808-92F4D85D0F20}"/>
    <cellStyle name="Normal 7 2 2 2 2 4" xfId="21206" xr:uid="{00000000-0005-0000-0000-00006C5C0000}"/>
    <cellStyle name="Normal 7 2 2 2 2 4 2" xfId="45038" xr:uid="{066EA486-23DB-4909-B7EC-99DEA8DECB59}"/>
    <cellStyle name="Normal 7 2 2 2 2 5" xfId="29159" xr:uid="{2547F517-646B-4C3D-8F1F-748A312D8F77}"/>
    <cellStyle name="Normal 7 2 2 2 3" xfId="7060" xr:uid="{00000000-0005-0000-0000-00006D5C0000}"/>
    <cellStyle name="Normal 7 2 2 2 3 2" xfId="15031" xr:uid="{00000000-0005-0000-0000-00006E5C0000}"/>
    <cellStyle name="Normal 7 2 2 2 3 2 2" xfId="38873" xr:uid="{D9A74686-2EB8-42AA-A465-54D0B8C4069F}"/>
    <cellStyle name="Normal 7 2 2 2 3 3" xfId="22978" xr:uid="{00000000-0005-0000-0000-00006F5C0000}"/>
    <cellStyle name="Normal 7 2 2 2 3 3 2" xfId="46810" xr:uid="{9E3C9F62-3830-4996-90FA-15FA29CF1E86}"/>
    <cellStyle name="Normal 7 2 2 2 3 4" xfId="30932" xr:uid="{F0FD206A-314F-4BEF-9AFD-C46E67B41F38}"/>
    <cellStyle name="Normal 7 2 2 2 4" xfId="11495" xr:uid="{00000000-0005-0000-0000-0000705C0000}"/>
    <cellStyle name="Normal 7 2 2 2 4 2" xfId="35344" xr:uid="{382417E8-0E0B-4BD1-AF53-9217C775288A}"/>
    <cellStyle name="Normal 7 2 2 2 5" xfId="19450" xr:uid="{00000000-0005-0000-0000-0000715C0000}"/>
    <cellStyle name="Normal 7 2 2 2 5 2" xfId="43282" xr:uid="{4F3A0E46-8302-4215-A111-15B2F7892B19}"/>
    <cellStyle name="Normal 7 2 2 2 6" xfId="27402" xr:uid="{3EE80686-747F-4827-A84C-F57BDFAEB6A1}"/>
    <cellStyle name="Normal 7 2 2 2_Exh G" xfId="3540" xr:uid="{00000000-0005-0000-0000-0000725C0000}"/>
    <cellStyle name="Normal 7 2 2 3" xfId="4349" xr:uid="{00000000-0005-0000-0000-0000735C0000}"/>
    <cellStyle name="Normal 7 2 2 3 2" xfId="7941" xr:uid="{00000000-0005-0000-0000-0000745C0000}"/>
    <cellStyle name="Normal 7 2 2 3 2 2" xfId="15911" xr:uid="{00000000-0005-0000-0000-0000755C0000}"/>
    <cellStyle name="Normal 7 2 2 3 2 2 2" xfId="39753" xr:uid="{042C69B6-11F9-4A39-AA84-B4A919CBB6C4}"/>
    <cellStyle name="Normal 7 2 2 3 2 3" xfId="23857" xr:uid="{00000000-0005-0000-0000-0000765C0000}"/>
    <cellStyle name="Normal 7 2 2 3 2 3 2" xfId="47689" xr:uid="{45FBE99D-6B4E-4BC6-806A-ADAB6339A9B9}"/>
    <cellStyle name="Normal 7 2 2 3 2 4" xfId="31812" xr:uid="{9E51E2BE-0F98-46E5-A7AA-37F9CD988E0F}"/>
    <cellStyle name="Normal 7 2 2 3 3" xfId="12373" xr:uid="{00000000-0005-0000-0000-0000775C0000}"/>
    <cellStyle name="Normal 7 2 2 3 3 2" xfId="36222" xr:uid="{11AC048F-6697-408E-8E84-173DC98995BE}"/>
    <cellStyle name="Normal 7 2 2 3 4" xfId="20328" xr:uid="{00000000-0005-0000-0000-0000785C0000}"/>
    <cellStyle name="Normal 7 2 2 3 4 2" xfId="44160" xr:uid="{A2AD6F73-558C-41AA-87C2-D4EC52A79033}"/>
    <cellStyle name="Normal 7 2 2 3 5" xfId="28281" xr:uid="{001E2925-7D82-4165-BA0E-A52785D7013D}"/>
    <cellStyle name="Normal 7 2 2 4" xfId="6169" xr:uid="{00000000-0005-0000-0000-0000795C0000}"/>
    <cellStyle name="Normal 7 2 2 4 2" xfId="14152" xr:uid="{00000000-0005-0000-0000-00007A5C0000}"/>
    <cellStyle name="Normal 7 2 2 4 2 2" xfId="37995" xr:uid="{4961A324-CE04-41DD-8EAB-D62596A9DDCD}"/>
    <cellStyle name="Normal 7 2 2 4 3" xfId="22100" xr:uid="{00000000-0005-0000-0000-00007B5C0000}"/>
    <cellStyle name="Normal 7 2 2 4 3 2" xfId="45932" xr:uid="{56A698C0-B75B-48F2-85CC-5E58118A7BAD}"/>
    <cellStyle name="Normal 7 2 2 4 4" xfId="30054" xr:uid="{8DBE7797-DC92-4FC5-B0F8-B93C5ABE0BED}"/>
    <cellStyle name="Normal 7 2 2 5" xfId="9721" xr:uid="{00000000-0005-0000-0000-00007C5C0000}"/>
    <cellStyle name="Normal 7 2 2 5 2" xfId="17679" xr:uid="{00000000-0005-0000-0000-00007D5C0000}"/>
    <cellStyle name="Normal 7 2 2 5 2 2" xfId="41519" xr:uid="{326FD392-C0BF-4A0F-8ACF-BDF7C6466EA4}"/>
    <cellStyle name="Normal 7 2 2 5 3" xfId="25623" xr:uid="{00000000-0005-0000-0000-00007E5C0000}"/>
    <cellStyle name="Normal 7 2 2 5 3 2" xfId="49455" xr:uid="{BC634A06-D743-4ECC-A818-CD490B86A96C}"/>
    <cellStyle name="Normal 7 2 2 5 4" xfId="33578" xr:uid="{0D3FC9AA-C692-4FFA-9FA2-15B6DBF5E3C5}"/>
    <cellStyle name="Normal 7 2 2 6" xfId="10617" xr:uid="{00000000-0005-0000-0000-00007F5C0000}"/>
    <cellStyle name="Normal 7 2 2 6 2" xfId="34466" xr:uid="{5FC7DB22-02BF-405B-9CC8-099B2D3AB48A}"/>
    <cellStyle name="Normal 7 2 2 7" xfId="18572" xr:uid="{00000000-0005-0000-0000-0000805C0000}"/>
    <cellStyle name="Normal 7 2 2 7 2" xfId="42404" xr:uid="{8C8F492D-59A3-43BA-8103-C6CDEFEF5C56}"/>
    <cellStyle name="Normal 7 2 2 8" xfId="26524" xr:uid="{99C004A8-790C-4DCE-94DA-AF4D274CA8EA}"/>
    <cellStyle name="Normal 7 2 2_Exh G" xfId="3539" xr:uid="{00000000-0005-0000-0000-0000815C0000}"/>
    <cellStyle name="Normal 7 2 3" xfId="1700" xr:uid="{00000000-0005-0000-0000-0000825C0000}"/>
    <cellStyle name="Normal 7 2 3 2" xfId="5227" xr:uid="{00000000-0005-0000-0000-0000835C0000}"/>
    <cellStyle name="Normal 7 2 3 2 2" xfId="8818" xr:uid="{00000000-0005-0000-0000-0000845C0000}"/>
    <cellStyle name="Normal 7 2 3 2 2 2" xfId="16788" xr:uid="{00000000-0005-0000-0000-0000855C0000}"/>
    <cellStyle name="Normal 7 2 3 2 2 2 2" xfId="40630" xr:uid="{D22B0DF6-D8A9-4BDB-A234-901A09F65409}"/>
    <cellStyle name="Normal 7 2 3 2 2 3" xfId="24734" xr:uid="{00000000-0005-0000-0000-0000865C0000}"/>
    <cellStyle name="Normal 7 2 3 2 2 3 2" xfId="48566" xr:uid="{950842B3-74EC-4DB1-999D-E90B1B8D9458}"/>
    <cellStyle name="Normal 7 2 3 2 2 4" xfId="32689" xr:uid="{77C7EC99-9845-4994-9F84-D5276A776D34}"/>
    <cellStyle name="Normal 7 2 3 2 3" xfId="13250" xr:uid="{00000000-0005-0000-0000-0000875C0000}"/>
    <cellStyle name="Normal 7 2 3 2 3 2" xfId="37099" xr:uid="{BC847302-3854-45D1-A1B4-1C8ED96D57EC}"/>
    <cellStyle name="Normal 7 2 3 2 4" xfId="21205" xr:uid="{00000000-0005-0000-0000-0000885C0000}"/>
    <cellStyle name="Normal 7 2 3 2 4 2" xfId="45037" xr:uid="{F2EA5B77-520C-4268-82C0-183C6E58075F}"/>
    <cellStyle name="Normal 7 2 3 2 5" xfId="29158" xr:uid="{4CA66B30-9BA4-4E8C-922B-34AE3C9D76AC}"/>
    <cellStyle name="Normal 7 2 3 3" xfId="7059" xr:uid="{00000000-0005-0000-0000-0000895C0000}"/>
    <cellStyle name="Normal 7 2 3 3 2" xfId="15030" xr:uid="{00000000-0005-0000-0000-00008A5C0000}"/>
    <cellStyle name="Normal 7 2 3 3 2 2" xfId="38872" xr:uid="{50F6BEA6-D039-4069-A6BA-DBBDD22947F1}"/>
    <cellStyle name="Normal 7 2 3 3 3" xfId="22977" xr:uid="{00000000-0005-0000-0000-00008B5C0000}"/>
    <cellStyle name="Normal 7 2 3 3 3 2" xfId="46809" xr:uid="{86C72ABF-C094-454F-96DC-1C1B8A2317FA}"/>
    <cellStyle name="Normal 7 2 3 3 4" xfId="30931" xr:uid="{7738E423-FAC9-4AE3-9D6D-857B4847847D}"/>
    <cellStyle name="Normal 7 2 3 4" xfId="11494" xr:uid="{00000000-0005-0000-0000-00008C5C0000}"/>
    <cellStyle name="Normal 7 2 3 4 2" xfId="35343" xr:uid="{BB25CD30-6A37-4233-A5C8-B5130A8A0078}"/>
    <cellStyle name="Normal 7 2 3 5" xfId="19449" xr:uid="{00000000-0005-0000-0000-00008D5C0000}"/>
    <cellStyle name="Normal 7 2 3 5 2" xfId="43281" xr:uid="{4BBD77DD-016E-49E2-A740-C845358E6316}"/>
    <cellStyle name="Normal 7 2 3 6" xfId="27401" xr:uid="{D2200BAA-CCAE-4D8C-BB32-3E16D0FDB267}"/>
    <cellStyle name="Normal 7 2 3_Exh G" xfId="3541" xr:uid="{00000000-0005-0000-0000-00008E5C0000}"/>
    <cellStyle name="Normal 7 2 4" xfId="4348" xr:uid="{00000000-0005-0000-0000-00008F5C0000}"/>
    <cellStyle name="Normal 7 2 4 2" xfId="7940" xr:uid="{00000000-0005-0000-0000-0000905C0000}"/>
    <cellStyle name="Normal 7 2 4 2 2" xfId="15910" xr:uid="{00000000-0005-0000-0000-0000915C0000}"/>
    <cellStyle name="Normal 7 2 4 2 2 2" xfId="39752" xr:uid="{E89FD23A-E398-4923-BD68-0DCC5101F313}"/>
    <cellStyle name="Normal 7 2 4 2 3" xfId="23856" xr:uid="{00000000-0005-0000-0000-0000925C0000}"/>
    <cellStyle name="Normal 7 2 4 2 3 2" xfId="47688" xr:uid="{BFD8D6EB-B6B0-4135-90F9-9B5E629DD777}"/>
    <cellStyle name="Normal 7 2 4 2 4" xfId="31811" xr:uid="{F97636BD-CF90-49C3-B0C8-D13F8EAE0B3B}"/>
    <cellStyle name="Normal 7 2 4 3" xfId="12372" xr:uid="{00000000-0005-0000-0000-0000935C0000}"/>
    <cellStyle name="Normal 7 2 4 3 2" xfId="36221" xr:uid="{ED9E73DB-19FB-4722-A68D-204E26A1CD4F}"/>
    <cellStyle name="Normal 7 2 4 4" xfId="20327" xr:uid="{00000000-0005-0000-0000-0000945C0000}"/>
    <cellStyle name="Normal 7 2 4 4 2" xfId="44159" xr:uid="{A99E3B2E-7672-486B-BA92-EF4156D4D6BE}"/>
    <cellStyle name="Normal 7 2 4 5" xfId="28280" xr:uid="{54775B63-D7A6-4F04-99AE-BB5C36A761C5}"/>
    <cellStyle name="Normal 7 2 5" xfId="6168" xr:uid="{00000000-0005-0000-0000-0000955C0000}"/>
    <cellStyle name="Normal 7 2 5 2" xfId="14151" xr:uid="{00000000-0005-0000-0000-0000965C0000}"/>
    <cellStyle name="Normal 7 2 5 2 2" xfId="37994" xr:uid="{7B94E44A-A6EE-42D5-9A6E-0FDAF17BD9E8}"/>
    <cellStyle name="Normal 7 2 5 3" xfId="22099" xr:uid="{00000000-0005-0000-0000-0000975C0000}"/>
    <cellStyle name="Normal 7 2 5 3 2" xfId="45931" xr:uid="{DDFA4B30-72A1-4AC8-A88C-574F156BC890}"/>
    <cellStyle name="Normal 7 2 5 4" xfId="30053" xr:uid="{41B6EE24-8F98-4206-9BFF-0DAAFB269087}"/>
    <cellStyle name="Normal 7 2 6" xfId="9720" xr:uid="{00000000-0005-0000-0000-0000985C0000}"/>
    <cellStyle name="Normal 7 2 6 2" xfId="17678" xr:uid="{00000000-0005-0000-0000-0000995C0000}"/>
    <cellStyle name="Normal 7 2 6 2 2" xfId="41518" xr:uid="{44CDF1C1-2280-45C0-A6B4-B9C770AE86E2}"/>
    <cellStyle name="Normal 7 2 6 3" xfId="25622" xr:uid="{00000000-0005-0000-0000-00009A5C0000}"/>
    <cellStyle name="Normal 7 2 6 3 2" xfId="49454" xr:uid="{C26E3672-E43A-497D-809C-5A3F7B421F6C}"/>
    <cellStyle name="Normal 7 2 6 4" xfId="33577" xr:uid="{BFC50412-7798-4C01-8C8C-12F4E9A972D5}"/>
    <cellStyle name="Normal 7 2 7" xfId="10616" xr:uid="{00000000-0005-0000-0000-00009B5C0000}"/>
    <cellStyle name="Normal 7 2 7 2" xfId="34465" xr:uid="{BD510F7D-5342-4BF3-B83E-367E2E86947C}"/>
    <cellStyle name="Normal 7 2 8" xfId="18571" xr:uid="{00000000-0005-0000-0000-00009C5C0000}"/>
    <cellStyle name="Normal 7 2 8 2" xfId="42403" xr:uid="{3AE38050-4B9B-4B3C-9BAB-E029CC6604B0}"/>
    <cellStyle name="Normal 7 2 9" xfId="26523" xr:uid="{1449B79A-09A1-4BB1-A19B-0556E1204FEB}"/>
    <cellStyle name="Normal 7 2_Exh G" xfId="3538" xr:uid="{00000000-0005-0000-0000-00009D5C0000}"/>
    <cellStyle name="Normal 7 3" xfId="676" xr:uid="{00000000-0005-0000-0000-00009E5C0000}"/>
    <cellStyle name="Normal 7 3 2" xfId="1702" xr:uid="{00000000-0005-0000-0000-00009F5C0000}"/>
    <cellStyle name="Normal 7 3 2 2" xfId="5229" xr:uid="{00000000-0005-0000-0000-0000A05C0000}"/>
    <cellStyle name="Normal 7 3 2 2 2" xfId="8820" xr:uid="{00000000-0005-0000-0000-0000A15C0000}"/>
    <cellStyle name="Normal 7 3 2 2 2 2" xfId="16790" xr:uid="{00000000-0005-0000-0000-0000A25C0000}"/>
    <cellStyle name="Normal 7 3 2 2 2 2 2" xfId="40632" xr:uid="{C4DB7C2C-1F5D-44EE-97C3-984E0D95970C}"/>
    <cellStyle name="Normal 7 3 2 2 2 3" xfId="24736" xr:uid="{00000000-0005-0000-0000-0000A35C0000}"/>
    <cellStyle name="Normal 7 3 2 2 2 3 2" xfId="48568" xr:uid="{0DC3283A-069C-437C-BF89-38134A07BFA1}"/>
    <cellStyle name="Normal 7 3 2 2 2 4" xfId="32691" xr:uid="{235A41E1-E647-402B-8B86-AA4801DDFC2C}"/>
    <cellStyle name="Normal 7 3 2 2 3" xfId="13252" xr:uid="{00000000-0005-0000-0000-0000A45C0000}"/>
    <cellStyle name="Normal 7 3 2 2 3 2" xfId="37101" xr:uid="{33D37FA1-79C0-45F1-B297-3A61C3B92291}"/>
    <cellStyle name="Normal 7 3 2 2 4" xfId="21207" xr:uid="{00000000-0005-0000-0000-0000A55C0000}"/>
    <cellStyle name="Normal 7 3 2 2 4 2" xfId="45039" xr:uid="{9EEA8B19-49AF-4539-9543-F18BEDE9F67E}"/>
    <cellStyle name="Normal 7 3 2 2 5" xfId="29160" xr:uid="{79041CBC-8AB8-4EBA-8AAF-60A7A4D7158C}"/>
    <cellStyle name="Normal 7 3 2 3" xfId="7061" xr:uid="{00000000-0005-0000-0000-0000A65C0000}"/>
    <cellStyle name="Normal 7 3 2 3 2" xfId="15032" xr:uid="{00000000-0005-0000-0000-0000A75C0000}"/>
    <cellStyle name="Normal 7 3 2 3 2 2" xfId="38874" xr:uid="{6FB720FD-149F-45B5-9520-E4CA5E6C4A0D}"/>
    <cellStyle name="Normal 7 3 2 3 3" xfId="22979" xr:uid="{00000000-0005-0000-0000-0000A85C0000}"/>
    <cellStyle name="Normal 7 3 2 3 3 2" xfId="46811" xr:uid="{C735AC3F-3AD3-43E6-B338-9B125635D3DF}"/>
    <cellStyle name="Normal 7 3 2 3 4" xfId="30933" xr:uid="{EC1B7583-CCDF-4280-80D5-F0C40E991F35}"/>
    <cellStyle name="Normal 7 3 2 4" xfId="11496" xr:uid="{00000000-0005-0000-0000-0000A95C0000}"/>
    <cellStyle name="Normal 7 3 2 4 2" xfId="35345" xr:uid="{17A47C8B-343C-457E-9480-7B8FEBFCCCF0}"/>
    <cellStyle name="Normal 7 3 2 5" xfId="19451" xr:uid="{00000000-0005-0000-0000-0000AA5C0000}"/>
    <cellStyle name="Normal 7 3 2 5 2" xfId="43283" xr:uid="{AA260415-9F59-4E8B-8339-2A70472C1379}"/>
    <cellStyle name="Normal 7 3 2 6" xfId="27403" xr:uid="{6128C80A-DD68-425C-B80A-29542A4410CC}"/>
    <cellStyle name="Normal 7 3 2_Exh G" xfId="3543" xr:uid="{00000000-0005-0000-0000-0000AB5C0000}"/>
    <cellStyle name="Normal 7 3 3" xfId="4350" xr:uid="{00000000-0005-0000-0000-0000AC5C0000}"/>
    <cellStyle name="Normal 7 3 3 2" xfId="7942" xr:uid="{00000000-0005-0000-0000-0000AD5C0000}"/>
    <cellStyle name="Normal 7 3 3 2 2" xfId="15912" xr:uid="{00000000-0005-0000-0000-0000AE5C0000}"/>
    <cellStyle name="Normal 7 3 3 2 2 2" xfId="39754" xr:uid="{E59B7E23-8F0E-4022-8BE1-D360589E8BA1}"/>
    <cellStyle name="Normal 7 3 3 2 3" xfId="23858" xr:uid="{00000000-0005-0000-0000-0000AF5C0000}"/>
    <cellStyle name="Normal 7 3 3 2 3 2" xfId="47690" xr:uid="{F48473AF-C3BB-41EF-B64E-B3C1AEACAEE8}"/>
    <cellStyle name="Normal 7 3 3 2 4" xfId="31813" xr:uid="{BB147F57-6EB7-470D-800E-E7BCAD0982B9}"/>
    <cellStyle name="Normal 7 3 3 3" xfId="12374" xr:uid="{00000000-0005-0000-0000-0000B05C0000}"/>
    <cellStyle name="Normal 7 3 3 3 2" xfId="36223" xr:uid="{A600801F-A728-4A46-A1BF-221123FF7998}"/>
    <cellStyle name="Normal 7 3 3 4" xfId="20329" xr:uid="{00000000-0005-0000-0000-0000B15C0000}"/>
    <cellStyle name="Normal 7 3 3 4 2" xfId="44161" xr:uid="{F2C9C6F1-90F6-44CB-84F2-A8F35DEC9EAF}"/>
    <cellStyle name="Normal 7 3 3 5" xfId="28282" xr:uid="{1824D0AA-1968-42F4-BA18-52894F0197A8}"/>
    <cellStyle name="Normal 7 3 4" xfId="6170" xr:uid="{00000000-0005-0000-0000-0000B25C0000}"/>
    <cellStyle name="Normal 7 3 4 2" xfId="14153" xr:uid="{00000000-0005-0000-0000-0000B35C0000}"/>
    <cellStyle name="Normal 7 3 4 2 2" xfId="37996" xr:uid="{F73EB7B2-636A-432B-A98D-E1917F26B012}"/>
    <cellStyle name="Normal 7 3 4 3" xfId="22101" xr:uid="{00000000-0005-0000-0000-0000B45C0000}"/>
    <cellStyle name="Normal 7 3 4 3 2" xfId="45933" xr:uid="{A7844438-6A0D-4FAA-8D8C-E1E416622C5C}"/>
    <cellStyle name="Normal 7 3 4 4" xfId="30055" xr:uid="{98316EDA-2B5B-483C-BB3A-C5A9C2EC7957}"/>
    <cellStyle name="Normal 7 3 5" xfId="9722" xr:uid="{00000000-0005-0000-0000-0000B55C0000}"/>
    <cellStyle name="Normal 7 3 5 2" xfId="17680" xr:uid="{00000000-0005-0000-0000-0000B65C0000}"/>
    <cellStyle name="Normal 7 3 5 2 2" xfId="41520" xr:uid="{F8DBD918-4432-40C5-A492-EA59590E75FF}"/>
    <cellStyle name="Normal 7 3 5 3" xfId="25624" xr:uid="{00000000-0005-0000-0000-0000B75C0000}"/>
    <cellStyle name="Normal 7 3 5 3 2" xfId="49456" xr:uid="{D6AF2357-9B0A-4430-8E5E-4FF4D3B24FC6}"/>
    <cellStyle name="Normal 7 3 5 4" xfId="33579" xr:uid="{078F311B-1584-4283-8420-77BBC32DA5FF}"/>
    <cellStyle name="Normal 7 3 6" xfId="10618" xr:uid="{00000000-0005-0000-0000-0000B85C0000}"/>
    <cellStyle name="Normal 7 3 6 2" xfId="34467" xr:uid="{26CD6393-79A2-4D46-B4E2-3CF575747D19}"/>
    <cellStyle name="Normal 7 3 7" xfId="18573" xr:uid="{00000000-0005-0000-0000-0000B95C0000}"/>
    <cellStyle name="Normal 7 3 7 2" xfId="42405" xr:uid="{2321ED3A-B9F3-4F3F-A0B7-203AE421A322}"/>
    <cellStyle name="Normal 7 3 8" xfId="26525" xr:uid="{D540DBFE-0764-4F74-A923-D26EF57ABE6B}"/>
    <cellStyle name="Normal 7 3_Exh G" xfId="3542" xr:uid="{00000000-0005-0000-0000-0000BA5C0000}"/>
    <cellStyle name="Normal 7 4" xfId="1022" xr:uid="{00000000-0005-0000-0000-0000BB5C0000}"/>
    <cellStyle name="Normal 8" xfId="17" xr:uid="{00000000-0005-0000-0000-0000BC5C0000}"/>
    <cellStyle name="Normal 8 10" xfId="17916" xr:uid="{00000000-0005-0000-0000-0000BD5C0000}"/>
    <cellStyle name="Normal 8 10 2" xfId="41748" xr:uid="{88F606E3-5CAF-4EB3-ADB7-058FF64FA3BA}"/>
    <cellStyle name="Normal 8 11" xfId="25868" xr:uid="{ADA657A7-0DAF-47EB-B242-D4C5E6B965F9}"/>
    <cellStyle name="Normal 8 2" xfId="677" xr:uid="{00000000-0005-0000-0000-0000BE5C0000}"/>
    <cellStyle name="Normal 8 2 2" xfId="678" xr:uid="{00000000-0005-0000-0000-0000BF5C0000}"/>
    <cellStyle name="Normal 8 2 2 2" xfId="1704" xr:uid="{00000000-0005-0000-0000-0000C05C0000}"/>
    <cellStyle name="Normal 8 2 2 2 2" xfId="5231" xr:uid="{00000000-0005-0000-0000-0000C15C0000}"/>
    <cellStyle name="Normal 8 2 2 2 2 2" xfId="8822" xr:uid="{00000000-0005-0000-0000-0000C25C0000}"/>
    <cellStyle name="Normal 8 2 2 2 2 2 2" xfId="16792" xr:uid="{00000000-0005-0000-0000-0000C35C0000}"/>
    <cellStyle name="Normal 8 2 2 2 2 2 2 2" xfId="40634" xr:uid="{84E813C7-6477-42C9-B41B-93CD45F38D43}"/>
    <cellStyle name="Normal 8 2 2 2 2 2 3" xfId="24738" xr:uid="{00000000-0005-0000-0000-0000C45C0000}"/>
    <cellStyle name="Normal 8 2 2 2 2 2 3 2" xfId="48570" xr:uid="{43930959-B052-430A-9D88-7CB0A726C748}"/>
    <cellStyle name="Normal 8 2 2 2 2 2 4" xfId="32693" xr:uid="{51D21878-C63E-4B6C-93D5-46A088B6DBC5}"/>
    <cellStyle name="Normal 8 2 2 2 2 3" xfId="13254" xr:uid="{00000000-0005-0000-0000-0000C55C0000}"/>
    <cellStyle name="Normal 8 2 2 2 2 3 2" xfId="37103" xr:uid="{D2FA213B-097D-4BC0-8D61-A35D641AC228}"/>
    <cellStyle name="Normal 8 2 2 2 2 4" xfId="21209" xr:uid="{00000000-0005-0000-0000-0000C65C0000}"/>
    <cellStyle name="Normal 8 2 2 2 2 4 2" xfId="45041" xr:uid="{ABA351C5-4AC0-44F4-AA5A-4045A4F94AE9}"/>
    <cellStyle name="Normal 8 2 2 2 2 5" xfId="29162" xr:uid="{37B9D941-80B6-4114-AE6B-07415A59FCC0}"/>
    <cellStyle name="Normal 8 2 2 2 3" xfId="7063" xr:uid="{00000000-0005-0000-0000-0000C75C0000}"/>
    <cellStyle name="Normal 8 2 2 2 3 2" xfId="15034" xr:uid="{00000000-0005-0000-0000-0000C85C0000}"/>
    <cellStyle name="Normal 8 2 2 2 3 2 2" xfId="38876" xr:uid="{6062B615-38A0-4A36-866B-7DF3594624C9}"/>
    <cellStyle name="Normal 8 2 2 2 3 3" xfId="22981" xr:uid="{00000000-0005-0000-0000-0000C95C0000}"/>
    <cellStyle name="Normal 8 2 2 2 3 3 2" xfId="46813" xr:uid="{DB44900C-CA71-41EC-A6B5-8E9BA8D1F69B}"/>
    <cellStyle name="Normal 8 2 2 2 3 4" xfId="30935" xr:uid="{A3227AC0-86AB-499F-BF77-441060E1F2E1}"/>
    <cellStyle name="Normal 8 2 2 2 4" xfId="11498" xr:uid="{00000000-0005-0000-0000-0000CA5C0000}"/>
    <cellStyle name="Normal 8 2 2 2 4 2" xfId="35347" xr:uid="{124A4825-9B99-4EAA-8EDB-DA6A6A3B3590}"/>
    <cellStyle name="Normal 8 2 2 2 5" xfId="19453" xr:uid="{00000000-0005-0000-0000-0000CB5C0000}"/>
    <cellStyle name="Normal 8 2 2 2 5 2" xfId="43285" xr:uid="{F4810A0E-4B71-4205-8EE2-25AE8785597D}"/>
    <cellStyle name="Normal 8 2 2 2 6" xfId="27405" xr:uid="{CE93A1AA-AC0F-4C84-954C-9221E8F0F91B}"/>
    <cellStyle name="Normal 8 2 2 2_Exh G" xfId="3547" xr:uid="{00000000-0005-0000-0000-0000CC5C0000}"/>
    <cellStyle name="Normal 8 2 2 3" xfId="4352" xr:uid="{00000000-0005-0000-0000-0000CD5C0000}"/>
    <cellStyle name="Normal 8 2 2 3 2" xfId="7944" xr:uid="{00000000-0005-0000-0000-0000CE5C0000}"/>
    <cellStyle name="Normal 8 2 2 3 2 2" xfId="15914" xr:uid="{00000000-0005-0000-0000-0000CF5C0000}"/>
    <cellStyle name="Normal 8 2 2 3 2 2 2" xfId="39756" xr:uid="{64E4367C-CE98-4C24-B30F-B863979ABB9D}"/>
    <cellStyle name="Normal 8 2 2 3 2 3" xfId="23860" xr:uid="{00000000-0005-0000-0000-0000D05C0000}"/>
    <cellStyle name="Normal 8 2 2 3 2 3 2" xfId="47692" xr:uid="{6520D215-1EA2-4CE2-AC5C-CD10CE6B633B}"/>
    <cellStyle name="Normal 8 2 2 3 2 4" xfId="31815" xr:uid="{A3EB5D09-4B32-4186-AF0C-617C723E0224}"/>
    <cellStyle name="Normal 8 2 2 3 3" xfId="12376" xr:uid="{00000000-0005-0000-0000-0000D15C0000}"/>
    <cellStyle name="Normal 8 2 2 3 3 2" xfId="36225" xr:uid="{1A8D16D3-8152-4BF6-83B7-0563EDC9A2E1}"/>
    <cellStyle name="Normal 8 2 2 3 4" xfId="20331" xr:uid="{00000000-0005-0000-0000-0000D25C0000}"/>
    <cellStyle name="Normal 8 2 2 3 4 2" xfId="44163" xr:uid="{12E18EC9-1FBF-446A-8F49-24426B3D6E4D}"/>
    <cellStyle name="Normal 8 2 2 3 5" xfId="28284" xr:uid="{D116EE40-AB47-435D-9888-D86CF05F7881}"/>
    <cellStyle name="Normal 8 2 2 4" xfId="6172" xr:uid="{00000000-0005-0000-0000-0000D35C0000}"/>
    <cellStyle name="Normal 8 2 2 4 2" xfId="14155" xr:uid="{00000000-0005-0000-0000-0000D45C0000}"/>
    <cellStyle name="Normal 8 2 2 4 2 2" xfId="37998" xr:uid="{2B54D896-BC3B-453D-B8E8-4DB40D6554D9}"/>
    <cellStyle name="Normal 8 2 2 4 3" xfId="22103" xr:uid="{00000000-0005-0000-0000-0000D55C0000}"/>
    <cellStyle name="Normal 8 2 2 4 3 2" xfId="45935" xr:uid="{5981F9BB-9B68-4561-A99E-630260EBDEB3}"/>
    <cellStyle name="Normal 8 2 2 4 4" xfId="30057" xr:uid="{F77E9B05-90F1-4F0B-B8DD-F1D49C200E26}"/>
    <cellStyle name="Normal 8 2 2 5" xfId="9724" xr:uid="{00000000-0005-0000-0000-0000D65C0000}"/>
    <cellStyle name="Normal 8 2 2 5 2" xfId="17682" xr:uid="{00000000-0005-0000-0000-0000D75C0000}"/>
    <cellStyle name="Normal 8 2 2 5 2 2" xfId="41522" xr:uid="{D2BFC31F-ABC6-40B1-BB6E-11100BE35119}"/>
    <cellStyle name="Normal 8 2 2 5 3" xfId="25626" xr:uid="{00000000-0005-0000-0000-0000D85C0000}"/>
    <cellStyle name="Normal 8 2 2 5 3 2" xfId="49458" xr:uid="{6F7649E6-2C8C-4B43-9BC8-532428D30C17}"/>
    <cellStyle name="Normal 8 2 2 5 4" xfId="33581" xr:uid="{68654532-EFB5-425E-8F08-FB01B987E2CC}"/>
    <cellStyle name="Normal 8 2 2 6" xfId="10620" xr:uid="{00000000-0005-0000-0000-0000D95C0000}"/>
    <cellStyle name="Normal 8 2 2 6 2" xfId="34469" xr:uid="{46CC65C0-CC6F-4C22-A448-88E2DFEFDE2C}"/>
    <cellStyle name="Normal 8 2 2 7" xfId="18575" xr:uid="{00000000-0005-0000-0000-0000DA5C0000}"/>
    <cellStyle name="Normal 8 2 2 7 2" xfId="42407" xr:uid="{BDF0D757-344B-43E3-B82B-186CBED907AB}"/>
    <cellStyle name="Normal 8 2 2 8" xfId="26527" xr:uid="{4BE2A993-3C94-41C6-93B5-4A896DD7B01D}"/>
    <cellStyle name="Normal 8 2 2_Exh G" xfId="3546" xr:uid="{00000000-0005-0000-0000-0000DB5C0000}"/>
    <cellStyle name="Normal 8 2 3" xfId="1703" xr:uid="{00000000-0005-0000-0000-0000DC5C0000}"/>
    <cellStyle name="Normal 8 2 3 2" xfId="5230" xr:uid="{00000000-0005-0000-0000-0000DD5C0000}"/>
    <cellStyle name="Normal 8 2 3 2 2" xfId="8821" xr:uid="{00000000-0005-0000-0000-0000DE5C0000}"/>
    <cellStyle name="Normal 8 2 3 2 2 2" xfId="16791" xr:uid="{00000000-0005-0000-0000-0000DF5C0000}"/>
    <cellStyle name="Normal 8 2 3 2 2 2 2" xfId="40633" xr:uid="{8AB98D2F-046F-42BA-8255-EC40FFC73EB5}"/>
    <cellStyle name="Normal 8 2 3 2 2 3" xfId="24737" xr:uid="{00000000-0005-0000-0000-0000E05C0000}"/>
    <cellStyle name="Normal 8 2 3 2 2 3 2" xfId="48569" xr:uid="{8AC3BD3E-4D59-4549-8115-CE5447FB8707}"/>
    <cellStyle name="Normal 8 2 3 2 2 4" xfId="32692" xr:uid="{766451CC-407F-465E-B636-CF413C6F0665}"/>
    <cellStyle name="Normal 8 2 3 2 3" xfId="13253" xr:uid="{00000000-0005-0000-0000-0000E15C0000}"/>
    <cellStyle name="Normal 8 2 3 2 3 2" xfId="37102" xr:uid="{AF5A5DD0-6E7E-40E8-A79D-E128B5354FC0}"/>
    <cellStyle name="Normal 8 2 3 2 4" xfId="21208" xr:uid="{00000000-0005-0000-0000-0000E25C0000}"/>
    <cellStyle name="Normal 8 2 3 2 4 2" xfId="45040" xr:uid="{D111ECF6-1543-4D35-AF1B-A8D0B49DE44F}"/>
    <cellStyle name="Normal 8 2 3 2 5" xfId="29161" xr:uid="{611B82CD-2749-4BB6-A9A0-B0016E591850}"/>
    <cellStyle name="Normal 8 2 3 3" xfId="7062" xr:uid="{00000000-0005-0000-0000-0000E35C0000}"/>
    <cellStyle name="Normal 8 2 3 3 2" xfId="15033" xr:uid="{00000000-0005-0000-0000-0000E45C0000}"/>
    <cellStyle name="Normal 8 2 3 3 2 2" xfId="38875" xr:uid="{B4B7C5F5-1B9D-4C3B-9443-304333B13DFD}"/>
    <cellStyle name="Normal 8 2 3 3 3" xfId="22980" xr:uid="{00000000-0005-0000-0000-0000E55C0000}"/>
    <cellStyle name="Normal 8 2 3 3 3 2" xfId="46812" xr:uid="{8A6E7059-B234-45A6-A8AA-D4099E645C0A}"/>
    <cellStyle name="Normal 8 2 3 3 4" xfId="30934" xr:uid="{7EF4FDCC-9264-4035-972B-32FAC6762FD6}"/>
    <cellStyle name="Normal 8 2 3 4" xfId="11497" xr:uid="{00000000-0005-0000-0000-0000E65C0000}"/>
    <cellStyle name="Normal 8 2 3 4 2" xfId="35346" xr:uid="{09973C76-344B-4445-A9E2-126A79A04859}"/>
    <cellStyle name="Normal 8 2 3 5" xfId="19452" xr:uid="{00000000-0005-0000-0000-0000E75C0000}"/>
    <cellStyle name="Normal 8 2 3 5 2" xfId="43284" xr:uid="{87A544B6-62F7-4CF3-BEBA-24718A07CAC4}"/>
    <cellStyle name="Normal 8 2 3 6" xfId="27404" xr:uid="{E5BD2166-02D9-45C4-9DFF-6B3F15D4A2D4}"/>
    <cellStyle name="Normal 8 2 3_Exh G" xfId="3548" xr:uid="{00000000-0005-0000-0000-0000E85C0000}"/>
    <cellStyle name="Normal 8 2 4" xfId="4351" xr:uid="{00000000-0005-0000-0000-0000E95C0000}"/>
    <cellStyle name="Normal 8 2 4 2" xfId="7943" xr:uid="{00000000-0005-0000-0000-0000EA5C0000}"/>
    <cellStyle name="Normal 8 2 4 2 2" xfId="15913" xr:uid="{00000000-0005-0000-0000-0000EB5C0000}"/>
    <cellStyle name="Normal 8 2 4 2 2 2" xfId="39755" xr:uid="{C1F0BB29-E58A-4300-BF1F-BC88A57A5331}"/>
    <cellStyle name="Normal 8 2 4 2 3" xfId="23859" xr:uid="{00000000-0005-0000-0000-0000EC5C0000}"/>
    <cellStyle name="Normal 8 2 4 2 3 2" xfId="47691" xr:uid="{AE6C6530-5496-4006-9867-8C524E545631}"/>
    <cellStyle name="Normal 8 2 4 2 4" xfId="31814" xr:uid="{B07BBB8D-6E1C-48B1-B65A-2105F70F879A}"/>
    <cellStyle name="Normal 8 2 4 3" xfId="12375" xr:uid="{00000000-0005-0000-0000-0000ED5C0000}"/>
    <cellStyle name="Normal 8 2 4 3 2" xfId="36224" xr:uid="{CDC5C577-B783-46AB-8BEC-10CE5009639B}"/>
    <cellStyle name="Normal 8 2 4 4" xfId="20330" xr:uid="{00000000-0005-0000-0000-0000EE5C0000}"/>
    <cellStyle name="Normal 8 2 4 4 2" xfId="44162" xr:uid="{F09B61D8-6037-47EB-AD2F-84E27F5A58FB}"/>
    <cellStyle name="Normal 8 2 4 5" xfId="28283" xr:uid="{DF747BDF-3BD8-42C6-A1A4-54486DB0DFCE}"/>
    <cellStyle name="Normal 8 2 5" xfId="6171" xr:uid="{00000000-0005-0000-0000-0000EF5C0000}"/>
    <cellStyle name="Normal 8 2 5 2" xfId="14154" xr:uid="{00000000-0005-0000-0000-0000F05C0000}"/>
    <cellStyle name="Normal 8 2 5 2 2" xfId="37997" xr:uid="{30B7E8FB-E653-4FA0-AEB2-FE552F913E31}"/>
    <cellStyle name="Normal 8 2 5 3" xfId="22102" xr:uid="{00000000-0005-0000-0000-0000F15C0000}"/>
    <cellStyle name="Normal 8 2 5 3 2" xfId="45934" xr:uid="{1EF6B9F2-9C55-4450-9907-FF0B8B65EB64}"/>
    <cellStyle name="Normal 8 2 5 4" xfId="30056" xr:uid="{43D2CA10-9BA2-4887-9AE5-06740C6A725C}"/>
    <cellStyle name="Normal 8 2 6" xfId="9723" xr:uid="{00000000-0005-0000-0000-0000F25C0000}"/>
    <cellStyle name="Normal 8 2 6 2" xfId="17681" xr:uid="{00000000-0005-0000-0000-0000F35C0000}"/>
    <cellStyle name="Normal 8 2 6 2 2" xfId="41521" xr:uid="{15215A3E-3DEA-4365-BEF3-4904BD90F0F1}"/>
    <cellStyle name="Normal 8 2 6 3" xfId="25625" xr:uid="{00000000-0005-0000-0000-0000F45C0000}"/>
    <cellStyle name="Normal 8 2 6 3 2" xfId="49457" xr:uid="{393E9442-401A-4BF4-B029-225202562EC6}"/>
    <cellStyle name="Normal 8 2 6 4" xfId="33580" xr:uid="{1BF38E6E-249F-4EBA-BD5E-ABB43650D5B6}"/>
    <cellStyle name="Normal 8 2 7" xfId="10619" xr:uid="{00000000-0005-0000-0000-0000F55C0000}"/>
    <cellStyle name="Normal 8 2 7 2" xfId="34468" xr:uid="{8AFDCEEA-5DBA-4B64-99C0-C1D41F966378}"/>
    <cellStyle name="Normal 8 2 8" xfId="18574" xr:uid="{00000000-0005-0000-0000-0000F65C0000}"/>
    <cellStyle name="Normal 8 2 8 2" xfId="42406" xr:uid="{33401550-F263-4AEC-9F09-F456642262F3}"/>
    <cellStyle name="Normal 8 2 9" xfId="26526" xr:uid="{468A5E4D-1D58-4D93-BF66-23EF05406E99}"/>
    <cellStyle name="Normal 8 2_Exh G" xfId="3545" xr:uid="{00000000-0005-0000-0000-0000F75C0000}"/>
    <cellStyle name="Normal 8 3" xfId="679" xr:uid="{00000000-0005-0000-0000-0000F85C0000}"/>
    <cellStyle name="Normal 8 3 2" xfId="1705" xr:uid="{00000000-0005-0000-0000-0000F95C0000}"/>
    <cellStyle name="Normal 8 3 2 2" xfId="5232" xr:uid="{00000000-0005-0000-0000-0000FA5C0000}"/>
    <cellStyle name="Normal 8 3 2 2 2" xfId="8823" xr:uid="{00000000-0005-0000-0000-0000FB5C0000}"/>
    <cellStyle name="Normal 8 3 2 2 2 2" xfId="16793" xr:uid="{00000000-0005-0000-0000-0000FC5C0000}"/>
    <cellStyle name="Normal 8 3 2 2 2 2 2" xfId="40635" xr:uid="{08FEAABA-E6FE-4F28-9E80-4E0308C094E1}"/>
    <cellStyle name="Normal 8 3 2 2 2 3" xfId="24739" xr:uid="{00000000-0005-0000-0000-0000FD5C0000}"/>
    <cellStyle name="Normal 8 3 2 2 2 3 2" xfId="48571" xr:uid="{9F79789C-0805-4A15-AD92-9C6CC3851E76}"/>
    <cellStyle name="Normal 8 3 2 2 2 4" xfId="32694" xr:uid="{27E9B574-0312-4985-804F-45528A8735BD}"/>
    <cellStyle name="Normal 8 3 2 2 3" xfId="13255" xr:uid="{00000000-0005-0000-0000-0000FE5C0000}"/>
    <cellStyle name="Normal 8 3 2 2 3 2" xfId="37104" xr:uid="{050D9EA3-4EB5-41CA-AF58-09E62787F9A7}"/>
    <cellStyle name="Normal 8 3 2 2 4" xfId="21210" xr:uid="{00000000-0005-0000-0000-0000FF5C0000}"/>
    <cellStyle name="Normal 8 3 2 2 4 2" xfId="45042" xr:uid="{7715C16B-CD66-4112-9213-6024622E0D93}"/>
    <cellStyle name="Normal 8 3 2 2 5" xfId="29163" xr:uid="{C8618F27-DF38-4A09-A136-6F08F9D366FC}"/>
    <cellStyle name="Normal 8 3 2 3" xfId="7064" xr:uid="{00000000-0005-0000-0000-0000005D0000}"/>
    <cellStyle name="Normal 8 3 2 3 2" xfId="15035" xr:uid="{00000000-0005-0000-0000-0000015D0000}"/>
    <cellStyle name="Normal 8 3 2 3 2 2" xfId="38877" xr:uid="{D5490B9F-2B46-4021-AF95-50784F1A1326}"/>
    <cellStyle name="Normal 8 3 2 3 3" xfId="22982" xr:uid="{00000000-0005-0000-0000-0000025D0000}"/>
    <cellStyle name="Normal 8 3 2 3 3 2" xfId="46814" xr:uid="{255D4317-8635-42B8-9197-D24E26949DCE}"/>
    <cellStyle name="Normal 8 3 2 3 4" xfId="30936" xr:uid="{4E860C36-46CB-4D48-A8C2-3F33D24932CF}"/>
    <cellStyle name="Normal 8 3 2 4" xfId="11499" xr:uid="{00000000-0005-0000-0000-0000035D0000}"/>
    <cellStyle name="Normal 8 3 2 4 2" xfId="35348" xr:uid="{DF663694-0075-4FAD-B3BC-E5B1D6B3CCD8}"/>
    <cellStyle name="Normal 8 3 2 5" xfId="19454" xr:uid="{00000000-0005-0000-0000-0000045D0000}"/>
    <cellStyle name="Normal 8 3 2 5 2" xfId="43286" xr:uid="{00D5C056-AD3C-4C17-B662-C1193C65541B}"/>
    <cellStyle name="Normal 8 3 2 6" xfId="27406" xr:uid="{C881EFEF-3851-47E9-AD51-EFF75D19FBE2}"/>
    <cellStyle name="Normal 8 3 2_Exh G" xfId="3550" xr:uid="{00000000-0005-0000-0000-0000055D0000}"/>
    <cellStyle name="Normal 8 3 3" xfId="4353" xr:uid="{00000000-0005-0000-0000-0000065D0000}"/>
    <cellStyle name="Normal 8 3 3 2" xfId="7945" xr:uid="{00000000-0005-0000-0000-0000075D0000}"/>
    <cellStyle name="Normal 8 3 3 2 2" xfId="15915" xr:uid="{00000000-0005-0000-0000-0000085D0000}"/>
    <cellStyle name="Normal 8 3 3 2 2 2" xfId="39757" xr:uid="{078AB45F-79B1-4C87-B2CB-A56BBB1962BE}"/>
    <cellStyle name="Normal 8 3 3 2 3" xfId="23861" xr:uid="{00000000-0005-0000-0000-0000095D0000}"/>
    <cellStyle name="Normal 8 3 3 2 3 2" xfId="47693" xr:uid="{EBC1CA77-2813-4CBA-8CDC-39CE6631E747}"/>
    <cellStyle name="Normal 8 3 3 2 4" xfId="31816" xr:uid="{9BB2BDE4-9DA0-4D23-9E88-AD0D7D75F5FD}"/>
    <cellStyle name="Normal 8 3 3 3" xfId="12377" xr:uid="{00000000-0005-0000-0000-00000A5D0000}"/>
    <cellStyle name="Normal 8 3 3 3 2" xfId="36226" xr:uid="{12237F24-4CE8-4D80-8C53-3A0BDE7117E7}"/>
    <cellStyle name="Normal 8 3 3 4" xfId="20332" xr:uid="{00000000-0005-0000-0000-00000B5D0000}"/>
    <cellStyle name="Normal 8 3 3 4 2" xfId="44164" xr:uid="{48F58250-F17E-47B7-A1A1-08F177BEFB58}"/>
    <cellStyle name="Normal 8 3 3 5" xfId="28285" xr:uid="{12157AFA-44DA-4636-86AE-34E356001069}"/>
    <cellStyle name="Normal 8 3 4" xfId="6173" xr:uid="{00000000-0005-0000-0000-00000C5D0000}"/>
    <cellStyle name="Normal 8 3 4 2" xfId="14156" xr:uid="{00000000-0005-0000-0000-00000D5D0000}"/>
    <cellStyle name="Normal 8 3 4 2 2" xfId="37999" xr:uid="{7B64CDB6-1E15-4CBF-9148-4F018DB9DF64}"/>
    <cellStyle name="Normal 8 3 4 3" xfId="22104" xr:uid="{00000000-0005-0000-0000-00000E5D0000}"/>
    <cellStyle name="Normal 8 3 4 3 2" xfId="45936" xr:uid="{25311F7B-4779-4B9D-9AA6-0F6D5D3B8D80}"/>
    <cellStyle name="Normal 8 3 4 4" xfId="30058" xr:uid="{36608529-1573-4C07-901F-29655DD16633}"/>
    <cellStyle name="Normal 8 3 5" xfId="9725" xr:uid="{00000000-0005-0000-0000-00000F5D0000}"/>
    <cellStyle name="Normal 8 3 5 2" xfId="17683" xr:uid="{00000000-0005-0000-0000-0000105D0000}"/>
    <cellStyle name="Normal 8 3 5 2 2" xfId="41523" xr:uid="{E8B00019-8FD2-40D9-9274-FEB714D1A756}"/>
    <cellStyle name="Normal 8 3 5 3" xfId="25627" xr:uid="{00000000-0005-0000-0000-0000115D0000}"/>
    <cellStyle name="Normal 8 3 5 3 2" xfId="49459" xr:uid="{19BDE02D-D171-409E-8BB9-F91B4AAFC894}"/>
    <cellStyle name="Normal 8 3 5 4" xfId="33582" xr:uid="{5E789B54-EA85-44D2-A163-389C75F45D01}"/>
    <cellStyle name="Normal 8 3 6" xfId="10621" xr:uid="{00000000-0005-0000-0000-0000125D0000}"/>
    <cellStyle name="Normal 8 3 6 2" xfId="34470" xr:uid="{8AF66E74-0E79-46FE-84F2-8BFBB17AD817}"/>
    <cellStyle name="Normal 8 3 7" xfId="18576" xr:uid="{00000000-0005-0000-0000-0000135D0000}"/>
    <cellStyle name="Normal 8 3 7 2" xfId="42408" xr:uid="{8A5CA100-B4E5-4250-93C0-652803E868F2}"/>
    <cellStyle name="Normal 8 3 8" xfId="26528" xr:uid="{AC23CE1F-AD9C-446A-A5A9-E80F79423996}"/>
    <cellStyle name="Normal 8 3_Exh G" xfId="3549" xr:uid="{00000000-0005-0000-0000-0000145D0000}"/>
    <cellStyle name="Normal 8 4" xfId="1023" xr:uid="{00000000-0005-0000-0000-0000155D0000}"/>
    <cellStyle name="Normal 8 5" xfId="1045" xr:uid="{00000000-0005-0000-0000-0000165D0000}"/>
    <cellStyle name="Normal 8 5 2" xfId="4572" xr:uid="{00000000-0005-0000-0000-0000175D0000}"/>
    <cellStyle name="Normal 8 5 2 2" xfId="8163" xr:uid="{00000000-0005-0000-0000-0000185D0000}"/>
    <cellStyle name="Normal 8 5 2 2 2" xfId="16133" xr:uid="{00000000-0005-0000-0000-0000195D0000}"/>
    <cellStyle name="Normal 8 5 2 2 2 2" xfId="39975" xr:uid="{0AF7272A-67E0-4715-BAEC-A8BCBB49DC22}"/>
    <cellStyle name="Normal 8 5 2 2 3" xfId="24079" xr:uid="{00000000-0005-0000-0000-00001A5D0000}"/>
    <cellStyle name="Normal 8 5 2 2 3 2" xfId="47911" xr:uid="{560F34DB-6A17-4A5A-B81C-258606F87EF1}"/>
    <cellStyle name="Normal 8 5 2 2 4" xfId="32034" xr:uid="{65A29923-EF79-48B6-84F4-17A66F21C92E}"/>
    <cellStyle name="Normal 8 5 2 3" xfId="12595" xr:uid="{00000000-0005-0000-0000-00001B5D0000}"/>
    <cellStyle name="Normal 8 5 2 3 2" xfId="36444" xr:uid="{7FD45F56-704D-4947-B67D-5A883644D8A5}"/>
    <cellStyle name="Normal 8 5 2 4" xfId="20550" xr:uid="{00000000-0005-0000-0000-00001C5D0000}"/>
    <cellStyle name="Normal 8 5 2 4 2" xfId="44382" xr:uid="{B6AF6627-E573-4065-B9BC-BAE7D0A46C9A}"/>
    <cellStyle name="Normal 8 5 2 5" xfId="28503" xr:uid="{38C13BC7-C3C9-4058-8E59-761F473CD3B7}"/>
    <cellStyle name="Normal 8 5 3" xfId="6404" xr:uid="{00000000-0005-0000-0000-00001D5D0000}"/>
    <cellStyle name="Normal 8 5 3 2" xfId="14375" xr:uid="{00000000-0005-0000-0000-00001E5D0000}"/>
    <cellStyle name="Normal 8 5 3 2 2" xfId="38217" xr:uid="{2CE82C03-DA1B-4F24-A030-F387A7E1CF14}"/>
    <cellStyle name="Normal 8 5 3 3" xfId="22322" xr:uid="{00000000-0005-0000-0000-00001F5D0000}"/>
    <cellStyle name="Normal 8 5 3 3 2" xfId="46154" xr:uid="{864A56D2-0FBB-4A90-A15F-41670610BCD0}"/>
    <cellStyle name="Normal 8 5 3 4" xfId="30276" xr:uid="{FCB18097-FA50-48CF-9719-D0BC3F8C6D33}"/>
    <cellStyle name="Normal 8 5 4" xfId="10839" xr:uid="{00000000-0005-0000-0000-0000205D0000}"/>
    <cellStyle name="Normal 8 5 4 2" xfId="34688" xr:uid="{CEFC448C-E2E9-4F7A-A395-FEA5A1CA980B}"/>
    <cellStyle name="Normal 8 5 5" xfId="18794" xr:uid="{00000000-0005-0000-0000-0000215D0000}"/>
    <cellStyle name="Normal 8 5 5 2" xfId="42626" xr:uid="{54F35F78-D94E-43D3-AC18-09EF131B0C0C}"/>
    <cellStyle name="Normal 8 5 6" xfId="26746" xr:uid="{580A508E-2384-428B-B209-FD251F5230AF}"/>
    <cellStyle name="Normal 8 5_Exh G" xfId="3551" xr:uid="{00000000-0005-0000-0000-0000225D0000}"/>
    <cellStyle name="Normal 8 6" xfId="3693" xr:uid="{00000000-0005-0000-0000-0000235D0000}"/>
    <cellStyle name="Normal 8 6 2" xfId="7285" xr:uid="{00000000-0005-0000-0000-0000245D0000}"/>
    <cellStyle name="Normal 8 6 2 2" xfId="15255" xr:uid="{00000000-0005-0000-0000-0000255D0000}"/>
    <cellStyle name="Normal 8 6 2 2 2" xfId="39097" xr:uid="{476C6F23-F9F1-4420-8BC8-357B34BA8B8D}"/>
    <cellStyle name="Normal 8 6 2 3" xfId="23201" xr:uid="{00000000-0005-0000-0000-0000265D0000}"/>
    <cellStyle name="Normal 8 6 2 3 2" xfId="47033" xr:uid="{2D1123FD-1E69-43CB-BEEC-32F69FCE834E}"/>
    <cellStyle name="Normal 8 6 2 4" xfId="31156" xr:uid="{2DB7F8AB-7851-4F4E-A720-2545E6B8FAC7}"/>
    <cellStyle name="Normal 8 6 3" xfId="11717" xr:uid="{00000000-0005-0000-0000-0000275D0000}"/>
    <cellStyle name="Normal 8 6 3 2" xfId="35566" xr:uid="{472C2F70-05BD-4389-906A-D8C12F70ABA4}"/>
    <cellStyle name="Normal 8 6 4" xfId="19672" xr:uid="{00000000-0005-0000-0000-0000285D0000}"/>
    <cellStyle name="Normal 8 6 4 2" xfId="43504" xr:uid="{3FBDB115-C666-4A1A-AFCB-D3772255CCC0}"/>
    <cellStyle name="Normal 8 6 5" xfId="27625" xr:uid="{AE52E15E-1B90-466E-8E93-5F38B84F627C}"/>
    <cellStyle name="Normal 8 7" xfId="5513" xr:uid="{00000000-0005-0000-0000-0000295D0000}"/>
    <cellStyle name="Normal 8 7 2" xfId="13496" xr:uid="{00000000-0005-0000-0000-00002A5D0000}"/>
    <cellStyle name="Normal 8 7 2 2" xfId="37339" xr:uid="{906A635D-89ED-4CE4-84E4-25AEC23DE52F}"/>
    <cellStyle name="Normal 8 7 3" xfId="21444" xr:uid="{00000000-0005-0000-0000-00002B5D0000}"/>
    <cellStyle name="Normal 8 7 3 2" xfId="45276" xr:uid="{4A30A027-F9F8-4B48-B528-FC8FB2F744EF}"/>
    <cellStyle name="Normal 8 7 4" xfId="29398" xr:uid="{E17E3AE9-915E-415D-820D-896CA3814EF4}"/>
    <cellStyle name="Normal 8 8" xfId="9065" xr:uid="{00000000-0005-0000-0000-00002C5D0000}"/>
    <cellStyle name="Normal 8 8 2" xfId="17023" xr:uid="{00000000-0005-0000-0000-00002D5D0000}"/>
    <cellStyle name="Normal 8 8 2 2" xfId="40863" xr:uid="{3E43EE21-B54C-4086-92F0-2F48E18FDF05}"/>
    <cellStyle name="Normal 8 8 3" xfId="24967" xr:uid="{00000000-0005-0000-0000-00002E5D0000}"/>
    <cellStyle name="Normal 8 8 3 2" xfId="48799" xr:uid="{6C0E0FAF-72A0-46EC-9A51-A194A8248300}"/>
    <cellStyle name="Normal 8 8 4" xfId="32922" xr:uid="{BE063995-FD90-4793-8783-7CC567A0F45B}"/>
    <cellStyle name="Normal 8 9" xfId="9961" xr:uid="{00000000-0005-0000-0000-00002F5D0000}"/>
    <cellStyle name="Normal 8 9 2" xfId="33810" xr:uid="{6C1C3F92-D535-442C-B708-904A2323AFC9}"/>
    <cellStyle name="Normal 8_Exh G" xfId="3544" xr:uid="{00000000-0005-0000-0000-0000305D0000}"/>
    <cellStyle name="Normal 9" xfId="20" xr:uid="{00000000-0005-0000-0000-0000315D0000}"/>
    <cellStyle name="Normal 9 2" xfId="680" xr:uid="{00000000-0005-0000-0000-0000325D0000}"/>
    <cellStyle name="Normal 9 2 2" xfId="681" xr:uid="{00000000-0005-0000-0000-0000335D0000}"/>
    <cellStyle name="Normal 9 2 2 2" xfId="1707" xr:uid="{00000000-0005-0000-0000-0000345D0000}"/>
    <cellStyle name="Normal 9 2 2 2 2" xfId="5234" xr:uid="{00000000-0005-0000-0000-0000355D0000}"/>
    <cellStyle name="Normal 9 2 2 2 2 2" xfId="8825" xr:uid="{00000000-0005-0000-0000-0000365D0000}"/>
    <cellStyle name="Normal 9 2 2 2 2 2 2" xfId="16795" xr:uid="{00000000-0005-0000-0000-0000375D0000}"/>
    <cellStyle name="Normal 9 2 2 2 2 2 2 2" xfId="40637" xr:uid="{31AFDA83-11B8-46CB-8DFA-77EB6AFD0403}"/>
    <cellStyle name="Normal 9 2 2 2 2 2 3" xfId="24741" xr:uid="{00000000-0005-0000-0000-0000385D0000}"/>
    <cellStyle name="Normal 9 2 2 2 2 2 3 2" xfId="48573" xr:uid="{FB408584-AABE-4301-B75C-F5DF448C7662}"/>
    <cellStyle name="Normal 9 2 2 2 2 2 4" xfId="32696" xr:uid="{E3921746-B206-4C79-A08C-EFDD2E8B94E0}"/>
    <cellStyle name="Normal 9 2 2 2 2 3" xfId="13257" xr:uid="{00000000-0005-0000-0000-0000395D0000}"/>
    <cellStyle name="Normal 9 2 2 2 2 3 2" xfId="37106" xr:uid="{473652E6-9A41-4152-8902-EA0041BB87CD}"/>
    <cellStyle name="Normal 9 2 2 2 2 4" xfId="21212" xr:uid="{00000000-0005-0000-0000-00003A5D0000}"/>
    <cellStyle name="Normal 9 2 2 2 2 4 2" xfId="45044" xr:uid="{639490C5-63D3-469B-89D6-1B509072AD9D}"/>
    <cellStyle name="Normal 9 2 2 2 2 5" xfId="29165" xr:uid="{2335678E-24A7-4AE7-A435-4743FC62E1AE}"/>
    <cellStyle name="Normal 9 2 2 2 3" xfId="7066" xr:uid="{00000000-0005-0000-0000-00003B5D0000}"/>
    <cellStyle name="Normal 9 2 2 2 3 2" xfId="15037" xr:uid="{00000000-0005-0000-0000-00003C5D0000}"/>
    <cellStyle name="Normal 9 2 2 2 3 2 2" xfId="38879" xr:uid="{7E8676B3-DA46-4060-8477-ED33E82A51B1}"/>
    <cellStyle name="Normal 9 2 2 2 3 3" xfId="22984" xr:uid="{00000000-0005-0000-0000-00003D5D0000}"/>
    <cellStyle name="Normal 9 2 2 2 3 3 2" xfId="46816" xr:uid="{71BD6777-C9AD-4710-810B-12F2D0839C9B}"/>
    <cellStyle name="Normal 9 2 2 2 3 4" xfId="30938" xr:uid="{F19B86A9-7E69-4B48-B1BF-6219D3AB7718}"/>
    <cellStyle name="Normal 9 2 2 2 4" xfId="11501" xr:uid="{00000000-0005-0000-0000-00003E5D0000}"/>
    <cellStyle name="Normal 9 2 2 2 4 2" xfId="35350" xr:uid="{81E1F28C-0F2B-4FA9-B13E-125AE126B24A}"/>
    <cellStyle name="Normal 9 2 2 2 5" xfId="19456" xr:uid="{00000000-0005-0000-0000-00003F5D0000}"/>
    <cellStyle name="Normal 9 2 2 2 5 2" xfId="43288" xr:uid="{7320AE84-94B6-4ADC-A755-586C7973BA5D}"/>
    <cellStyle name="Normal 9 2 2 2 6" xfId="27408" xr:uid="{9862B43C-0906-4137-9AA9-1D1A28FF8190}"/>
    <cellStyle name="Normal 9 2 2 2_Exh G" xfId="3555" xr:uid="{00000000-0005-0000-0000-0000405D0000}"/>
    <cellStyle name="Normal 9 2 2 3" xfId="4355" xr:uid="{00000000-0005-0000-0000-0000415D0000}"/>
    <cellStyle name="Normal 9 2 2 3 2" xfId="7947" xr:uid="{00000000-0005-0000-0000-0000425D0000}"/>
    <cellStyle name="Normal 9 2 2 3 2 2" xfId="15917" xr:uid="{00000000-0005-0000-0000-0000435D0000}"/>
    <cellStyle name="Normal 9 2 2 3 2 2 2" xfId="39759" xr:uid="{429CE6B3-B0E4-413E-99AA-FDD49DCD8A96}"/>
    <cellStyle name="Normal 9 2 2 3 2 3" xfId="23863" xr:uid="{00000000-0005-0000-0000-0000445D0000}"/>
    <cellStyle name="Normal 9 2 2 3 2 3 2" xfId="47695" xr:uid="{FDFD3E2A-50B3-4262-B7D8-A99ACFB34891}"/>
    <cellStyle name="Normal 9 2 2 3 2 4" xfId="31818" xr:uid="{506DE2A3-21C0-4075-9EB9-4BC4FFB03430}"/>
    <cellStyle name="Normal 9 2 2 3 3" xfId="12379" xr:uid="{00000000-0005-0000-0000-0000455D0000}"/>
    <cellStyle name="Normal 9 2 2 3 3 2" xfId="36228" xr:uid="{04411B99-11DE-4C8C-B72E-11A50802169F}"/>
    <cellStyle name="Normal 9 2 2 3 4" xfId="20334" xr:uid="{00000000-0005-0000-0000-0000465D0000}"/>
    <cellStyle name="Normal 9 2 2 3 4 2" xfId="44166" xr:uid="{A3A34FFF-25D9-43FD-B9AA-AB9423424D4E}"/>
    <cellStyle name="Normal 9 2 2 3 5" xfId="28287" xr:uid="{CBA5D05A-B0DA-4DAE-978B-CC743A6D7A42}"/>
    <cellStyle name="Normal 9 2 2 4" xfId="6175" xr:uid="{00000000-0005-0000-0000-0000475D0000}"/>
    <cellStyle name="Normal 9 2 2 4 2" xfId="14158" xr:uid="{00000000-0005-0000-0000-0000485D0000}"/>
    <cellStyle name="Normal 9 2 2 4 2 2" xfId="38001" xr:uid="{4F7EC98C-D6F8-474B-BB2D-163C62CEBA60}"/>
    <cellStyle name="Normal 9 2 2 4 3" xfId="22106" xr:uid="{00000000-0005-0000-0000-0000495D0000}"/>
    <cellStyle name="Normal 9 2 2 4 3 2" xfId="45938" xr:uid="{7D3D4DFA-115D-4C70-A528-AAEB19E353A2}"/>
    <cellStyle name="Normal 9 2 2 4 4" xfId="30060" xr:uid="{63702ABB-0365-4636-AB72-DC32731A7344}"/>
    <cellStyle name="Normal 9 2 2 5" xfId="9727" xr:uid="{00000000-0005-0000-0000-00004A5D0000}"/>
    <cellStyle name="Normal 9 2 2 5 2" xfId="17685" xr:uid="{00000000-0005-0000-0000-00004B5D0000}"/>
    <cellStyle name="Normal 9 2 2 5 2 2" xfId="41525" xr:uid="{47478E62-43C3-421B-978F-8C998F17D52D}"/>
    <cellStyle name="Normal 9 2 2 5 3" xfId="25629" xr:uid="{00000000-0005-0000-0000-00004C5D0000}"/>
    <cellStyle name="Normal 9 2 2 5 3 2" xfId="49461" xr:uid="{2AC72F9B-7799-4CC1-9481-3231C3495C3D}"/>
    <cellStyle name="Normal 9 2 2 5 4" xfId="33584" xr:uid="{5C4F607C-062C-4039-BD8E-097237ED0EF0}"/>
    <cellStyle name="Normal 9 2 2 6" xfId="10623" xr:uid="{00000000-0005-0000-0000-00004D5D0000}"/>
    <cellStyle name="Normal 9 2 2 6 2" xfId="34472" xr:uid="{A22B842F-7E12-4789-8242-9B64819AC21F}"/>
    <cellStyle name="Normal 9 2 2 7" xfId="18578" xr:uid="{00000000-0005-0000-0000-00004E5D0000}"/>
    <cellStyle name="Normal 9 2 2 7 2" xfId="42410" xr:uid="{55FC89C1-D6AA-4469-B225-5B89B6A636BA}"/>
    <cellStyle name="Normal 9 2 2 8" xfId="26530" xr:uid="{AA93E874-F588-4BF7-8FDB-381854DE9E62}"/>
    <cellStyle name="Normal 9 2 2_Exh G" xfId="3554" xr:uid="{00000000-0005-0000-0000-00004F5D0000}"/>
    <cellStyle name="Normal 9 2 3" xfId="1706" xr:uid="{00000000-0005-0000-0000-0000505D0000}"/>
    <cellStyle name="Normal 9 2 3 2" xfId="5233" xr:uid="{00000000-0005-0000-0000-0000515D0000}"/>
    <cellStyle name="Normal 9 2 3 2 2" xfId="8824" xr:uid="{00000000-0005-0000-0000-0000525D0000}"/>
    <cellStyle name="Normal 9 2 3 2 2 2" xfId="16794" xr:uid="{00000000-0005-0000-0000-0000535D0000}"/>
    <cellStyle name="Normal 9 2 3 2 2 2 2" xfId="40636" xr:uid="{1096F5F0-AA8F-4206-BA8A-8C6A2059AE87}"/>
    <cellStyle name="Normal 9 2 3 2 2 3" xfId="24740" xr:uid="{00000000-0005-0000-0000-0000545D0000}"/>
    <cellStyle name="Normal 9 2 3 2 2 3 2" xfId="48572" xr:uid="{22CED8B8-D846-49F5-BE96-413B5BB2ED12}"/>
    <cellStyle name="Normal 9 2 3 2 2 4" xfId="32695" xr:uid="{EA942A5C-120A-4626-882D-65E144A22159}"/>
    <cellStyle name="Normal 9 2 3 2 3" xfId="13256" xr:uid="{00000000-0005-0000-0000-0000555D0000}"/>
    <cellStyle name="Normal 9 2 3 2 3 2" xfId="37105" xr:uid="{FAF029FE-202E-4C62-B3C3-64A1AF6FFC2B}"/>
    <cellStyle name="Normal 9 2 3 2 4" xfId="21211" xr:uid="{00000000-0005-0000-0000-0000565D0000}"/>
    <cellStyle name="Normal 9 2 3 2 4 2" xfId="45043" xr:uid="{A5748F4B-90AE-4874-B404-E5DB0D6A3BB1}"/>
    <cellStyle name="Normal 9 2 3 2 5" xfId="29164" xr:uid="{6A201999-C3F2-40B8-9BED-0E3B4E113135}"/>
    <cellStyle name="Normal 9 2 3 3" xfId="7065" xr:uid="{00000000-0005-0000-0000-0000575D0000}"/>
    <cellStyle name="Normal 9 2 3 3 2" xfId="15036" xr:uid="{00000000-0005-0000-0000-0000585D0000}"/>
    <cellStyle name="Normal 9 2 3 3 2 2" xfId="38878" xr:uid="{5F93C304-C07D-40D7-8CF7-470584F782A5}"/>
    <cellStyle name="Normal 9 2 3 3 3" xfId="22983" xr:uid="{00000000-0005-0000-0000-0000595D0000}"/>
    <cellStyle name="Normal 9 2 3 3 3 2" xfId="46815" xr:uid="{F662998E-B5EA-4C05-A956-51CCD4508C8A}"/>
    <cellStyle name="Normal 9 2 3 3 4" xfId="30937" xr:uid="{2C86DEB6-8AFA-4F32-997B-46FC79376A6E}"/>
    <cellStyle name="Normal 9 2 3 4" xfId="11500" xr:uid="{00000000-0005-0000-0000-00005A5D0000}"/>
    <cellStyle name="Normal 9 2 3 4 2" xfId="35349" xr:uid="{26DFA86C-990D-44F5-A177-8F06AF7E6C5B}"/>
    <cellStyle name="Normal 9 2 3 5" xfId="19455" xr:uid="{00000000-0005-0000-0000-00005B5D0000}"/>
    <cellStyle name="Normal 9 2 3 5 2" xfId="43287" xr:uid="{CF5998EE-0D8E-4C2A-822F-F11524B5F00D}"/>
    <cellStyle name="Normal 9 2 3 6" xfId="27407" xr:uid="{E8D77E77-BB05-475E-A339-ECBD5D46AEFD}"/>
    <cellStyle name="Normal 9 2 3_Exh G" xfId="3556" xr:uid="{00000000-0005-0000-0000-00005C5D0000}"/>
    <cellStyle name="Normal 9 2 4" xfId="4354" xr:uid="{00000000-0005-0000-0000-00005D5D0000}"/>
    <cellStyle name="Normal 9 2 4 2" xfId="7946" xr:uid="{00000000-0005-0000-0000-00005E5D0000}"/>
    <cellStyle name="Normal 9 2 4 2 2" xfId="15916" xr:uid="{00000000-0005-0000-0000-00005F5D0000}"/>
    <cellStyle name="Normal 9 2 4 2 2 2" xfId="39758" xr:uid="{59058DB0-25C0-4EB7-9C53-8024FAC6D9BB}"/>
    <cellStyle name="Normal 9 2 4 2 3" xfId="23862" xr:uid="{00000000-0005-0000-0000-0000605D0000}"/>
    <cellStyle name="Normal 9 2 4 2 3 2" xfId="47694" xr:uid="{84466C33-B826-4071-8420-4B2934E6BFC7}"/>
    <cellStyle name="Normal 9 2 4 2 4" xfId="31817" xr:uid="{BA1BEB49-2DB4-4D10-B534-3462F9379F1F}"/>
    <cellStyle name="Normal 9 2 4 3" xfId="12378" xr:uid="{00000000-0005-0000-0000-0000615D0000}"/>
    <cellStyle name="Normal 9 2 4 3 2" xfId="36227" xr:uid="{2A8B0A7B-7E33-4960-8DA2-4C4A25F1B718}"/>
    <cellStyle name="Normal 9 2 4 4" xfId="20333" xr:uid="{00000000-0005-0000-0000-0000625D0000}"/>
    <cellStyle name="Normal 9 2 4 4 2" xfId="44165" xr:uid="{6FF052BB-1AD1-4FB0-B9A5-2138445CB619}"/>
    <cellStyle name="Normal 9 2 4 5" xfId="28286" xr:uid="{C65B4E50-1406-4582-A4EB-05FC9CF2A231}"/>
    <cellStyle name="Normal 9 2 5" xfId="6174" xr:uid="{00000000-0005-0000-0000-0000635D0000}"/>
    <cellStyle name="Normal 9 2 5 2" xfId="14157" xr:uid="{00000000-0005-0000-0000-0000645D0000}"/>
    <cellStyle name="Normal 9 2 5 2 2" xfId="38000" xr:uid="{7B4FC3DF-D78A-4C93-AC99-E6EEDEB16D02}"/>
    <cellStyle name="Normal 9 2 5 3" xfId="22105" xr:uid="{00000000-0005-0000-0000-0000655D0000}"/>
    <cellStyle name="Normal 9 2 5 3 2" xfId="45937" xr:uid="{1593D5FC-4BE5-4ECB-854F-2E8142236A1E}"/>
    <cellStyle name="Normal 9 2 5 4" xfId="30059" xr:uid="{B696C983-9358-45F5-BBBE-DC737111DD0C}"/>
    <cellStyle name="Normal 9 2 6" xfId="9726" xr:uid="{00000000-0005-0000-0000-0000665D0000}"/>
    <cellStyle name="Normal 9 2 6 2" xfId="17684" xr:uid="{00000000-0005-0000-0000-0000675D0000}"/>
    <cellStyle name="Normal 9 2 6 2 2" xfId="41524" xr:uid="{C473A185-6253-4C62-9920-F853FD380769}"/>
    <cellStyle name="Normal 9 2 6 3" xfId="25628" xr:uid="{00000000-0005-0000-0000-0000685D0000}"/>
    <cellStyle name="Normal 9 2 6 3 2" xfId="49460" xr:uid="{B7726DE7-6C3A-4A8A-8F0A-A0520A6CF060}"/>
    <cellStyle name="Normal 9 2 6 4" xfId="33583" xr:uid="{0104B41E-C8C1-4B4A-B693-9144D712266D}"/>
    <cellStyle name="Normal 9 2 7" xfId="10622" xr:uid="{00000000-0005-0000-0000-0000695D0000}"/>
    <cellStyle name="Normal 9 2 7 2" xfId="34471" xr:uid="{597A2970-3F9A-4BD9-BB75-BD455E2A828A}"/>
    <cellStyle name="Normal 9 2 8" xfId="18577" xr:uid="{00000000-0005-0000-0000-00006A5D0000}"/>
    <cellStyle name="Normal 9 2 8 2" xfId="42409" xr:uid="{75922DDD-5F1E-4213-BA45-4EB6814EB336}"/>
    <cellStyle name="Normal 9 2 9" xfId="26529" xr:uid="{3D60A566-004E-42DD-A465-F6E95D6E35E1}"/>
    <cellStyle name="Normal 9 2_Exh G" xfId="3553" xr:uid="{00000000-0005-0000-0000-00006B5D0000}"/>
    <cellStyle name="Normal 9 3" xfId="682" xr:uid="{00000000-0005-0000-0000-00006C5D0000}"/>
    <cellStyle name="Normal 9 3 2" xfId="1708" xr:uid="{00000000-0005-0000-0000-00006D5D0000}"/>
    <cellStyle name="Normal 9 3 2 2" xfId="5235" xr:uid="{00000000-0005-0000-0000-00006E5D0000}"/>
    <cellStyle name="Normal 9 3 2 2 2" xfId="8826" xr:uid="{00000000-0005-0000-0000-00006F5D0000}"/>
    <cellStyle name="Normal 9 3 2 2 2 2" xfId="16796" xr:uid="{00000000-0005-0000-0000-0000705D0000}"/>
    <cellStyle name="Normal 9 3 2 2 2 2 2" xfId="40638" xr:uid="{0867E83C-F29D-4CD9-9D69-88F8D1F6445E}"/>
    <cellStyle name="Normal 9 3 2 2 2 3" xfId="24742" xr:uid="{00000000-0005-0000-0000-0000715D0000}"/>
    <cellStyle name="Normal 9 3 2 2 2 3 2" xfId="48574" xr:uid="{05C44EB5-A0C8-4364-829C-F6900491C056}"/>
    <cellStyle name="Normal 9 3 2 2 2 4" xfId="32697" xr:uid="{03446BB6-4601-444F-B30C-BDADD1D6D577}"/>
    <cellStyle name="Normal 9 3 2 2 3" xfId="13258" xr:uid="{00000000-0005-0000-0000-0000725D0000}"/>
    <cellStyle name="Normal 9 3 2 2 3 2" xfId="37107" xr:uid="{72D37D46-20EF-4688-887A-9A7E82150BE1}"/>
    <cellStyle name="Normal 9 3 2 2 4" xfId="21213" xr:uid="{00000000-0005-0000-0000-0000735D0000}"/>
    <cellStyle name="Normal 9 3 2 2 4 2" xfId="45045" xr:uid="{C48DE4CE-9272-495C-A4DA-7467B782A574}"/>
    <cellStyle name="Normal 9 3 2 2 5" xfId="29166" xr:uid="{016DB06F-7CD5-4005-A592-5650CC95826C}"/>
    <cellStyle name="Normal 9 3 2 3" xfId="7067" xr:uid="{00000000-0005-0000-0000-0000745D0000}"/>
    <cellStyle name="Normal 9 3 2 3 2" xfId="15038" xr:uid="{00000000-0005-0000-0000-0000755D0000}"/>
    <cellStyle name="Normal 9 3 2 3 2 2" xfId="38880" xr:uid="{46D2AE92-3D19-497E-80A0-2131CBA69D75}"/>
    <cellStyle name="Normal 9 3 2 3 3" xfId="22985" xr:uid="{00000000-0005-0000-0000-0000765D0000}"/>
    <cellStyle name="Normal 9 3 2 3 3 2" xfId="46817" xr:uid="{7CE86B90-8778-445D-8757-834F263EF150}"/>
    <cellStyle name="Normal 9 3 2 3 4" xfId="30939" xr:uid="{FB0803FE-5A24-435D-A56F-99B2D9D2340B}"/>
    <cellStyle name="Normal 9 3 2 4" xfId="11502" xr:uid="{00000000-0005-0000-0000-0000775D0000}"/>
    <cellStyle name="Normal 9 3 2 4 2" xfId="35351" xr:uid="{CC9C321D-3D21-4FAA-9E1C-20D88D1794FC}"/>
    <cellStyle name="Normal 9 3 2 5" xfId="19457" xr:uid="{00000000-0005-0000-0000-0000785D0000}"/>
    <cellStyle name="Normal 9 3 2 5 2" xfId="43289" xr:uid="{14032111-0E36-4357-A69F-245D96F773ED}"/>
    <cellStyle name="Normal 9 3 2 6" xfId="27409" xr:uid="{077BA26D-FE76-4405-B5A8-576E6330D979}"/>
    <cellStyle name="Normal 9 3 2_Exh G" xfId="3558" xr:uid="{00000000-0005-0000-0000-0000795D0000}"/>
    <cellStyle name="Normal 9 3 3" xfId="4356" xr:uid="{00000000-0005-0000-0000-00007A5D0000}"/>
    <cellStyle name="Normal 9 3 3 2" xfId="7948" xr:uid="{00000000-0005-0000-0000-00007B5D0000}"/>
    <cellStyle name="Normal 9 3 3 2 2" xfId="15918" xr:uid="{00000000-0005-0000-0000-00007C5D0000}"/>
    <cellStyle name="Normal 9 3 3 2 2 2" xfId="39760" xr:uid="{F5E7D05D-6F71-4953-9DEE-27D842B1FDA5}"/>
    <cellStyle name="Normal 9 3 3 2 3" xfId="23864" xr:uid="{00000000-0005-0000-0000-00007D5D0000}"/>
    <cellStyle name="Normal 9 3 3 2 3 2" xfId="47696" xr:uid="{1E8FB1AC-B868-4FAF-9B60-1CCCC2BBAE96}"/>
    <cellStyle name="Normal 9 3 3 2 4" xfId="31819" xr:uid="{0BE5418B-3453-4B1D-99BE-1AE976FAD343}"/>
    <cellStyle name="Normal 9 3 3 3" xfId="12380" xr:uid="{00000000-0005-0000-0000-00007E5D0000}"/>
    <cellStyle name="Normal 9 3 3 3 2" xfId="36229" xr:uid="{ED0D1C75-A123-4CF1-874A-3E92074038AF}"/>
    <cellStyle name="Normal 9 3 3 4" xfId="20335" xr:uid="{00000000-0005-0000-0000-00007F5D0000}"/>
    <cellStyle name="Normal 9 3 3 4 2" xfId="44167" xr:uid="{8C6AFEF4-EEA7-404A-BF00-B2951D2E01AC}"/>
    <cellStyle name="Normal 9 3 3 5" xfId="28288" xr:uid="{33C09A77-3018-477A-8BC9-BE50CBE6357C}"/>
    <cellStyle name="Normal 9 3 4" xfId="6176" xr:uid="{00000000-0005-0000-0000-0000805D0000}"/>
    <cellStyle name="Normal 9 3 4 2" xfId="14159" xr:uid="{00000000-0005-0000-0000-0000815D0000}"/>
    <cellStyle name="Normal 9 3 4 2 2" xfId="38002" xr:uid="{D1BD21BB-07A1-44A1-88B1-680A5A0B7C47}"/>
    <cellStyle name="Normal 9 3 4 3" xfId="22107" xr:uid="{00000000-0005-0000-0000-0000825D0000}"/>
    <cellStyle name="Normal 9 3 4 3 2" xfId="45939" xr:uid="{0F58DFFC-81A0-4A81-A1BC-3C3CB7855227}"/>
    <cellStyle name="Normal 9 3 4 4" xfId="30061" xr:uid="{9F6255FA-9F34-48AA-ACB9-F5335ED268B6}"/>
    <cellStyle name="Normal 9 3 5" xfId="9728" xr:uid="{00000000-0005-0000-0000-0000835D0000}"/>
    <cellStyle name="Normal 9 3 5 2" xfId="17686" xr:uid="{00000000-0005-0000-0000-0000845D0000}"/>
    <cellStyle name="Normal 9 3 5 2 2" xfId="41526" xr:uid="{284BB6F5-B584-4566-B884-B0B7511B3E9A}"/>
    <cellStyle name="Normal 9 3 5 3" xfId="25630" xr:uid="{00000000-0005-0000-0000-0000855D0000}"/>
    <cellStyle name="Normal 9 3 5 3 2" xfId="49462" xr:uid="{41527972-EA86-4AB6-B1C9-F5697360EF6C}"/>
    <cellStyle name="Normal 9 3 5 4" xfId="33585" xr:uid="{14DB8310-F2B5-496C-908E-C92749DA848C}"/>
    <cellStyle name="Normal 9 3 6" xfId="10624" xr:uid="{00000000-0005-0000-0000-0000865D0000}"/>
    <cellStyle name="Normal 9 3 6 2" xfId="34473" xr:uid="{B1073145-306E-4B96-8B34-5BD166BBC40D}"/>
    <cellStyle name="Normal 9 3 7" xfId="18579" xr:uid="{00000000-0005-0000-0000-0000875D0000}"/>
    <cellStyle name="Normal 9 3 7 2" xfId="42411" xr:uid="{9B09E826-10E6-4BC1-A9FE-43196FC76519}"/>
    <cellStyle name="Normal 9 3 8" xfId="26531" xr:uid="{DBADD298-0709-4CA0-8A4F-5D2F6BD1B197}"/>
    <cellStyle name="Normal 9 3_Exh G" xfId="3557" xr:uid="{00000000-0005-0000-0000-0000885D0000}"/>
    <cellStyle name="Normal 9 4" xfId="1024" xr:uid="{00000000-0005-0000-0000-0000895D0000}"/>
    <cellStyle name="Normal 9 4 2" xfId="1922" xr:uid="{00000000-0005-0000-0000-00008A5D0000}"/>
    <cellStyle name="Normal 9 4 2 2" xfId="5439" xr:uid="{00000000-0005-0000-0000-00008B5D0000}"/>
    <cellStyle name="Normal 9 4 2 2 2" xfId="9030" xr:uid="{00000000-0005-0000-0000-00008C5D0000}"/>
    <cellStyle name="Normal 9 4 2 2 2 2" xfId="17000" xr:uid="{00000000-0005-0000-0000-00008D5D0000}"/>
    <cellStyle name="Normal 9 4 2 2 2 2 2" xfId="40842" xr:uid="{32C6739D-76DE-4A77-A070-50BC2672D35A}"/>
    <cellStyle name="Normal 9 4 2 2 2 3" xfId="24946" xr:uid="{00000000-0005-0000-0000-00008E5D0000}"/>
    <cellStyle name="Normal 9 4 2 2 2 3 2" xfId="48778" xr:uid="{526A2850-CFF0-4373-BAC6-0C070DEAA876}"/>
    <cellStyle name="Normal 9 4 2 2 2 4" xfId="32901" xr:uid="{1362283F-EB08-4B4E-B604-9484CDD0BDD5}"/>
    <cellStyle name="Normal 9 4 2 2 3" xfId="13462" xr:uid="{00000000-0005-0000-0000-00008F5D0000}"/>
    <cellStyle name="Normal 9 4 2 2 3 2" xfId="37311" xr:uid="{68D2A07F-7F13-48D8-8899-D7FBE5DB9B15}"/>
    <cellStyle name="Normal 9 4 2 2 4" xfId="21417" xr:uid="{00000000-0005-0000-0000-0000905D0000}"/>
    <cellStyle name="Normal 9 4 2 2 4 2" xfId="45249" xr:uid="{CC4E2B56-4CB5-4A99-BF97-BF87B2DADED4}"/>
    <cellStyle name="Normal 9 4 2 2 5" xfId="29370" xr:uid="{5F8D9472-2E5B-45E9-8B36-3F141498A176}"/>
    <cellStyle name="Normal 9 4 2 3" xfId="7271" xr:uid="{00000000-0005-0000-0000-0000915D0000}"/>
    <cellStyle name="Normal 9 4 2 3 2" xfId="15242" xr:uid="{00000000-0005-0000-0000-0000925D0000}"/>
    <cellStyle name="Normal 9 4 2 3 2 2" xfId="39084" xr:uid="{0D5CD203-CA2E-4AA1-BCE6-0015C3C2E613}"/>
    <cellStyle name="Normal 9 4 2 3 3" xfId="23189" xr:uid="{00000000-0005-0000-0000-0000935D0000}"/>
    <cellStyle name="Normal 9 4 2 3 3 2" xfId="47021" xr:uid="{6AD667E6-FB7B-41F6-A361-7E45BFB4E1E8}"/>
    <cellStyle name="Normal 9 4 2 3 4" xfId="31143" xr:uid="{7B49A630-468D-46D2-9AAD-E5E7D8F94FE3}"/>
    <cellStyle name="Normal 9 4 2 4" xfId="11706" xr:uid="{00000000-0005-0000-0000-0000945D0000}"/>
    <cellStyle name="Normal 9 4 2 4 2" xfId="35555" xr:uid="{07957492-7174-42C0-A2E8-702C5CEBFDE6}"/>
    <cellStyle name="Normal 9 4 2 5" xfId="19661" xr:uid="{00000000-0005-0000-0000-0000955D0000}"/>
    <cellStyle name="Normal 9 4 2 5 2" xfId="43493" xr:uid="{1199BF8F-05B6-4F45-8BDE-69552E6DA562}"/>
    <cellStyle name="Normal 9 4 2 6" xfId="27613" xr:uid="{9316E394-EF73-4C67-8297-7157C7C9BB0E}"/>
    <cellStyle name="Normal 9 4 2_Exh G" xfId="3560" xr:uid="{00000000-0005-0000-0000-0000965D0000}"/>
    <cellStyle name="Normal 9 4 3" xfId="4560" xr:uid="{00000000-0005-0000-0000-0000975D0000}"/>
    <cellStyle name="Normal 9 4 3 2" xfId="8152" xr:uid="{00000000-0005-0000-0000-0000985D0000}"/>
    <cellStyle name="Normal 9 4 3 2 2" xfId="16122" xr:uid="{00000000-0005-0000-0000-0000995D0000}"/>
    <cellStyle name="Normal 9 4 3 2 2 2" xfId="39964" xr:uid="{174CAC2D-99D2-41EC-905F-0B49567B769F}"/>
    <cellStyle name="Normal 9 4 3 2 3" xfId="24068" xr:uid="{00000000-0005-0000-0000-00009A5D0000}"/>
    <cellStyle name="Normal 9 4 3 2 3 2" xfId="47900" xr:uid="{50E4E083-6AB5-46C2-83A0-35F582E02930}"/>
    <cellStyle name="Normal 9 4 3 2 4" xfId="32023" xr:uid="{3DA8519D-4A7E-4962-9BD6-F5EB21203B54}"/>
    <cellStyle name="Normal 9 4 3 3" xfId="12584" xr:uid="{00000000-0005-0000-0000-00009B5D0000}"/>
    <cellStyle name="Normal 9 4 3 3 2" xfId="36433" xr:uid="{A42BF1C1-F998-4C8C-87EF-46EE30609F25}"/>
    <cellStyle name="Normal 9 4 3 4" xfId="20539" xr:uid="{00000000-0005-0000-0000-00009C5D0000}"/>
    <cellStyle name="Normal 9 4 3 4 2" xfId="44371" xr:uid="{8A6BFBE0-387B-433B-AFE5-7457CD3353D0}"/>
    <cellStyle name="Normal 9 4 3 5" xfId="28492" xr:uid="{4F3C5504-3C48-4FA7-9289-DCBC459B103A}"/>
    <cellStyle name="Normal 9 4 4" xfId="6390" xr:uid="{00000000-0005-0000-0000-00009D5D0000}"/>
    <cellStyle name="Normal 9 4 4 2" xfId="14364" xr:uid="{00000000-0005-0000-0000-00009E5D0000}"/>
    <cellStyle name="Normal 9 4 4 2 2" xfId="38206" xr:uid="{BBB12647-4BEB-4A94-8506-B2DEF3D98F52}"/>
    <cellStyle name="Normal 9 4 4 3" xfId="22311" xr:uid="{00000000-0005-0000-0000-00009F5D0000}"/>
    <cellStyle name="Normal 9 4 4 3 2" xfId="46143" xr:uid="{F99A4906-9905-4A25-B226-6D9844F59146}"/>
    <cellStyle name="Normal 9 4 4 4" xfId="30265" xr:uid="{2C47DBE0-8E0A-42DC-9B10-8F051882924F}"/>
    <cellStyle name="Normal 9 4 5" xfId="9932" xr:uid="{00000000-0005-0000-0000-0000A05D0000}"/>
    <cellStyle name="Normal 9 4 5 2" xfId="17890" xr:uid="{00000000-0005-0000-0000-0000A15D0000}"/>
    <cellStyle name="Normal 9 4 5 2 2" xfId="41730" xr:uid="{34F32108-BE57-4611-A37B-830D7440E4C0}"/>
    <cellStyle name="Normal 9 4 5 3" xfId="25834" xr:uid="{00000000-0005-0000-0000-0000A25D0000}"/>
    <cellStyle name="Normal 9 4 5 3 2" xfId="49666" xr:uid="{399F9C2B-29F9-4BE5-BF45-25B4A1B1A4BE}"/>
    <cellStyle name="Normal 9 4 5 4" xfId="33789" xr:uid="{424BE975-17FE-42DE-92F7-047D68146C34}"/>
    <cellStyle name="Normal 9 4 6" xfId="10828" xr:uid="{00000000-0005-0000-0000-0000A35D0000}"/>
    <cellStyle name="Normal 9 4 6 2" xfId="34677" xr:uid="{3118F787-5801-479B-B93B-CA209D8042C8}"/>
    <cellStyle name="Normal 9 4 7" xfId="18783" xr:uid="{00000000-0005-0000-0000-0000A45D0000}"/>
    <cellStyle name="Normal 9 4 7 2" xfId="42615" xr:uid="{870DB111-5E36-4222-A0E3-42DFD905E807}"/>
    <cellStyle name="Normal 9 4 8" xfId="26735" xr:uid="{958602D8-7E24-4B0C-953D-EB0336DE7CA7}"/>
    <cellStyle name="Normal 9 4_Exh G" xfId="3559" xr:uid="{00000000-0005-0000-0000-0000A55D0000}"/>
    <cellStyle name="Normal 9_Exh G" xfId="3552" xr:uid="{00000000-0005-0000-0000-0000A65D0000}"/>
    <cellStyle name="Normal_Appendix G 11 FEBRUARY 10 temploan no 303 ver2 2" xfId="1025" xr:uid="{00000000-0005-0000-0000-0000A75D0000}"/>
    <cellStyle name="Normal_ExhibitF_05-06" xfId="16" xr:uid="{00000000-0005-0000-0000-0000A85D0000}"/>
    <cellStyle name="Normal_ExhibitF_05-06 2" xfId="25852" xr:uid="{00000000-0005-0000-0000-0000A95D0000}"/>
    <cellStyle name="Normal_Summary Analysis" xfId="25866" xr:uid="{00000000-0005-0000-0000-0000AA5D0000}"/>
    <cellStyle name="Note 10" xfId="683" xr:uid="{00000000-0005-0000-0000-0000AB5D0000}"/>
    <cellStyle name="Note 10 10" xfId="18580" xr:uid="{00000000-0005-0000-0000-0000AC5D0000}"/>
    <cellStyle name="Note 10 10 2" xfId="42412" xr:uid="{B4A4751D-A348-4128-B140-2F7DA7977575}"/>
    <cellStyle name="Note 10 11" xfId="26532" xr:uid="{170622BA-A862-4ECF-9A41-9BB1FFE1C0BC}"/>
    <cellStyle name="Note 10 2" xfId="684" xr:uid="{00000000-0005-0000-0000-0000AD5D0000}"/>
    <cellStyle name="Note 10 2 2" xfId="685" xr:uid="{00000000-0005-0000-0000-0000AE5D0000}"/>
    <cellStyle name="Note 10 2 2 2" xfId="1711" xr:uid="{00000000-0005-0000-0000-0000AF5D0000}"/>
    <cellStyle name="Note 10 2 2 2 2" xfId="5238" xr:uid="{00000000-0005-0000-0000-0000B05D0000}"/>
    <cellStyle name="Note 10 2 2 2 2 2" xfId="8829" xr:uid="{00000000-0005-0000-0000-0000B15D0000}"/>
    <cellStyle name="Note 10 2 2 2 2 2 2" xfId="16799" xr:uid="{00000000-0005-0000-0000-0000B25D0000}"/>
    <cellStyle name="Note 10 2 2 2 2 2 2 2" xfId="40641" xr:uid="{1490DD00-CDFE-4D04-A0AE-573BDF6A7C2B}"/>
    <cellStyle name="Note 10 2 2 2 2 2 3" xfId="24745" xr:uid="{00000000-0005-0000-0000-0000B35D0000}"/>
    <cellStyle name="Note 10 2 2 2 2 2 3 2" xfId="48577" xr:uid="{11FD39CC-EB21-49EF-BD95-0316F2B07347}"/>
    <cellStyle name="Note 10 2 2 2 2 2 4" xfId="32700" xr:uid="{018C9CF5-10E4-45B1-9DF5-62FF8BED762E}"/>
    <cellStyle name="Note 10 2 2 2 2 3" xfId="13261" xr:uid="{00000000-0005-0000-0000-0000B45D0000}"/>
    <cellStyle name="Note 10 2 2 2 2 3 2" xfId="37110" xr:uid="{4404C457-7672-41A6-996E-79840EBE06C2}"/>
    <cellStyle name="Note 10 2 2 2 2 4" xfId="21216" xr:uid="{00000000-0005-0000-0000-0000B55D0000}"/>
    <cellStyle name="Note 10 2 2 2 2 4 2" xfId="45048" xr:uid="{1E9211A2-D342-42B2-A275-EE55461160E3}"/>
    <cellStyle name="Note 10 2 2 2 2 5" xfId="29169" xr:uid="{C15539FA-5404-406A-8A0D-9ADFF44A2F3E}"/>
    <cellStyle name="Note 10 2 2 2 3" xfId="7070" xr:uid="{00000000-0005-0000-0000-0000B65D0000}"/>
    <cellStyle name="Note 10 2 2 2 3 2" xfId="15041" xr:uid="{00000000-0005-0000-0000-0000B75D0000}"/>
    <cellStyle name="Note 10 2 2 2 3 2 2" xfId="38883" xr:uid="{89B19CB6-EA01-49EA-BD82-93A67921F102}"/>
    <cellStyle name="Note 10 2 2 2 3 3" xfId="22988" xr:uid="{00000000-0005-0000-0000-0000B85D0000}"/>
    <cellStyle name="Note 10 2 2 2 3 3 2" xfId="46820" xr:uid="{F55F58B3-5D80-4529-9270-AC0BA554DF17}"/>
    <cellStyle name="Note 10 2 2 2 3 4" xfId="30942" xr:uid="{2E3BD48D-D467-4C75-BEAE-3CE5A04A1C93}"/>
    <cellStyle name="Note 10 2 2 2 4" xfId="11505" xr:uid="{00000000-0005-0000-0000-0000B95D0000}"/>
    <cellStyle name="Note 10 2 2 2 4 2" xfId="35354" xr:uid="{F7BC85E4-7902-4F07-BBC7-E98EE1E38D51}"/>
    <cellStyle name="Note 10 2 2 2 5" xfId="19460" xr:uid="{00000000-0005-0000-0000-0000BA5D0000}"/>
    <cellStyle name="Note 10 2 2 2 5 2" xfId="43292" xr:uid="{66FB5783-DE2E-413E-B679-7F62EE865006}"/>
    <cellStyle name="Note 10 2 2 2 6" xfId="27412" xr:uid="{D95A1833-EB7F-4336-BAF9-8F0334946E3C}"/>
    <cellStyle name="Note 10 2 2 2_Exh G" xfId="3564" xr:uid="{00000000-0005-0000-0000-0000BB5D0000}"/>
    <cellStyle name="Note 10 2 2 3" xfId="4359" xr:uid="{00000000-0005-0000-0000-0000BC5D0000}"/>
    <cellStyle name="Note 10 2 2 3 2" xfId="7951" xr:uid="{00000000-0005-0000-0000-0000BD5D0000}"/>
    <cellStyle name="Note 10 2 2 3 2 2" xfId="15921" xr:uid="{00000000-0005-0000-0000-0000BE5D0000}"/>
    <cellStyle name="Note 10 2 2 3 2 2 2" xfId="39763" xr:uid="{F628BFA7-0138-404D-8293-DDC32F2D61F6}"/>
    <cellStyle name="Note 10 2 2 3 2 3" xfId="23867" xr:uid="{00000000-0005-0000-0000-0000BF5D0000}"/>
    <cellStyle name="Note 10 2 2 3 2 3 2" xfId="47699" xr:uid="{E26F4AA7-8583-43D3-8AF0-BA2D674506FC}"/>
    <cellStyle name="Note 10 2 2 3 2 4" xfId="31822" xr:uid="{B3DADC3F-89A4-4688-88E9-353CB37835DE}"/>
    <cellStyle name="Note 10 2 2 3 3" xfId="12383" xr:uid="{00000000-0005-0000-0000-0000C05D0000}"/>
    <cellStyle name="Note 10 2 2 3 3 2" xfId="36232" xr:uid="{D5CA6250-ECA6-4E16-84A9-0C4B94D372EE}"/>
    <cellStyle name="Note 10 2 2 3 4" xfId="20338" xr:uid="{00000000-0005-0000-0000-0000C15D0000}"/>
    <cellStyle name="Note 10 2 2 3 4 2" xfId="44170" xr:uid="{F669E793-7FB9-464E-97F8-4CF0196F17A6}"/>
    <cellStyle name="Note 10 2 2 3 5" xfId="28291" xr:uid="{FCDD3FD7-324C-4868-98B9-41B2B385C1DA}"/>
    <cellStyle name="Note 10 2 2 4" xfId="6179" xr:uid="{00000000-0005-0000-0000-0000C25D0000}"/>
    <cellStyle name="Note 10 2 2 4 2" xfId="14162" xr:uid="{00000000-0005-0000-0000-0000C35D0000}"/>
    <cellStyle name="Note 10 2 2 4 2 2" xfId="38005" xr:uid="{6E444B27-9BED-4A5D-9951-3A0EACB6EAFC}"/>
    <cellStyle name="Note 10 2 2 4 3" xfId="22110" xr:uid="{00000000-0005-0000-0000-0000C45D0000}"/>
    <cellStyle name="Note 10 2 2 4 3 2" xfId="45942" xr:uid="{BA36D904-A27A-4283-A25F-B081C76B1574}"/>
    <cellStyle name="Note 10 2 2 4 4" xfId="30064" xr:uid="{B80CC1CC-3D53-4156-87D7-330D975264F4}"/>
    <cellStyle name="Note 10 2 2 5" xfId="9731" xr:uid="{00000000-0005-0000-0000-0000C55D0000}"/>
    <cellStyle name="Note 10 2 2 5 2" xfId="17689" xr:uid="{00000000-0005-0000-0000-0000C65D0000}"/>
    <cellStyle name="Note 10 2 2 5 2 2" xfId="41529" xr:uid="{790BC151-BD71-4D5E-9C0B-F8FFAC064CDA}"/>
    <cellStyle name="Note 10 2 2 5 3" xfId="25633" xr:uid="{00000000-0005-0000-0000-0000C75D0000}"/>
    <cellStyle name="Note 10 2 2 5 3 2" xfId="49465" xr:uid="{EE003F27-D5CA-461A-A135-1D28C89BAAC3}"/>
    <cellStyle name="Note 10 2 2 5 4" xfId="33588" xr:uid="{E1830BCB-4DCE-436E-80A0-510C53C3B0EB}"/>
    <cellStyle name="Note 10 2 2 6" xfId="10627" xr:uid="{00000000-0005-0000-0000-0000C85D0000}"/>
    <cellStyle name="Note 10 2 2 6 2" xfId="34476" xr:uid="{3B65DE2A-1FFD-402F-BB87-AC17A31ED759}"/>
    <cellStyle name="Note 10 2 2 7" xfId="18582" xr:uid="{00000000-0005-0000-0000-0000C95D0000}"/>
    <cellStyle name="Note 10 2 2 7 2" xfId="42414" xr:uid="{D4819311-77D5-444A-BB1F-C305257218BA}"/>
    <cellStyle name="Note 10 2 2 8" xfId="26534" xr:uid="{604B63B3-530A-4DBF-B4FD-DA25C4C5A0DB}"/>
    <cellStyle name="Note 10 2 2_Exh G" xfId="3563" xr:uid="{00000000-0005-0000-0000-0000CA5D0000}"/>
    <cellStyle name="Note 10 2 3" xfId="1710" xr:uid="{00000000-0005-0000-0000-0000CB5D0000}"/>
    <cellStyle name="Note 10 2 3 2" xfId="5237" xr:uid="{00000000-0005-0000-0000-0000CC5D0000}"/>
    <cellStyle name="Note 10 2 3 2 2" xfId="8828" xr:uid="{00000000-0005-0000-0000-0000CD5D0000}"/>
    <cellStyle name="Note 10 2 3 2 2 2" xfId="16798" xr:uid="{00000000-0005-0000-0000-0000CE5D0000}"/>
    <cellStyle name="Note 10 2 3 2 2 2 2" xfId="40640" xr:uid="{AECF2571-4702-4DF6-A2EF-0ACBA272634E}"/>
    <cellStyle name="Note 10 2 3 2 2 3" xfId="24744" xr:uid="{00000000-0005-0000-0000-0000CF5D0000}"/>
    <cellStyle name="Note 10 2 3 2 2 3 2" xfId="48576" xr:uid="{7170AEAA-D595-4CC4-84FE-39B613A4EA58}"/>
    <cellStyle name="Note 10 2 3 2 2 4" xfId="32699" xr:uid="{B66DD962-6549-4671-BC36-AB5B41009528}"/>
    <cellStyle name="Note 10 2 3 2 3" xfId="13260" xr:uid="{00000000-0005-0000-0000-0000D05D0000}"/>
    <cellStyle name="Note 10 2 3 2 3 2" xfId="37109" xr:uid="{D1E043B4-7A14-4DA3-BB2D-23BF792020BC}"/>
    <cellStyle name="Note 10 2 3 2 4" xfId="21215" xr:uid="{00000000-0005-0000-0000-0000D15D0000}"/>
    <cellStyle name="Note 10 2 3 2 4 2" xfId="45047" xr:uid="{64B9102B-C9D9-4959-B1F9-4FB09BFD5982}"/>
    <cellStyle name="Note 10 2 3 2 5" xfId="29168" xr:uid="{6B15E573-6DBA-4273-AC6D-513A3CEB7316}"/>
    <cellStyle name="Note 10 2 3 3" xfId="7069" xr:uid="{00000000-0005-0000-0000-0000D25D0000}"/>
    <cellStyle name="Note 10 2 3 3 2" xfId="15040" xr:uid="{00000000-0005-0000-0000-0000D35D0000}"/>
    <cellStyle name="Note 10 2 3 3 2 2" xfId="38882" xr:uid="{30400AC1-BA81-41B2-8E4A-04FEBF2C94CE}"/>
    <cellStyle name="Note 10 2 3 3 3" xfId="22987" xr:uid="{00000000-0005-0000-0000-0000D45D0000}"/>
    <cellStyle name="Note 10 2 3 3 3 2" xfId="46819" xr:uid="{16D542E3-18E8-4FF4-BAC0-9F8BDFD36C9F}"/>
    <cellStyle name="Note 10 2 3 3 4" xfId="30941" xr:uid="{EBAD7FB9-EC9D-48A2-862E-423895629125}"/>
    <cellStyle name="Note 10 2 3 4" xfId="11504" xr:uid="{00000000-0005-0000-0000-0000D55D0000}"/>
    <cellStyle name="Note 10 2 3 4 2" xfId="35353" xr:uid="{9DACD60E-4DFC-4A08-B6C5-752CA815F355}"/>
    <cellStyle name="Note 10 2 3 5" xfId="19459" xr:uid="{00000000-0005-0000-0000-0000D65D0000}"/>
    <cellStyle name="Note 10 2 3 5 2" xfId="43291" xr:uid="{F5BE6D8A-6469-4011-8B94-812BA3ACDFA3}"/>
    <cellStyle name="Note 10 2 3 6" xfId="27411" xr:uid="{D94C5ED7-F1C3-45ED-9B71-56BF11845C8E}"/>
    <cellStyle name="Note 10 2 3_Exh G" xfId="3565" xr:uid="{00000000-0005-0000-0000-0000D75D0000}"/>
    <cellStyle name="Note 10 2 4" xfId="4358" xr:uid="{00000000-0005-0000-0000-0000D85D0000}"/>
    <cellStyle name="Note 10 2 4 2" xfId="7950" xr:uid="{00000000-0005-0000-0000-0000D95D0000}"/>
    <cellStyle name="Note 10 2 4 2 2" xfId="15920" xr:uid="{00000000-0005-0000-0000-0000DA5D0000}"/>
    <cellStyle name="Note 10 2 4 2 2 2" xfId="39762" xr:uid="{4F110200-1344-4CC1-B6B0-90D8D32FDD5E}"/>
    <cellStyle name="Note 10 2 4 2 3" xfId="23866" xr:uid="{00000000-0005-0000-0000-0000DB5D0000}"/>
    <cellStyle name="Note 10 2 4 2 3 2" xfId="47698" xr:uid="{A79C15A5-EDAA-4E52-BE1C-FEFF6A876CE9}"/>
    <cellStyle name="Note 10 2 4 2 4" xfId="31821" xr:uid="{0C0D29BF-A5B0-4F8C-8A06-CE6B2A9E31C9}"/>
    <cellStyle name="Note 10 2 4 3" xfId="12382" xr:uid="{00000000-0005-0000-0000-0000DC5D0000}"/>
    <cellStyle name="Note 10 2 4 3 2" xfId="36231" xr:uid="{85EE77F7-BDF3-4481-9900-03FEB4B4F16E}"/>
    <cellStyle name="Note 10 2 4 4" xfId="20337" xr:uid="{00000000-0005-0000-0000-0000DD5D0000}"/>
    <cellStyle name="Note 10 2 4 4 2" xfId="44169" xr:uid="{9A033D24-F1FF-4C75-B651-8948DEDBF6B2}"/>
    <cellStyle name="Note 10 2 4 5" xfId="28290" xr:uid="{6F07A4A5-0756-4599-B3B2-86C5F8537AD6}"/>
    <cellStyle name="Note 10 2 5" xfId="6178" xr:uid="{00000000-0005-0000-0000-0000DE5D0000}"/>
    <cellStyle name="Note 10 2 5 2" xfId="14161" xr:uid="{00000000-0005-0000-0000-0000DF5D0000}"/>
    <cellStyle name="Note 10 2 5 2 2" xfId="38004" xr:uid="{F1253C75-5245-4503-BDB1-BC6CEEEB4307}"/>
    <cellStyle name="Note 10 2 5 3" xfId="22109" xr:uid="{00000000-0005-0000-0000-0000E05D0000}"/>
    <cellStyle name="Note 10 2 5 3 2" xfId="45941" xr:uid="{ADE5950D-8FA5-42E6-8813-38A75EC1B9C0}"/>
    <cellStyle name="Note 10 2 5 4" xfId="30063" xr:uid="{AC49522A-A2B8-4915-AD11-06D9764F0BF7}"/>
    <cellStyle name="Note 10 2 6" xfId="9730" xr:uid="{00000000-0005-0000-0000-0000E15D0000}"/>
    <cellStyle name="Note 10 2 6 2" xfId="17688" xr:uid="{00000000-0005-0000-0000-0000E25D0000}"/>
    <cellStyle name="Note 10 2 6 2 2" xfId="41528" xr:uid="{DF21C95F-A3BC-40EA-8769-3C040ECB4C5A}"/>
    <cellStyle name="Note 10 2 6 3" xfId="25632" xr:uid="{00000000-0005-0000-0000-0000E35D0000}"/>
    <cellStyle name="Note 10 2 6 3 2" xfId="49464" xr:uid="{CB976899-6B2A-4B45-8832-F966E2B41DF0}"/>
    <cellStyle name="Note 10 2 6 4" xfId="33587" xr:uid="{BAD3A0B4-B02D-4031-96CE-0914B2AB62E6}"/>
    <cellStyle name="Note 10 2 7" xfId="10626" xr:uid="{00000000-0005-0000-0000-0000E45D0000}"/>
    <cellStyle name="Note 10 2 7 2" xfId="34475" xr:uid="{5534D42E-DFD7-4F51-92BB-EA9412653D36}"/>
    <cellStyle name="Note 10 2 8" xfId="18581" xr:uid="{00000000-0005-0000-0000-0000E55D0000}"/>
    <cellStyle name="Note 10 2 8 2" xfId="42413" xr:uid="{5935D558-1E13-4AA4-B0FD-F556A6B059C8}"/>
    <cellStyle name="Note 10 2 9" xfId="26533" xr:uid="{D8150226-1888-49F5-8072-3DD6685E0D8D}"/>
    <cellStyle name="Note 10 2_Exh G" xfId="3562" xr:uid="{00000000-0005-0000-0000-0000E65D0000}"/>
    <cellStyle name="Note 10 3" xfId="686" xr:uid="{00000000-0005-0000-0000-0000E75D0000}"/>
    <cellStyle name="Note 10 3 2" xfId="1712" xr:uid="{00000000-0005-0000-0000-0000E85D0000}"/>
    <cellStyle name="Note 10 3 2 2" xfId="5239" xr:uid="{00000000-0005-0000-0000-0000E95D0000}"/>
    <cellStyle name="Note 10 3 2 2 2" xfId="8830" xr:uid="{00000000-0005-0000-0000-0000EA5D0000}"/>
    <cellStyle name="Note 10 3 2 2 2 2" xfId="16800" xr:uid="{00000000-0005-0000-0000-0000EB5D0000}"/>
    <cellStyle name="Note 10 3 2 2 2 2 2" xfId="40642" xr:uid="{93DBB7C2-736C-4E9E-9C81-D3E19311595E}"/>
    <cellStyle name="Note 10 3 2 2 2 3" xfId="24746" xr:uid="{00000000-0005-0000-0000-0000EC5D0000}"/>
    <cellStyle name="Note 10 3 2 2 2 3 2" xfId="48578" xr:uid="{392EEE8B-61C8-4C2D-BCC4-FF7888D3BEDA}"/>
    <cellStyle name="Note 10 3 2 2 2 4" xfId="32701" xr:uid="{011A74FD-7FDE-477A-874A-CF23FB51AC22}"/>
    <cellStyle name="Note 10 3 2 2 3" xfId="13262" xr:uid="{00000000-0005-0000-0000-0000ED5D0000}"/>
    <cellStyle name="Note 10 3 2 2 3 2" xfId="37111" xr:uid="{69034329-2489-4359-9142-9DF556993DBE}"/>
    <cellStyle name="Note 10 3 2 2 4" xfId="21217" xr:uid="{00000000-0005-0000-0000-0000EE5D0000}"/>
    <cellStyle name="Note 10 3 2 2 4 2" xfId="45049" xr:uid="{3A81930D-535F-4EB4-8190-ECA107C3B620}"/>
    <cellStyle name="Note 10 3 2 2 5" xfId="29170" xr:uid="{F1E5A12B-F6C7-4249-B4BD-848F3E138502}"/>
    <cellStyle name="Note 10 3 2 3" xfId="7071" xr:uid="{00000000-0005-0000-0000-0000EF5D0000}"/>
    <cellStyle name="Note 10 3 2 3 2" xfId="15042" xr:uid="{00000000-0005-0000-0000-0000F05D0000}"/>
    <cellStyle name="Note 10 3 2 3 2 2" xfId="38884" xr:uid="{224A0B50-B012-4415-9E28-1A16982116CF}"/>
    <cellStyle name="Note 10 3 2 3 3" xfId="22989" xr:uid="{00000000-0005-0000-0000-0000F15D0000}"/>
    <cellStyle name="Note 10 3 2 3 3 2" xfId="46821" xr:uid="{E3EFBBAD-563D-4AD9-B352-2C4F6EDF9A5F}"/>
    <cellStyle name="Note 10 3 2 3 4" xfId="30943" xr:uid="{D66E009C-DC13-46F4-92C0-29386610090A}"/>
    <cellStyle name="Note 10 3 2 4" xfId="11506" xr:uid="{00000000-0005-0000-0000-0000F25D0000}"/>
    <cellStyle name="Note 10 3 2 4 2" xfId="35355" xr:uid="{E55282D2-5B29-4744-B33D-AA03AC064A11}"/>
    <cellStyle name="Note 10 3 2 5" xfId="19461" xr:uid="{00000000-0005-0000-0000-0000F35D0000}"/>
    <cellStyle name="Note 10 3 2 5 2" xfId="43293" xr:uid="{D733343C-7757-4119-809F-8DBF5EC4DDFA}"/>
    <cellStyle name="Note 10 3 2 6" xfId="27413" xr:uid="{0C2559BA-7214-432C-AF27-1B0FAFDD84B2}"/>
    <cellStyle name="Note 10 3 2_Exh G" xfId="3567" xr:uid="{00000000-0005-0000-0000-0000F45D0000}"/>
    <cellStyle name="Note 10 3 3" xfId="4360" xr:uid="{00000000-0005-0000-0000-0000F55D0000}"/>
    <cellStyle name="Note 10 3 3 2" xfId="7952" xr:uid="{00000000-0005-0000-0000-0000F65D0000}"/>
    <cellStyle name="Note 10 3 3 2 2" xfId="15922" xr:uid="{00000000-0005-0000-0000-0000F75D0000}"/>
    <cellStyle name="Note 10 3 3 2 2 2" xfId="39764" xr:uid="{CC89AA70-42D8-4070-8618-1B8B222BD180}"/>
    <cellStyle name="Note 10 3 3 2 3" xfId="23868" xr:uid="{00000000-0005-0000-0000-0000F85D0000}"/>
    <cellStyle name="Note 10 3 3 2 3 2" xfId="47700" xr:uid="{0232DCDE-5857-4B1B-9870-01C54E9C0F51}"/>
    <cellStyle name="Note 10 3 3 2 4" xfId="31823" xr:uid="{37EFB53C-A027-44CA-8523-9CA9C0ED661C}"/>
    <cellStyle name="Note 10 3 3 3" xfId="12384" xr:uid="{00000000-0005-0000-0000-0000F95D0000}"/>
    <cellStyle name="Note 10 3 3 3 2" xfId="36233" xr:uid="{9AED8CC0-E5AE-4AE6-B4A7-7D526778334B}"/>
    <cellStyle name="Note 10 3 3 4" xfId="20339" xr:uid="{00000000-0005-0000-0000-0000FA5D0000}"/>
    <cellStyle name="Note 10 3 3 4 2" xfId="44171" xr:uid="{025894E3-3D38-410A-83A4-D6FDCEE1242B}"/>
    <cellStyle name="Note 10 3 3 5" xfId="28292" xr:uid="{DA7D1939-FFF5-4389-93DF-C3C8610B82B8}"/>
    <cellStyle name="Note 10 3 4" xfId="6180" xr:uid="{00000000-0005-0000-0000-0000FB5D0000}"/>
    <cellStyle name="Note 10 3 4 2" xfId="14163" xr:uid="{00000000-0005-0000-0000-0000FC5D0000}"/>
    <cellStyle name="Note 10 3 4 2 2" xfId="38006" xr:uid="{A643D03E-5FC4-441A-A85A-EF1F6CDAD45F}"/>
    <cellStyle name="Note 10 3 4 3" xfId="22111" xr:uid="{00000000-0005-0000-0000-0000FD5D0000}"/>
    <cellStyle name="Note 10 3 4 3 2" xfId="45943" xr:uid="{A7F91B9A-0E70-4741-B4FF-1CCC6A375AFF}"/>
    <cellStyle name="Note 10 3 4 4" xfId="30065" xr:uid="{95D62A08-2014-4611-90B7-8B39B111F960}"/>
    <cellStyle name="Note 10 3 5" xfId="9732" xr:uid="{00000000-0005-0000-0000-0000FE5D0000}"/>
    <cellStyle name="Note 10 3 5 2" xfId="17690" xr:uid="{00000000-0005-0000-0000-0000FF5D0000}"/>
    <cellStyle name="Note 10 3 5 2 2" xfId="41530" xr:uid="{8750041F-793E-48C9-B3FE-A9764967ABFA}"/>
    <cellStyle name="Note 10 3 5 3" xfId="25634" xr:uid="{00000000-0005-0000-0000-0000005E0000}"/>
    <cellStyle name="Note 10 3 5 3 2" xfId="49466" xr:uid="{B310BA77-288C-43B5-9DD5-F2AD1D778661}"/>
    <cellStyle name="Note 10 3 5 4" xfId="33589" xr:uid="{27C9862E-260D-4A62-A183-DA1525210B1F}"/>
    <cellStyle name="Note 10 3 6" xfId="10628" xr:uid="{00000000-0005-0000-0000-0000015E0000}"/>
    <cellStyle name="Note 10 3 6 2" xfId="34477" xr:uid="{7D4C2C73-2426-4D6D-B815-59EA9CB64D7D}"/>
    <cellStyle name="Note 10 3 7" xfId="18583" xr:uid="{00000000-0005-0000-0000-0000025E0000}"/>
    <cellStyle name="Note 10 3 7 2" xfId="42415" xr:uid="{D4EA7FB1-10C0-45AA-8DE1-2D0E85DCECDD}"/>
    <cellStyle name="Note 10 3 8" xfId="26535" xr:uid="{9D371C36-E494-410E-8836-E3F845FB80A0}"/>
    <cellStyle name="Note 10 3_Exh G" xfId="3566" xr:uid="{00000000-0005-0000-0000-0000035E0000}"/>
    <cellStyle name="Note 10 4" xfId="1026" xr:uid="{00000000-0005-0000-0000-0000045E0000}"/>
    <cellStyle name="Note 10 4 2" xfId="6391" xr:uid="{00000000-0005-0000-0000-0000055E0000}"/>
    <cellStyle name="Note 10 5" xfId="1709" xr:uid="{00000000-0005-0000-0000-0000065E0000}"/>
    <cellStyle name="Note 10 5 2" xfId="5236" xr:uid="{00000000-0005-0000-0000-0000075E0000}"/>
    <cellStyle name="Note 10 5 2 2" xfId="8827" xr:uid="{00000000-0005-0000-0000-0000085E0000}"/>
    <cellStyle name="Note 10 5 2 2 2" xfId="16797" xr:uid="{00000000-0005-0000-0000-0000095E0000}"/>
    <cellStyle name="Note 10 5 2 2 2 2" xfId="40639" xr:uid="{0EB4C82E-4FA2-45CE-9425-30E9AD21FF89}"/>
    <cellStyle name="Note 10 5 2 2 3" xfId="24743" xr:uid="{00000000-0005-0000-0000-00000A5E0000}"/>
    <cellStyle name="Note 10 5 2 2 3 2" xfId="48575" xr:uid="{8CB982B9-8466-4353-BF84-42EACF615DA6}"/>
    <cellStyle name="Note 10 5 2 2 4" xfId="32698" xr:uid="{098B5D08-4649-4433-9464-A83FCBD13E58}"/>
    <cellStyle name="Note 10 5 2 3" xfId="13259" xr:uid="{00000000-0005-0000-0000-00000B5E0000}"/>
    <cellStyle name="Note 10 5 2 3 2" xfId="37108" xr:uid="{5D778B4B-B038-4918-AA8C-4AF0A2E5C182}"/>
    <cellStyle name="Note 10 5 2 4" xfId="21214" xr:uid="{00000000-0005-0000-0000-00000C5E0000}"/>
    <cellStyle name="Note 10 5 2 4 2" xfId="45046" xr:uid="{B341AB2C-A733-434C-95B0-7E8B2A015E1A}"/>
    <cellStyle name="Note 10 5 2 5" xfId="29167" xr:uid="{3D3A213F-01A1-4813-9CED-FF5F2D0BCAFB}"/>
    <cellStyle name="Note 10 5 3" xfId="7068" xr:uid="{00000000-0005-0000-0000-00000D5E0000}"/>
    <cellStyle name="Note 10 5 3 2" xfId="15039" xr:uid="{00000000-0005-0000-0000-00000E5E0000}"/>
    <cellStyle name="Note 10 5 3 2 2" xfId="38881" xr:uid="{217EB7AF-77A3-4FE4-BEE7-607FAAB05378}"/>
    <cellStyle name="Note 10 5 3 3" xfId="22986" xr:uid="{00000000-0005-0000-0000-00000F5E0000}"/>
    <cellStyle name="Note 10 5 3 3 2" xfId="46818" xr:uid="{EFDFFC0E-ADDB-4431-B90F-7E3E05D9DCAC}"/>
    <cellStyle name="Note 10 5 3 4" xfId="30940" xr:uid="{B06A96AF-C34C-4DB5-BA7F-04B7AEAB27E9}"/>
    <cellStyle name="Note 10 5 4" xfId="11503" xr:uid="{00000000-0005-0000-0000-0000105E0000}"/>
    <cellStyle name="Note 10 5 4 2" xfId="35352" xr:uid="{4C74F94D-949F-4830-8C7C-E58F7C477BA9}"/>
    <cellStyle name="Note 10 5 5" xfId="19458" xr:uid="{00000000-0005-0000-0000-0000115E0000}"/>
    <cellStyle name="Note 10 5 5 2" xfId="43290" xr:uid="{8DFB658E-6F39-4179-828D-321DAAC6C7A5}"/>
    <cellStyle name="Note 10 5 6" xfId="27410" xr:uid="{D29929F4-5463-4C43-8809-4CA1A6E5B562}"/>
    <cellStyle name="Note 10 5_Exh G" xfId="3568" xr:uid="{00000000-0005-0000-0000-0000125E0000}"/>
    <cellStyle name="Note 10 6" xfId="4357" xr:uid="{00000000-0005-0000-0000-0000135E0000}"/>
    <cellStyle name="Note 10 6 2" xfId="7949" xr:uid="{00000000-0005-0000-0000-0000145E0000}"/>
    <cellStyle name="Note 10 6 2 2" xfId="15919" xr:uid="{00000000-0005-0000-0000-0000155E0000}"/>
    <cellStyle name="Note 10 6 2 2 2" xfId="39761" xr:uid="{44626A73-64C5-4579-989B-A441E27B5420}"/>
    <cellStyle name="Note 10 6 2 3" xfId="23865" xr:uid="{00000000-0005-0000-0000-0000165E0000}"/>
    <cellStyle name="Note 10 6 2 3 2" xfId="47697" xr:uid="{58DD46FB-6A5F-4438-B8EB-B57574F87660}"/>
    <cellStyle name="Note 10 6 2 4" xfId="31820" xr:uid="{4B658873-0A6D-49C8-ADBB-2EBB9603BF9B}"/>
    <cellStyle name="Note 10 6 3" xfId="12381" xr:uid="{00000000-0005-0000-0000-0000175E0000}"/>
    <cellStyle name="Note 10 6 3 2" xfId="36230" xr:uid="{9A543664-3487-4C00-83E0-828FF7E9E830}"/>
    <cellStyle name="Note 10 6 4" xfId="20336" xr:uid="{00000000-0005-0000-0000-0000185E0000}"/>
    <cellStyle name="Note 10 6 4 2" xfId="44168" xr:uid="{D253D1C5-D8DD-4986-83BF-9F1BE1558FA2}"/>
    <cellStyle name="Note 10 6 5" xfId="28289" xr:uid="{BC437D1C-2E5D-4585-BBB5-12A00C93DCA4}"/>
    <cellStyle name="Note 10 7" xfId="6177" xr:uid="{00000000-0005-0000-0000-0000195E0000}"/>
    <cellStyle name="Note 10 7 2" xfId="14160" xr:uid="{00000000-0005-0000-0000-00001A5E0000}"/>
    <cellStyle name="Note 10 7 2 2" xfId="38003" xr:uid="{EE21B758-7E4E-48BB-9F9F-C8A5CB187B74}"/>
    <cellStyle name="Note 10 7 3" xfId="22108" xr:uid="{00000000-0005-0000-0000-00001B5E0000}"/>
    <cellStyle name="Note 10 7 3 2" xfId="45940" xr:uid="{23C9551B-D962-49FE-A99E-4CE1C494B958}"/>
    <cellStyle name="Note 10 7 4" xfId="30062" xr:uid="{33469D56-9521-4434-BBEC-9FB2814EA7B8}"/>
    <cellStyle name="Note 10 8" xfId="9729" xr:uid="{00000000-0005-0000-0000-00001C5E0000}"/>
    <cellStyle name="Note 10 8 2" xfId="17687" xr:uid="{00000000-0005-0000-0000-00001D5E0000}"/>
    <cellStyle name="Note 10 8 2 2" xfId="41527" xr:uid="{E0334137-843F-482A-9811-782366288129}"/>
    <cellStyle name="Note 10 8 3" xfId="25631" xr:uid="{00000000-0005-0000-0000-00001E5E0000}"/>
    <cellStyle name="Note 10 8 3 2" xfId="49463" xr:uid="{84208654-A65D-4FDA-8547-623EBA2A61DF}"/>
    <cellStyle name="Note 10 8 4" xfId="33586" xr:uid="{213201B0-173F-4736-BB7C-8118C497C286}"/>
    <cellStyle name="Note 10 9" xfId="10625" xr:uid="{00000000-0005-0000-0000-00001F5E0000}"/>
    <cellStyle name="Note 10 9 2" xfId="34474" xr:uid="{6E262670-C577-4CBA-8951-7C95F86A37D3}"/>
    <cellStyle name="Note 10_Exh G" xfId="3561" xr:uid="{00000000-0005-0000-0000-0000205E0000}"/>
    <cellStyle name="Note 11" xfId="687" xr:uid="{00000000-0005-0000-0000-0000215E0000}"/>
    <cellStyle name="Note 11 10" xfId="26536" xr:uid="{2772E2A4-028E-42C3-BE92-E4453FA13237}"/>
    <cellStyle name="Note 11 2" xfId="688" xr:uid="{00000000-0005-0000-0000-0000225E0000}"/>
    <cellStyle name="Note 11 2 2" xfId="689" xr:uid="{00000000-0005-0000-0000-0000235E0000}"/>
    <cellStyle name="Note 11 2 2 2" xfId="1715" xr:uid="{00000000-0005-0000-0000-0000245E0000}"/>
    <cellStyle name="Note 11 2 2 2 2" xfId="5242" xr:uid="{00000000-0005-0000-0000-0000255E0000}"/>
    <cellStyle name="Note 11 2 2 2 2 2" xfId="8833" xr:uid="{00000000-0005-0000-0000-0000265E0000}"/>
    <cellStyle name="Note 11 2 2 2 2 2 2" xfId="16803" xr:uid="{00000000-0005-0000-0000-0000275E0000}"/>
    <cellStyle name="Note 11 2 2 2 2 2 2 2" xfId="40645" xr:uid="{E64B8A8F-9100-4BF8-89BE-6F65E22E80F7}"/>
    <cellStyle name="Note 11 2 2 2 2 2 3" xfId="24749" xr:uid="{00000000-0005-0000-0000-0000285E0000}"/>
    <cellStyle name="Note 11 2 2 2 2 2 3 2" xfId="48581" xr:uid="{BAE8DCB4-B8B1-4E4B-9895-8BF9DD0BE734}"/>
    <cellStyle name="Note 11 2 2 2 2 2 4" xfId="32704" xr:uid="{D7E1F3BC-8878-4D05-A59E-53AF9C150036}"/>
    <cellStyle name="Note 11 2 2 2 2 3" xfId="13265" xr:uid="{00000000-0005-0000-0000-0000295E0000}"/>
    <cellStyle name="Note 11 2 2 2 2 3 2" xfId="37114" xr:uid="{4DA85904-3966-4010-B196-33C2C4DFFD85}"/>
    <cellStyle name="Note 11 2 2 2 2 4" xfId="21220" xr:uid="{00000000-0005-0000-0000-00002A5E0000}"/>
    <cellStyle name="Note 11 2 2 2 2 4 2" xfId="45052" xr:uid="{488C2674-FAFC-4AC5-B24F-F3A41C800CCD}"/>
    <cellStyle name="Note 11 2 2 2 2 5" xfId="29173" xr:uid="{780E5C32-16B6-42B1-8D4A-28A9150DB98B}"/>
    <cellStyle name="Note 11 2 2 2 3" xfId="7074" xr:uid="{00000000-0005-0000-0000-00002B5E0000}"/>
    <cellStyle name="Note 11 2 2 2 3 2" xfId="15045" xr:uid="{00000000-0005-0000-0000-00002C5E0000}"/>
    <cellStyle name="Note 11 2 2 2 3 2 2" xfId="38887" xr:uid="{4BF09063-B5E6-4CBB-AA7B-9E9E1A0FEA83}"/>
    <cellStyle name="Note 11 2 2 2 3 3" xfId="22992" xr:uid="{00000000-0005-0000-0000-00002D5E0000}"/>
    <cellStyle name="Note 11 2 2 2 3 3 2" xfId="46824" xr:uid="{B84ACC48-780B-4B2D-9F29-4044C536D8D4}"/>
    <cellStyle name="Note 11 2 2 2 3 4" xfId="30946" xr:uid="{4414CAF7-A1A9-4E0D-B120-D038FE1A4FB1}"/>
    <cellStyle name="Note 11 2 2 2 4" xfId="11509" xr:uid="{00000000-0005-0000-0000-00002E5E0000}"/>
    <cellStyle name="Note 11 2 2 2 4 2" xfId="35358" xr:uid="{53C8782C-43FC-4971-A039-7A4A8BC70ABC}"/>
    <cellStyle name="Note 11 2 2 2 5" xfId="19464" xr:uid="{00000000-0005-0000-0000-00002F5E0000}"/>
    <cellStyle name="Note 11 2 2 2 5 2" xfId="43296" xr:uid="{CAACA4DB-F97A-406E-BAE0-2B1C68075655}"/>
    <cellStyle name="Note 11 2 2 2 6" xfId="27416" xr:uid="{36374237-41AC-455A-899C-8A9F201031A9}"/>
    <cellStyle name="Note 11 2 2 2_Exh G" xfId="3572" xr:uid="{00000000-0005-0000-0000-0000305E0000}"/>
    <cellStyle name="Note 11 2 2 3" xfId="4363" xr:uid="{00000000-0005-0000-0000-0000315E0000}"/>
    <cellStyle name="Note 11 2 2 3 2" xfId="7955" xr:uid="{00000000-0005-0000-0000-0000325E0000}"/>
    <cellStyle name="Note 11 2 2 3 2 2" xfId="15925" xr:uid="{00000000-0005-0000-0000-0000335E0000}"/>
    <cellStyle name="Note 11 2 2 3 2 2 2" xfId="39767" xr:uid="{742B7DF5-F47B-42CC-B488-1FB540560633}"/>
    <cellStyle name="Note 11 2 2 3 2 3" xfId="23871" xr:uid="{00000000-0005-0000-0000-0000345E0000}"/>
    <cellStyle name="Note 11 2 2 3 2 3 2" xfId="47703" xr:uid="{076DEEEA-608A-47E5-903C-5F81C048F432}"/>
    <cellStyle name="Note 11 2 2 3 2 4" xfId="31826" xr:uid="{77205B89-68C3-4FF8-B538-8E6114AE4714}"/>
    <cellStyle name="Note 11 2 2 3 3" xfId="12387" xr:uid="{00000000-0005-0000-0000-0000355E0000}"/>
    <cellStyle name="Note 11 2 2 3 3 2" xfId="36236" xr:uid="{E6DC345C-4258-4D78-9ED8-EFC3419692AD}"/>
    <cellStyle name="Note 11 2 2 3 4" xfId="20342" xr:uid="{00000000-0005-0000-0000-0000365E0000}"/>
    <cellStyle name="Note 11 2 2 3 4 2" xfId="44174" xr:uid="{DF973D62-870A-4327-A22E-616C1D125621}"/>
    <cellStyle name="Note 11 2 2 3 5" xfId="28295" xr:uid="{BB86783B-1379-430A-9AF0-5F5F080CCAD8}"/>
    <cellStyle name="Note 11 2 2 4" xfId="6183" xr:uid="{00000000-0005-0000-0000-0000375E0000}"/>
    <cellStyle name="Note 11 2 2 4 2" xfId="14166" xr:uid="{00000000-0005-0000-0000-0000385E0000}"/>
    <cellStyle name="Note 11 2 2 4 2 2" xfId="38009" xr:uid="{71E37706-4A01-4F16-95AC-97E6FC09F5CB}"/>
    <cellStyle name="Note 11 2 2 4 3" xfId="22114" xr:uid="{00000000-0005-0000-0000-0000395E0000}"/>
    <cellStyle name="Note 11 2 2 4 3 2" xfId="45946" xr:uid="{FE5A30F3-EA59-432B-9892-87CB77DA17E5}"/>
    <cellStyle name="Note 11 2 2 4 4" xfId="30068" xr:uid="{9A7F59CC-414A-4587-BCBF-CD5E99698B5A}"/>
    <cellStyle name="Note 11 2 2 5" xfId="9735" xr:uid="{00000000-0005-0000-0000-00003A5E0000}"/>
    <cellStyle name="Note 11 2 2 5 2" xfId="17693" xr:uid="{00000000-0005-0000-0000-00003B5E0000}"/>
    <cellStyle name="Note 11 2 2 5 2 2" xfId="41533" xr:uid="{5C7955AF-D70C-4A20-A1E7-EB65364D8DDA}"/>
    <cellStyle name="Note 11 2 2 5 3" xfId="25637" xr:uid="{00000000-0005-0000-0000-00003C5E0000}"/>
    <cellStyle name="Note 11 2 2 5 3 2" xfId="49469" xr:uid="{25F666A9-3EB1-4A44-BCFC-436A938BBAE9}"/>
    <cellStyle name="Note 11 2 2 5 4" xfId="33592" xr:uid="{AD5B7E39-7556-4729-8431-EC4B79977E90}"/>
    <cellStyle name="Note 11 2 2 6" xfId="10631" xr:uid="{00000000-0005-0000-0000-00003D5E0000}"/>
    <cellStyle name="Note 11 2 2 6 2" xfId="34480" xr:uid="{B55FE4FA-AA92-4DFA-B588-62CE2051DE98}"/>
    <cellStyle name="Note 11 2 2 7" xfId="18586" xr:uid="{00000000-0005-0000-0000-00003E5E0000}"/>
    <cellStyle name="Note 11 2 2 7 2" xfId="42418" xr:uid="{D3823AC8-F45B-46EC-AEA9-C434A2D9C54B}"/>
    <cellStyle name="Note 11 2 2 8" xfId="26538" xr:uid="{7C11E179-0326-41BA-8E59-B0EE4BE74E71}"/>
    <cellStyle name="Note 11 2 2_Exh G" xfId="3571" xr:uid="{00000000-0005-0000-0000-00003F5E0000}"/>
    <cellStyle name="Note 11 2 3" xfId="1714" xr:uid="{00000000-0005-0000-0000-0000405E0000}"/>
    <cellStyle name="Note 11 2 3 2" xfId="5241" xr:uid="{00000000-0005-0000-0000-0000415E0000}"/>
    <cellStyle name="Note 11 2 3 2 2" xfId="8832" xr:uid="{00000000-0005-0000-0000-0000425E0000}"/>
    <cellStyle name="Note 11 2 3 2 2 2" xfId="16802" xr:uid="{00000000-0005-0000-0000-0000435E0000}"/>
    <cellStyle name="Note 11 2 3 2 2 2 2" xfId="40644" xr:uid="{025F76BF-F999-44B6-A801-0A7E99E6251E}"/>
    <cellStyle name="Note 11 2 3 2 2 3" xfId="24748" xr:uid="{00000000-0005-0000-0000-0000445E0000}"/>
    <cellStyle name="Note 11 2 3 2 2 3 2" xfId="48580" xr:uid="{0718A8FA-8C4A-484C-99E7-8B9B5811DE8C}"/>
    <cellStyle name="Note 11 2 3 2 2 4" xfId="32703" xr:uid="{1FE62F41-FC29-47E4-8AA8-8AE1C66DF1B3}"/>
    <cellStyle name="Note 11 2 3 2 3" xfId="13264" xr:uid="{00000000-0005-0000-0000-0000455E0000}"/>
    <cellStyle name="Note 11 2 3 2 3 2" xfId="37113" xr:uid="{1AAC3B41-0100-4DE7-9542-B0E41C2EC5D5}"/>
    <cellStyle name="Note 11 2 3 2 4" xfId="21219" xr:uid="{00000000-0005-0000-0000-0000465E0000}"/>
    <cellStyle name="Note 11 2 3 2 4 2" xfId="45051" xr:uid="{7789D6BD-B51B-42B6-B4E2-24F05EDA8F15}"/>
    <cellStyle name="Note 11 2 3 2 5" xfId="29172" xr:uid="{CF8D4F40-533F-4304-BE83-223F55AA09DD}"/>
    <cellStyle name="Note 11 2 3 3" xfId="7073" xr:uid="{00000000-0005-0000-0000-0000475E0000}"/>
    <cellStyle name="Note 11 2 3 3 2" xfId="15044" xr:uid="{00000000-0005-0000-0000-0000485E0000}"/>
    <cellStyle name="Note 11 2 3 3 2 2" xfId="38886" xr:uid="{D5D3B0CD-55B2-4215-8294-92058955D043}"/>
    <cellStyle name="Note 11 2 3 3 3" xfId="22991" xr:uid="{00000000-0005-0000-0000-0000495E0000}"/>
    <cellStyle name="Note 11 2 3 3 3 2" xfId="46823" xr:uid="{4E9670F2-33D0-4F2D-86E6-A759D21B6C78}"/>
    <cellStyle name="Note 11 2 3 3 4" xfId="30945" xr:uid="{BAD69133-D2B4-46F9-8F1B-FF3998F8D944}"/>
    <cellStyle name="Note 11 2 3 4" xfId="11508" xr:uid="{00000000-0005-0000-0000-00004A5E0000}"/>
    <cellStyle name="Note 11 2 3 4 2" xfId="35357" xr:uid="{D5F7C4A3-21D3-4D97-BFAE-B610718578C8}"/>
    <cellStyle name="Note 11 2 3 5" xfId="19463" xr:uid="{00000000-0005-0000-0000-00004B5E0000}"/>
    <cellStyle name="Note 11 2 3 5 2" xfId="43295" xr:uid="{D7D6DC8D-6753-4F34-8AF8-F10DC08DE617}"/>
    <cellStyle name="Note 11 2 3 6" xfId="27415" xr:uid="{ECA9DFD3-4499-4248-A921-C4565295AC3A}"/>
    <cellStyle name="Note 11 2 3_Exh G" xfId="3573" xr:uid="{00000000-0005-0000-0000-00004C5E0000}"/>
    <cellStyle name="Note 11 2 4" xfId="4362" xr:uid="{00000000-0005-0000-0000-00004D5E0000}"/>
    <cellStyle name="Note 11 2 4 2" xfId="7954" xr:uid="{00000000-0005-0000-0000-00004E5E0000}"/>
    <cellStyle name="Note 11 2 4 2 2" xfId="15924" xr:uid="{00000000-0005-0000-0000-00004F5E0000}"/>
    <cellStyle name="Note 11 2 4 2 2 2" xfId="39766" xr:uid="{8B579F00-7B9C-4880-B7BA-5D1F0BC7DA0D}"/>
    <cellStyle name="Note 11 2 4 2 3" xfId="23870" xr:uid="{00000000-0005-0000-0000-0000505E0000}"/>
    <cellStyle name="Note 11 2 4 2 3 2" xfId="47702" xr:uid="{C3BC14DB-594A-4D89-8DBA-C3724E35B314}"/>
    <cellStyle name="Note 11 2 4 2 4" xfId="31825" xr:uid="{59216E86-0CBE-4D91-8916-FD93F81F8623}"/>
    <cellStyle name="Note 11 2 4 3" xfId="12386" xr:uid="{00000000-0005-0000-0000-0000515E0000}"/>
    <cellStyle name="Note 11 2 4 3 2" xfId="36235" xr:uid="{CA8FB3C2-7340-40CF-B803-A348EB4FA531}"/>
    <cellStyle name="Note 11 2 4 4" xfId="20341" xr:uid="{00000000-0005-0000-0000-0000525E0000}"/>
    <cellStyle name="Note 11 2 4 4 2" xfId="44173" xr:uid="{F5870B9C-D036-4A50-8BD1-3D1E95EAF3A4}"/>
    <cellStyle name="Note 11 2 4 5" xfId="28294" xr:uid="{D2E4DC05-7F96-47DB-AD4D-1D45C4DEB6D5}"/>
    <cellStyle name="Note 11 2 5" xfId="6182" xr:uid="{00000000-0005-0000-0000-0000535E0000}"/>
    <cellStyle name="Note 11 2 5 2" xfId="14165" xr:uid="{00000000-0005-0000-0000-0000545E0000}"/>
    <cellStyle name="Note 11 2 5 2 2" xfId="38008" xr:uid="{6F7EE94E-9DE9-402B-90CC-4F742436D4AC}"/>
    <cellStyle name="Note 11 2 5 3" xfId="22113" xr:uid="{00000000-0005-0000-0000-0000555E0000}"/>
    <cellStyle name="Note 11 2 5 3 2" xfId="45945" xr:uid="{C10D8241-01C1-478B-9D8A-1E653986D7DC}"/>
    <cellStyle name="Note 11 2 5 4" xfId="30067" xr:uid="{1C9D47D1-5B22-4C14-A803-3AD206602164}"/>
    <cellStyle name="Note 11 2 6" xfId="9734" xr:uid="{00000000-0005-0000-0000-0000565E0000}"/>
    <cellStyle name="Note 11 2 6 2" xfId="17692" xr:uid="{00000000-0005-0000-0000-0000575E0000}"/>
    <cellStyle name="Note 11 2 6 2 2" xfId="41532" xr:uid="{C3C82148-8518-437B-B7C4-338BAB1696C8}"/>
    <cellStyle name="Note 11 2 6 3" xfId="25636" xr:uid="{00000000-0005-0000-0000-0000585E0000}"/>
    <cellStyle name="Note 11 2 6 3 2" xfId="49468" xr:uid="{DA17696B-34FC-42DB-95FA-402818CB7A1E}"/>
    <cellStyle name="Note 11 2 6 4" xfId="33591" xr:uid="{46CA2D41-52D7-4FA5-AF5C-6B3738D758E0}"/>
    <cellStyle name="Note 11 2 7" xfId="10630" xr:uid="{00000000-0005-0000-0000-0000595E0000}"/>
    <cellStyle name="Note 11 2 7 2" xfId="34479" xr:uid="{B5433961-EDF8-4CD2-8967-22F4A86DE262}"/>
    <cellStyle name="Note 11 2 8" xfId="18585" xr:uid="{00000000-0005-0000-0000-00005A5E0000}"/>
    <cellStyle name="Note 11 2 8 2" xfId="42417" xr:uid="{A76BD0D9-8A1E-4AF2-A5F5-C5EBBC4630D4}"/>
    <cellStyle name="Note 11 2 9" xfId="26537" xr:uid="{A9215C11-F55C-4E7D-A21A-62B7B405FF84}"/>
    <cellStyle name="Note 11 2_Exh G" xfId="3570" xr:uid="{00000000-0005-0000-0000-00005B5E0000}"/>
    <cellStyle name="Note 11 3" xfId="690" xr:uid="{00000000-0005-0000-0000-00005C5E0000}"/>
    <cellStyle name="Note 11 3 2" xfId="1716" xr:uid="{00000000-0005-0000-0000-00005D5E0000}"/>
    <cellStyle name="Note 11 3 2 2" xfId="5243" xr:uid="{00000000-0005-0000-0000-00005E5E0000}"/>
    <cellStyle name="Note 11 3 2 2 2" xfId="8834" xr:uid="{00000000-0005-0000-0000-00005F5E0000}"/>
    <cellStyle name="Note 11 3 2 2 2 2" xfId="16804" xr:uid="{00000000-0005-0000-0000-0000605E0000}"/>
    <cellStyle name="Note 11 3 2 2 2 2 2" xfId="40646" xr:uid="{4EA1183B-10B6-41BD-959A-0E74600E8D29}"/>
    <cellStyle name="Note 11 3 2 2 2 3" xfId="24750" xr:uid="{00000000-0005-0000-0000-0000615E0000}"/>
    <cellStyle name="Note 11 3 2 2 2 3 2" xfId="48582" xr:uid="{22FD8824-A5E8-482A-A2E6-2B8832AAE110}"/>
    <cellStyle name="Note 11 3 2 2 2 4" xfId="32705" xr:uid="{5B2A147A-1263-43F9-8CE9-EA1E8C0C9E23}"/>
    <cellStyle name="Note 11 3 2 2 3" xfId="13266" xr:uid="{00000000-0005-0000-0000-0000625E0000}"/>
    <cellStyle name="Note 11 3 2 2 3 2" xfId="37115" xr:uid="{3BABF7DD-2AA5-40A5-9876-D938367C1496}"/>
    <cellStyle name="Note 11 3 2 2 4" xfId="21221" xr:uid="{00000000-0005-0000-0000-0000635E0000}"/>
    <cellStyle name="Note 11 3 2 2 4 2" xfId="45053" xr:uid="{3F9D67E8-5CA1-459E-BD4B-AE607C1003D8}"/>
    <cellStyle name="Note 11 3 2 2 5" xfId="29174" xr:uid="{3F9C4F71-D652-462E-9AD6-C75B838F26C3}"/>
    <cellStyle name="Note 11 3 2 3" xfId="7075" xr:uid="{00000000-0005-0000-0000-0000645E0000}"/>
    <cellStyle name="Note 11 3 2 3 2" xfId="15046" xr:uid="{00000000-0005-0000-0000-0000655E0000}"/>
    <cellStyle name="Note 11 3 2 3 2 2" xfId="38888" xr:uid="{2A0EEEB0-043D-4436-8F2F-DCDDF675B593}"/>
    <cellStyle name="Note 11 3 2 3 3" xfId="22993" xr:uid="{00000000-0005-0000-0000-0000665E0000}"/>
    <cellStyle name="Note 11 3 2 3 3 2" xfId="46825" xr:uid="{19775B6E-C260-480D-938B-38B2BF3F4AA8}"/>
    <cellStyle name="Note 11 3 2 3 4" xfId="30947" xr:uid="{679CCF4C-146F-4101-A3E2-451EB12B2E7C}"/>
    <cellStyle name="Note 11 3 2 4" xfId="11510" xr:uid="{00000000-0005-0000-0000-0000675E0000}"/>
    <cellStyle name="Note 11 3 2 4 2" xfId="35359" xr:uid="{6ECB0833-9AAA-4C8C-B33A-11BD4A76A984}"/>
    <cellStyle name="Note 11 3 2 5" xfId="19465" xr:uid="{00000000-0005-0000-0000-0000685E0000}"/>
    <cellStyle name="Note 11 3 2 5 2" xfId="43297" xr:uid="{1B2C8E86-7CFD-4B27-8157-B2438AC96A6D}"/>
    <cellStyle name="Note 11 3 2 6" xfId="27417" xr:uid="{ACFFED94-E339-47EB-88AD-9ADEA17FD10F}"/>
    <cellStyle name="Note 11 3 2_Exh G" xfId="3575" xr:uid="{00000000-0005-0000-0000-0000695E0000}"/>
    <cellStyle name="Note 11 3 3" xfId="4364" xr:uid="{00000000-0005-0000-0000-00006A5E0000}"/>
    <cellStyle name="Note 11 3 3 2" xfId="7956" xr:uid="{00000000-0005-0000-0000-00006B5E0000}"/>
    <cellStyle name="Note 11 3 3 2 2" xfId="15926" xr:uid="{00000000-0005-0000-0000-00006C5E0000}"/>
    <cellStyle name="Note 11 3 3 2 2 2" xfId="39768" xr:uid="{AA396D04-A5C5-4567-8C62-8290CCC34FF2}"/>
    <cellStyle name="Note 11 3 3 2 3" xfId="23872" xr:uid="{00000000-0005-0000-0000-00006D5E0000}"/>
    <cellStyle name="Note 11 3 3 2 3 2" xfId="47704" xr:uid="{05B917DB-BB85-44EE-B48A-C8C05B36570E}"/>
    <cellStyle name="Note 11 3 3 2 4" xfId="31827" xr:uid="{A4FED450-E1F8-4553-984E-49FC5ED786B1}"/>
    <cellStyle name="Note 11 3 3 3" xfId="12388" xr:uid="{00000000-0005-0000-0000-00006E5E0000}"/>
    <cellStyle name="Note 11 3 3 3 2" xfId="36237" xr:uid="{EC93E455-9E3C-4FD1-98EE-11F395298D11}"/>
    <cellStyle name="Note 11 3 3 4" xfId="20343" xr:uid="{00000000-0005-0000-0000-00006F5E0000}"/>
    <cellStyle name="Note 11 3 3 4 2" xfId="44175" xr:uid="{3835409E-0418-427B-B0F8-8ED2901E7A11}"/>
    <cellStyle name="Note 11 3 3 5" xfId="28296" xr:uid="{631B392D-C2FE-47EB-A273-F09277CFAC1C}"/>
    <cellStyle name="Note 11 3 4" xfId="6184" xr:uid="{00000000-0005-0000-0000-0000705E0000}"/>
    <cellStyle name="Note 11 3 4 2" xfId="14167" xr:uid="{00000000-0005-0000-0000-0000715E0000}"/>
    <cellStyle name="Note 11 3 4 2 2" xfId="38010" xr:uid="{0A95C67E-DE79-492D-B787-A6A57C319EC6}"/>
    <cellStyle name="Note 11 3 4 3" xfId="22115" xr:uid="{00000000-0005-0000-0000-0000725E0000}"/>
    <cellStyle name="Note 11 3 4 3 2" xfId="45947" xr:uid="{420C8557-BEDD-45BE-BB4F-E3BA597A425E}"/>
    <cellStyle name="Note 11 3 4 4" xfId="30069" xr:uid="{35ACBA66-36CA-49EC-8F1C-855E872FA7ED}"/>
    <cellStyle name="Note 11 3 5" xfId="9736" xr:uid="{00000000-0005-0000-0000-0000735E0000}"/>
    <cellStyle name="Note 11 3 5 2" xfId="17694" xr:uid="{00000000-0005-0000-0000-0000745E0000}"/>
    <cellStyle name="Note 11 3 5 2 2" xfId="41534" xr:uid="{595D139E-09FD-4C04-BD87-91CD91A4746F}"/>
    <cellStyle name="Note 11 3 5 3" xfId="25638" xr:uid="{00000000-0005-0000-0000-0000755E0000}"/>
    <cellStyle name="Note 11 3 5 3 2" xfId="49470" xr:uid="{2BD4B6C4-1068-4AB1-A600-F3C2ADAF83EA}"/>
    <cellStyle name="Note 11 3 5 4" xfId="33593" xr:uid="{A78B44A9-763B-4CCF-B304-0A0030456C1A}"/>
    <cellStyle name="Note 11 3 6" xfId="10632" xr:uid="{00000000-0005-0000-0000-0000765E0000}"/>
    <cellStyle name="Note 11 3 6 2" xfId="34481" xr:uid="{3E7BCA0D-D23C-4A17-890C-5CB359054698}"/>
    <cellStyle name="Note 11 3 7" xfId="18587" xr:uid="{00000000-0005-0000-0000-0000775E0000}"/>
    <cellStyle name="Note 11 3 7 2" xfId="42419" xr:uid="{A079EC33-27AB-46F8-A21B-DEB4FF128E91}"/>
    <cellStyle name="Note 11 3 8" xfId="26539" xr:uid="{34778D38-7B72-4C3D-B6BA-64B536212EF0}"/>
    <cellStyle name="Note 11 3_Exh G" xfId="3574" xr:uid="{00000000-0005-0000-0000-0000785E0000}"/>
    <cellStyle name="Note 11 4" xfId="1713" xr:uid="{00000000-0005-0000-0000-0000795E0000}"/>
    <cellStyle name="Note 11 4 2" xfId="5240" xr:uid="{00000000-0005-0000-0000-00007A5E0000}"/>
    <cellStyle name="Note 11 4 2 2" xfId="8831" xr:uid="{00000000-0005-0000-0000-00007B5E0000}"/>
    <cellStyle name="Note 11 4 2 2 2" xfId="16801" xr:uid="{00000000-0005-0000-0000-00007C5E0000}"/>
    <cellStyle name="Note 11 4 2 2 2 2" xfId="40643" xr:uid="{442B280D-7EB7-4270-A416-C94344FB5AE1}"/>
    <cellStyle name="Note 11 4 2 2 3" xfId="24747" xr:uid="{00000000-0005-0000-0000-00007D5E0000}"/>
    <cellStyle name="Note 11 4 2 2 3 2" xfId="48579" xr:uid="{FEBAAEDB-48F2-437B-A485-E63AC425957B}"/>
    <cellStyle name="Note 11 4 2 2 4" xfId="32702" xr:uid="{2290B46A-E357-4BFD-B5F3-E714D54480BB}"/>
    <cellStyle name="Note 11 4 2 3" xfId="13263" xr:uid="{00000000-0005-0000-0000-00007E5E0000}"/>
    <cellStyle name="Note 11 4 2 3 2" xfId="37112" xr:uid="{539B6834-C92B-4BD8-8D47-D5104F15C76E}"/>
    <cellStyle name="Note 11 4 2 4" xfId="21218" xr:uid="{00000000-0005-0000-0000-00007F5E0000}"/>
    <cellStyle name="Note 11 4 2 4 2" xfId="45050" xr:uid="{EDDB026B-D471-4141-B799-3D0BAF639ED8}"/>
    <cellStyle name="Note 11 4 2 5" xfId="29171" xr:uid="{0E7D69CB-FD6F-4708-B75F-5D2DBDB83425}"/>
    <cellStyle name="Note 11 4 3" xfId="7072" xr:uid="{00000000-0005-0000-0000-0000805E0000}"/>
    <cellStyle name="Note 11 4 3 2" xfId="15043" xr:uid="{00000000-0005-0000-0000-0000815E0000}"/>
    <cellStyle name="Note 11 4 3 2 2" xfId="38885" xr:uid="{904032FA-325F-48E8-88F9-65320D18592D}"/>
    <cellStyle name="Note 11 4 3 3" xfId="22990" xr:uid="{00000000-0005-0000-0000-0000825E0000}"/>
    <cellStyle name="Note 11 4 3 3 2" xfId="46822" xr:uid="{1F5D98B4-EB98-4031-9A64-A5DAECAA000A}"/>
    <cellStyle name="Note 11 4 3 4" xfId="30944" xr:uid="{46D64DAB-F148-4414-BC7B-5237576661AD}"/>
    <cellStyle name="Note 11 4 4" xfId="11507" xr:uid="{00000000-0005-0000-0000-0000835E0000}"/>
    <cellStyle name="Note 11 4 4 2" xfId="35356" xr:uid="{0568B62E-40DE-4372-A67D-7B2736A72C65}"/>
    <cellStyle name="Note 11 4 5" xfId="19462" xr:uid="{00000000-0005-0000-0000-0000845E0000}"/>
    <cellStyle name="Note 11 4 5 2" xfId="43294" xr:uid="{D9885F11-54AE-49D1-A1F5-18587111F152}"/>
    <cellStyle name="Note 11 4 6" xfId="27414" xr:uid="{3C9EE7F5-89D4-4CAF-9E87-3E0C2B6B17CF}"/>
    <cellStyle name="Note 11 4_Exh G" xfId="3576" xr:uid="{00000000-0005-0000-0000-0000855E0000}"/>
    <cellStyle name="Note 11 5" xfId="4361" xr:uid="{00000000-0005-0000-0000-0000865E0000}"/>
    <cellStyle name="Note 11 5 2" xfId="7953" xr:uid="{00000000-0005-0000-0000-0000875E0000}"/>
    <cellStyle name="Note 11 5 2 2" xfId="15923" xr:uid="{00000000-0005-0000-0000-0000885E0000}"/>
    <cellStyle name="Note 11 5 2 2 2" xfId="39765" xr:uid="{5FAADA2F-4DCF-42F3-8718-5EFC122E1A9C}"/>
    <cellStyle name="Note 11 5 2 3" xfId="23869" xr:uid="{00000000-0005-0000-0000-0000895E0000}"/>
    <cellStyle name="Note 11 5 2 3 2" xfId="47701" xr:uid="{45997B01-EDEB-4D6F-B41E-ED5F3A102A62}"/>
    <cellStyle name="Note 11 5 2 4" xfId="31824" xr:uid="{DAC9184C-FEF6-47D9-8B99-D87D14341EF4}"/>
    <cellStyle name="Note 11 5 3" xfId="12385" xr:uid="{00000000-0005-0000-0000-00008A5E0000}"/>
    <cellStyle name="Note 11 5 3 2" xfId="36234" xr:uid="{26044A94-9B1B-4569-AC47-C5884CD9622F}"/>
    <cellStyle name="Note 11 5 4" xfId="20340" xr:uid="{00000000-0005-0000-0000-00008B5E0000}"/>
    <cellStyle name="Note 11 5 4 2" xfId="44172" xr:uid="{9FBDDF47-0EBE-4764-A3BA-EEFBC91FE384}"/>
    <cellStyle name="Note 11 5 5" xfId="28293" xr:uid="{D1AA0AF7-06AB-4A2A-B6A7-C87C7F2D5556}"/>
    <cellStyle name="Note 11 6" xfId="6181" xr:uid="{00000000-0005-0000-0000-00008C5E0000}"/>
    <cellStyle name="Note 11 6 2" xfId="14164" xr:uid="{00000000-0005-0000-0000-00008D5E0000}"/>
    <cellStyle name="Note 11 6 2 2" xfId="38007" xr:uid="{96D2CDD5-D350-46F5-A141-FF98F557E84E}"/>
    <cellStyle name="Note 11 6 3" xfId="22112" xr:uid="{00000000-0005-0000-0000-00008E5E0000}"/>
    <cellStyle name="Note 11 6 3 2" xfId="45944" xr:uid="{D0B75DCE-F8FC-4A3D-B6C9-29C3E1BE6293}"/>
    <cellStyle name="Note 11 6 4" xfId="30066" xr:uid="{1883113B-B48F-4666-91E8-AF49C5DB9C4C}"/>
    <cellStyle name="Note 11 7" xfId="9733" xr:uid="{00000000-0005-0000-0000-00008F5E0000}"/>
    <cellStyle name="Note 11 7 2" xfId="17691" xr:uid="{00000000-0005-0000-0000-0000905E0000}"/>
    <cellStyle name="Note 11 7 2 2" xfId="41531" xr:uid="{4260AE21-91EE-45A0-BD70-57C23A1F7FC0}"/>
    <cellStyle name="Note 11 7 3" xfId="25635" xr:uid="{00000000-0005-0000-0000-0000915E0000}"/>
    <cellStyle name="Note 11 7 3 2" xfId="49467" xr:uid="{42895597-D6A2-4498-80AE-ACE2DCFA4B1B}"/>
    <cellStyle name="Note 11 7 4" xfId="33590" xr:uid="{18708582-6774-4499-A751-E66543C7EF49}"/>
    <cellStyle name="Note 11 8" xfId="10629" xr:uid="{00000000-0005-0000-0000-0000925E0000}"/>
    <cellStyle name="Note 11 8 2" xfId="34478" xr:uid="{DEFEC8AC-7E06-4656-9588-9B143C589CF1}"/>
    <cellStyle name="Note 11 9" xfId="18584" xr:uid="{00000000-0005-0000-0000-0000935E0000}"/>
    <cellStyle name="Note 11 9 2" xfId="42416" xr:uid="{8F0F3FF6-CF2F-4986-A9C5-3ECD87FE8DC9}"/>
    <cellStyle name="Note 11_Exh G" xfId="3569" xr:uid="{00000000-0005-0000-0000-0000945E0000}"/>
    <cellStyle name="Note 12" xfId="691" xr:uid="{00000000-0005-0000-0000-0000955E0000}"/>
    <cellStyle name="Note 12 10" xfId="26540" xr:uid="{BA2C6DAA-B55F-42F2-8569-858D90D80BBD}"/>
    <cellStyle name="Note 12 2" xfId="692" xr:uid="{00000000-0005-0000-0000-0000965E0000}"/>
    <cellStyle name="Note 12 2 2" xfId="693" xr:uid="{00000000-0005-0000-0000-0000975E0000}"/>
    <cellStyle name="Note 12 2 2 2" xfId="1719" xr:uid="{00000000-0005-0000-0000-0000985E0000}"/>
    <cellStyle name="Note 12 2 2 2 2" xfId="5246" xr:uid="{00000000-0005-0000-0000-0000995E0000}"/>
    <cellStyle name="Note 12 2 2 2 2 2" xfId="8837" xr:uid="{00000000-0005-0000-0000-00009A5E0000}"/>
    <cellStyle name="Note 12 2 2 2 2 2 2" xfId="16807" xr:uid="{00000000-0005-0000-0000-00009B5E0000}"/>
    <cellStyle name="Note 12 2 2 2 2 2 2 2" xfId="40649" xr:uid="{678840FF-CC71-4F50-BFFF-1B3B90FF516D}"/>
    <cellStyle name="Note 12 2 2 2 2 2 3" xfId="24753" xr:uid="{00000000-0005-0000-0000-00009C5E0000}"/>
    <cellStyle name="Note 12 2 2 2 2 2 3 2" xfId="48585" xr:uid="{7322BA47-C8F8-4E56-A292-6AF29CE540B0}"/>
    <cellStyle name="Note 12 2 2 2 2 2 4" xfId="32708" xr:uid="{DDF307BC-B990-4908-B7EB-89CECB1483CA}"/>
    <cellStyle name="Note 12 2 2 2 2 3" xfId="13269" xr:uid="{00000000-0005-0000-0000-00009D5E0000}"/>
    <cellStyle name="Note 12 2 2 2 2 3 2" xfId="37118" xr:uid="{1ABBEA83-4DF3-4687-9339-709AFEF51082}"/>
    <cellStyle name="Note 12 2 2 2 2 4" xfId="21224" xr:uid="{00000000-0005-0000-0000-00009E5E0000}"/>
    <cellStyle name="Note 12 2 2 2 2 4 2" xfId="45056" xr:uid="{F7BF0C80-B5BA-4228-BEFF-FC10C7E9388F}"/>
    <cellStyle name="Note 12 2 2 2 2 5" xfId="29177" xr:uid="{2921B559-D54F-4E8A-AEFD-CC3B93C771A0}"/>
    <cellStyle name="Note 12 2 2 2 3" xfId="7078" xr:uid="{00000000-0005-0000-0000-00009F5E0000}"/>
    <cellStyle name="Note 12 2 2 2 3 2" xfId="15049" xr:uid="{00000000-0005-0000-0000-0000A05E0000}"/>
    <cellStyle name="Note 12 2 2 2 3 2 2" xfId="38891" xr:uid="{3C0F05FF-7D3B-4394-86B6-A4FCC5F97BAE}"/>
    <cellStyle name="Note 12 2 2 2 3 3" xfId="22996" xr:uid="{00000000-0005-0000-0000-0000A15E0000}"/>
    <cellStyle name="Note 12 2 2 2 3 3 2" xfId="46828" xr:uid="{824243CB-3D70-4381-BAFB-E01687D094DF}"/>
    <cellStyle name="Note 12 2 2 2 3 4" xfId="30950" xr:uid="{D0434809-260A-468C-A740-FE55E5A5D47F}"/>
    <cellStyle name="Note 12 2 2 2 4" xfId="11513" xr:uid="{00000000-0005-0000-0000-0000A25E0000}"/>
    <cellStyle name="Note 12 2 2 2 4 2" xfId="35362" xr:uid="{E68FA592-2937-44ED-BE5A-C2EDF8499A91}"/>
    <cellStyle name="Note 12 2 2 2 5" xfId="19468" xr:uid="{00000000-0005-0000-0000-0000A35E0000}"/>
    <cellStyle name="Note 12 2 2 2 5 2" xfId="43300" xr:uid="{DEC1A623-9D49-454D-B24B-3568EFD7041A}"/>
    <cellStyle name="Note 12 2 2 2 6" xfId="27420" xr:uid="{5D94C44A-BBBA-477C-A55D-506FFD79541F}"/>
    <cellStyle name="Note 12 2 2 2_Exh G" xfId="3580" xr:uid="{00000000-0005-0000-0000-0000A45E0000}"/>
    <cellStyle name="Note 12 2 2 3" xfId="4367" xr:uid="{00000000-0005-0000-0000-0000A55E0000}"/>
    <cellStyle name="Note 12 2 2 3 2" xfId="7959" xr:uid="{00000000-0005-0000-0000-0000A65E0000}"/>
    <cellStyle name="Note 12 2 2 3 2 2" xfId="15929" xr:uid="{00000000-0005-0000-0000-0000A75E0000}"/>
    <cellStyle name="Note 12 2 2 3 2 2 2" xfId="39771" xr:uid="{6AC8F567-08E6-4839-B3D0-67F1B4E2CEA7}"/>
    <cellStyle name="Note 12 2 2 3 2 3" xfId="23875" xr:uid="{00000000-0005-0000-0000-0000A85E0000}"/>
    <cellStyle name="Note 12 2 2 3 2 3 2" xfId="47707" xr:uid="{9F94E431-E00D-4321-A667-5A4023180AD4}"/>
    <cellStyle name="Note 12 2 2 3 2 4" xfId="31830" xr:uid="{79EE0801-18C2-4C08-8182-B9E02A620BED}"/>
    <cellStyle name="Note 12 2 2 3 3" xfId="12391" xr:uid="{00000000-0005-0000-0000-0000A95E0000}"/>
    <cellStyle name="Note 12 2 2 3 3 2" xfId="36240" xr:uid="{5BC8EC7A-E3DA-47B8-ACDD-BB44BDD4BD5E}"/>
    <cellStyle name="Note 12 2 2 3 4" xfId="20346" xr:uid="{00000000-0005-0000-0000-0000AA5E0000}"/>
    <cellStyle name="Note 12 2 2 3 4 2" xfId="44178" xr:uid="{E145C323-31A1-43BC-B812-F42B1CDEFDF0}"/>
    <cellStyle name="Note 12 2 2 3 5" xfId="28299" xr:uid="{DF4F1886-EEBE-4735-B873-9A2328485A26}"/>
    <cellStyle name="Note 12 2 2 4" xfId="6187" xr:uid="{00000000-0005-0000-0000-0000AB5E0000}"/>
    <cellStyle name="Note 12 2 2 4 2" xfId="14170" xr:uid="{00000000-0005-0000-0000-0000AC5E0000}"/>
    <cellStyle name="Note 12 2 2 4 2 2" xfId="38013" xr:uid="{79ABAB10-C8EB-4225-858C-0D61F7FA78F9}"/>
    <cellStyle name="Note 12 2 2 4 3" xfId="22118" xr:uid="{00000000-0005-0000-0000-0000AD5E0000}"/>
    <cellStyle name="Note 12 2 2 4 3 2" xfId="45950" xr:uid="{B3193197-585C-4A25-98B7-6DBD3993ADC7}"/>
    <cellStyle name="Note 12 2 2 4 4" xfId="30072" xr:uid="{A01093E0-B3DD-4203-8B52-27D184D13678}"/>
    <cellStyle name="Note 12 2 2 5" xfId="9739" xr:uid="{00000000-0005-0000-0000-0000AE5E0000}"/>
    <cellStyle name="Note 12 2 2 5 2" xfId="17697" xr:uid="{00000000-0005-0000-0000-0000AF5E0000}"/>
    <cellStyle name="Note 12 2 2 5 2 2" xfId="41537" xr:uid="{16BA824B-9C1C-43F2-9A40-C5B76A952634}"/>
    <cellStyle name="Note 12 2 2 5 3" xfId="25641" xr:uid="{00000000-0005-0000-0000-0000B05E0000}"/>
    <cellStyle name="Note 12 2 2 5 3 2" xfId="49473" xr:uid="{687D22E1-27A1-4C2B-9A62-E4EC126C86B3}"/>
    <cellStyle name="Note 12 2 2 5 4" xfId="33596" xr:uid="{3C137A43-0DA6-48FE-BE77-3B2A678C1BE5}"/>
    <cellStyle name="Note 12 2 2 6" xfId="10635" xr:uid="{00000000-0005-0000-0000-0000B15E0000}"/>
    <cellStyle name="Note 12 2 2 6 2" xfId="34484" xr:uid="{697573F7-2E7E-4F6C-A19B-C3840F51A6BF}"/>
    <cellStyle name="Note 12 2 2 7" xfId="18590" xr:uid="{00000000-0005-0000-0000-0000B25E0000}"/>
    <cellStyle name="Note 12 2 2 7 2" xfId="42422" xr:uid="{27A77840-5BE6-4B34-92BC-E959DE391534}"/>
    <cellStyle name="Note 12 2 2 8" xfId="26542" xr:uid="{7E401A51-8AD1-4631-990E-7773A82F7398}"/>
    <cellStyle name="Note 12 2 2_Exh G" xfId="3579" xr:uid="{00000000-0005-0000-0000-0000B35E0000}"/>
    <cellStyle name="Note 12 2 3" xfId="1718" xr:uid="{00000000-0005-0000-0000-0000B45E0000}"/>
    <cellStyle name="Note 12 2 3 2" xfId="5245" xr:uid="{00000000-0005-0000-0000-0000B55E0000}"/>
    <cellStyle name="Note 12 2 3 2 2" xfId="8836" xr:uid="{00000000-0005-0000-0000-0000B65E0000}"/>
    <cellStyle name="Note 12 2 3 2 2 2" xfId="16806" xr:uid="{00000000-0005-0000-0000-0000B75E0000}"/>
    <cellStyle name="Note 12 2 3 2 2 2 2" xfId="40648" xr:uid="{D7045618-860A-4DD5-B128-E8E4255E87FB}"/>
    <cellStyle name="Note 12 2 3 2 2 3" xfId="24752" xr:uid="{00000000-0005-0000-0000-0000B85E0000}"/>
    <cellStyle name="Note 12 2 3 2 2 3 2" xfId="48584" xr:uid="{78C5836D-0A49-4665-A772-F29BAE9E4E15}"/>
    <cellStyle name="Note 12 2 3 2 2 4" xfId="32707" xr:uid="{4EBCB3E9-48D6-4365-ACC2-CFA5C65392B3}"/>
    <cellStyle name="Note 12 2 3 2 3" xfId="13268" xr:uid="{00000000-0005-0000-0000-0000B95E0000}"/>
    <cellStyle name="Note 12 2 3 2 3 2" xfId="37117" xr:uid="{D8AF160C-02E8-4FA3-9307-0B8C46947353}"/>
    <cellStyle name="Note 12 2 3 2 4" xfId="21223" xr:uid="{00000000-0005-0000-0000-0000BA5E0000}"/>
    <cellStyle name="Note 12 2 3 2 4 2" xfId="45055" xr:uid="{1B1816EB-E3A2-42F1-9C69-EE62ED487A4C}"/>
    <cellStyle name="Note 12 2 3 2 5" xfId="29176" xr:uid="{0857566A-9EE4-4A17-8003-36508464E5CE}"/>
    <cellStyle name="Note 12 2 3 3" xfId="7077" xr:uid="{00000000-0005-0000-0000-0000BB5E0000}"/>
    <cellStyle name="Note 12 2 3 3 2" xfId="15048" xr:uid="{00000000-0005-0000-0000-0000BC5E0000}"/>
    <cellStyle name="Note 12 2 3 3 2 2" xfId="38890" xr:uid="{B4891B40-8C8D-44CB-A6FC-0D5AA3DF7102}"/>
    <cellStyle name="Note 12 2 3 3 3" xfId="22995" xr:uid="{00000000-0005-0000-0000-0000BD5E0000}"/>
    <cellStyle name="Note 12 2 3 3 3 2" xfId="46827" xr:uid="{5D6A457E-9619-40C6-80FB-1105DBD64D68}"/>
    <cellStyle name="Note 12 2 3 3 4" xfId="30949" xr:uid="{B0E2D52D-16E3-4C19-A711-7D9DF4973838}"/>
    <cellStyle name="Note 12 2 3 4" xfId="11512" xr:uid="{00000000-0005-0000-0000-0000BE5E0000}"/>
    <cellStyle name="Note 12 2 3 4 2" xfId="35361" xr:uid="{7FE51C37-132F-492A-8932-4EF1DF5EC07F}"/>
    <cellStyle name="Note 12 2 3 5" xfId="19467" xr:uid="{00000000-0005-0000-0000-0000BF5E0000}"/>
    <cellStyle name="Note 12 2 3 5 2" xfId="43299" xr:uid="{5D602EAC-F21B-489D-B773-5F41D91B9903}"/>
    <cellStyle name="Note 12 2 3 6" xfId="27419" xr:uid="{925E18C4-281A-4730-BFBD-C2C59BF32D47}"/>
    <cellStyle name="Note 12 2 3_Exh G" xfId="3581" xr:uid="{00000000-0005-0000-0000-0000C05E0000}"/>
    <cellStyle name="Note 12 2 4" xfId="4366" xr:uid="{00000000-0005-0000-0000-0000C15E0000}"/>
    <cellStyle name="Note 12 2 4 2" xfId="7958" xr:uid="{00000000-0005-0000-0000-0000C25E0000}"/>
    <cellStyle name="Note 12 2 4 2 2" xfId="15928" xr:uid="{00000000-0005-0000-0000-0000C35E0000}"/>
    <cellStyle name="Note 12 2 4 2 2 2" xfId="39770" xr:uid="{81DDE60C-E6C2-4EF6-B4F6-B0AA6EFFFB19}"/>
    <cellStyle name="Note 12 2 4 2 3" xfId="23874" xr:uid="{00000000-0005-0000-0000-0000C45E0000}"/>
    <cellStyle name="Note 12 2 4 2 3 2" xfId="47706" xr:uid="{BC4D6F5B-E838-44CB-90C0-E8D2C346142C}"/>
    <cellStyle name="Note 12 2 4 2 4" xfId="31829" xr:uid="{61CDB169-928A-4A40-834A-BB846BD926B5}"/>
    <cellStyle name="Note 12 2 4 3" xfId="12390" xr:uid="{00000000-0005-0000-0000-0000C55E0000}"/>
    <cellStyle name="Note 12 2 4 3 2" xfId="36239" xr:uid="{BB227793-10A3-44BB-AD28-150151EFB0CC}"/>
    <cellStyle name="Note 12 2 4 4" xfId="20345" xr:uid="{00000000-0005-0000-0000-0000C65E0000}"/>
    <cellStyle name="Note 12 2 4 4 2" xfId="44177" xr:uid="{DC250D31-522B-4E50-948B-214379D58959}"/>
    <cellStyle name="Note 12 2 4 5" xfId="28298" xr:uid="{A0F487BC-7379-4895-9586-6A9DBBE5EA69}"/>
    <cellStyle name="Note 12 2 5" xfId="6186" xr:uid="{00000000-0005-0000-0000-0000C75E0000}"/>
    <cellStyle name="Note 12 2 5 2" xfId="14169" xr:uid="{00000000-0005-0000-0000-0000C85E0000}"/>
    <cellStyle name="Note 12 2 5 2 2" xfId="38012" xr:uid="{2796C590-C067-4AFB-96F9-F329E989460B}"/>
    <cellStyle name="Note 12 2 5 3" xfId="22117" xr:uid="{00000000-0005-0000-0000-0000C95E0000}"/>
    <cellStyle name="Note 12 2 5 3 2" xfId="45949" xr:uid="{5A4C1C8D-DE9C-4E24-9D7B-3CF1BE8D14E3}"/>
    <cellStyle name="Note 12 2 5 4" xfId="30071" xr:uid="{B14E999D-0B40-46D1-AEBA-19921B79DFC0}"/>
    <cellStyle name="Note 12 2 6" xfId="9738" xr:uid="{00000000-0005-0000-0000-0000CA5E0000}"/>
    <cellStyle name="Note 12 2 6 2" xfId="17696" xr:uid="{00000000-0005-0000-0000-0000CB5E0000}"/>
    <cellStyle name="Note 12 2 6 2 2" xfId="41536" xr:uid="{8C8CC0A7-56C5-4240-BCAE-458A73A3140E}"/>
    <cellStyle name="Note 12 2 6 3" xfId="25640" xr:uid="{00000000-0005-0000-0000-0000CC5E0000}"/>
    <cellStyle name="Note 12 2 6 3 2" xfId="49472" xr:uid="{060417AF-3C7D-41AD-A6C3-6A9BCB0655A8}"/>
    <cellStyle name="Note 12 2 6 4" xfId="33595" xr:uid="{3FD34420-686A-4CF7-9602-77906F65C883}"/>
    <cellStyle name="Note 12 2 7" xfId="10634" xr:uid="{00000000-0005-0000-0000-0000CD5E0000}"/>
    <cellStyle name="Note 12 2 7 2" xfId="34483" xr:uid="{3BE78548-A38E-4F93-A7F0-368A6B8E34AD}"/>
    <cellStyle name="Note 12 2 8" xfId="18589" xr:uid="{00000000-0005-0000-0000-0000CE5E0000}"/>
    <cellStyle name="Note 12 2 8 2" xfId="42421" xr:uid="{CC4592DD-503A-4D75-B33A-04156A3027B3}"/>
    <cellStyle name="Note 12 2 9" xfId="26541" xr:uid="{6A5E1A6B-FF39-4345-89AF-95CE559071C5}"/>
    <cellStyle name="Note 12 2_Exh G" xfId="3578" xr:uid="{00000000-0005-0000-0000-0000CF5E0000}"/>
    <cellStyle name="Note 12 3" xfId="694" xr:uid="{00000000-0005-0000-0000-0000D05E0000}"/>
    <cellStyle name="Note 12 3 2" xfId="1720" xr:uid="{00000000-0005-0000-0000-0000D15E0000}"/>
    <cellStyle name="Note 12 3 2 2" xfId="5247" xr:uid="{00000000-0005-0000-0000-0000D25E0000}"/>
    <cellStyle name="Note 12 3 2 2 2" xfId="8838" xr:uid="{00000000-0005-0000-0000-0000D35E0000}"/>
    <cellStyle name="Note 12 3 2 2 2 2" xfId="16808" xr:uid="{00000000-0005-0000-0000-0000D45E0000}"/>
    <cellStyle name="Note 12 3 2 2 2 2 2" xfId="40650" xr:uid="{C677C747-13BC-4865-8E7B-287CDE8CF9F7}"/>
    <cellStyle name="Note 12 3 2 2 2 3" xfId="24754" xr:uid="{00000000-0005-0000-0000-0000D55E0000}"/>
    <cellStyle name="Note 12 3 2 2 2 3 2" xfId="48586" xr:uid="{17F59018-9AB0-4DE8-B1A4-34A2E5EB915D}"/>
    <cellStyle name="Note 12 3 2 2 2 4" xfId="32709" xr:uid="{B2FE36D6-B997-4F25-AC99-0078824C2AFF}"/>
    <cellStyle name="Note 12 3 2 2 3" xfId="13270" xr:uid="{00000000-0005-0000-0000-0000D65E0000}"/>
    <cellStyle name="Note 12 3 2 2 3 2" xfId="37119" xr:uid="{64AADF3F-05B6-43CB-AE84-F49034B240BA}"/>
    <cellStyle name="Note 12 3 2 2 4" xfId="21225" xr:uid="{00000000-0005-0000-0000-0000D75E0000}"/>
    <cellStyle name="Note 12 3 2 2 4 2" xfId="45057" xr:uid="{D803C0E7-E7AB-49B3-A092-A7F1D832D551}"/>
    <cellStyle name="Note 12 3 2 2 5" xfId="29178" xr:uid="{8BD20342-E252-4207-B11E-DDA5089615A0}"/>
    <cellStyle name="Note 12 3 2 3" xfId="7079" xr:uid="{00000000-0005-0000-0000-0000D85E0000}"/>
    <cellStyle name="Note 12 3 2 3 2" xfId="15050" xr:uid="{00000000-0005-0000-0000-0000D95E0000}"/>
    <cellStyle name="Note 12 3 2 3 2 2" xfId="38892" xr:uid="{78F6926D-DDD6-4137-8E25-56D099BA3F7D}"/>
    <cellStyle name="Note 12 3 2 3 3" xfId="22997" xr:uid="{00000000-0005-0000-0000-0000DA5E0000}"/>
    <cellStyle name="Note 12 3 2 3 3 2" xfId="46829" xr:uid="{0794B60D-1BE5-4763-869D-085AC8004911}"/>
    <cellStyle name="Note 12 3 2 3 4" xfId="30951" xr:uid="{7125CA74-138F-4955-AB6E-06CC7606623B}"/>
    <cellStyle name="Note 12 3 2 4" xfId="11514" xr:uid="{00000000-0005-0000-0000-0000DB5E0000}"/>
    <cellStyle name="Note 12 3 2 4 2" xfId="35363" xr:uid="{B4D2B30E-6BE6-440E-AEA0-65CDA27F5BC7}"/>
    <cellStyle name="Note 12 3 2 5" xfId="19469" xr:uid="{00000000-0005-0000-0000-0000DC5E0000}"/>
    <cellStyle name="Note 12 3 2 5 2" xfId="43301" xr:uid="{264DBF1A-44B7-4D3C-B030-B153DDADEB11}"/>
    <cellStyle name="Note 12 3 2 6" xfId="27421" xr:uid="{A663A690-B3D1-4436-85FD-AE3033BD41FB}"/>
    <cellStyle name="Note 12 3 2_Exh G" xfId="3583" xr:uid="{00000000-0005-0000-0000-0000DD5E0000}"/>
    <cellStyle name="Note 12 3 3" xfId="4368" xr:uid="{00000000-0005-0000-0000-0000DE5E0000}"/>
    <cellStyle name="Note 12 3 3 2" xfId="7960" xr:uid="{00000000-0005-0000-0000-0000DF5E0000}"/>
    <cellStyle name="Note 12 3 3 2 2" xfId="15930" xr:uid="{00000000-0005-0000-0000-0000E05E0000}"/>
    <cellStyle name="Note 12 3 3 2 2 2" xfId="39772" xr:uid="{7B5A4BA9-8533-45AE-886C-27DF9F26292F}"/>
    <cellStyle name="Note 12 3 3 2 3" xfId="23876" xr:uid="{00000000-0005-0000-0000-0000E15E0000}"/>
    <cellStyle name="Note 12 3 3 2 3 2" xfId="47708" xr:uid="{B795084A-A153-426B-8666-0AFE86039706}"/>
    <cellStyle name="Note 12 3 3 2 4" xfId="31831" xr:uid="{ACE80E73-30AD-4495-A96E-B3C22243D67D}"/>
    <cellStyle name="Note 12 3 3 3" xfId="12392" xr:uid="{00000000-0005-0000-0000-0000E25E0000}"/>
    <cellStyle name="Note 12 3 3 3 2" xfId="36241" xr:uid="{50D833DD-E74A-436B-A456-93C80FEF65B6}"/>
    <cellStyle name="Note 12 3 3 4" xfId="20347" xr:uid="{00000000-0005-0000-0000-0000E35E0000}"/>
    <cellStyle name="Note 12 3 3 4 2" xfId="44179" xr:uid="{C989D7ED-B0B7-4D5F-AA4A-8D4B6898CBC9}"/>
    <cellStyle name="Note 12 3 3 5" xfId="28300" xr:uid="{C6EC0920-D0C2-488A-9048-1EA38DA6BD02}"/>
    <cellStyle name="Note 12 3 4" xfId="6188" xr:uid="{00000000-0005-0000-0000-0000E45E0000}"/>
    <cellStyle name="Note 12 3 4 2" xfId="14171" xr:uid="{00000000-0005-0000-0000-0000E55E0000}"/>
    <cellStyle name="Note 12 3 4 2 2" xfId="38014" xr:uid="{FF81D524-E364-4E60-8BA2-D63425F65FEF}"/>
    <cellStyle name="Note 12 3 4 3" xfId="22119" xr:uid="{00000000-0005-0000-0000-0000E65E0000}"/>
    <cellStyle name="Note 12 3 4 3 2" xfId="45951" xr:uid="{45036A85-0FF8-4FEE-9BD0-FB9EE41A26A2}"/>
    <cellStyle name="Note 12 3 4 4" xfId="30073" xr:uid="{B7D75C49-0E84-4A1D-ACA8-88F2A3D59057}"/>
    <cellStyle name="Note 12 3 5" xfId="9740" xr:uid="{00000000-0005-0000-0000-0000E75E0000}"/>
    <cellStyle name="Note 12 3 5 2" xfId="17698" xr:uid="{00000000-0005-0000-0000-0000E85E0000}"/>
    <cellStyle name="Note 12 3 5 2 2" xfId="41538" xr:uid="{C801CC78-BD07-4FB0-958F-B2458B8D833D}"/>
    <cellStyle name="Note 12 3 5 3" xfId="25642" xr:uid="{00000000-0005-0000-0000-0000E95E0000}"/>
    <cellStyle name="Note 12 3 5 3 2" xfId="49474" xr:uid="{28204D1A-FA4A-4AA4-8F61-9254B03232BA}"/>
    <cellStyle name="Note 12 3 5 4" xfId="33597" xr:uid="{DE9D8990-94F2-43CA-A625-72AF467205C8}"/>
    <cellStyle name="Note 12 3 6" xfId="10636" xr:uid="{00000000-0005-0000-0000-0000EA5E0000}"/>
    <cellStyle name="Note 12 3 6 2" xfId="34485" xr:uid="{C33E00F1-E8E6-441D-A06A-FDDF6C7AFB88}"/>
    <cellStyle name="Note 12 3 7" xfId="18591" xr:uid="{00000000-0005-0000-0000-0000EB5E0000}"/>
    <cellStyle name="Note 12 3 7 2" xfId="42423" xr:uid="{E90C367B-C907-4B94-AB22-2E4C99E90703}"/>
    <cellStyle name="Note 12 3 8" xfId="26543" xr:uid="{06EBD11A-3F04-403F-B0E1-78B5DEB1B61F}"/>
    <cellStyle name="Note 12 3_Exh G" xfId="3582" xr:uid="{00000000-0005-0000-0000-0000EC5E0000}"/>
    <cellStyle name="Note 12 4" xfId="1717" xr:uid="{00000000-0005-0000-0000-0000ED5E0000}"/>
    <cellStyle name="Note 12 4 2" xfId="5244" xr:uid="{00000000-0005-0000-0000-0000EE5E0000}"/>
    <cellStyle name="Note 12 4 2 2" xfId="8835" xr:uid="{00000000-0005-0000-0000-0000EF5E0000}"/>
    <cellStyle name="Note 12 4 2 2 2" xfId="16805" xr:uid="{00000000-0005-0000-0000-0000F05E0000}"/>
    <cellStyle name="Note 12 4 2 2 2 2" xfId="40647" xr:uid="{8EC1C01A-CF52-490B-92EB-33C0CF473043}"/>
    <cellStyle name="Note 12 4 2 2 3" xfId="24751" xr:uid="{00000000-0005-0000-0000-0000F15E0000}"/>
    <cellStyle name="Note 12 4 2 2 3 2" xfId="48583" xr:uid="{122E0169-04DC-4BE0-8FB8-1DA26DE91D47}"/>
    <cellStyle name="Note 12 4 2 2 4" xfId="32706" xr:uid="{1CDCE5BB-774B-4A4D-BD0E-D3541596F8F2}"/>
    <cellStyle name="Note 12 4 2 3" xfId="13267" xr:uid="{00000000-0005-0000-0000-0000F25E0000}"/>
    <cellStyle name="Note 12 4 2 3 2" xfId="37116" xr:uid="{56DA742B-FB4D-4A38-8364-D14353D16982}"/>
    <cellStyle name="Note 12 4 2 4" xfId="21222" xr:uid="{00000000-0005-0000-0000-0000F35E0000}"/>
    <cellStyle name="Note 12 4 2 4 2" xfId="45054" xr:uid="{270ACBDE-DBDD-47EF-8E47-A2087FB63F51}"/>
    <cellStyle name="Note 12 4 2 5" xfId="29175" xr:uid="{4B1D5856-093F-4F32-9698-45C5CE4CEF7B}"/>
    <cellStyle name="Note 12 4 3" xfId="7076" xr:uid="{00000000-0005-0000-0000-0000F45E0000}"/>
    <cellStyle name="Note 12 4 3 2" xfId="15047" xr:uid="{00000000-0005-0000-0000-0000F55E0000}"/>
    <cellStyle name="Note 12 4 3 2 2" xfId="38889" xr:uid="{B302ACA3-327E-44B4-B543-B65242694A5F}"/>
    <cellStyle name="Note 12 4 3 3" xfId="22994" xr:uid="{00000000-0005-0000-0000-0000F65E0000}"/>
    <cellStyle name="Note 12 4 3 3 2" xfId="46826" xr:uid="{84C143C8-27F5-4F70-9C56-B1565552B86A}"/>
    <cellStyle name="Note 12 4 3 4" xfId="30948" xr:uid="{2CCCA911-18EB-4A9A-885A-0FA0C08904AD}"/>
    <cellStyle name="Note 12 4 4" xfId="11511" xr:uid="{00000000-0005-0000-0000-0000F75E0000}"/>
    <cellStyle name="Note 12 4 4 2" xfId="35360" xr:uid="{456B0001-2A30-47C5-8045-1410D30B3117}"/>
    <cellStyle name="Note 12 4 5" xfId="19466" xr:uid="{00000000-0005-0000-0000-0000F85E0000}"/>
    <cellStyle name="Note 12 4 5 2" xfId="43298" xr:uid="{E56247C1-22B2-4AAA-A419-BBD1844DAA7A}"/>
    <cellStyle name="Note 12 4 6" xfId="27418" xr:uid="{0FC1C5EF-382D-45EA-B116-B1EC502D184B}"/>
    <cellStyle name="Note 12 4_Exh G" xfId="3584" xr:uid="{00000000-0005-0000-0000-0000F95E0000}"/>
    <cellStyle name="Note 12 5" xfId="4365" xr:uid="{00000000-0005-0000-0000-0000FA5E0000}"/>
    <cellStyle name="Note 12 5 2" xfId="7957" xr:uid="{00000000-0005-0000-0000-0000FB5E0000}"/>
    <cellStyle name="Note 12 5 2 2" xfId="15927" xr:uid="{00000000-0005-0000-0000-0000FC5E0000}"/>
    <cellStyle name="Note 12 5 2 2 2" xfId="39769" xr:uid="{D0746E4D-A962-4C39-9C3E-78EC671E08AF}"/>
    <cellStyle name="Note 12 5 2 3" xfId="23873" xr:uid="{00000000-0005-0000-0000-0000FD5E0000}"/>
    <cellStyle name="Note 12 5 2 3 2" xfId="47705" xr:uid="{E98E1133-605B-459A-86E5-86EA7E772101}"/>
    <cellStyle name="Note 12 5 2 4" xfId="31828" xr:uid="{14B5F8E4-5506-4DBC-BBDB-A98D0B556D4D}"/>
    <cellStyle name="Note 12 5 3" xfId="12389" xr:uid="{00000000-0005-0000-0000-0000FE5E0000}"/>
    <cellStyle name="Note 12 5 3 2" xfId="36238" xr:uid="{43BD6A63-4C96-419A-BBB8-4339F94F1844}"/>
    <cellStyle name="Note 12 5 4" xfId="20344" xr:uid="{00000000-0005-0000-0000-0000FF5E0000}"/>
    <cellStyle name="Note 12 5 4 2" xfId="44176" xr:uid="{4AE0AF07-3921-446F-B4DA-CA4097722AE8}"/>
    <cellStyle name="Note 12 5 5" xfId="28297" xr:uid="{1E51CEF1-4A75-4488-9B8E-06EF378584CB}"/>
    <cellStyle name="Note 12 6" xfId="6185" xr:uid="{00000000-0005-0000-0000-0000005F0000}"/>
    <cellStyle name="Note 12 6 2" xfId="14168" xr:uid="{00000000-0005-0000-0000-0000015F0000}"/>
    <cellStyle name="Note 12 6 2 2" xfId="38011" xr:uid="{DB51D4E9-2CC5-472F-9E4B-802B4618301C}"/>
    <cellStyle name="Note 12 6 3" xfId="22116" xr:uid="{00000000-0005-0000-0000-0000025F0000}"/>
    <cellStyle name="Note 12 6 3 2" xfId="45948" xr:uid="{88FCA3C5-D5DA-4A0F-A5B5-6B4C7FB3B425}"/>
    <cellStyle name="Note 12 6 4" xfId="30070" xr:uid="{66F3454E-9CF4-4E76-A1C4-845A5C44FA51}"/>
    <cellStyle name="Note 12 7" xfId="9737" xr:uid="{00000000-0005-0000-0000-0000035F0000}"/>
    <cellStyle name="Note 12 7 2" xfId="17695" xr:uid="{00000000-0005-0000-0000-0000045F0000}"/>
    <cellStyle name="Note 12 7 2 2" xfId="41535" xr:uid="{D1106AC5-3BAB-412C-9B5D-0F9946073817}"/>
    <cellStyle name="Note 12 7 3" xfId="25639" xr:uid="{00000000-0005-0000-0000-0000055F0000}"/>
    <cellStyle name="Note 12 7 3 2" xfId="49471" xr:uid="{C3ECCB9C-ADA2-4A83-BF03-A7330D08C12B}"/>
    <cellStyle name="Note 12 7 4" xfId="33594" xr:uid="{00DD684C-02A2-4BDF-81E3-D3A74054E81E}"/>
    <cellStyle name="Note 12 8" xfId="10633" xr:uid="{00000000-0005-0000-0000-0000065F0000}"/>
    <cellStyle name="Note 12 8 2" xfId="34482" xr:uid="{C6AB8FB3-4873-4B4F-8F56-532133CF28DF}"/>
    <cellStyle name="Note 12 9" xfId="18588" xr:uid="{00000000-0005-0000-0000-0000075F0000}"/>
    <cellStyle name="Note 12 9 2" xfId="42420" xr:uid="{1EFF910A-E803-45E1-8BF0-AB11C1078A1F}"/>
    <cellStyle name="Note 12_Exh G" xfId="3577" xr:uid="{00000000-0005-0000-0000-0000085F0000}"/>
    <cellStyle name="Note 13" xfId="695" xr:uid="{00000000-0005-0000-0000-0000095F0000}"/>
    <cellStyle name="Note 13 10" xfId="26544" xr:uid="{79FD5979-0253-49E1-A7D9-E7F7DE2CECBD}"/>
    <cellStyle name="Note 13 2" xfId="696" xr:uid="{00000000-0005-0000-0000-00000A5F0000}"/>
    <cellStyle name="Note 13 2 2" xfId="697" xr:uid="{00000000-0005-0000-0000-00000B5F0000}"/>
    <cellStyle name="Note 13 2 2 2" xfId="1723" xr:uid="{00000000-0005-0000-0000-00000C5F0000}"/>
    <cellStyle name="Note 13 2 2 2 2" xfId="5250" xr:uid="{00000000-0005-0000-0000-00000D5F0000}"/>
    <cellStyle name="Note 13 2 2 2 2 2" xfId="8841" xr:uid="{00000000-0005-0000-0000-00000E5F0000}"/>
    <cellStyle name="Note 13 2 2 2 2 2 2" xfId="16811" xr:uid="{00000000-0005-0000-0000-00000F5F0000}"/>
    <cellStyle name="Note 13 2 2 2 2 2 2 2" xfId="40653" xr:uid="{66713EA3-60EA-44C5-BA1D-59A7CFB8F11E}"/>
    <cellStyle name="Note 13 2 2 2 2 2 3" xfId="24757" xr:uid="{00000000-0005-0000-0000-0000105F0000}"/>
    <cellStyle name="Note 13 2 2 2 2 2 3 2" xfId="48589" xr:uid="{4078F387-9BCD-4242-9D16-0C336C4DC225}"/>
    <cellStyle name="Note 13 2 2 2 2 2 4" xfId="32712" xr:uid="{E1D23F08-A383-47BD-A280-81E74A491848}"/>
    <cellStyle name="Note 13 2 2 2 2 3" xfId="13273" xr:uid="{00000000-0005-0000-0000-0000115F0000}"/>
    <cellStyle name="Note 13 2 2 2 2 3 2" xfId="37122" xr:uid="{228E5BCE-E6F6-46E2-93E8-F2432D789648}"/>
    <cellStyle name="Note 13 2 2 2 2 4" xfId="21228" xr:uid="{00000000-0005-0000-0000-0000125F0000}"/>
    <cellStyle name="Note 13 2 2 2 2 4 2" xfId="45060" xr:uid="{654DF001-BF72-4605-A8DC-105C91CC4E22}"/>
    <cellStyle name="Note 13 2 2 2 2 5" xfId="29181" xr:uid="{CCDC569C-5736-49A8-A6B9-60CB5BFC201F}"/>
    <cellStyle name="Note 13 2 2 2 3" xfId="7082" xr:uid="{00000000-0005-0000-0000-0000135F0000}"/>
    <cellStyle name="Note 13 2 2 2 3 2" xfId="15053" xr:uid="{00000000-0005-0000-0000-0000145F0000}"/>
    <cellStyle name="Note 13 2 2 2 3 2 2" xfId="38895" xr:uid="{D2341A07-E8CA-4163-BCC9-0F97F7AFFB01}"/>
    <cellStyle name="Note 13 2 2 2 3 3" xfId="23000" xr:uid="{00000000-0005-0000-0000-0000155F0000}"/>
    <cellStyle name="Note 13 2 2 2 3 3 2" xfId="46832" xr:uid="{E585CF3E-28D7-4503-A7B5-A8196D64D390}"/>
    <cellStyle name="Note 13 2 2 2 3 4" xfId="30954" xr:uid="{D0936168-30A7-45F9-BC70-D46C30613FBA}"/>
    <cellStyle name="Note 13 2 2 2 4" xfId="11517" xr:uid="{00000000-0005-0000-0000-0000165F0000}"/>
    <cellStyle name="Note 13 2 2 2 4 2" xfId="35366" xr:uid="{44171DA5-EB22-430E-8FEF-A0B5DD9D8AE6}"/>
    <cellStyle name="Note 13 2 2 2 5" xfId="19472" xr:uid="{00000000-0005-0000-0000-0000175F0000}"/>
    <cellStyle name="Note 13 2 2 2 5 2" xfId="43304" xr:uid="{D97F4248-F350-4131-82B6-37D606189F74}"/>
    <cellStyle name="Note 13 2 2 2 6" xfId="27424" xr:uid="{1952B678-7DF0-442E-87B3-8C78E5272EDD}"/>
    <cellStyle name="Note 13 2 2 2_Exh G" xfId="3588" xr:uid="{00000000-0005-0000-0000-0000185F0000}"/>
    <cellStyle name="Note 13 2 2 3" xfId="4371" xr:uid="{00000000-0005-0000-0000-0000195F0000}"/>
    <cellStyle name="Note 13 2 2 3 2" xfId="7963" xr:uid="{00000000-0005-0000-0000-00001A5F0000}"/>
    <cellStyle name="Note 13 2 2 3 2 2" xfId="15933" xr:uid="{00000000-0005-0000-0000-00001B5F0000}"/>
    <cellStyle name="Note 13 2 2 3 2 2 2" xfId="39775" xr:uid="{4F172474-F5AE-4D99-B021-CA0BB039D3FF}"/>
    <cellStyle name="Note 13 2 2 3 2 3" xfId="23879" xr:uid="{00000000-0005-0000-0000-00001C5F0000}"/>
    <cellStyle name="Note 13 2 2 3 2 3 2" xfId="47711" xr:uid="{47A84708-C7A1-498F-B6C8-7671EA58C035}"/>
    <cellStyle name="Note 13 2 2 3 2 4" xfId="31834" xr:uid="{C30B433E-8E42-4191-9232-D1DB69764624}"/>
    <cellStyle name="Note 13 2 2 3 3" xfId="12395" xr:uid="{00000000-0005-0000-0000-00001D5F0000}"/>
    <cellStyle name="Note 13 2 2 3 3 2" xfId="36244" xr:uid="{20325F27-9BA4-4918-9C81-F1DB7353B197}"/>
    <cellStyle name="Note 13 2 2 3 4" xfId="20350" xr:uid="{00000000-0005-0000-0000-00001E5F0000}"/>
    <cellStyle name="Note 13 2 2 3 4 2" xfId="44182" xr:uid="{6CB431F2-D9EB-4599-904B-7CE74881A1B3}"/>
    <cellStyle name="Note 13 2 2 3 5" xfId="28303" xr:uid="{9EBEE8C0-FBE6-45CE-956B-6618E784F992}"/>
    <cellStyle name="Note 13 2 2 4" xfId="6191" xr:uid="{00000000-0005-0000-0000-00001F5F0000}"/>
    <cellStyle name="Note 13 2 2 4 2" xfId="14174" xr:uid="{00000000-0005-0000-0000-0000205F0000}"/>
    <cellStyle name="Note 13 2 2 4 2 2" xfId="38017" xr:uid="{160F5807-D0D2-43D1-83C6-D05D3E3791EC}"/>
    <cellStyle name="Note 13 2 2 4 3" xfId="22122" xr:uid="{00000000-0005-0000-0000-0000215F0000}"/>
    <cellStyle name="Note 13 2 2 4 3 2" xfId="45954" xr:uid="{611CAF25-5CA6-437E-A98C-41AE1A30877E}"/>
    <cellStyle name="Note 13 2 2 4 4" xfId="30076" xr:uid="{6FD460EC-405B-4FC4-9F3E-D9131B8F6DC4}"/>
    <cellStyle name="Note 13 2 2 5" xfId="9743" xr:uid="{00000000-0005-0000-0000-0000225F0000}"/>
    <cellStyle name="Note 13 2 2 5 2" xfId="17701" xr:uid="{00000000-0005-0000-0000-0000235F0000}"/>
    <cellStyle name="Note 13 2 2 5 2 2" xfId="41541" xr:uid="{ED866060-FCD5-444E-8D77-337FE6FAED3A}"/>
    <cellStyle name="Note 13 2 2 5 3" xfId="25645" xr:uid="{00000000-0005-0000-0000-0000245F0000}"/>
    <cellStyle name="Note 13 2 2 5 3 2" xfId="49477" xr:uid="{D6930FEA-A49E-4C50-AB54-5CB450FF23B1}"/>
    <cellStyle name="Note 13 2 2 5 4" xfId="33600" xr:uid="{E099F997-DAB5-453C-8C3F-BD8056231C8B}"/>
    <cellStyle name="Note 13 2 2 6" xfId="10639" xr:uid="{00000000-0005-0000-0000-0000255F0000}"/>
    <cellStyle name="Note 13 2 2 6 2" xfId="34488" xr:uid="{0A51224B-699F-4B91-9031-D4AFB98B4701}"/>
    <cellStyle name="Note 13 2 2 7" xfId="18594" xr:uid="{00000000-0005-0000-0000-0000265F0000}"/>
    <cellStyle name="Note 13 2 2 7 2" xfId="42426" xr:uid="{9C824B5E-9C91-4C6C-8E8B-8A556D5BB8F5}"/>
    <cellStyle name="Note 13 2 2 8" xfId="26546" xr:uid="{7176ECA1-52D0-44C2-BDE0-953E27C73ACA}"/>
    <cellStyle name="Note 13 2 2_Exh G" xfId="3587" xr:uid="{00000000-0005-0000-0000-0000275F0000}"/>
    <cellStyle name="Note 13 2 3" xfId="1722" xr:uid="{00000000-0005-0000-0000-0000285F0000}"/>
    <cellStyle name="Note 13 2 3 2" xfId="5249" xr:uid="{00000000-0005-0000-0000-0000295F0000}"/>
    <cellStyle name="Note 13 2 3 2 2" xfId="8840" xr:uid="{00000000-0005-0000-0000-00002A5F0000}"/>
    <cellStyle name="Note 13 2 3 2 2 2" xfId="16810" xr:uid="{00000000-0005-0000-0000-00002B5F0000}"/>
    <cellStyle name="Note 13 2 3 2 2 2 2" xfId="40652" xr:uid="{E2E43E3E-2643-408C-8C7F-AB3CA7746169}"/>
    <cellStyle name="Note 13 2 3 2 2 3" xfId="24756" xr:uid="{00000000-0005-0000-0000-00002C5F0000}"/>
    <cellStyle name="Note 13 2 3 2 2 3 2" xfId="48588" xr:uid="{C47AD8E7-017C-431B-AE23-9275C439891C}"/>
    <cellStyle name="Note 13 2 3 2 2 4" xfId="32711" xr:uid="{CB05B724-8679-4A98-A009-E1C671399E39}"/>
    <cellStyle name="Note 13 2 3 2 3" xfId="13272" xr:uid="{00000000-0005-0000-0000-00002D5F0000}"/>
    <cellStyle name="Note 13 2 3 2 3 2" xfId="37121" xr:uid="{AAFD52F1-F0FC-488E-9323-8A8F0A2C8D0F}"/>
    <cellStyle name="Note 13 2 3 2 4" xfId="21227" xr:uid="{00000000-0005-0000-0000-00002E5F0000}"/>
    <cellStyle name="Note 13 2 3 2 4 2" xfId="45059" xr:uid="{49130B28-4D3A-4267-8E2F-647CC9D3FCC1}"/>
    <cellStyle name="Note 13 2 3 2 5" xfId="29180" xr:uid="{9D2CED16-E43A-466A-AABB-1F675BA21964}"/>
    <cellStyle name="Note 13 2 3 3" xfId="7081" xr:uid="{00000000-0005-0000-0000-00002F5F0000}"/>
    <cellStyle name="Note 13 2 3 3 2" xfId="15052" xr:uid="{00000000-0005-0000-0000-0000305F0000}"/>
    <cellStyle name="Note 13 2 3 3 2 2" xfId="38894" xr:uid="{C31E4CB5-8658-4E78-B018-C5A33271DBE8}"/>
    <cellStyle name="Note 13 2 3 3 3" xfId="22999" xr:uid="{00000000-0005-0000-0000-0000315F0000}"/>
    <cellStyle name="Note 13 2 3 3 3 2" xfId="46831" xr:uid="{355DBCDC-2A45-41ED-8BF2-799A7294B162}"/>
    <cellStyle name="Note 13 2 3 3 4" xfId="30953" xr:uid="{AE7A82A1-CCCE-4434-966E-CAF0A3FB980B}"/>
    <cellStyle name="Note 13 2 3 4" xfId="11516" xr:uid="{00000000-0005-0000-0000-0000325F0000}"/>
    <cellStyle name="Note 13 2 3 4 2" xfId="35365" xr:uid="{509708AE-CC0F-4BD2-BF8A-767F088C04BB}"/>
    <cellStyle name="Note 13 2 3 5" xfId="19471" xr:uid="{00000000-0005-0000-0000-0000335F0000}"/>
    <cellStyle name="Note 13 2 3 5 2" xfId="43303" xr:uid="{FB3C0F41-88E8-4B7A-AFB4-293E6AB1EA6D}"/>
    <cellStyle name="Note 13 2 3 6" xfId="27423" xr:uid="{B62C39B3-D846-4FBA-AF2B-C9DDF8B19871}"/>
    <cellStyle name="Note 13 2 3_Exh G" xfId="3589" xr:uid="{00000000-0005-0000-0000-0000345F0000}"/>
    <cellStyle name="Note 13 2 4" xfId="4370" xr:uid="{00000000-0005-0000-0000-0000355F0000}"/>
    <cellStyle name="Note 13 2 4 2" xfId="7962" xr:uid="{00000000-0005-0000-0000-0000365F0000}"/>
    <cellStyle name="Note 13 2 4 2 2" xfId="15932" xr:uid="{00000000-0005-0000-0000-0000375F0000}"/>
    <cellStyle name="Note 13 2 4 2 2 2" xfId="39774" xr:uid="{039A3BE8-8F5B-48D9-B55B-A66884FF0ADF}"/>
    <cellStyle name="Note 13 2 4 2 3" xfId="23878" xr:uid="{00000000-0005-0000-0000-0000385F0000}"/>
    <cellStyle name="Note 13 2 4 2 3 2" xfId="47710" xr:uid="{C4F790B7-BBFB-4F8A-B539-03BCEB2983F9}"/>
    <cellStyle name="Note 13 2 4 2 4" xfId="31833" xr:uid="{A6BCD3CB-B3CC-44B9-AD38-7E269788E012}"/>
    <cellStyle name="Note 13 2 4 3" xfId="12394" xr:uid="{00000000-0005-0000-0000-0000395F0000}"/>
    <cellStyle name="Note 13 2 4 3 2" xfId="36243" xr:uid="{E3860DAA-7ECA-4567-908A-61B9F145CBF9}"/>
    <cellStyle name="Note 13 2 4 4" xfId="20349" xr:uid="{00000000-0005-0000-0000-00003A5F0000}"/>
    <cellStyle name="Note 13 2 4 4 2" xfId="44181" xr:uid="{06E9F0F5-70F2-424A-B1A1-3DF9E55323C3}"/>
    <cellStyle name="Note 13 2 4 5" xfId="28302" xr:uid="{9F802D7D-3BC4-4177-847E-3C9542EA0010}"/>
    <cellStyle name="Note 13 2 5" xfId="6190" xr:uid="{00000000-0005-0000-0000-00003B5F0000}"/>
    <cellStyle name="Note 13 2 5 2" xfId="14173" xr:uid="{00000000-0005-0000-0000-00003C5F0000}"/>
    <cellStyle name="Note 13 2 5 2 2" xfId="38016" xr:uid="{B6A28517-72B3-4548-A260-6D3C69A053E4}"/>
    <cellStyle name="Note 13 2 5 3" xfId="22121" xr:uid="{00000000-0005-0000-0000-00003D5F0000}"/>
    <cellStyle name="Note 13 2 5 3 2" xfId="45953" xr:uid="{4D4DA0D1-3930-4E18-8092-44D0FEFC1143}"/>
    <cellStyle name="Note 13 2 5 4" xfId="30075" xr:uid="{D9BD1F10-07A9-4C71-9F7C-AC59F5E33AB9}"/>
    <cellStyle name="Note 13 2 6" xfId="9742" xr:uid="{00000000-0005-0000-0000-00003E5F0000}"/>
    <cellStyle name="Note 13 2 6 2" xfId="17700" xr:uid="{00000000-0005-0000-0000-00003F5F0000}"/>
    <cellStyle name="Note 13 2 6 2 2" xfId="41540" xr:uid="{B2EE4DD1-89E4-40C9-99BB-5926B73A7C9E}"/>
    <cellStyle name="Note 13 2 6 3" xfId="25644" xr:uid="{00000000-0005-0000-0000-0000405F0000}"/>
    <cellStyle name="Note 13 2 6 3 2" xfId="49476" xr:uid="{A2519A22-D171-407C-807C-4DAE02BD1FDE}"/>
    <cellStyle name="Note 13 2 6 4" xfId="33599" xr:uid="{24D07F42-0104-47A9-AA14-1CD4B35B14DC}"/>
    <cellStyle name="Note 13 2 7" xfId="10638" xr:uid="{00000000-0005-0000-0000-0000415F0000}"/>
    <cellStyle name="Note 13 2 7 2" xfId="34487" xr:uid="{CCDACD96-989B-46BC-8868-D72DBD5ED398}"/>
    <cellStyle name="Note 13 2 8" xfId="18593" xr:uid="{00000000-0005-0000-0000-0000425F0000}"/>
    <cellStyle name="Note 13 2 8 2" xfId="42425" xr:uid="{11D80C82-2019-4585-AEC4-3FA693F17F90}"/>
    <cellStyle name="Note 13 2 9" xfId="26545" xr:uid="{07198167-BECF-4F7C-9C68-E79D214DA7BD}"/>
    <cellStyle name="Note 13 2_Exh G" xfId="3586" xr:uid="{00000000-0005-0000-0000-0000435F0000}"/>
    <cellStyle name="Note 13 3" xfId="698" xr:uid="{00000000-0005-0000-0000-0000445F0000}"/>
    <cellStyle name="Note 13 3 2" xfId="1724" xr:uid="{00000000-0005-0000-0000-0000455F0000}"/>
    <cellStyle name="Note 13 3 2 2" xfId="5251" xr:uid="{00000000-0005-0000-0000-0000465F0000}"/>
    <cellStyle name="Note 13 3 2 2 2" xfId="8842" xr:uid="{00000000-0005-0000-0000-0000475F0000}"/>
    <cellStyle name="Note 13 3 2 2 2 2" xfId="16812" xr:uid="{00000000-0005-0000-0000-0000485F0000}"/>
    <cellStyle name="Note 13 3 2 2 2 2 2" xfId="40654" xr:uid="{3A4959A1-08C6-429B-8ECC-393A745DC5CC}"/>
    <cellStyle name="Note 13 3 2 2 2 3" xfId="24758" xr:uid="{00000000-0005-0000-0000-0000495F0000}"/>
    <cellStyle name="Note 13 3 2 2 2 3 2" xfId="48590" xr:uid="{3931DC01-F6A2-44F2-8F34-1EED0FEBE121}"/>
    <cellStyle name="Note 13 3 2 2 2 4" xfId="32713" xr:uid="{B7328DB3-1800-4537-BD09-14613016697B}"/>
    <cellStyle name="Note 13 3 2 2 3" xfId="13274" xr:uid="{00000000-0005-0000-0000-00004A5F0000}"/>
    <cellStyle name="Note 13 3 2 2 3 2" xfId="37123" xr:uid="{F067FF56-5387-47F0-9310-808D7540BED4}"/>
    <cellStyle name="Note 13 3 2 2 4" xfId="21229" xr:uid="{00000000-0005-0000-0000-00004B5F0000}"/>
    <cellStyle name="Note 13 3 2 2 4 2" xfId="45061" xr:uid="{28660AD3-397E-4BBE-803D-12958B45AA2C}"/>
    <cellStyle name="Note 13 3 2 2 5" xfId="29182" xr:uid="{905D6918-BA91-4348-9CF1-C3373B9F25EF}"/>
    <cellStyle name="Note 13 3 2 3" xfId="7083" xr:uid="{00000000-0005-0000-0000-00004C5F0000}"/>
    <cellStyle name="Note 13 3 2 3 2" xfId="15054" xr:uid="{00000000-0005-0000-0000-00004D5F0000}"/>
    <cellStyle name="Note 13 3 2 3 2 2" xfId="38896" xr:uid="{C54920C4-39C4-4320-A048-B8F3E8924436}"/>
    <cellStyle name="Note 13 3 2 3 3" xfId="23001" xr:uid="{00000000-0005-0000-0000-00004E5F0000}"/>
    <cellStyle name="Note 13 3 2 3 3 2" xfId="46833" xr:uid="{21D81DCE-3877-4A32-B4A6-4A777E79D5AD}"/>
    <cellStyle name="Note 13 3 2 3 4" xfId="30955" xr:uid="{9267A9D6-D882-47A4-908F-4DD2475B7356}"/>
    <cellStyle name="Note 13 3 2 4" xfId="11518" xr:uid="{00000000-0005-0000-0000-00004F5F0000}"/>
    <cellStyle name="Note 13 3 2 4 2" xfId="35367" xr:uid="{857BF57F-D252-4D2E-ABD9-FCA59D497798}"/>
    <cellStyle name="Note 13 3 2 5" xfId="19473" xr:uid="{00000000-0005-0000-0000-0000505F0000}"/>
    <cellStyle name="Note 13 3 2 5 2" xfId="43305" xr:uid="{60ED4AD4-34F9-475B-A606-EDA15F53A049}"/>
    <cellStyle name="Note 13 3 2 6" xfId="27425" xr:uid="{05844245-2432-46C2-9BB9-F195F2B58664}"/>
    <cellStyle name="Note 13 3 2_Exh G" xfId="3591" xr:uid="{00000000-0005-0000-0000-0000515F0000}"/>
    <cellStyle name="Note 13 3 3" xfId="4372" xr:uid="{00000000-0005-0000-0000-0000525F0000}"/>
    <cellStyle name="Note 13 3 3 2" xfId="7964" xr:uid="{00000000-0005-0000-0000-0000535F0000}"/>
    <cellStyle name="Note 13 3 3 2 2" xfId="15934" xr:uid="{00000000-0005-0000-0000-0000545F0000}"/>
    <cellStyle name="Note 13 3 3 2 2 2" xfId="39776" xr:uid="{B56D0C39-DF9F-482C-9777-A14AB3EF4F78}"/>
    <cellStyle name="Note 13 3 3 2 3" xfId="23880" xr:uid="{00000000-0005-0000-0000-0000555F0000}"/>
    <cellStyle name="Note 13 3 3 2 3 2" xfId="47712" xr:uid="{7C8DD5C3-C823-4BE8-A625-1A2D4C3F487D}"/>
    <cellStyle name="Note 13 3 3 2 4" xfId="31835" xr:uid="{0FE1B94D-9423-4388-83FC-716B86CA14A3}"/>
    <cellStyle name="Note 13 3 3 3" xfId="12396" xr:uid="{00000000-0005-0000-0000-0000565F0000}"/>
    <cellStyle name="Note 13 3 3 3 2" xfId="36245" xr:uid="{FD4D8E1E-CE02-4CC3-9927-4F4EA973F16A}"/>
    <cellStyle name="Note 13 3 3 4" xfId="20351" xr:uid="{00000000-0005-0000-0000-0000575F0000}"/>
    <cellStyle name="Note 13 3 3 4 2" xfId="44183" xr:uid="{69F3DBEC-5E52-49C2-A871-668B260B3172}"/>
    <cellStyle name="Note 13 3 3 5" xfId="28304" xr:uid="{3E7FF69C-7070-43EF-8EA3-6731F34C3851}"/>
    <cellStyle name="Note 13 3 4" xfId="6192" xr:uid="{00000000-0005-0000-0000-0000585F0000}"/>
    <cellStyle name="Note 13 3 4 2" xfId="14175" xr:uid="{00000000-0005-0000-0000-0000595F0000}"/>
    <cellStyle name="Note 13 3 4 2 2" xfId="38018" xr:uid="{C839A9B6-A9FA-4025-9864-86DDED7E738F}"/>
    <cellStyle name="Note 13 3 4 3" xfId="22123" xr:uid="{00000000-0005-0000-0000-00005A5F0000}"/>
    <cellStyle name="Note 13 3 4 3 2" xfId="45955" xr:uid="{F9408599-7B60-4EA4-8813-C6DC393D5E2B}"/>
    <cellStyle name="Note 13 3 4 4" xfId="30077" xr:uid="{7F30711A-58E1-4AD1-BEE1-3778DC6640C5}"/>
    <cellStyle name="Note 13 3 5" xfId="9744" xr:uid="{00000000-0005-0000-0000-00005B5F0000}"/>
    <cellStyle name="Note 13 3 5 2" xfId="17702" xr:uid="{00000000-0005-0000-0000-00005C5F0000}"/>
    <cellStyle name="Note 13 3 5 2 2" xfId="41542" xr:uid="{0FCDB1DE-BAD5-49BF-9CFB-2EEEE9DA2647}"/>
    <cellStyle name="Note 13 3 5 3" xfId="25646" xr:uid="{00000000-0005-0000-0000-00005D5F0000}"/>
    <cellStyle name="Note 13 3 5 3 2" xfId="49478" xr:uid="{B9CD72C9-01D2-4894-BBA5-10196D1BB3B5}"/>
    <cellStyle name="Note 13 3 5 4" xfId="33601" xr:uid="{649DA29C-134A-4694-B42E-1C2DDFCDA548}"/>
    <cellStyle name="Note 13 3 6" xfId="10640" xr:uid="{00000000-0005-0000-0000-00005E5F0000}"/>
    <cellStyle name="Note 13 3 6 2" xfId="34489" xr:uid="{E04110B8-88F8-4790-BAEA-CAB2DAE50B0C}"/>
    <cellStyle name="Note 13 3 7" xfId="18595" xr:uid="{00000000-0005-0000-0000-00005F5F0000}"/>
    <cellStyle name="Note 13 3 7 2" xfId="42427" xr:uid="{480592E9-6DD2-4543-87C4-37C72E4184F9}"/>
    <cellStyle name="Note 13 3 8" xfId="26547" xr:uid="{71881DA7-CF08-40B9-A384-3F574B312444}"/>
    <cellStyle name="Note 13 3_Exh G" xfId="3590" xr:uid="{00000000-0005-0000-0000-0000605F0000}"/>
    <cellStyle name="Note 13 4" xfId="1721" xr:uid="{00000000-0005-0000-0000-0000615F0000}"/>
    <cellStyle name="Note 13 4 2" xfId="5248" xr:uid="{00000000-0005-0000-0000-0000625F0000}"/>
    <cellStyle name="Note 13 4 2 2" xfId="8839" xr:uid="{00000000-0005-0000-0000-0000635F0000}"/>
    <cellStyle name="Note 13 4 2 2 2" xfId="16809" xr:uid="{00000000-0005-0000-0000-0000645F0000}"/>
    <cellStyle name="Note 13 4 2 2 2 2" xfId="40651" xr:uid="{8A713D06-685D-487F-83AA-9EEC251787E7}"/>
    <cellStyle name="Note 13 4 2 2 3" xfId="24755" xr:uid="{00000000-0005-0000-0000-0000655F0000}"/>
    <cellStyle name="Note 13 4 2 2 3 2" xfId="48587" xr:uid="{7E0321DF-622C-4030-9288-CA439FA98E2C}"/>
    <cellStyle name="Note 13 4 2 2 4" xfId="32710" xr:uid="{56B8CF41-8C92-4509-9882-2D4D27EEBF3F}"/>
    <cellStyle name="Note 13 4 2 3" xfId="13271" xr:uid="{00000000-0005-0000-0000-0000665F0000}"/>
    <cellStyle name="Note 13 4 2 3 2" xfId="37120" xr:uid="{FCB30E4C-675A-4FF6-9DBD-889B2DDF6D69}"/>
    <cellStyle name="Note 13 4 2 4" xfId="21226" xr:uid="{00000000-0005-0000-0000-0000675F0000}"/>
    <cellStyle name="Note 13 4 2 4 2" xfId="45058" xr:uid="{CB3DB2D1-6C36-43B7-AFB0-F00EBDBAC8B0}"/>
    <cellStyle name="Note 13 4 2 5" xfId="29179" xr:uid="{9F65802A-A86F-4D75-AD91-605931810512}"/>
    <cellStyle name="Note 13 4 3" xfId="7080" xr:uid="{00000000-0005-0000-0000-0000685F0000}"/>
    <cellStyle name="Note 13 4 3 2" xfId="15051" xr:uid="{00000000-0005-0000-0000-0000695F0000}"/>
    <cellStyle name="Note 13 4 3 2 2" xfId="38893" xr:uid="{B9C60AF9-A555-400C-A574-60E5EC1D51C7}"/>
    <cellStyle name="Note 13 4 3 3" xfId="22998" xr:uid="{00000000-0005-0000-0000-00006A5F0000}"/>
    <cellStyle name="Note 13 4 3 3 2" xfId="46830" xr:uid="{BA830785-A7BC-4701-9AAF-4D47C0D212EC}"/>
    <cellStyle name="Note 13 4 3 4" xfId="30952" xr:uid="{4EF463DE-1B32-41F8-866B-6E0259BB2D03}"/>
    <cellStyle name="Note 13 4 4" xfId="11515" xr:uid="{00000000-0005-0000-0000-00006B5F0000}"/>
    <cellStyle name="Note 13 4 4 2" xfId="35364" xr:uid="{390F38BD-BF98-4082-961F-77FC87CB48B0}"/>
    <cellStyle name="Note 13 4 5" xfId="19470" xr:uid="{00000000-0005-0000-0000-00006C5F0000}"/>
    <cellStyle name="Note 13 4 5 2" xfId="43302" xr:uid="{88528CF3-F11D-4162-A056-BCD3FC16A0C9}"/>
    <cellStyle name="Note 13 4 6" xfId="27422" xr:uid="{CA82F43C-9308-4954-9EC5-BB053651A520}"/>
    <cellStyle name="Note 13 4_Exh G" xfId="3592" xr:uid="{00000000-0005-0000-0000-00006D5F0000}"/>
    <cellStyle name="Note 13 5" xfId="4369" xr:uid="{00000000-0005-0000-0000-00006E5F0000}"/>
    <cellStyle name="Note 13 5 2" xfId="7961" xr:uid="{00000000-0005-0000-0000-00006F5F0000}"/>
    <cellStyle name="Note 13 5 2 2" xfId="15931" xr:uid="{00000000-0005-0000-0000-0000705F0000}"/>
    <cellStyle name="Note 13 5 2 2 2" xfId="39773" xr:uid="{AD8E9FF8-3712-4F21-A667-1841169491D7}"/>
    <cellStyle name="Note 13 5 2 3" xfId="23877" xr:uid="{00000000-0005-0000-0000-0000715F0000}"/>
    <cellStyle name="Note 13 5 2 3 2" xfId="47709" xr:uid="{EE1EF38F-E55F-4D70-8FC4-B77EBDA0E7B8}"/>
    <cellStyle name="Note 13 5 2 4" xfId="31832" xr:uid="{FE5492B3-2C40-4E68-A18F-BABB67607079}"/>
    <cellStyle name="Note 13 5 3" xfId="12393" xr:uid="{00000000-0005-0000-0000-0000725F0000}"/>
    <cellStyle name="Note 13 5 3 2" xfId="36242" xr:uid="{6061E35B-1344-4707-83E7-18876AA06350}"/>
    <cellStyle name="Note 13 5 4" xfId="20348" xr:uid="{00000000-0005-0000-0000-0000735F0000}"/>
    <cellStyle name="Note 13 5 4 2" xfId="44180" xr:uid="{7812A965-1CE4-4763-BACB-7F80C223928F}"/>
    <cellStyle name="Note 13 5 5" xfId="28301" xr:uid="{BEC16F2A-C676-45D3-BB2A-8B6E715BBE80}"/>
    <cellStyle name="Note 13 6" xfId="6189" xr:uid="{00000000-0005-0000-0000-0000745F0000}"/>
    <cellStyle name="Note 13 6 2" xfId="14172" xr:uid="{00000000-0005-0000-0000-0000755F0000}"/>
    <cellStyle name="Note 13 6 2 2" xfId="38015" xr:uid="{E7E0B022-FE12-4D46-BA10-076018119599}"/>
    <cellStyle name="Note 13 6 3" xfId="22120" xr:uid="{00000000-0005-0000-0000-0000765F0000}"/>
    <cellStyle name="Note 13 6 3 2" xfId="45952" xr:uid="{6498AC32-41A3-432F-8484-5302D2DEAA08}"/>
    <cellStyle name="Note 13 6 4" xfId="30074" xr:uid="{7C8D194B-4AE9-49FE-8852-A6C35A610A86}"/>
    <cellStyle name="Note 13 7" xfId="9741" xr:uid="{00000000-0005-0000-0000-0000775F0000}"/>
    <cellStyle name="Note 13 7 2" xfId="17699" xr:uid="{00000000-0005-0000-0000-0000785F0000}"/>
    <cellStyle name="Note 13 7 2 2" xfId="41539" xr:uid="{D536261B-AB34-4176-9DD8-318257AB0556}"/>
    <cellStyle name="Note 13 7 3" xfId="25643" xr:uid="{00000000-0005-0000-0000-0000795F0000}"/>
    <cellStyle name="Note 13 7 3 2" xfId="49475" xr:uid="{0FE51794-BCC7-4320-B632-93BAD92DCFC2}"/>
    <cellStyle name="Note 13 7 4" xfId="33598" xr:uid="{DD0FE282-9C60-4D4F-BBD9-A59A2BF7F19D}"/>
    <cellStyle name="Note 13 8" xfId="10637" xr:uid="{00000000-0005-0000-0000-00007A5F0000}"/>
    <cellStyle name="Note 13 8 2" xfId="34486" xr:uid="{88128B7A-B8DE-41AF-ABCF-1757E659677B}"/>
    <cellStyle name="Note 13 9" xfId="18592" xr:uid="{00000000-0005-0000-0000-00007B5F0000}"/>
    <cellStyle name="Note 13 9 2" xfId="42424" xr:uid="{4631451E-75F5-4DE0-895B-043527B3B16A}"/>
    <cellStyle name="Note 13_Exh G" xfId="3585" xr:uid="{00000000-0005-0000-0000-00007C5F0000}"/>
    <cellStyle name="Note 14" xfId="699" xr:uid="{00000000-0005-0000-0000-00007D5F0000}"/>
    <cellStyle name="Note 14 10" xfId="26548" xr:uid="{B052CE58-BB1E-428C-95D0-79C6228D6AF5}"/>
    <cellStyle name="Note 14 2" xfId="700" xr:uid="{00000000-0005-0000-0000-00007E5F0000}"/>
    <cellStyle name="Note 14 2 2" xfId="701" xr:uid="{00000000-0005-0000-0000-00007F5F0000}"/>
    <cellStyle name="Note 14 2 2 2" xfId="1727" xr:uid="{00000000-0005-0000-0000-0000805F0000}"/>
    <cellStyle name="Note 14 2 2 2 2" xfId="5254" xr:uid="{00000000-0005-0000-0000-0000815F0000}"/>
    <cellStyle name="Note 14 2 2 2 2 2" xfId="8845" xr:uid="{00000000-0005-0000-0000-0000825F0000}"/>
    <cellStyle name="Note 14 2 2 2 2 2 2" xfId="16815" xr:uid="{00000000-0005-0000-0000-0000835F0000}"/>
    <cellStyle name="Note 14 2 2 2 2 2 2 2" xfId="40657" xr:uid="{E226E0BA-5E89-4BD7-BA0F-FBC51B860351}"/>
    <cellStyle name="Note 14 2 2 2 2 2 3" xfId="24761" xr:uid="{00000000-0005-0000-0000-0000845F0000}"/>
    <cellStyle name="Note 14 2 2 2 2 2 3 2" xfId="48593" xr:uid="{609BDD47-E52F-4E30-B19A-D09B61E2A5A6}"/>
    <cellStyle name="Note 14 2 2 2 2 2 4" xfId="32716" xr:uid="{FB2B6A2E-203A-4C74-B981-B3CB2AEDE4A6}"/>
    <cellStyle name="Note 14 2 2 2 2 3" xfId="13277" xr:uid="{00000000-0005-0000-0000-0000855F0000}"/>
    <cellStyle name="Note 14 2 2 2 2 3 2" xfId="37126" xr:uid="{3F2365AC-16F7-4033-8EEE-BCC62208B818}"/>
    <cellStyle name="Note 14 2 2 2 2 4" xfId="21232" xr:uid="{00000000-0005-0000-0000-0000865F0000}"/>
    <cellStyle name="Note 14 2 2 2 2 4 2" xfId="45064" xr:uid="{95826533-2678-4B83-8C30-63CDA236C56D}"/>
    <cellStyle name="Note 14 2 2 2 2 5" xfId="29185" xr:uid="{DA9CEDEB-B56C-494E-87DC-C498AF9D5BD8}"/>
    <cellStyle name="Note 14 2 2 2 3" xfId="7086" xr:uid="{00000000-0005-0000-0000-0000875F0000}"/>
    <cellStyle name="Note 14 2 2 2 3 2" xfId="15057" xr:uid="{00000000-0005-0000-0000-0000885F0000}"/>
    <cellStyle name="Note 14 2 2 2 3 2 2" xfId="38899" xr:uid="{B6490FB2-37F6-438F-8115-9619145EBD79}"/>
    <cellStyle name="Note 14 2 2 2 3 3" xfId="23004" xr:uid="{00000000-0005-0000-0000-0000895F0000}"/>
    <cellStyle name="Note 14 2 2 2 3 3 2" xfId="46836" xr:uid="{9C023685-1073-48E8-899D-8FE4AC609623}"/>
    <cellStyle name="Note 14 2 2 2 3 4" xfId="30958" xr:uid="{7C24AFA5-A130-460B-A41E-580013F18F92}"/>
    <cellStyle name="Note 14 2 2 2 4" xfId="11521" xr:uid="{00000000-0005-0000-0000-00008A5F0000}"/>
    <cellStyle name="Note 14 2 2 2 4 2" xfId="35370" xr:uid="{12EDDA51-C977-4271-A37B-A5ED8A0E81BA}"/>
    <cellStyle name="Note 14 2 2 2 5" xfId="19476" xr:uid="{00000000-0005-0000-0000-00008B5F0000}"/>
    <cellStyle name="Note 14 2 2 2 5 2" xfId="43308" xr:uid="{C6006446-72CD-4157-8812-1F403516688C}"/>
    <cellStyle name="Note 14 2 2 2 6" xfId="27428" xr:uid="{9495B279-067F-4943-B671-92266E24E4F7}"/>
    <cellStyle name="Note 14 2 2 2_Exh G" xfId="3596" xr:uid="{00000000-0005-0000-0000-00008C5F0000}"/>
    <cellStyle name="Note 14 2 2 3" xfId="4375" xr:uid="{00000000-0005-0000-0000-00008D5F0000}"/>
    <cellStyle name="Note 14 2 2 3 2" xfId="7967" xr:uid="{00000000-0005-0000-0000-00008E5F0000}"/>
    <cellStyle name="Note 14 2 2 3 2 2" xfId="15937" xr:uid="{00000000-0005-0000-0000-00008F5F0000}"/>
    <cellStyle name="Note 14 2 2 3 2 2 2" xfId="39779" xr:uid="{853C9227-EC8A-4748-9F01-698FB7B004B2}"/>
    <cellStyle name="Note 14 2 2 3 2 3" xfId="23883" xr:uid="{00000000-0005-0000-0000-0000905F0000}"/>
    <cellStyle name="Note 14 2 2 3 2 3 2" xfId="47715" xr:uid="{D04D0B6B-3AFC-4240-9FEB-D25232867766}"/>
    <cellStyle name="Note 14 2 2 3 2 4" xfId="31838" xr:uid="{A801A2DB-CBC6-40E5-8F14-EB80C7532D13}"/>
    <cellStyle name="Note 14 2 2 3 3" xfId="12399" xr:uid="{00000000-0005-0000-0000-0000915F0000}"/>
    <cellStyle name="Note 14 2 2 3 3 2" xfId="36248" xr:uid="{16821EBB-3792-4D51-9D39-8478B58D6703}"/>
    <cellStyle name="Note 14 2 2 3 4" xfId="20354" xr:uid="{00000000-0005-0000-0000-0000925F0000}"/>
    <cellStyle name="Note 14 2 2 3 4 2" xfId="44186" xr:uid="{AFA32456-9106-4E6C-BA50-5D0E0AA0C988}"/>
    <cellStyle name="Note 14 2 2 3 5" xfId="28307" xr:uid="{B3E3AD6E-5B75-4365-A6BA-2D479A569345}"/>
    <cellStyle name="Note 14 2 2 4" xfId="6195" xr:uid="{00000000-0005-0000-0000-0000935F0000}"/>
    <cellStyle name="Note 14 2 2 4 2" xfId="14178" xr:uid="{00000000-0005-0000-0000-0000945F0000}"/>
    <cellStyle name="Note 14 2 2 4 2 2" xfId="38021" xr:uid="{EBBA5A96-1A7C-42E7-8C36-097530833B71}"/>
    <cellStyle name="Note 14 2 2 4 3" xfId="22126" xr:uid="{00000000-0005-0000-0000-0000955F0000}"/>
    <cellStyle name="Note 14 2 2 4 3 2" xfId="45958" xr:uid="{603B5D8A-E65A-4B2F-9061-4D7B46174565}"/>
    <cellStyle name="Note 14 2 2 4 4" xfId="30080" xr:uid="{7905E6F4-7E20-46BF-BF2A-018E38A29E34}"/>
    <cellStyle name="Note 14 2 2 5" xfId="9747" xr:uid="{00000000-0005-0000-0000-0000965F0000}"/>
    <cellStyle name="Note 14 2 2 5 2" xfId="17705" xr:uid="{00000000-0005-0000-0000-0000975F0000}"/>
    <cellStyle name="Note 14 2 2 5 2 2" xfId="41545" xr:uid="{89FBADCC-9AAE-4E67-A1EF-A67512F3B037}"/>
    <cellStyle name="Note 14 2 2 5 3" xfId="25649" xr:uid="{00000000-0005-0000-0000-0000985F0000}"/>
    <cellStyle name="Note 14 2 2 5 3 2" xfId="49481" xr:uid="{DDF4E77E-0212-4F76-9D98-BD99AE44B66F}"/>
    <cellStyle name="Note 14 2 2 5 4" xfId="33604" xr:uid="{B4ECFB37-06FE-423C-864F-7BD27B5BF562}"/>
    <cellStyle name="Note 14 2 2 6" xfId="10643" xr:uid="{00000000-0005-0000-0000-0000995F0000}"/>
    <cellStyle name="Note 14 2 2 6 2" xfId="34492" xr:uid="{050B710D-8CD8-4A0E-AECC-6B3FBC901724}"/>
    <cellStyle name="Note 14 2 2 7" xfId="18598" xr:uid="{00000000-0005-0000-0000-00009A5F0000}"/>
    <cellStyle name="Note 14 2 2 7 2" xfId="42430" xr:uid="{215CF3B5-157B-4085-954D-9646E280FA28}"/>
    <cellStyle name="Note 14 2 2 8" xfId="26550" xr:uid="{6A1F04DF-7858-44D1-902B-C92E047A2BE6}"/>
    <cellStyle name="Note 14 2 2_Exh G" xfId="3595" xr:uid="{00000000-0005-0000-0000-00009B5F0000}"/>
    <cellStyle name="Note 14 2 3" xfId="1726" xr:uid="{00000000-0005-0000-0000-00009C5F0000}"/>
    <cellStyle name="Note 14 2 3 2" xfId="5253" xr:uid="{00000000-0005-0000-0000-00009D5F0000}"/>
    <cellStyle name="Note 14 2 3 2 2" xfId="8844" xr:uid="{00000000-0005-0000-0000-00009E5F0000}"/>
    <cellStyle name="Note 14 2 3 2 2 2" xfId="16814" xr:uid="{00000000-0005-0000-0000-00009F5F0000}"/>
    <cellStyle name="Note 14 2 3 2 2 2 2" xfId="40656" xr:uid="{0ED1170E-C306-4E4D-8547-49F60555E788}"/>
    <cellStyle name="Note 14 2 3 2 2 3" xfId="24760" xr:uid="{00000000-0005-0000-0000-0000A05F0000}"/>
    <cellStyle name="Note 14 2 3 2 2 3 2" xfId="48592" xr:uid="{C62CC582-5472-40AA-ACDB-081DC69F3F84}"/>
    <cellStyle name="Note 14 2 3 2 2 4" xfId="32715" xr:uid="{391890B1-DFD5-47C2-8158-7F44289CC25E}"/>
    <cellStyle name="Note 14 2 3 2 3" xfId="13276" xr:uid="{00000000-0005-0000-0000-0000A15F0000}"/>
    <cellStyle name="Note 14 2 3 2 3 2" xfId="37125" xr:uid="{03A99C87-53A5-4316-AEA3-C475E2D90ABB}"/>
    <cellStyle name="Note 14 2 3 2 4" xfId="21231" xr:uid="{00000000-0005-0000-0000-0000A25F0000}"/>
    <cellStyle name="Note 14 2 3 2 4 2" xfId="45063" xr:uid="{D1F2AAB3-400A-418A-ADF6-760BBEE1E6AE}"/>
    <cellStyle name="Note 14 2 3 2 5" xfId="29184" xr:uid="{5B5B4BC7-B7E9-4685-9164-C3A02FB1EC05}"/>
    <cellStyle name="Note 14 2 3 3" xfId="7085" xr:uid="{00000000-0005-0000-0000-0000A35F0000}"/>
    <cellStyle name="Note 14 2 3 3 2" xfId="15056" xr:uid="{00000000-0005-0000-0000-0000A45F0000}"/>
    <cellStyle name="Note 14 2 3 3 2 2" xfId="38898" xr:uid="{D98D83F8-1F06-48FC-8490-5B9A9DB6DD75}"/>
    <cellStyle name="Note 14 2 3 3 3" xfId="23003" xr:uid="{00000000-0005-0000-0000-0000A55F0000}"/>
    <cellStyle name="Note 14 2 3 3 3 2" xfId="46835" xr:uid="{9DC733D8-2465-4D4F-98F8-FB1612DD702D}"/>
    <cellStyle name="Note 14 2 3 3 4" xfId="30957" xr:uid="{88FA2654-19CC-4FAA-8BF0-879E180B6B45}"/>
    <cellStyle name="Note 14 2 3 4" xfId="11520" xr:uid="{00000000-0005-0000-0000-0000A65F0000}"/>
    <cellStyle name="Note 14 2 3 4 2" xfId="35369" xr:uid="{BDC8E395-7CB5-4336-A25D-5A1F45FDE4D7}"/>
    <cellStyle name="Note 14 2 3 5" xfId="19475" xr:uid="{00000000-0005-0000-0000-0000A75F0000}"/>
    <cellStyle name="Note 14 2 3 5 2" xfId="43307" xr:uid="{43DE9F9C-A864-46D9-B9D0-94DEA6F82EB4}"/>
    <cellStyle name="Note 14 2 3 6" xfId="27427" xr:uid="{BDB67320-02DC-4420-A7B7-E95CB2ACED12}"/>
    <cellStyle name="Note 14 2 3_Exh G" xfId="3597" xr:uid="{00000000-0005-0000-0000-0000A85F0000}"/>
    <cellStyle name="Note 14 2 4" xfId="4374" xr:uid="{00000000-0005-0000-0000-0000A95F0000}"/>
    <cellStyle name="Note 14 2 4 2" xfId="7966" xr:uid="{00000000-0005-0000-0000-0000AA5F0000}"/>
    <cellStyle name="Note 14 2 4 2 2" xfId="15936" xr:uid="{00000000-0005-0000-0000-0000AB5F0000}"/>
    <cellStyle name="Note 14 2 4 2 2 2" xfId="39778" xr:uid="{6CA21C0C-0CE6-4B58-A642-8B3347BE2616}"/>
    <cellStyle name="Note 14 2 4 2 3" xfId="23882" xr:uid="{00000000-0005-0000-0000-0000AC5F0000}"/>
    <cellStyle name="Note 14 2 4 2 3 2" xfId="47714" xr:uid="{8D903F09-30AE-447C-98C4-2E41C8D8EB73}"/>
    <cellStyle name="Note 14 2 4 2 4" xfId="31837" xr:uid="{DC96B6A0-8B7C-46C3-BDE3-77190DD5F163}"/>
    <cellStyle name="Note 14 2 4 3" xfId="12398" xr:uid="{00000000-0005-0000-0000-0000AD5F0000}"/>
    <cellStyle name="Note 14 2 4 3 2" xfId="36247" xr:uid="{BB0B4BEE-0B0E-4EC4-A679-61A3950A3AAB}"/>
    <cellStyle name="Note 14 2 4 4" xfId="20353" xr:uid="{00000000-0005-0000-0000-0000AE5F0000}"/>
    <cellStyle name="Note 14 2 4 4 2" xfId="44185" xr:uid="{36AA5D44-F9F0-48D3-A711-354B4A9C6133}"/>
    <cellStyle name="Note 14 2 4 5" xfId="28306" xr:uid="{3E13B3E7-2EEA-44FA-A932-161B7EE40DE0}"/>
    <cellStyle name="Note 14 2 5" xfId="6194" xr:uid="{00000000-0005-0000-0000-0000AF5F0000}"/>
    <cellStyle name="Note 14 2 5 2" xfId="14177" xr:uid="{00000000-0005-0000-0000-0000B05F0000}"/>
    <cellStyle name="Note 14 2 5 2 2" xfId="38020" xr:uid="{A1DF9B73-351F-4C64-BF60-340111B9695C}"/>
    <cellStyle name="Note 14 2 5 3" xfId="22125" xr:uid="{00000000-0005-0000-0000-0000B15F0000}"/>
    <cellStyle name="Note 14 2 5 3 2" xfId="45957" xr:uid="{A8193B0E-9AE3-4C75-97F1-050CECAA3245}"/>
    <cellStyle name="Note 14 2 5 4" xfId="30079" xr:uid="{25B6C249-4470-4EEB-9956-F6A6D031DA5C}"/>
    <cellStyle name="Note 14 2 6" xfId="9746" xr:uid="{00000000-0005-0000-0000-0000B25F0000}"/>
    <cellStyle name="Note 14 2 6 2" xfId="17704" xr:uid="{00000000-0005-0000-0000-0000B35F0000}"/>
    <cellStyle name="Note 14 2 6 2 2" xfId="41544" xr:uid="{FE9B8F43-4259-48F7-8B4A-18A643479F02}"/>
    <cellStyle name="Note 14 2 6 3" xfId="25648" xr:uid="{00000000-0005-0000-0000-0000B45F0000}"/>
    <cellStyle name="Note 14 2 6 3 2" xfId="49480" xr:uid="{27A4A91F-EE89-48AF-A946-367191D24F50}"/>
    <cellStyle name="Note 14 2 6 4" xfId="33603" xr:uid="{5AC8391B-8C92-4EEA-9002-C174C080CC1F}"/>
    <cellStyle name="Note 14 2 7" xfId="10642" xr:uid="{00000000-0005-0000-0000-0000B55F0000}"/>
    <cellStyle name="Note 14 2 7 2" xfId="34491" xr:uid="{95157F19-45C0-40A7-81A2-D610999DD09B}"/>
    <cellStyle name="Note 14 2 8" xfId="18597" xr:uid="{00000000-0005-0000-0000-0000B65F0000}"/>
    <cellStyle name="Note 14 2 8 2" xfId="42429" xr:uid="{1399D312-1E4D-430E-9DF1-4D02AD68A884}"/>
    <cellStyle name="Note 14 2 9" xfId="26549" xr:uid="{668328B2-B532-409E-8D4F-EBAE5AAC622A}"/>
    <cellStyle name="Note 14 2_Exh G" xfId="3594" xr:uid="{00000000-0005-0000-0000-0000B75F0000}"/>
    <cellStyle name="Note 14 3" xfId="702" xr:uid="{00000000-0005-0000-0000-0000B85F0000}"/>
    <cellStyle name="Note 14 3 2" xfId="1728" xr:uid="{00000000-0005-0000-0000-0000B95F0000}"/>
    <cellStyle name="Note 14 3 2 2" xfId="5255" xr:uid="{00000000-0005-0000-0000-0000BA5F0000}"/>
    <cellStyle name="Note 14 3 2 2 2" xfId="8846" xr:uid="{00000000-0005-0000-0000-0000BB5F0000}"/>
    <cellStyle name="Note 14 3 2 2 2 2" xfId="16816" xr:uid="{00000000-0005-0000-0000-0000BC5F0000}"/>
    <cellStyle name="Note 14 3 2 2 2 2 2" xfId="40658" xr:uid="{9B487F16-610C-47A0-A868-496E5C1F14CD}"/>
    <cellStyle name="Note 14 3 2 2 2 3" xfId="24762" xr:uid="{00000000-0005-0000-0000-0000BD5F0000}"/>
    <cellStyle name="Note 14 3 2 2 2 3 2" xfId="48594" xr:uid="{8CC52806-BA46-40F5-99A7-F8EA0FFF1ED1}"/>
    <cellStyle name="Note 14 3 2 2 2 4" xfId="32717" xr:uid="{B0474BD9-BD15-4D0A-AE58-92C1D9C66677}"/>
    <cellStyle name="Note 14 3 2 2 3" xfId="13278" xr:uid="{00000000-0005-0000-0000-0000BE5F0000}"/>
    <cellStyle name="Note 14 3 2 2 3 2" xfId="37127" xr:uid="{200C0902-DBB1-4266-80BC-9DC90023A70A}"/>
    <cellStyle name="Note 14 3 2 2 4" xfId="21233" xr:uid="{00000000-0005-0000-0000-0000BF5F0000}"/>
    <cellStyle name="Note 14 3 2 2 4 2" xfId="45065" xr:uid="{844C948C-6262-45A2-9CA3-3B7E599A7290}"/>
    <cellStyle name="Note 14 3 2 2 5" xfId="29186" xr:uid="{5B1331E3-9BD5-4B0B-BCC8-48880B0D0776}"/>
    <cellStyle name="Note 14 3 2 3" xfId="7087" xr:uid="{00000000-0005-0000-0000-0000C05F0000}"/>
    <cellStyle name="Note 14 3 2 3 2" xfId="15058" xr:uid="{00000000-0005-0000-0000-0000C15F0000}"/>
    <cellStyle name="Note 14 3 2 3 2 2" xfId="38900" xr:uid="{9AE97D53-5744-47A3-9DEA-3C64F2409385}"/>
    <cellStyle name="Note 14 3 2 3 3" xfId="23005" xr:uid="{00000000-0005-0000-0000-0000C25F0000}"/>
    <cellStyle name="Note 14 3 2 3 3 2" xfId="46837" xr:uid="{4B4D07C7-4A15-4F31-869A-3D660A756D56}"/>
    <cellStyle name="Note 14 3 2 3 4" xfId="30959" xr:uid="{8B882F66-C518-489D-8F1B-E7A0427BA90A}"/>
    <cellStyle name="Note 14 3 2 4" xfId="11522" xr:uid="{00000000-0005-0000-0000-0000C35F0000}"/>
    <cellStyle name="Note 14 3 2 4 2" xfId="35371" xr:uid="{CF129660-76AC-4267-8602-1998876175C9}"/>
    <cellStyle name="Note 14 3 2 5" xfId="19477" xr:uid="{00000000-0005-0000-0000-0000C45F0000}"/>
    <cellStyle name="Note 14 3 2 5 2" xfId="43309" xr:uid="{401AFB1A-C948-49B0-9AEF-9FA33D674AB9}"/>
    <cellStyle name="Note 14 3 2 6" xfId="27429" xr:uid="{BD1F9E65-64F9-4F3A-9EA9-FF06A7582776}"/>
    <cellStyle name="Note 14 3 2_Exh G" xfId="3599" xr:uid="{00000000-0005-0000-0000-0000C55F0000}"/>
    <cellStyle name="Note 14 3 3" xfId="4376" xr:uid="{00000000-0005-0000-0000-0000C65F0000}"/>
    <cellStyle name="Note 14 3 3 2" xfId="7968" xr:uid="{00000000-0005-0000-0000-0000C75F0000}"/>
    <cellStyle name="Note 14 3 3 2 2" xfId="15938" xr:uid="{00000000-0005-0000-0000-0000C85F0000}"/>
    <cellStyle name="Note 14 3 3 2 2 2" xfId="39780" xr:uid="{D8A3EE35-3E9B-497F-9A0D-9C88B23D933A}"/>
    <cellStyle name="Note 14 3 3 2 3" xfId="23884" xr:uid="{00000000-0005-0000-0000-0000C95F0000}"/>
    <cellStyle name="Note 14 3 3 2 3 2" xfId="47716" xr:uid="{F546A8A3-1506-491A-AB2D-959B341B8EF2}"/>
    <cellStyle name="Note 14 3 3 2 4" xfId="31839" xr:uid="{5BE3F484-2BBF-4DA8-ADC3-4B1960D6539D}"/>
    <cellStyle name="Note 14 3 3 3" xfId="12400" xr:uid="{00000000-0005-0000-0000-0000CA5F0000}"/>
    <cellStyle name="Note 14 3 3 3 2" xfId="36249" xr:uid="{7EF7E442-CDA3-4D19-8EDA-107CA8066DAB}"/>
    <cellStyle name="Note 14 3 3 4" xfId="20355" xr:uid="{00000000-0005-0000-0000-0000CB5F0000}"/>
    <cellStyle name="Note 14 3 3 4 2" xfId="44187" xr:uid="{9B0FFC1A-5A69-4751-AA87-36AAEECE9107}"/>
    <cellStyle name="Note 14 3 3 5" xfId="28308" xr:uid="{D0AE562C-0E2E-470D-9CCF-34BE1FAB8996}"/>
    <cellStyle name="Note 14 3 4" xfId="6196" xr:uid="{00000000-0005-0000-0000-0000CC5F0000}"/>
    <cellStyle name="Note 14 3 4 2" xfId="14179" xr:uid="{00000000-0005-0000-0000-0000CD5F0000}"/>
    <cellStyle name="Note 14 3 4 2 2" xfId="38022" xr:uid="{6DC469DB-9E32-494D-9002-901524ED809C}"/>
    <cellStyle name="Note 14 3 4 3" xfId="22127" xr:uid="{00000000-0005-0000-0000-0000CE5F0000}"/>
    <cellStyle name="Note 14 3 4 3 2" xfId="45959" xr:uid="{F874740F-2EEF-44A8-BE0B-5B5EE67D1281}"/>
    <cellStyle name="Note 14 3 4 4" xfId="30081" xr:uid="{EC657AEF-DB5A-414F-8EC0-78F2A8023109}"/>
    <cellStyle name="Note 14 3 5" xfId="9748" xr:uid="{00000000-0005-0000-0000-0000CF5F0000}"/>
    <cellStyle name="Note 14 3 5 2" xfId="17706" xr:uid="{00000000-0005-0000-0000-0000D05F0000}"/>
    <cellStyle name="Note 14 3 5 2 2" xfId="41546" xr:uid="{06DC52B3-C117-4815-A3A1-BB50891AE8EE}"/>
    <cellStyle name="Note 14 3 5 3" xfId="25650" xr:uid="{00000000-0005-0000-0000-0000D15F0000}"/>
    <cellStyle name="Note 14 3 5 3 2" xfId="49482" xr:uid="{9BBC2B1C-EB6B-4919-955C-A2A1FDCB48D1}"/>
    <cellStyle name="Note 14 3 5 4" xfId="33605" xr:uid="{2D94251C-B1A4-47F0-8FB6-9265B10D2F6D}"/>
    <cellStyle name="Note 14 3 6" xfId="10644" xr:uid="{00000000-0005-0000-0000-0000D25F0000}"/>
    <cellStyle name="Note 14 3 6 2" xfId="34493" xr:uid="{BECAC05A-0868-48E4-96B8-C37D3B2F3C18}"/>
    <cellStyle name="Note 14 3 7" xfId="18599" xr:uid="{00000000-0005-0000-0000-0000D35F0000}"/>
    <cellStyle name="Note 14 3 7 2" xfId="42431" xr:uid="{AC15E6A6-A6B9-4F10-A51B-596DDBEDAE05}"/>
    <cellStyle name="Note 14 3 8" xfId="26551" xr:uid="{D4C51CA2-1468-4A90-983E-F2EFA7B29A19}"/>
    <cellStyle name="Note 14 3_Exh G" xfId="3598" xr:uid="{00000000-0005-0000-0000-0000D45F0000}"/>
    <cellStyle name="Note 14 4" xfId="1725" xr:uid="{00000000-0005-0000-0000-0000D55F0000}"/>
    <cellStyle name="Note 14 4 2" xfId="5252" xr:uid="{00000000-0005-0000-0000-0000D65F0000}"/>
    <cellStyle name="Note 14 4 2 2" xfId="8843" xr:uid="{00000000-0005-0000-0000-0000D75F0000}"/>
    <cellStyle name="Note 14 4 2 2 2" xfId="16813" xr:uid="{00000000-0005-0000-0000-0000D85F0000}"/>
    <cellStyle name="Note 14 4 2 2 2 2" xfId="40655" xr:uid="{C9810A07-70AF-4875-A79B-7D868580618C}"/>
    <cellStyle name="Note 14 4 2 2 3" xfId="24759" xr:uid="{00000000-0005-0000-0000-0000D95F0000}"/>
    <cellStyle name="Note 14 4 2 2 3 2" xfId="48591" xr:uid="{CBEE9821-84AF-451A-8A82-B129ED918441}"/>
    <cellStyle name="Note 14 4 2 2 4" xfId="32714" xr:uid="{D3CD08F7-674A-4372-8D3D-847E33AB1BCB}"/>
    <cellStyle name="Note 14 4 2 3" xfId="13275" xr:uid="{00000000-0005-0000-0000-0000DA5F0000}"/>
    <cellStyle name="Note 14 4 2 3 2" xfId="37124" xr:uid="{D86A2044-E867-4939-8172-41B0323CD184}"/>
    <cellStyle name="Note 14 4 2 4" xfId="21230" xr:uid="{00000000-0005-0000-0000-0000DB5F0000}"/>
    <cellStyle name="Note 14 4 2 4 2" xfId="45062" xr:uid="{0DD330A9-5CE0-412D-A871-8291CE25FF4A}"/>
    <cellStyle name="Note 14 4 2 5" xfId="29183" xr:uid="{0DA8493D-42BA-4E81-9567-6C83CA7F4B43}"/>
    <cellStyle name="Note 14 4 3" xfId="7084" xr:uid="{00000000-0005-0000-0000-0000DC5F0000}"/>
    <cellStyle name="Note 14 4 3 2" xfId="15055" xr:uid="{00000000-0005-0000-0000-0000DD5F0000}"/>
    <cellStyle name="Note 14 4 3 2 2" xfId="38897" xr:uid="{C4F9B825-D5F9-4DF3-9902-5D9659F3B217}"/>
    <cellStyle name="Note 14 4 3 3" xfId="23002" xr:uid="{00000000-0005-0000-0000-0000DE5F0000}"/>
    <cellStyle name="Note 14 4 3 3 2" xfId="46834" xr:uid="{E1953024-5166-48E9-A4A9-3E4843B71FE4}"/>
    <cellStyle name="Note 14 4 3 4" xfId="30956" xr:uid="{57EFDB97-EA41-41E4-AF94-D7E780607258}"/>
    <cellStyle name="Note 14 4 4" xfId="11519" xr:uid="{00000000-0005-0000-0000-0000DF5F0000}"/>
    <cellStyle name="Note 14 4 4 2" xfId="35368" xr:uid="{DCF24089-C2A0-4C71-9217-A4D22CB408EC}"/>
    <cellStyle name="Note 14 4 5" xfId="19474" xr:uid="{00000000-0005-0000-0000-0000E05F0000}"/>
    <cellStyle name="Note 14 4 5 2" xfId="43306" xr:uid="{951BDD31-3E41-49EE-97CB-33ABE805C433}"/>
    <cellStyle name="Note 14 4 6" xfId="27426" xr:uid="{C5A06B93-83DA-4CCC-881C-EFB57759FF37}"/>
    <cellStyle name="Note 14 4_Exh G" xfId="3600" xr:uid="{00000000-0005-0000-0000-0000E15F0000}"/>
    <cellStyle name="Note 14 5" xfId="4373" xr:uid="{00000000-0005-0000-0000-0000E25F0000}"/>
    <cellStyle name="Note 14 5 2" xfId="7965" xr:uid="{00000000-0005-0000-0000-0000E35F0000}"/>
    <cellStyle name="Note 14 5 2 2" xfId="15935" xr:uid="{00000000-0005-0000-0000-0000E45F0000}"/>
    <cellStyle name="Note 14 5 2 2 2" xfId="39777" xr:uid="{9304BE15-F3C5-4596-A0E6-8BC883C50B7B}"/>
    <cellStyle name="Note 14 5 2 3" xfId="23881" xr:uid="{00000000-0005-0000-0000-0000E55F0000}"/>
    <cellStyle name="Note 14 5 2 3 2" xfId="47713" xr:uid="{1276EF0B-0D69-4AD9-BB6D-D2358B3FA31A}"/>
    <cellStyle name="Note 14 5 2 4" xfId="31836" xr:uid="{38679DD8-E9C9-4B54-A635-2A8B4CC79E97}"/>
    <cellStyle name="Note 14 5 3" xfId="12397" xr:uid="{00000000-0005-0000-0000-0000E65F0000}"/>
    <cellStyle name="Note 14 5 3 2" xfId="36246" xr:uid="{7D30798E-FF82-42DF-A90E-9E52D937C405}"/>
    <cellStyle name="Note 14 5 4" xfId="20352" xr:uid="{00000000-0005-0000-0000-0000E75F0000}"/>
    <cellStyle name="Note 14 5 4 2" xfId="44184" xr:uid="{42157748-B1E6-4BEC-8E22-679B60AECB4D}"/>
    <cellStyle name="Note 14 5 5" xfId="28305" xr:uid="{F1BF285B-0906-4A4F-B25C-1B32C4C9E83B}"/>
    <cellStyle name="Note 14 6" xfId="6193" xr:uid="{00000000-0005-0000-0000-0000E85F0000}"/>
    <cellStyle name="Note 14 6 2" xfId="14176" xr:uid="{00000000-0005-0000-0000-0000E95F0000}"/>
    <cellStyle name="Note 14 6 2 2" xfId="38019" xr:uid="{A6A4935F-ABFD-403E-98DC-264F9AD76882}"/>
    <cellStyle name="Note 14 6 3" xfId="22124" xr:uid="{00000000-0005-0000-0000-0000EA5F0000}"/>
    <cellStyle name="Note 14 6 3 2" xfId="45956" xr:uid="{F90ACD95-80DF-44E2-8803-AFE56544A8AA}"/>
    <cellStyle name="Note 14 6 4" xfId="30078" xr:uid="{F2913DCD-64EE-459F-A7CC-A3B7639D7C4E}"/>
    <cellStyle name="Note 14 7" xfId="9745" xr:uid="{00000000-0005-0000-0000-0000EB5F0000}"/>
    <cellStyle name="Note 14 7 2" xfId="17703" xr:uid="{00000000-0005-0000-0000-0000EC5F0000}"/>
    <cellStyle name="Note 14 7 2 2" xfId="41543" xr:uid="{7D313C73-D220-431B-A151-461A250B758E}"/>
    <cellStyle name="Note 14 7 3" xfId="25647" xr:uid="{00000000-0005-0000-0000-0000ED5F0000}"/>
    <cellStyle name="Note 14 7 3 2" xfId="49479" xr:uid="{E2DFA83B-B3F5-4009-B955-3456B5BA09C0}"/>
    <cellStyle name="Note 14 7 4" xfId="33602" xr:uid="{45F9B627-B4EF-455B-A4F8-6B8125AE87AD}"/>
    <cellStyle name="Note 14 8" xfId="10641" xr:uid="{00000000-0005-0000-0000-0000EE5F0000}"/>
    <cellStyle name="Note 14 8 2" xfId="34490" xr:uid="{10F5C7BA-F546-4A32-A498-54765286B52A}"/>
    <cellStyle name="Note 14 9" xfId="18596" xr:uid="{00000000-0005-0000-0000-0000EF5F0000}"/>
    <cellStyle name="Note 14 9 2" xfId="42428" xr:uid="{D14E6F1D-21A6-46F1-A4D1-6F02728F6F49}"/>
    <cellStyle name="Note 14_Exh G" xfId="3593" xr:uid="{00000000-0005-0000-0000-0000F05F0000}"/>
    <cellStyle name="Note 15" xfId="703" xr:uid="{00000000-0005-0000-0000-0000F15F0000}"/>
    <cellStyle name="Note 15 2" xfId="1729" xr:uid="{00000000-0005-0000-0000-0000F25F0000}"/>
    <cellStyle name="Note 15 2 2" xfId="5256" xr:uid="{00000000-0005-0000-0000-0000F35F0000}"/>
    <cellStyle name="Note 15 2 2 2" xfId="8847" xr:uid="{00000000-0005-0000-0000-0000F45F0000}"/>
    <cellStyle name="Note 15 2 2 2 2" xfId="16817" xr:uid="{00000000-0005-0000-0000-0000F55F0000}"/>
    <cellStyle name="Note 15 2 2 2 2 2" xfId="40659" xr:uid="{EF840560-DA6C-43BB-9B58-80BBC462B3BB}"/>
    <cellStyle name="Note 15 2 2 2 3" xfId="24763" xr:uid="{00000000-0005-0000-0000-0000F65F0000}"/>
    <cellStyle name="Note 15 2 2 2 3 2" xfId="48595" xr:uid="{8EBA5FD7-6E8C-47F5-BE9A-01B87208EF29}"/>
    <cellStyle name="Note 15 2 2 2 4" xfId="32718" xr:uid="{84E922D5-64FB-4A96-BC86-E55904913234}"/>
    <cellStyle name="Note 15 2 2 3" xfId="13279" xr:uid="{00000000-0005-0000-0000-0000F75F0000}"/>
    <cellStyle name="Note 15 2 2 3 2" xfId="37128" xr:uid="{7E60CCB0-4DB6-4760-959F-800E5DCC4C93}"/>
    <cellStyle name="Note 15 2 2 4" xfId="21234" xr:uid="{00000000-0005-0000-0000-0000F85F0000}"/>
    <cellStyle name="Note 15 2 2 4 2" xfId="45066" xr:uid="{62BEB7C6-2517-4357-A18F-374C4118BD8E}"/>
    <cellStyle name="Note 15 2 2 5" xfId="29187" xr:uid="{143FC3B7-F543-4A37-ACB2-40592B2A4385}"/>
    <cellStyle name="Note 15 2 3" xfId="7088" xr:uid="{00000000-0005-0000-0000-0000F95F0000}"/>
    <cellStyle name="Note 15 2 3 2" xfId="15059" xr:uid="{00000000-0005-0000-0000-0000FA5F0000}"/>
    <cellStyle name="Note 15 2 3 2 2" xfId="38901" xr:uid="{F0A7EEFA-CB8A-47DE-A562-8E6CD4E7FC29}"/>
    <cellStyle name="Note 15 2 3 3" xfId="23006" xr:uid="{00000000-0005-0000-0000-0000FB5F0000}"/>
    <cellStyle name="Note 15 2 3 3 2" xfId="46838" xr:uid="{CFCE58F0-0F04-45C3-9CE3-6210F20C70DD}"/>
    <cellStyle name="Note 15 2 3 4" xfId="30960" xr:uid="{EDDB7979-3A03-4899-923E-296595EF727C}"/>
    <cellStyle name="Note 15 2 4" xfId="11523" xr:uid="{00000000-0005-0000-0000-0000FC5F0000}"/>
    <cellStyle name="Note 15 2 4 2" xfId="35372" xr:uid="{D01A09B2-FA4C-4B07-94EA-458CBE0F361E}"/>
    <cellStyle name="Note 15 2 5" xfId="19478" xr:uid="{00000000-0005-0000-0000-0000FD5F0000}"/>
    <cellStyle name="Note 15 2 5 2" xfId="43310" xr:uid="{ED8D3E07-76A0-4D2D-9FAC-FD2E8B0C93FE}"/>
    <cellStyle name="Note 15 2 6" xfId="27430" xr:uid="{D34453EB-2EE7-4572-BF21-D123E8A4A005}"/>
    <cellStyle name="Note 15 2_Exh G" xfId="3602" xr:uid="{00000000-0005-0000-0000-0000FE5F0000}"/>
    <cellStyle name="Note 15 3" xfId="4377" xr:uid="{00000000-0005-0000-0000-0000FF5F0000}"/>
    <cellStyle name="Note 15 3 2" xfId="7969" xr:uid="{00000000-0005-0000-0000-000000600000}"/>
    <cellStyle name="Note 15 3 2 2" xfId="15939" xr:uid="{00000000-0005-0000-0000-000001600000}"/>
    <cellStyle name="Note 15 3 2 2 2" xfId="39781" xr:uid="{4226F273-503D-43B3-8478-83A0F5A8C210}"/>
    <cellStyle name="Note 15 3 2 3" xfId="23885" xr:uid="{00000000-0005-0000-0000-000002600000}"/>
    <cellStyle name="Note 15 3 2 3 2" xfId="47717" xr:uid="{F25B5E5A-D1A5-444D-B829-9070280ACC15}"/>
    <cellStyle name="Note 15 3 2 4" xfId="31840" xr:uid="{0D649996-A1C6-44F8-81EB-A7913D8B13A5}"/>
    <cellStyle name="Note 15 3 3" xfId="12401" xr:uid="{00000000-0005-0000-0000-000003600000}"/>
    <cellStyle name="Note 15 3 3 2" xfId="36250" xr:uid="{5B0611B0-CBE7-44F8-83FC-8C638BAFE0C1}"/>
    <cellStyle name="Note 15 3 4" xfId="20356" xr:uid="{00000000-0005-0000-0000-000004600000}"/>
    <cellStyle name="Note 15 3 4 2" xfId="44188" xr:uid="{A2CC86C9-FD52-4E1B-900C-E9C6669C90F6}"/>
    <cellStyle name="Note 15 3 5" xfId="28309" xr:uid="{3CF5E4B7-9521-4F3E-84B4-106510607029}"/>
    <cellStyle name="Note 15 4" xfId="6197" xr:uid="{00000000-0005-0000-0000-000005600000}"/>
    <cellStyle name="Note 15 4 2" xfId="14180" xr:uid="{00000000-0005-0000-0000-000006600000}"/>
    <cellStyle name="Note 15 4 2 2" xfId="38023" xr:uid="{811E3735-A53C-4FD8-BB4F-C051413F0147}"/>
    <cellStyle name="Note 15 4 3" xfId="22128" xr:uid="{00000000-0005-0000-0000-000007600000}"/>
    <cellStyle name="Note 15 4 3 2" xfId="45960" xr:uid="{ABDC52E2-09FD-4394-AFE2-774478FB80AD}"/>
    <cellStyle name="Note 15 4 4" xfId="30082" xr:uid="{2FDC9E74-E24E-4E46-B28D-91674470BBF2}"/>
    <cellStyle name="Note 15 5" xfId="9749" xr:uid="{00000000-0005-0000-0000-000008600000}"/>
    <cellStyle name="Note 15 5 2" xfId="17707" xr:uid="{00000000-0005-0000-0000-000009600000}"/>
    <cellStyle name="Note 15 5 2 2" xfId="41547" xr:uid="{F4E9ECF4-A7A7-446E-AE68-8A66D1A88836}"/>
    <cellStyle name="Note 15 5 3" xfId="25651" xr:uid="{00000000-0005-0000-0000-00000A600000}"/>
    <cellStyle name="Note 15 5 3 2" xfId="49483" xr:uid="{038B1CC3-4E8B-4621-83A7-0DEF8EC4F03A}"/>
    <cellStyle name="Note 15 5 4" xfId="33606" xr:uid="{94617908-F956-42B7-83CD-20B713DA1756}"/>
    <cellStyle name="Note 15 6" xfId="10645" xr:uid="{00000000-0005-0000-0000-00000B600000}"/>
    <cellStyle name="Note 15 6 2" xfId="34494" xr:uid="{F46ABDAA-9322-4EB9-9108-8E47A44193B0}"/>
    <cellStyle name="Note 15 7" xfId="18600" xr:uid="{00000000-0005-0000-0000-00000C600000}"/>
    <cellStyle name="Note 15 7 2" xfId="42432" xr:uid="{6A748463-4000-4D06-B9FA-FF4AD344DC07}"/>
    <cellStyle name="Note 15 8" xfId="26552" xr:uid="{57D0B7A7-0AAB-43F4-9875-A7C0E4470615}"/>
    <cellStyle name="Note 15_Exh G" xfId="3601" xr:uid="{00000000-0005-0000-0000-00000D600000}"/>
    <cellStyle name="Note 16" xfId="852" xr:uid="{00000000-0005-0000-0000-00000E600000}"/>
    <cellStyle name="Note 16 2" xfId="1787" xr:uid="{00000000-0005-0000-0000-00000F600000}"/>
    <cellStyle name="Note 16 2 2" xfId="5307" xr:uid="{00000000-0005-0000-0000-000010600000}"/>
    <cellStyle name="Note 16 2 2 2" xfId="8898" xr:uid="{00000000-0005-0000-0000-000011600000}"/>
    <cellStyle name="Note 16 2 2 2 2" xfId="16868" xr:uid="{00000000-0005-0000-0000-000012600000}"/>
    <cellStyle name="Note 16 2 2 2 2 2" xfId="40710" xr:uid="{2A029451-D936-4B4A-AE16-4A6D2FB2E2D2}"/>
    <cellStyle name="Note 16 2 2 2 3" xfId="24814" xr:uid="{00000000-0005-0000-0000-000013600000}"/>
    <cellStyle name="Note 16 2 2 2 3 2" xfId="48646" xr:uid="{F1083788-258E-4017-812B-DC54086AD62D}"/>
    <cellStyle name="Note 16 2 2 2 4" xfId="32769" xr:uid="{ACA34F70-08BB-4812-B35F-98047064CA51}"/>
    <cellStyle name="Note 16 2 2 3" xfId="13330" xr:uid="{00000000-0005-0000-0000-000014600000}"/>
    <cellStyle name="Note 16 2 2 3 2" xfId="37179" xr:uid="{A4037474-C935-4F63-884D-1F8B26691D16}"/>
    <cellStyle name="Note 16 2 2 4" xfId="21285" xr:uid="{00000000-0005-0000-0000-000015600000}"/>
    <cellStyle name="Note 16 2 2 4 2" xfId="45117" xr:uid="{C7C531AB-4EF2-4D0F-B23E-93650A3DCD7B}"/>
    <cellStyle name="Note 16 2 2 5" xfId="29238" xr:uid="{77C2494A-D717-4673-93AF-952DA61CA5D1}"/>
    <cellStyle name="Note 16 2 3" xfId="7139" xr:uid="{00000000-0005-0000-0000-000016600000}"/>
    <cellStyle name="Note 16 2 3 2" xfId="15110" xr:uid="{00000000-0005-0000-0000-000017600000}"/>
    <cellStyle name="Note 16 2 3 2 2" xfId="38952" xr:uid="{B442D2D7-2C82-426D-B3A5-3B72A93AF4A9}"/>
    <cellStyle name="Note 16 2 3 3" xfId="23057" xr:uid="{00000000-0005-0000-0000-000018600000}"/>
    <cellStyle name="Note 16 2 3 3 2" xfId="46889" xr:uid="{91FF1D40-16C2-4D89-AA26-867F7F69D1FE}"/>
    <cellStyle name="Note 16 2 3 4" xfId="31011" xr:uid="{2C0724D1-8811-4670-8CBC-8CF999C59A0B}"/>
    <cellStyle name="Note 16 2 4" xfId="11574" xr:uid="{00000000-0005-0000-0000-000019600000}"/>
    <cellStyle name="Note 16 2 4 2" xfId="35423" xr:uid="{D501C32D-439A-4190-8F01-94B94BF40736}"/>
    <cellStyle name="Note 16 2 5" xfId="19529" xr:uid="{00000000-0005-0000-0000-00001A600000}"/>
    <cellStyle name="Note 16 2 5 2" xfId="43361" xr:uid="{087808BD-2C3C-4DFA-9F74-6802B805E9E1}"/>
    <cellStyle name="Note 16 2 6" xfId="27481" xr:uid="{EEF7A12E-8FB0-49B8-B380-23EA5A3015CE}"/>
    <cellStyle name="Note 16 2_Exh G" xfId="3604" xr:uid="{00000000-0005-0000-0000-00001B600000}"/>
    <cellStyle name="Note 16 3" xfId="4428" xr:uid="{00000000-0005-0000-0000-00001C600000}"/>
    <cellStyle name="Note 16 3 2" xfId="8020" xr:uid="{00000000-0005-0000-0000-00001D600000}"/>
    <cellStyle name="Note 16 3 2 2" xfId="15990" xr:uid="{00000000-0005-0000-0000-00001E600000}"/>
    <cellStyle name="Note 16 3 2 2 2" xfId="39832" xr:uid="{3018449C-75E4-4B5E-B5DC-FA7BAEEE7396}"/>
    <cellStyle name="Note 16 3 2 3" xfId="23936" xr:uid="{00000000-0005-0000-0000-00001F600000}"/>
    <cellStyle name="Note 16 3 2 3 2" xfId="47768" xr:uid="{A2309941-5634-4DF1-9D11-E34F960676CC}"/>
    <cellStyle name="Note 16 3 2 4" xfId="31891" xr:uid="{DE3AEF9A-8A8D-4BDC-8AE7-6989A649663C}"/>
    <cellStyle name="Note 16 3 3" xfId="12452" xr:uid="{00000000-0005-0000-0000-000020600000}"/>
    <cellStyle name="Note 16 3 3 2" xfId="36301" xr:uid="{405D9453-F87E-484D-9522-9EF5F2DD1A46}"/>
    <cellStyle name="Note 16 3 4" xfId="20407" xr:uid="{00000000-0005-0000-0000-000021600000}"/>
    <cellStyle name="Note 16 3 4 2" xfId="44239" xr:uid="{F0C54FC6-518E-4397-B589-BCE5C35A8A9F}"/>
    <cellStyle name="Note 16 3 5" xfId="28360" xr:uid="{03169B73-2ED7-43E6-BB8A-D9A6F5152A5C}"/>
    <cellStyle name="Note 16 4" xfId="6258" xr:uid="{00000000-0005-0000-0000-000022600000}"/>
    <cellStyle name="Note 16 4 2" xfId="14232" xr:uid="{00000000-0005-0000-0000-000023600000}"/>
    <cellStyle name="Note 16 4 2 2" xfId="38074" xr:uid="{FD7E1635-B688-4A38-877C-E8C290E68CD0}"/>
    <cellStyle name="Note 16 4 3" xfId="22179" xr:uid="{00000000-0005-0000-0000-000024600000}"/>
    <cellStyle name="Note 16 4 3 2" xfId="46011" xr:uid="{757D90D6-95C5-4331-947A-D89FB244CF16}"/>
    <cellStyle name="Note 16 4 4" xfId="30133" xr:uid="{2E304A81-4380-4502-9906-5A4B6B725807}"/>
    <cellStyle name="Note 16 5" xfId="9800" xr:uid="{00000000-0005-0000-0000-000025600000}"/>
    <cellStyle name="Note 16 5 2" xfId="17758" xr:uid="{00000000-0005-0000-0000-000026600000}"/>
    <cellStyle name="Note 16 5 2 2" xfId="41598" xr:uid="{93BE2CF8-EF61-4B90-8E3F-732DCBAE670B}"/>
    <cellStyle name="Note 16 5 3" xfId="25702" xr:uid="{00000000-0005-0000-0000-000027600000}"/>
    <cellStyle name="Note 16 5 3 2" xfId="49534" xr:uid="{AB53332A-C5EA-40FB-8B00-47B793D47FA1}"/>
    <cellStyle name="Note 16 5 4" xfId="33657" xr:uid="{8A3DA8A4-19D0-4F52-8405-C4D098F5F7DD}"/>
    <cellStyle name="Note 16 6" xfId="10696" xr:uid="{00000000-0005-0000-0000-000028600000}"/>
    <cellStyle name="Note 16 6 2" xfId="34545" xr:uid="{EA65FACE-C56F-4E22-82A5-1FDBBED6D491}"/>
    <cellStyle name="Note 16 7" xfId="18651" xr:uid="{00000000-0005-0000-0000-000029600000}"/>
    <cellStyle name="Note 16 7 2" xfId="42483" xr:uid="{5FA8FCE4-4C09-4998-97C4-41F09DC37959}"/>
    <cellStyle name="Note 16 8" xfId="26603" xr:uid="{EFC68D4A-F5AB-4BCA-9A0A-DA435952BFB4}"/>
    <cellStyle name="Note 16_Exh G" xfId="3603" xr:uid="{00000000-0005-0000-0000-00002A600000}"/>
    <cellStyle name="Note 2" xfId="19" xr:uid="{00000000-0005-0000-0000-00002B600000}"/>
    <cellStyle name="Note 2 10" xfId="17918" xr:uid="{00000000-0005-0000-0000-00002C600000}"/>
    <cellStyle name="Note 2 10 2" xfId="41750" xr:uid="{D2E27C33-E28F-49ED-B90F-6EE750ABAECA}"/>
    <cellStyle name="Note 2 11" xfId="25870" xr:uid="{019155C6-B683-45E8-BD5E-4AFAC92FCB72}"/>
    <cellStyle name="Note 2 2" xfId="704" xr:uid="{00000000-0005-0000-0000-00002D600000}"/>
    <cellStyle name="Note 2 2 10" xfId="26553" xr:uid="{9FE8D027-2470-4674-91A1-656AEBE6B543}"/>
    <cellStyle name="Note 2 2 2" xfId="705" xr:uid="{00000000-0005-0000-0000-00002E600000}"/>
    <cellStyle name="Note 2 2 2 2" xfId="1731" xr:uid="{00000000-0005-0000-0000-00002F600000}"/>
    <cellStyle name="Note 2 2 2 2 2" xfId="5258" xr:uid="{00000000-0005-0000-0000-000030600000}"/>
    <cellStyle name="Note 2 2 2 2 2 2" xfId="8849" xr:uid="{00000000-0005-0000-0000-000031600000}"/>
    <cellStyle name="Note 2 2 2 2 2 2 2" xfId="16819" xr:uid="{00000000-0005-0000-0000-000032600000}"/>
    <cellStyle name="Note 2 2 2 2 2 2 2 2" xfId="40661" xr:uid="{1F5E8730-0917-4F5C-9F75-5FF6FB45C036}"/>
    <cellStyle name="Note 2 2 2 2 2 2 3" xfId="24765" xr:uid="{00000000-0005-0000-0000-000033600000}"/>
    <cellStyle name="Note 2 2 2 2 2 2 3 2" xfId="48597" xr:uid="{06B0D82B-5434-40CD-8D78-B0EAC8B5B922}"/>
    <cellStyle name="Note 2 2 2 2 2 2 4" xfId="32720" xr:uid="{52025851-0E0C-4F50-8A1F-ED3EE383A3F7}"/>
    <cellStyle name="Note 2 2 2 2 2 3" xfId="13281" xr:uid="{00000000-0005-0000-0000-000034600000}"/>
    <cellStyle name="Note 2 2 2 2 2 3 2" xfId="37130" xr:uid="{63FAFBF2-3D42-475E-A375-76883B94BEE8}"/>
    <cellStyle name="Note 2 2 2 2 2 4" xfId="21236" xr:uid="{00000000-0005-0000-0000-000035600000}"/>
    <cellStyle name="Note 2 2 2 2 2 4 2" xfId="45068" xr:uid="{DD384FAB-C7D0-4C0B-BFED-DDFA260DE7A5}"/>
    <cellStyle name="Note 2 2 2 2 2 5" xfId="29189" xr:uid="{8616044A-2E6B-4C44-AE04-56E9308C4F37}"/>
    <cellStyle name="Note 2 2 2 2 3" xfId="7090" xr:uid="{00000000-0005-0000-0000-000036600000}"/>
    <cellStyle name="Note 2 2 2 2 3 2" xfId="15061" xr:uid="{00000000-0005-0000-0000-000037600000}"/>
    <cellStyle name="Note 2 2 2 2 3 2 2" xfId="38903" xr:uid="{201D4626-9EB4-48F3-B69B-FFDAC9D89E16}"/>
    <cellStyle name="Note 2 2 2 2 3 3" xfId="23008" xr:uid="{00000000-0005-0000-0000-000038600000}"/>
    <cellStyle name="Note 2 2 2 2 3 3 2" xfId="46840" xr:uid="{DAA23DC1-2F23-4355-B7D3-DA65A28155A3}"/>
    <cellStyle name="Note 2 2 2 2 3 4" xfId="30962" xr:uid="{2D2F7E6D-2928-4C12-BEA5-511B6120A28C}"/>
    <cellStyle name="Note 2 2 2 2 4" xfId="11525" xr:uid="{00000000-0005-0000-0000-000039600000}"/>
    <cellStyle name="Note 2 2 2 2 4 2" xfId="35374" xr:uid="{ABF60B6D-CF59-4241-B7E6-FFF73F03D72F}"/>
    <cellStyle name="Note 2 2 2 2 5" xfId="19480" xr:uid="{00000000-0005-0000-0000-00003A600000}"/>
    <cellStyle name="Note 2 2 2 2 5 2" xfId="43312" xr:uid="{06751A39-8AA2-4A9D-87EA-8A4BC23C3BF3}"/>
    <cellStyle name="Note 2 2 2 2 6" xfId="27432" xr:uid="{769492C6-5531-47C1-9AD1-AE4ADFB53538}"/>
    <cellStyle name="Note 2 2 2 2_Exh G" xfId="3608" xr:uid="{00000000-0005-0000-0000-00003B600000}"/>
    <cellStyle name="Note 2 2 2 3" xfId="4379" xr:uid="{00000000-0005-0000-0000-00003C600000}"/>
    <cellStyle name="Note 2 2 2 3 2" xfId="7971" xr:uid="{00000000-0005-0000-0000-00003D600000}"/>
    <cellStyle name="Note 2 2 2 3 2 2" xfId="15941" xr:uid="{00000000-0005-0000-0000-00003E600000}"/>
    <cellStyle name="Note 2 2 2 3 2 2 2" xfId="39783" xr:uid="{56AF2E96-9D22-44D6-8E00-A175C53AB6D8}"/>
    <cellStyle name="Note 2 2 2 3 2 3" xfId="23887" xr:uid="{00000000-0005-0000-0000-00003F600000}"/>
    <cellStyle name="Note 2 2 2 3 2 3 2" xfId="47719" xr:uid="{96A1EE9E-AD16-44E6-9138-FE9C6C3D1ED2}"/>
    <cellStyle name="Note 2 2 2 3 2 4" xfId="31842" xr:uid="{96E402E6-DF70-439C-BEAB-45E7BFBE9473}"/>
    <cellStyle name="Note 2 2 2 3 3" xfId="12403" xr:uid="{00000000-0005-0000-0000-000040600000}"/>
    <cellStyle name="Note 2 2 2 3 3 2" xfId="36252" xr:uid="{5C0C60BE-0426-4B2F-AE5B-073AF82379AA}"/>
    <cellStyle name="Note 2 2 2 3 4" xfId="20358" xr:uid="{00000000-0005-0000-0000-000041600000}"/>
    <cellStyle name="Note 2 2 2 3 4 2" xfId="44190" xr:uid="{0C258848-5D2B-48CB-9A89-16D92FB0FC5F}"/>
    <cellStyle name="Note 2 2 2 3 5" xfId="28311" xr:uid="{E706B301-1E77-493D-88CF-496F7BEB8E6A}"/>
    <cellStyle name="Note 2 2 2 4" xfId="6199" xr:uid="{00000000-0005-0000-0000-000042600000}"/>
    <cellStyle name="Note 2 2 2 4 2" xfId="14182" xr:uid="{00000000-0005-0000-0000-000043600000}"/>
    <cellStyle name="Note 2 2 2 4 2 2" xfId="38025" xr:uid="{2F89649E-A2F2-4515-B2BC-E47D02EF1009}"/>
    <cellStyle name="Note 2 2 2 4 3" xfId="22130" xr:uid="{00000000-0005-0000-0000-000044600000}"/>
    <cellStyle name="Note 2 2 2 4 3 2" xfId="45962" xr:uid="{2021A996-3589-45B3-8ED4-C3E971D0C4A0}"/>
    <cellStyle name="Note 2 2 2 4 4" xfId="30084" xr:uid="{07EC7EEB-6524-4740-A551-C7860F116DB9}"/>
    <cellStyle name="Note 2 2 2 5" xfId="9751" xr:uid="{00000000-0005-0000-0000-000045600000}"/>
    <cellStyle name="Note 2 2 2 5 2" xfId="17709" xr:uid="{00000000-0005-0000-0000-000046600000}"/>
    <cellStyle name="Note 2 2 2 5 2 2" xfId="41549" xr:uid="{C2C832C2-A813-45B0-9331-E992D3752CC0}"/>
    <cellStyle name="Note 2 2 2 5 3" xfId="25653" xr:uid="{00000000-0005-0000-0000-000047600000}"/>
    <cellStyle name="Note 2 2 2 5 3 2" xfId="49485" xr:uid="{3ED099EC-942A-4C06-98C2-1CDE74DC3610}"/>
    <cellStyle name="Note 2 2 2 5 4" xfId="33608" xr:uid="{20786343-EA1A-4230-B55F-8EA79B7ACDAB}"/>
    <cellStyle name="Note 2 2 2 6" xfId="10647" xr:uid="{00000000-0005-0000-0000-000048600000}"/>
    <cellStyle name="Note 2 2 2 6 2" xfId="34496" xr:uid="{87C641B9-C760-4C89-A930-2FADA4F253B8}"/>
    <cellStyle name="Note 2 2 2 7" xfId="18602" xr:uid="{00000000-0005-0000-0000-000049600000}"/>
    <cellStyle name="Note 2 2 2 7 2" xfId="42434" xr:uid="{6C83D168-96F9-418D-9400-A46C53FAC1FD}"/>
    <cellStyle name="Note 2 2 2 8" xfId="26554" xr:uid="{7938A440-BB20-4D0E-9A1B-9668A3F4797B}"/>
    <cellStyle name="Note 2 2 2_Exh G" xfId="3607" xr:uid="{00000000-0005-0000-0000-00004A600000}"/>
    <cellStyle name="Note 2 2 3" xfId="1028" xr:uid="{00000000-0005-0000-0000-00004B600000}"/>
    <cellStyle name="Note 2 2 3 2" xfId="1924" xr:uid="{00000000-0005-0000-0000-00004C600000}"/>
    <cellStyle name="Note 2 2 3 2 2" xfId="5441" xr:uid="{00000000-0005-0000-0000-00004D600000}"/>
    <cellStyle name="Note 2 2 3 2 2 2" xfId="9032" xr:uid="{00000000-0005-0000-0000-00004E600000}"/>
    <cellStyle name="Note 2 2 3 2 2 2 2" xfId="17002" xr:uid="{00000000-0005-0000-0000-00004F600000}"/>
    <cellStyle name="Note 2 2 3 2 2 2 2 2" xfId="40844" xr:uid="{9C317B74-26BA-49E3-8872-2CA1975A5A86}"/>
    <cellStyle name="Note 2 2 3 2 2 2 3" xfId="24948" xr:uid="{00000000-0005-0000-0000-000050600000}"/>
    <cellStyle name="Note 2 2 3 2 2 2 3 2" xfId="48780" xr:uid="{77303974-2282-47AA-BD82-9174A0744E75}"/>
    <cellStyle name="Note 2 2 3 2 2 2 4" xfId="32903" xr:uid="{D4267D0F-D18F-4705-985F-799AF2D5189E}"/>
    <cellStyle name="Note 2 2 3 2 2 3" xfId="13464" xr:uid="{00000000-0005-0000-0000-000051600000}"/>
    <cellStyle name="Note 2 2 3 2 2 3 2" xfId="37313" xr:uid="{800EB515-B00D-406B-BEA8-E4531F7476F2}"/>
    <cellStyle name="Note 2 2 3 2 2 4" xfId="21419" xr:uid="{00000000-0005-0000-0000-000052600000}"/>
    <cellStyle name="Note 2 2 3 2 2 4 2" xfId="45251" xr:uid="{E63ECF4F-8F23-48CE-8D38-4A7BF765A2CD}"/>
    <cellStyle name="Note 2 2 3 2 2 5" xfId="29372" xr:uid="{3CD68210-2079-408E-B7E8-19A34CE04330}"/>
    <cellStyle name="Note 2 2 3 2 3" xfId="7273" xr:uid="{00000000-0005-0000-0000-000053600000}"/>
    <cellStyle name="Note 2 2 3 2 3 2" xfId="15244" xr:uid="{00000000-0005-0000-0000-000054600000}"/>
    <cellStyle name="Note 2 2 3 2 3 2 2" xfId="39086" xr:uid="{FFB2A592-F5F4-4688-97F6-B1D1AFA2F7CD}"/>
    <cellStyle name="Note 2 2 3 2 3 3" xfId="23191" xr:uid="{00000000-0005-0000-0000-000055600000}"/>
    <cellStyle name="Note 2 2 3 2 3 3 2" xfId="47023" xr:uid="{D7DC5D49-B494-444D-A36A-C7911715E742}"/>
    <cellStyle name="Note 2 2 3 2 3 4" xfId="31145" xr:uid="{AC8E5AF0-01DC-4DCA-ABA6-28A0E7E21DF9}"/>
    <cellStyle name="Note 2 2 3 2 4" xfId="11708" xr:uid="{00000000-0005-0000-0000-000056600000}"/>
    <cellStyle name="Note 2 2 3 2 4 2" xfId="35557" xr:uid="{A4B56DBE-117B-4890-AA95-3FA656CE7A6D}"/>
    <cellStyle name="Note 2 2 3 2 5" xfId="19663" xr:uid="{00000000-0005-0000-0000-000057600000}"/>
    <cellStyle name="Note 2 2 3 2 5 2" xfId="43495" xr:uid="{D0518BEF-DD4C-4C8E-8307-34BE5E72A576}"/>
    <cellStyle name="Note 2 2 3 2 6" xfId="27615" xr:uid="{962BC7AB-F779-4722-83DE-398502870F15}"/>
    <cellStyle name="Note 2 2 3 2_Exh G" xfId="3610" xr:uid="{00000000-0005-0000-0000-000058600000}"/>
    <cellStyle name="Note 2 2 3 3" xfId="4562" xr:uid="{00000000-0005-0000-0000-000059600000}"/>
    <cellStyle name="Note 2 2 3 3 2" xfId="8154" xr:uid="{00000000-0005-0000-0000-00005A600000}"/>
    <cellStyle name="Note 2 2 3 3 2 2" xfId="16124" xr:uid="{00000000-0005-0000-0000-00005B600000}"/>
    <cellStyle name="Note 2 2 3 3 2 2 2" xfId="39966" xr:uid="{02BF9073-BDA2-4AE2-8D26-A1C9B629259A}"/>
    <cellStyle name="Note 2 2 3 3 2 3" xfId="24070" xr:uid="{00000000-0005-0000-0000-00005C600000}"/>
    <cellStyle name="Note 2 2 3 3 2 3 2" xfId="47902" xr:uid="{A868F616-BBF3-4A68-BE91-561327488E9D}"/>
    <cellStyle name="Note 2 2 3 3 2 4" xfId="32025" xr:uid="{4ADDF099-E178-42C0-A830-30AA28516479}"/>
    <cellStyle name="Note 2 2 3 3 3" xfId="12586" xr:uid="{00000000-0005-0000-0000-00005D600000}"/>
    <cellStyle name="Note 2 2 3 3 3 2" xfId="36435" xr:uid="{57E08FDD-DF47-4217-9E43-258A2E737320}"/>
    <cellStyle name="Note 2 2 3 3 4" xfId="20541" xr:uid="{00000000-0005-0000-0000-00005E600000}"/>
    <cellStyle name="Note 2 2 3 3 4 2" xfId="44373" xr:uid="{579CB908-F413-480C-9AF4-51C0F026D0F5}"/>
    <cellStyle name="Note 2 2 3 3 5" xfId="28494" xr:uid="{8F0F403D-7B87-4D86-A34F-762ED99C0228}"/>
    <cellStyle name="Note 2 2 3 4" xfId="6393" xr:uid="{00000000-0005-0000-0000-00005F600000}"/>
    <cellStyle name="Note 2 2 3 4 2" xfId="14366" xr:uid="{00000000-0005-0000-0000-000060600000}"/>
    <cellStyle name="Note 2 2 3 4 2 2" xfId="38208" xr:uid="{7239E7EC-BDC8-46AA-B159-BB4A9B8FEA56}"/>
    <cellStyle name="Note 2 2 3 4 3" xfId="22313" xr:uid="{00000000-0005-0000-0000-000061600000}"/>
    <cellStyle name="Note 2 2 3 4 3 2" xfId="46145" xr:uid="{156CD4B3-3C1A-4932-8112-4F7220764E32}"/>
    <cellStyle name="Note 2 2 3 4 4" xfId="30267" xr:uid="{7960F6FD-5985-4A05-83C0-5A224FE12B2A}"/>
    <cellStyle name="Note 2 2 3 5" xfId="9934" xr:uid="{00000000-0005-0000-0000-000062600000}"/>
    <cellStyle name="Note 2 2 3 5 2" xfId="17892" xr:uid="{00000000-0005-0000-0000-000063600000}"/>
    <cellStyle name="Note 2 2 3 5 2 2" xfId="41732" xr:uid="{A76A3597-6064-4ED4-8586-3FB0B21310DF}"/>
    <cellStyle name="Note 2 2 3 5 3" xfId="25836" xr:uid="{00000000-0005-0000-0000-000064600000}"/>
    <cellStyle name="Note 2 2 3 5 3 2" xfId="49668" xr:uid="{480A420B-7A18-4ABC-A0B5-E5FD0AAC65EE}"/>
    <cellStyle name="Note 2 2 3 5 4" xfId="33791" xr:uid="{0E02DA34-3FE0-461E-B43C-73DC6FBE8AB2}"/>
    <cellStyle name="Note 2 2 3 6" xfId="10830" xr:uid="{00000000-0005-0000-0000-000065600000}"/>
    <cellStyle name="Note 2 2 3 6 2" xfId="34679" xr:uid="{EA868009-67C5-48F0-BFF8-0E0495A25897}"/>
    <cellStyle name="Note 2 2 3 7" xfId="18785" xr:uid="{00000000-0005-0000-0000-000066600000}"/>
    <cellStyle name="Note 2 2 3 7 2" xfId="42617" xr:uid="{D6236A06-3827-4CE1-9B80-4BD31137FB40}"/>
    <cellStyle name="Note 2 2 3 8" xfId="26737" xr:uid="{8C844EB9-E396-4037-B7F0-FCE71366E2D1}"/>
    <cellStyle name="Note 2 2 3_Exh G" xfId="3609" xr:uid="{00000000-0005-0000-0000-000067600000}"/>
    <cellStyle name="Note 2 2 4" xfId="1730" xr:uid="{00000000-0005-0000-0000-000068600000}"/>
    <cellStyle name="Note 2 2 4 2" xfId="5257" xr:uid="{00000000-0005-0000-0000-000069600000}"/>
    <cellStyle name="Note 2 2 4 2 2" xfId="8848" xr:uid="{00000000-0005-0000-0000-00006A600000}"/>
    <cellStyle name="Note 2 2 4 2 2 2" xfId="16818" xr:uid="{00000000-0005-0000-0000-00006B600000}"/>
    <cellStyle name="Note 2 2 4 2 2 2 2" xfId="40660" xr:uid="{E10F0C1E-AD6C-440D-81AD-59AF5C0EB2DF}"/>
    <cellStyle name="Note 2 2 4 2 2 3" xfId="24764" xr:uid="{00000000-0005-0000-0000-00006C600000}"/>
    <cellStyle name="Note 2 2 4 2 2 3 2" xfId="48596" xr:uid="{1425D402-BDFE-4CB9-B226-82DC06A85459}"/>
    <cellStyle name="Note 2 2 4 2 2 4" xfId="32719" xr:uid="{D306F0DF-9FE7-4896-A4A8-4E3B60B224DC}"/>
    <cellStyle name="Note 2 2 4 2 3" xfId="13280" xr:uid="{00000000-0005-0000-0000-00006D600000}"/>
    <cellStyle name="Note 2 2 4 2 3 2" xfId="37129" xr:uid="{628C9215-FD2C-46BE-902F-6A4D900381E6}"/>
    <cellStyle name="Note 2 2 4 2 4" xfId="21235" xr:uid="{00000000-0005-0000-0000-00006E600000}"/>
    <cellStyle name="Note 2 2 4 2 4 2" xfId="45067" xr:uid="{BF316C8C-82D7-4DF3-8CF6-68CB1DE7E75C}"/>
    <cellStyle name="Note 2 2 4 2 5" xfId="29188" xr:uid="{D45F84B5-43F5-4FCF-943B-A428C02F8C4A}"/>
    <cellStyle name="Note 2 2 4 3" xfId="7089" xr:uid="{00000000-0005-0000-0000-00006F600000}"/>
    <cellStyle name="Note 2 2 4 3 2" xfId="15060" xr:uid="{00000000-0005-0000-0000-000070600000}"/>
    <cellStyle name="Note 2 2 4 3 2 2" xfId="38902" xr:uid="{CF74682F-D4F7-4DFA-B181-87F897CEA2DB}"/>
    <cellStyle name="Note 2 2 4 3 3" xfId="23007" xr:uid="{00000000-0005-0000-0000-000071600000}"/>
    <cellStyle name="Note 2 2 4 3 3 2" xfId="46839" xr:uid="{355B4A1E-96DF-49F3-9A0D-5A80978BAA96}"/>
    <cellStyle name="Note 2 2 4 3 4" xfId="30961" xr:uid="{B9726FE4-31C4-4193-A30E-A661D04937A8}"/>
    <cellStyle name="Note 2 2 4 4" xfId="11524" xr:uid="{00000000-0005-0000-0000-000072600000}"/>
    <cellStyle name="Note 2 2 4 4 2" xfId="35373" xr:uid="{FE74E811-6458-445E-A9DF-D067AD483E44}"/>
    <cellStyle name="Note 2 2 4 5" xfId="19479" xr:uid="{00000000-0005-0000-0000-000073600000}"/>
    <cellStyle name="Note 2 2 4 5 2" xfId="43311" xr:uid="{222CB29D-0454-42B3-87E2-290B303931B0}"/>
    <cellStyle name="Note 2 2 4 6" xfId="27431" xr:uid="{BF28DB1F-C04E-4385-BAEF-D021408F86C2}"/>
    <cellStyle name="Note 2 2 4_Exh G" xfId="3611" xr:uid="{00000000-0005-0000-0000-000074600000}"/>
    <cellStyle name="Note 2 2 5" xfId="4378" xr:uid="{00000000-0005-0000-0000-000075600000}"/>
    <cellStyle name="Note 2 2 5 2" xfId="7970" xr:uid="{00000000-0005-0000-0000-000076600000}"/>
    <cellStyle name="Note 2 2 5 2 2" xfId="15940" xr:uid="{00000000-0005-0000-0000-000077600000}"/>
    <cellStyle name="Note 2 2 5 2 2 2" xfId="39782" xr:uid="{F562EEAB-00D7-4240-A5E4-7052302C4E5B}"/>
    <cellStyle name="Note 2 2 5 2 3" xfId="23886" xr:uid="{00000000-0005-0000-0000-000078600000}"/>
    <cellStyle name="Note 2 2 5 2 3 2" xfId="47718" xr:uid="{663DBF4B-BB37-4AD3-9C94-869D0A7B2C2A}"/>
    <cellStyle name="Note 2 2 5 2 4" xfId="31841" xr:uid="{637811EC-9BC2-47F3-B25B-565AA11AC9D7}"/>
    <cellStyle name="Note 2 2 5 3" xfId="12402" xr:uid="{00000000-0005-0000-0000-000079600000}"/>
    <cellStyle name="Note 2 2 5 3 2" xfId="36251" xr:uid="{0CA91C2A-263F-41AE-BA10-7C6865D69BB5}"/>
    <cellStyle name="Note 2 2 5 4" xfId="20357" xr:uid="{00000000-0005-0000-0000-00007A600000}"/>
    <cellStyle name="Note 2 2 5 4 2" xfId="44189" xr:uid="{6D659593-36AE-4B38-98FD-E9F81B0C1B15}"/>
    <cellStyle name="Note 2 2 5 5" xfId="28310" xr:uid="{1AAC5A3C-F537-446F-8F15-E544516A02BF}"/>
    <cellStyle name="Note 2 2 6" xfId="6198" xr:uid="{00000000-0005-0000-0000-00007B600000}"/>
    <cellStyle name="Note 2 2 6 2" xfId="14181" xr:uid="{00000000-0005-0000-0000-00007C600000}"/>
    <cellStyle name="Note 2 2 6 2 2" xfId="38024" xr:uid="{9750ADD5-B138-44CD-99A1-2A88B2E0C708}"/>
    <cellStyle name="Note 2 2 6 3" xfId="22129" xr:uid="{00000000-0005-0000-0000-00007D600000}"/>
    <cellStyle name="Note 2 2 6 3 2" xfId="45961" xr:uid="{68AC655F-D7E9-4B4E-8BFD-FDB3309E9FB8}"/>
    <cellStyle name="Note 2 2 6 4" xfId="30083" xr:uid="{F680E7D7-A92C-43F8-9B98-ED2A38AB942E}"/>
    <cellStyle name="Note 2 2 7" xfId="9750" xr:uid="{00000000-0005-0000-0000-00007E600000}"/>
    <cellStyle name="Note 2 2 7 2" xfId="17708" xr:uid="{00000000-0005-0000-0000-00007F600000}"/>
    <cellStyle name="Note 2 2 7 2 2" xfId="41548" xr:uid="{00C97F6F-2412-493A-8A85-1866E6C43C6D}"/>
    <cellStyle name="Note 2 2 7 3" xfId="25652" xr:uid="{00000000-0005-0000-0000-000080600000}"/>
    <cellStyle name="Note 2 2 7 3 2" xfId="49484" xr:uid="{C6B17086-A823-4F6E-90B2-5C5711D4FFD7}"/>
    <cellStyle name="Note 2 2 7 4" xfId="33607" xr:uid="{7CAF9B98-8441-4505-AE05-2013C4D555E9}"/>
    <cellStyle name="Note 2 2 8" xfId="10646" xr:uid="{00000000-0005-0000-0000-000081600000}"/>
    <cellStyle name="Note 2 2 8 2" xfId="34495" xr:uid="{1F3EB095-C44A-4CE6-A1C8-9856EC7A2A39}"/>
    <cellStyle name="Note 2 2 9" xfId="18601" xr:uid="{00000000-0005-0000-0000-000082600000}"/>
    <cellStyle name="Note 2 2 9 2" xfId="42433" xr:uid="{C9BA40A1-CEDD-463E-8719-66A6F87552B8}"/>
    <cellStyle name="Note 2 2_Exh G" xfId="3606" xr:uid="{00000000-0005-0000-0000-000083600000}"/>
    <cellStyle name="Note 2 3" xfId="706" xr:uid="{00000000-0005-0000-0000-000084600000}"/>
    <cellStyle name="Note 2 3 2" xfId="1732" xr:uid="{00000000-0005-0000-0000-000085600000}"/>
    <cellStyle name="Note 2 3 2 2" xfId="5259" xr:uid="{00000000-0005-0000-0000-000086600000}"/>
    <cellStyle name="Note 2 3 2 2 2" xfId="8850" xr:uid="{00000000-0005-0000-0000-000087600000}"/>
    <cellStyle name="Note 2 3 2 2 2 2" xfId="16820" xr:uid="{00000000-0005-0000-0000-000088600000}"/>
    <cellStyle name="Note 2 3 2 2 2 2 2" xfId="40662" xr:uid="{758D98DE-76FE-4527-AB8E-024D41ECB0BF}"/>
    <cellStyle name="Note 2 3 2 2 2 3" xfId="24766" xr:uid="{00000000-0005-0000-0000-000089600000}"/>
    <cellStyle name="Note 2 3 2 2 2 3 2" xfId="48598" xr:uid="{B003490C-9250-4B9B-842E-6EFA8856EB77}"/>
    <cellStyle name="Note 2 3 2 2 2 4" xfId="32721" xr:uid="{8A1D4957-EB70-43CA-B794-2EF915049809}"/>
    <cellStyle name="Note 2 3 2 2 3" xfId="13282" xr:uid="{00000000-0005-0000-0000-00008A600000}"/>
    <cellStyle name="Note 2 3 2 2 3 2" xfId="37131" xr:uid="{05710656-1120-4241-B327-A7A4D17203D1}"/>
    <cellStyle name="Note 2 3 2 2 4" xfId="21237" xr:uid="{00000000-0005-0000-0000-00008B600000}"/>
    <cellStyle name="Note 2 3 2 2 4 2" xfId="45069" xr:uid="{B104E43D-227D-40E8-AC36-47838084F0D6}"/>
    <cellStyle name="Note 2 3 2 2 5" xfId="29190" xr:uid="{3AEE6C1F-7A83-43F7-B872-5204DAE4DCF6}"/>
    <cellStyle name="Note 2 3 2 3" xfId="7091" xr:uid="{00000000-0005-0000-0000-00008C600000}"/>
    <cellStyle name="Note 2 3 2 3 2" xfId="15062" xr:uid="{00000000-0005-0000-0000-00008D600000}"/>
    <cellStyle name="Note 2 3 2 3 2 2" xfId="38904" xr:uid="{1AC614E6-EE8C-492B-B2A2-312F3ECFB6FC}"/>
    <cellStyle name="Note 2 3 2 3 3" xfId="23009" xr:uid="{00000000-0005-0000-0000-00008E600000}"/>
    <cellStyle name="Note 2 3 2 3 3 2" xfId="46841" xr:uid="{4F1D0414-E44A-4D2D-9336-8EA1DF30D010}"/>
    <cellStyle name="Note 2 3 2 3 4" xfId="30963" xr:uid="{1F5B6AB8-35CD-413C-94FC-97163B283A65}"/>
    <cellStyle name="Note 2 3 2 4" xfId="11526" xr:uid="{00000000-0005-0000-0000-00008F600000}"/>
    <cellStyle name="Note 2 3 2 4 2" xfId="35375" xr:uid="{53F5157D-FBA0-447E-8D71-5F8FA4A4C391}"/>
    <cellStyle name="Note 2 3 2 5" xfId="19481" xr:uid="{00000000-0005-0000-0000-000090600000}"/>
    <cellStyle name="Note 2 3 2 5 2" xfId="43313" xr:uid="{687DE308-3659-4B46-A315-03242A908D85}"/>
    <cellStyle name="Note 2 3 2 6" xfId="27433" xr:uid="{C1AF00A9-DD80-4C81-9FEF-50D397DA87DC}"/>
    <cellStyle name="Note 2 3 2_Exh G" xfId="3613" xr:uid="{00000000-0005-0000-0000-000091600000}"/>
    <cellStyle name="Note 2 3 3" xfId="4380" xr:uid="{00000000-0005-0000-0000-000092600000}"/>
    <cellStyle name="Note 2 3 3 2" xfId="7972" xr:uid="{00000000-0005-0000-0000-000093600000}"/>
    <cellStyle name="Note 2 3 3 2 2" xfId="15942" xr:uid="{00000000-0005-0000-0000-000094600000}"/>
    <cellStyle name="Note 2 3 3 2 2 2" xfId="39784" xr:uid="{C54E1709-B616-405E-BB0F-C772864817AD}"/>
    <cellStyle name="Note 2 3 3 2 3" xfId="23888" xr:uid="{00000000-0005-0000-0000-000095600000}"/>
    <cellStyle name="Note 2 3 3 2 3 2" xfId="47720" xr:uid="{F090B598-8926-4687-9174-04A40182DF13}"/>
    <cellStyle name="Note 2 3 3 2 4" xfId="31843" xr:uid="{735A1FD0-83D6-418B-A865-200E48C61602}"/>
    <cellStyle name="Note 2 3 3 3" xfId="12404" xr:uid="{00000000-0005-0000-0000-000096600000}"/>
    <cellStyle name="Note 2 3 3 3 2" xfId="36253" xr:uid="{019F1450-87E6-4C0C-99C4-A40743360242}"/>
    <cellStyle name="Note 2 3 3 4" xfId="20359" xr:uid="{00000000-0005-0000-0000-000097600000}"/>
    <cellStyle name="Note 2 3 3 4 2" xfId="44191" xr:uid="{75FD43E8-A1DF-435B-A102-8CF8A8594C8E}"/>
    <cellStyle name="Note 2 3 3 5" xfId="28312" xr:uid="{30BAC5F0-CF9D-4BA1-8B51-2D4315D9CAD7}"/>
    <cellStyle name="Note 2 3 4" xfId="6200" xr:uid="{00000000-0005-0000-0000-000098600000}"/>
    <cellStyle name="Note 2 3 4 2" xfId="14183" xr:uid="{00000000-0005-0000-0000-000099600000}"/>
    <cellStyle name="Note 2 3 4 2 2" xfId="38026" xr:uid="{9D0E9777-203D-4A91-ACE9-098FA1D5D3D6}"/>
    <cellStyle name="Note 2 3 4 3" xfId="22131" xr:uid="{00000000-0005-0000-0000-00009A600000}"/>
    <cellStyle name="Note 2 3 4 3 2" xfId="45963" xr:uid="{70C0B4F5-D4BC-4154-9228-9251737A3213}"/>
    <cellStyle name="Note 2 3 4 4" xfId="30085" xr:uid="{1EA61F18-B323-45E8-BAF8-974E97CE8BF5}"/>
    <cellStyle name="Note 2 3 5" xfId="9752" xr:uid="{00000000-0005-0000-0000-00009B600000}"/>
    <cellStyle name="Note 2 3 5 2" xfId="17710" xr:uid="{00000000-0005-0000-0000-00009C600000}"/>
    <cellStyle name="Note 2 3 5 2 2" xfId="41550" xr:uid="{93F71FA6-E0FE-43F2-9A4C-9F589CD2204D}"/>
    <cellStyle name="Note 2 3 5 3" xfId="25654" xr:uid="{00000000-0005-0000-0000-00009D600000}"/>
    <cellStyle name="Note 2 3 5 3 2" xfId="49486" xr:uid="{4549A1DD-60F4-4B08-9220-0891CF47177E}"/>
    <cellStyle name="Note 2 3 5 4" xfId="33609" xr:uid="{506E719A-F08E-432A-BC86-8CB0B44A6FB5}"/>
    <cellStyle name="Note 2 3 6" xfId="10648" xr:uid="{00000000-0005-0000-0000-00009E600000}"/>
    <cellStyle name="Note 2 3 6 2" xfId="34497" xr:uid="{B46D4B68-74ED-4F6C-8885-A6015D8274F4}"/>
    <cellStyle name="Note 2 3 7" xfId="18603" xr:uid="{00000000-0005-0000-0000-00009F600000}"/>
    <cellStyle name="Note 2 3 7 2" xfId="42435" xr:uid="{7FBA970E-2011-4AF7-9CC0-45B5D365050D}"/>
    <cellStyle name="Note 2 3 8" xfId="26555" xr:uid="{4C900347-96A2-49F7-A240-D4A12579B9E3}"/>
    <cellStyle name="Note 2 3_Exh G" xfId="3612" xr:uid="{00000000-0005-0000-0000-0000A0600000}"/>
    <cellStyle name="Note 2 4" xfId="1027" xr:uid="{00000000-0005-0000-0000-0000A1600000}"/>
    <cellStyle name="Note 2 4 2" xfId="1923" xr:uid="{00000000-0005-0000-0000-0000A2600000}"/>
    <cellStyle name="Note 2 4 2 2" xfId="5440" xr:uid="{00000000-0005-0000-0000-0000A3600000}"/>
    <cellStyle name="Note 2 4 2 2 2" xfId="9031" xr:uid="{00000000-0005-0000-0000-0000A4600000}"/>
    <cellStyle name="Note 2 4 2 2 2 2" xfId="17001" xr:uid="{00000000-0005-0000-0000-0000A5600000}"/>
    <cellStyle name="Note 2 4 2 2 2 2 2" xfId="40843" xr:uid="{B9FA836A-0A6F-4F7C-B5DC-23313D0D358F}"/>
    <cellStyle name="Note 2 4 2 2 2 3" xfId="24947" xr:uid="{00000000-0005-0000-0000-0000A6600000}"/>
    <cellStyle name="Note 2 4 2 2 2 3 2" xfId="48779" xr:uid="{762EC840-284E-4909-AFEB-E22D1D0C8AB2}"/>
    <cellStyle name="Note 2 4 2 2 2 4" xfId="32902" xr:uid="{6BF32523-703A-446D-A5D2-C2ACC9D132FC}"/>
    <cellStyle name="Note 2 4 2 2 3" xfId="13463" xr:uid="{00000000-0005-0000-0000-0000A7600000}"/>
    <cellStyle name="Note 2 4 2 2 3 2" xfId="37312" xr:uid="{FB13E903-524C-4E84-A359-2A4BCDAF8F76}"/>
    <cellStyle name="Note 2 4 2 2 4" xfId="21418" xr:uid="{00000000-0005-0000-0000-0000A8600000}"/>
    <cellStyle name="Note 2 4 2 2 4 2" xfId="45250" xr:uid="{33E3B532-61C2-4D9D-B4BE-2DACE3850DFA}"/>
    <cellStyle name="Note 2 4 2 2 5" xfId="29371" xr:uid="{46EC32B9-0653-4216-9462-22FF71FD0F8A}"/>
    <cellStyle name="Note 2 4 2 3" xfId="7272" xr:uid="{00000000-0005-0000-0000-0000A9600000}"/>
    <cellStyle name="Note 2 4 2 3 2" xfId="15243" xr:uid="{00000000-0005-0000-0000-0000AA600000}"/>
    <cellStyle name="Note 2 4 2 3 2 2" xfId="39085" xr:uid="{F57BF588-FD1E-422E-B578-0543B5609DD9}"/>
    <cellStyle name="Note 2 4 2 3 3" xfId="23190" xr:uid="{00000000-0005-0000-0000-0000AB600000}"/>
    <cellStyle name="Note 2 4 2 3 3 2" xfId="47022" xr:uid="{23CE7681-EBF1-4C36-ABAD-F77439633253}"/>
    <cellStyle name="Note 2 4 2 3 4" xfId="31144" xr:uid="{184FFA67-651D-4629-89A5-470A17F07F22}"/>
    <cellStyle name="Note 2 4 2 4" xfId="11707" xr:uid="{00000000-0005-0000-0000-0000AC600000}"/>
    <cellStyle name="Note 2 4 2 4 2" xfId="35556" xr:uid="{9364008E-7BBF-43C9-86F4-651946646989}"/>
    <cellStyle name="Note 2 4 2 5" xfId="19662" xr:uid="{00000000-0005-0000-0000-0000AD600000}"/>
    <cellStyle name="Note 2 4 2 5 2" xfId="43494" xr:uid="{5C5DE347-3163-489D-96BB-ACF5B172FCD3}"/>
    <cellStyle name="Note 2 4 2 6" xfId="27614" xr:uid="{90BF3E5F-F7AA-40BF-8E0F-3E863724E6DB}"/>
    <cellStyle name="Note 2 4 2_Exh G" xfId="3615" xr:uid="{00000000-0005-0000-0000-0000AE600000}"/>
    <cellStyle name="Note 2 4 3" xfId="4561" xr:uid="{00000000-0005-0000-0000-0000AF600000}"/>
    <cellStyle name="Note 2 4 3 2" xfId="8153" xr:uid="{00000000-0005-0000-0000-0000B0600000}"/>
    <cellStyle name="Note 2 4 3 2 2" xfId="16123" xr:uid="{00000000-0005-0000-0000-0000B1600000}"/>
    <cellStyle name="Note 2 4 3 2 2 2" xfId="39965" xr:uid="{9F041699-A85D-491D-89D0-E1C2E17A66C6}"/>
    <cellStyle name="Note 2 4 3 2 3" xfId="24069" xr:uid="{00000000-0005-0000-0000-0000B2600000}"/>
    <cellStyle name="Note 2 4 3 2 3 2" xfId="47901" xr:uid="{E0094B55-088A-4B71-BE20-68DC9821A357}"/>
    <cellStyle name="Note 2 4 3 2 4" xfId="32024" xr:uid="{CD272C3E-EB32-4A03-A3B2-C4ACD0E53957}"/>
    <cellStyle name="Note 2 4 3 3" xfId="12585" xr:uid="{00000000-0005-0000-0000-0000B3600000}"/>
    <cellStyle name="Note 2 4 3 3 2" xfId="36434" xr:uid="{4FADA7BA-C9A2-4993-9340-ACEA622670FC}"/>
    <cellStyle name="Note 2 4 3 4" xfId="20540" xr:uid="{00000000-0005-0000-0000-0000B4600000}"/>
    <cellStyle name="Note 2 4 3 4 2" xfId="44372" xr:uid="{1F64ACF6-8332-4DB0-BD36-4AAA9A37BBE7}"/>
    <cellStyle name="Note 2 4 3 5" xfId="28493" xr:uid="{0CCC95F6-218B-44B0-B347-2D1846DAC5B7}"/>
    <cellStyle name="Note 2 4 4" xfId="6392" xr:uid="{00000000-0005-0000-0000-0000B5600000}"/>
    <cellStyle name="Note 2 4 4 2" xfId="14365" xr:uid="{00000000-0005-0000-0000-0000B6600000}"/>
    <cellStyle name="Note 2 4 4 2 2" xfId="38207" xr:uid="{A15A4B49-F10F-4186-9B42-42032FBE9B5C}"/>
    <cellStyle name="Note 2 4 4 3" xfId="22312" xr:uid="{00000000-0005-0000-0000-0000B7600000}"/>
    <cellStyle name="Note 2 4 4 3 2" xfId="46144" xr:uid="{8C6BE264-CD1C-492E-940B-A7552A1733C5}"/>
    <cellStyle name="Note 2 4 4 4" xfId="30266" xr:uid="{DB236D93-B24E-4187-A87E-187AD1F82C71}"/>
    <cellStyle name="Note 2 4 5" xfId="9933" xr:uid="{00000000-0005-0000-0000-0000B8600000}"/>
    <cellStyle name="Note 2 4 5 2" xfId="17891" xr:uid="{00000000-0005-0000-0000-0000B9600000}"/>
    <cellStyle name="Note 2 4 5 2 2" xfId="41731" xr:uid="{776FB937-6FD0-4E3B-BBA4-50C1E76A920C}"/>
    <cellStyle name="Note 2 4 5 3" xfId="25835" xr:uid="{00000000-0005-0000-0000-0000BA600000}"/>
    <cellStyle name="Note 2 4 5 3 2" xfId="49667" xr:uid="{1DE5D490-8B26-449F-8015-0881D802E1D3}"/>
    <cellStyle name="Note 2 4 5 4" xfId="33790" xr:uid="{DCD6D44B-3CF1-4985-B834-05E61B603FF9}"/>
    <cellStyle name="Note 2 4 6" xfId="10829" xr:uid="{00000000-0005-0000-0000-0000BB600000}"/>
    <cellStyle name="Note 2 4 6 2" xfId="34678" xr:uid="{DD27FE5E-B25F-46A7-A6D8-9CA0D3449958}"/>
    <cellStyle name="Note 2 4 7" xfId="18784" xr:uid="{00000000-0005-0000-0000-0000BC600000}"/>
    <cellStyle name="Note 2 4 7 2" xfId="42616" xr:uid="{CB73509B-876A-42E2-ABEE-FABA0C1B9A4E}"/>
    <cellStyle name="Note 2 4 8" xfId="26736" xr:uid="{12140918-2027-4D87-BAE3-8A188F9EE475}"/>
    <cellStyle name="Note 2 4_Exh G" xfId="3614" xr:uid="{00000000-0005-0000-0000-0000BD600000}"/>
    <cellStyle name="Note 2 5" xfId="1047" xr:uid="{00000000-0005-0000-0000-0000BE600000}"/>
    <cellStyle name="Note 2 5 2" xfId="4574" xr:uid="{00000000-0005-0000-0000-0000BF600000}"/>
    <cellStyle name="Note 2 5 2 2" xfId="8165" xr:uid="{00000000-0005-0000-0000-0000C0600000}"/>
    <cellStyle name="Note 2 5 2 2 2" xfId="16135" xr:uid="{00000000-0005-0000-0000-0000C1600000}"/>
    <cellStyle name="Note 2 5 2 2 2 2" xfId="39977" xr:uid="{92C73336-08B3-4AAA-B2C4-7A17B26E5AC5}"/>
    <cellStyle name="Note 2 5 2 2 3" xfId="24081" xr:uid="{00000000-0005-0000-0000-0000C2600000}"/>
    <cellStyle name="Note 2 5 2 2 3 2" xfId="47913" xr:uid="{E7F32B19-E04F-4F46-BD7B-949B43CEBBC7}"/>
    <cellStyle name="Note 2 5 2 2 4" xfId="32036" xr:uid="{332689BC-D33A-4484-8663-37E63ECBB34D}"/>
    <cellStyle name="Note 2 5 2 3" xfId="12597" xr:uid="{00000000-0005-0000-0000-0000C3600000}"/>
    <cellStyle name="Note 2 5 2 3 2" xfId="36446" xr:uid="{E81C92CD-A020-40F5-8DF6-1A7A44FB04DE}"/>
    <cellStyle name="Note 2 5 2 4" xfId="20552" xr:uid="{00000000-0005-0000-0000-0000C4600000}"/>
    <cellStyle name="Note 2 5 2 4 2" xfId="44384" xr:uid="{62E8565E-79DE-4912-AAF3-46634C2BF456}"/>
    <cellStyle name="Note 2 5 2 5" xfId="28505" xr:uid="{F1D276FD-3715-466B-802E-D21BC9BBDDB6}"/>
    <cellStyle name="Note 2 5 3" xfId="6406" xr:uid="{00000000-0005-0000-0000-0000C5600000}"/>
    <cellStyle name="Note 2 5 3 2" xfId="14377" xr:uid="{00000000-0005-0000-0000-0000C6600000}"/>
    <cellStyle name="Note 2 5 3 2 2" xfId="38219" xr:uid="{566B7C1F-7B44-4B5A-A787-A9CA280BE855}"/>
    <cellStyle name="Note 2 5 3 3" xfId="22324" xr:uid="{00000000-0005-0000-0000-0000C7600000}"/>
    <cellStyle name="Note 2 5 3 3 2" xfId="46156" xr:uid="{CF6E2EC0-2A9A-42F0-9A83-72A7D664FF53}"/>
    <cellStyle name="Note 2 5 3 4" xfId="30278" xr:uid="{DDA6E084-E4A9-4A39-9675-ED2C100B3593}"/>
    <cellStyle name="Note 2 5 4" xfId="10841" xr:uid="{00000000-0005-0000-0000-0000C8600000}"/>
    <cellStyle name="Note 2 5 4 2" xfId="34690" xr:uid="{381B26CE-2E11-49CE-981B-429062E4295B}"/>
    <cellStyle name="Note 2 5 5" xfId="18796" xr:uid="{00000000-0005-0000-0000-0000C9600000}"/>
    <cellStyle name="Note 2 5 5 2" xfId="42628" xr:uid="{2246211A-B0AB-4A86-8F2F-106C2DDAB282}"/>
    <cellStyle name="Note 2 5 6" xfId="26748" xr:uid="{E0965C00-F509-49EA-95D9-62B206C9F8B9}"/>
    <cellStyle name="Note 2 5_Exh G" xfId="3616" xr:uid="{00000000-0005-0000-0000-0000CA600000}"/>
    <cellStyle name="Note 2 6" xfId="3695" xr:uid="{00000000-0005-0000-0000-0000CB600000}"/>
    <cellStyle name="Note 2 6 2" xfId="7287" xr:uid="{00000000-0005-0000-0000-0000CC600000}"/>
    <cellStyle name="Note 2 6 2 2" xfId="15257" xr:uid="{00000000-0005-0000-0000-0000CD600000}"/>
    <cellStyle name="Note 2 6 2 2 2" xfId="39099" xr:uid="{6260201A-71AC-4A16-AD18-4A6E5232F491}"/>
    <cellStyle name="Note 2 6 2 3" xfId="23203" xr:uid="{00000000-0005-0000-0000-0000CE600000}"/>
    <cellStyle name="Note 2 6 2 3 2" xfId="47035" xr:uid="{1D8EBBA2-B63E-416B-85E2-B275861A8489}"/>
    <cellStyle name="Note 2 6 2 4" xfId="31158" xr:uid="{EAD8B25A-4167-4A18-B4EF-44886BA0736D}"/>
    <cellStyle name="Note 2 6 3" xfId="11719" xr:uid="{00000000-0005-0000-0000-0000CF600000}"/>
    <cellStyle name="Note 2 6 3 2" xfId="35568" xr:uid="{835B17CA-E249-4016-8B38-A6E6106A610A}"/>
    <cellStyle name="Note 2 6 4" xfId="19674" xr:uid="{00000000-0005-0000-0000-0000D0600000}"/>
    <cellStyle name="Note 2 6 4 2" xfId="43506" xr:uid="{CEDFDBF0-5750-4B06-81D5-1CC9C9BEEDA0}"/>
    <cellStyle name="Note 2 6 5" xfId="27627" xr:uid="{7109C6C4-5E7C-449B-88EE-E67FC9401D1C}"/>
    <cellStyle name="Note 2 7" xfId="5515" xr:uid="{00000000-0005-0000-0000-0000D1600000}"/>
    <cellStyle name="Note 2 7 2" xfId="13498" xr:uid="{00000000-0005-0000-0000-0000D2600000}"/>
    <cellStyle name="Note 2 7 2 2" xfId="37341" xr:uid="{AE948561-D99C-4ECC-802F-B83DD91A889E}"/>
    <cellStyle name="Note 2 7 3" xfId="21446" xr:uid="{00000000-0005-0000-0000-0000D3600000}"/>
    <cellStyle name="Note 2 7 3 2" xfId="45278" xr:uid="{BA8B24AF-A4B5-43E8-83F8-B45ECD1A2259}"/>
    <cellStyle name="Note 2 7 4" xfId="29400" xr:uid="{C89D0E76-5EFF-4D13-BA68-EACB247F96A3}"/>
    <cellStyle name="Note 2 8" xfId="9067" xr:uid="{00000000-0005-0000-0000-0000D4600000}"/>
    <cellStyle name="Note 2 8 2" xfId="17025" xr:uid="{00000000-0005-0000-0000-0000D5600000}"/>
    <cellStyle name="Note 2 8 2 2" xfId="40865" xr:uid="{26F75691-C3B2-4644-9F21-F388D34500F9}"/>
    <cellStyle name="Note 2 8 3" xfId="24969" xr:uid="{00000000-0005-0000-0000-0000D6600000}"/>
    <cellStyle name="Note 2 8 3 2" xfId="48801" xr:uid="{6B43F970-20A5-4E41-8151-2A986B9E78AE}"/>
    <cellStyle name="Note 2 8 4" xfId="32924" xr:uid="{1670D14C-57C2-4D0A-9EFF-C99D54AA5A0C}"/>
    <cellStyle name="Note 2 9" xfId="9963" xr:uid="{00000000-0005-0000-0000-0000D7600000}"/>
    <cellStyle name="Note 2 9 2" xfId="33812" xr:uid="{BDF6EECF-76B0-4F2C-9E1C-D0D3DB41C1FF}"/>
    <cellStyle name="Note 2_Exh G" xfId="3605" xr:uid="{00000000-0005-0000-0000-0000D8600000}"/>
    <cellStyle name="Note 3" xfId="707" xr:uid="{00000000-0005-0000-0000-0000D9600000}"/>
    <cellStyle name="Note 3 10" xfId="18604" xr:uid="{00000000-0005-0000-0000-0000DA600000}"/>
    <cellStyle name="Note 3 10 2" xfId="42436" xr:uid="{FA5A2E12-E70D-42A1-9472-4A16DC68AE5B}"/>
    <cellStyle name="Note 3 11" xfId="26556" xr:uid="{84F1E09E-B4F2-4521-B36A-40A204538429}"/>
    <cellStyle name="Note 3 2" xfId="708" xr:uid="{00000000-0005-0000-0000-0000DB600000}"/>
    <cellStyle name="Note 3 2 10" xfId="26557" xr:uid="{7F3D37B3-1BF0-4A95-B9C8-6EBFA03EC579}"/>
    <cellStyle name="Note 3 2 2" xfId="709" xr:uid="{00000000-0005-0000-0000-0000DC600000}"/>
    <cellStyle name="Note 3 2 2 2" xfId="1735" xr:uid="{00000000-0005-0000-0000-0000DD600000}"/>
    <cellStyle name="Note 3 2 2 2 2" xfId="5262" xr:uid="{00000000-0005-0000-0000-0000DE600000}"/>
    <cellStyle name="Note 3 2 2 2 2 2" xfId="8853" xr:uid="{00000000-0005-0000-0000-0000DF600000}"/>
    <cellStyle name="Note 3 2 2 2 2 2 2" xfId="16823" xr:uid="{00000000-0005-0000-0000-0000E0600000}"/>
    <cellStyle name="Note 3 2 2 2 2 2 2 2" xfId="40665" xr:uid="{F17CE054-D912-4DE1-BCF2-D9BB918980D1}"/>
    <cellStyle name="Note 3 2 2 2 2 2 3" xfId="24769" xr:uid="{00000000-0005-0000-0000-0000E1600000}"/>
    <cellStyle name="Note 3 2 2 2 2 2 3 2" xfId="48601" xr:uid="{E2A184FF-274D-426E-9DB8-FB28A159EBCD}"/>
    <cellStyle name="Note 3 2 2 2 2 2 4" xfId="32724" xr:uid="{98ECE241-ED4A-43A0-A73B-67F0C65D6D80}"/>
    <cellStyle name="Note 3 2 2 2 2 3" xfId="13285" xr:uid="{00000000-0005-0000-0000-0000E2600000}"/>
    <cellStyle name="Note 3 2 2 2 2 3 2" xfId="37134" xr:uid="{1212B26B-8D6B-4F04-8E07-231B7D9A6624}"/>
    <cellStyle name="Note 3 2 2 2 2 4" xfId="21240" xr:uid="{00000000-0005-0000-0000-0000E3600000}"/>
    <cellStyle name="Note 3 2 2 2 2 4 2" xfId="45072" xr:uid="{78F50A0B-8E1B-4AE2-B2C2-C76971DEBC0A}"/>
    <cellStyle name="Note 3 2 2 2 2 5" xfId="29193" xr:uid="{087E3B77-2417-4AA3-AF93-08D233B13ADD}"/>
    <cellStyle name="Note 3 2 2 2 3" xfId="7094" xr:uid="{00000000-0005-0000-0000-0000E4600000}"/>
    <cellStyle name="Note 3 2 2 2 3 2" xfId="15065" xr:uid="{00000000-0005-0000-0000-0000E5600000}"/>
    <cellStyle name="Note 3 2 2 2 3 2 2" xfId="38907" xr:uid="{793F2669-29C3-4754-995D-BE5FF5836ADA}"/>
    <cellStyle name="Note 3 2 2 2 3 3" xfId="23012" xr:uid="{00000000-0005-0000-0000-0000E6600000}"/>
    <cellStyle name="Note 3 2 2 2 3 3 2" xfId="46844" xr:uid="{00899BB2-11D5-402D-A505-8BF2A15C1A71}"/>
    <cellStyle name="Note 3 2 2 2 3 4" xfId="30966" xr:uid="{B38C209C-25DD-4516-BD6C-439ADDC4CA03}"/>
    <cellStyle name="Note 3 2 2 2 4" xfId="11529" xr:uid="{00000000-0005-0000-0000-0000E7600000}"/>
    <cellStyle name="Note 3 2 2 2 4 2" xfId="35378" xr:uid="{89D4BB00-2A34-4AFF-9011-C3BA6A3BDD27}"/>
    <cellStyle name="Note 3 2 2 2 5" xfId="19484" xr:uid="{00000000-0005-0000-0000-0000E8600000}"/>
    <cellStyle name="Note 3 2 2 2 5 2" xfId="43316" xr:uid="{842F4E5C-FFC7-4B62-9E40-A1B9E6B0893C}"/>
    <cellStyle name="Note 3 2 2 2 6" xfId="27436" xr:uid="{7BB6EEF3-AC05-41BB-AB96-B88F5FC9219D}"/>
    <cellStyle name="Note 3 2 2 2_Exh G" xfId="3620" xr:uid="{00000000-0005-0000-0000-0000E9600000}"/>
    <cellStyle name="Note 3 2 2 3" xfId="4383" xr:uid="{00000000-0005-0000-0000-0000EA600000}"/>
    <cellStyle name="Note 3 2 2 3 2" xfId="7975" xr:uid="{00000000-0005-0000-0000-0000EB600000}"/>
    <cellStyle name="Note 3 2 2 3 2 2" xfId="15945" xr:uid="{00000000-0005-0000-0000-0000EC600000}"/>
    <cellStyle name="Note 3 2 2 3 2 2 2" xfId="39787" xr:uid="{037ED795-1DE4-4621-84B2-15517419754B}"/>
    <cellStyle name="Note 3 2 2 3 2 3" xfId="23891" xr:uid="{00000000-0005-0000-0000-0000ED600000}"/>
    <cellStyle name="Note 3 2 2 3 2 3 2" xfId="47723" xr:uid="{12F893FD-2B7D-460D-ABF5-66915C51A477}"/>
    <cellStyle name="Note 3 2 2 3 2 4" xfId="31846" xr:uid="{D2C55BCC-8086-414D-8CBD-EE6587849FB9}"/>
    <cellStyle name="Note 3 2 2 3 3" xfId="12407" xr:uid="{00000000-0005-0000-0000-0000EE600000}"/>
    <cellStyle name="Note 3 2 2 3 3 2" xfId="36256" xr:uid="{B2852AA8-9163-421D-AB34-BCDF4B6150EC}"/>
    <cellStyle name="Note 3 2 2 3 4" xfId="20362" xr:uid="{00000000-0005-0000-0000-0000EF600000}"/>
    <cellStyle name="Note 3 2 2 3 4 2" xfId="44194" xr:uid="{95F06B7F-4DC1-4A6D-9685-E6AA991F938C}"/>
    <cellStyle name="Note 3 2 2 3 5" xfId="28315" xr:uid="{7460C8BA-D4A3-4903-94DA-45047A8C57E1}"/>
    <cellStyle name="Note 3 2 2 4" xfId="6203" xr:uid="{00000000-0005-0000-0000-0000F0600000}"/>
    <cellStyle name="Note 3 2 2 4 2" xfId="14186" xr:uid="{00000000-0005-0000-0000-0000F1600000}"/>
    <cellStyle name="Note 3 2 2 4 2 2" xfId="38029" xr:uid="{5046FE0A-DC6B-4F8D-B6F2-AF9FEE414555}"/>
    <cellStyle name="Note 3 2 2 4 3" xfId="22134" xr:uid="{00000000-0005-0000-0000-0000F2600000}"/>
    <cellStyle name="Note 3 2 2 4 3 2" xfId="45966" xr:uid="{F9E3A306-AEB8-42DD-B04F-CC9ACBDACA13}"/>
    <cellStyle name="Note 3 2 2 4 4" xfId="30088" xr:uid="{7C0C78A4-D77A-4626-A874-7FCF710EA20A}"/>
    <cellStyle name="Note 3 2 2 5" xfId="9755" xr:uid="{00000000-0005-0000-0000-0000F3600000}"/>
    <cellStyle name="Note 3 2 2 5 2" xfId="17713" xr:uid="{00000000-0005-0000-0000-0000F4600000}"/>
    <cellStyle name="Note 3 2 2 5 2 2" xfId="41553" xr:uid="{0B19A9A2-78F0-4A66-BE54-14B716A80CAD}"/>
    <cellStyle name="Note 3 2 2 5 3" xfId="25657" xr:uid="{00000000-0005-0000-0000-0000F5600000}"/>
    <cellStyle name="Note 3 2 2 5 3 2" xfId="49489" xr:uid="{6E71992B-5A26-4E6B-ABB0-31BB95428DD1}"/>
    <cellStyle name="Note 3 2 2 5 4" xfId="33612" xr:uid="{3E7EFFCC-F208-494F-953A-E924FDF52A1A}"/>
    <cellStyle name="Note 3 2 2 6" xfId="10651" xr:uid="{00000000-0005-0000-0000-0000F6600000}"/>
    <cellStyle name="Note 3 2 2 6 2" xfId="34500" xr:uid="{FE4E53E3-528E-4C42-84E7-F8AF0DCFB224}"/>
    <cellStyle name="Note 3 2 2 7" xfId="18606" xr:uid="{00000000-0005-0000-0000-0000F7600000}"/>
    <cellStyle name="Note 3 2 2 7 2" xfId="42438" xr:uid="{7B68393E-56A5-44D9-BFF4-A8D200141FE2}"/>
    <cellStyle name="Note 3 2 2 8" xfId="26558" xr:uid="{AD3CF7A8-DA0D-4577-A778-D4AFC58BA842}"/>
    <cellStyle name="Note 3 2 2_Exh G" xfId="3619" xr:uid="{00000000-0005-0000-0000-0000F8600000}"/>
    <cellStyle name="Note 3 2 3" xfId="1030" xr:uid="{00000000-0005-0000-0000-0000F9600000}"/>
    <cellStyle name="Note 3 2 3 2" xfId="1926" xr:uid="{00000000-0005-0000-0000-0000FA600000}"/>
    <cellStyle name="Note 3 2 3 2 2" xfId="5443" xr:uid="{00000000-0005-0000-0000-0000FB600000}"/>
    <cellStyle name="Note 3 2 3 2 2 2" xfId="9034" xr:uid="{00000000-0005-0000-0000-0000FC600000}"/>
    <cellStyle name="Note 3 2 3 2 2 2 2" xfId="17004" xr:uid="{00000000-0005-0000-0000-0000FD600000}"/>
    <cellStyle name="Note 3 2 3 2 2 2 2 2" xfId="40846" xr:uid="{461168BD-C5E9-46F6-9D61-DAA94E19D432}"/>
    <cellStyle name="Note 3 2 3 2 2 2 3" xfId="24950" xr:uid="{00000000-0005-0000-0000-0000FE600000}"/>
    <cellStyle name="Note 3 2 3 2 2 2 3 2" xfId="48782" xr:uid="{AF08642D-DF0D-4068-AE49-F96284A05159}"/>
    <cellStyle name="Note 3 2 3 2 2 2 4" xfId="32905" xr:uid="{E4A67213-C6F3-4AA2-9A31-7A858BA86811}"/>
    <cellStyle name="Note 3 2 3 2 2 3" xfId="13466" xr:uid="{00000000-0005-0000-0000-0000FF600000}"/>
    <cellStyle name="Note 3 2 3 2 2 3 2" xfId="37315" xr:uid="{072E400E-DA30-41F5-9416-44C0D57E9A08}"/>
    <cellStyle name="Note 3 2 3 2 2 4" xfId="21421" xr:uid="{00000000-0005-0000-0000-000000610000}"/>
    <cellStyle name="Note 3 2 3 2 2 4 2" xfId="45253" xr:uid="{66FF6328-32FE-42ED-9C22-A50D3384AB9E}"/>
    <cellStyle name="Note 3 2 3 2 2 5" xfId="29374" xr:uid="{BDFC4DA3-F79C-4A63-8F49-92D31905DE58}"/>
    <cellStyle name="Note 3 2 3 2 3" xfId="7275" xr:uid="{00000000-0005-0000-0000-000001610000}"/>
    <cellStyle name="Note 3 2 3 2 3 2" xfId="15246" xr:uid="{00000000-0005-0000-0000-000002610000}"/>
    <cellStyle name="Note 3 2 3 2 3 2 2" xfId="39088" xr:uid="{F3C8B025-9129-4179-83E3-015F7F19F4BC}"/>
    <cellStyle name="Note 3 2 3 2 3 3" xfId="23193" xr:uid="{00000000-0005-0000-0000-000003610000}"/>
    <cellStyle name="Note 3 2 3 2 3 3 2" xfId="47025" xr:uid="{F3B9D8E6-EA3F-4B29-99B2-E07FC0384777}"/>
    <cellStyle name="Note 3 2 3 2 3 4" xfId="31147" xr:uid="{9565897D-4E74-4CAB-9FEE-F158CCBC8DC0}"/>
    <cellStyle name="Note 3 2 3 2 4" xfId="11710" xr:uid="{00000000-0005-0000-0000-000004610000}"/>
    <cellStyle name="Note 3 2 3 2 4 2" xfId="35559" xr:uid="{24025EF3-7BA9-4AD7-BA62-49716B91679F}"/>
    <cellStyle name="Note 3 2 3 2 5" xfId="19665" xr:uid="{00000000-0005-0000-0000-000005610000}"/>
    <cellStyle name="Note 3 2 3 2 5 2" xfId="43497" xr:uid="{48A17469-442A-40C9-9F01-19F4DEC8DD5F}"/>
    <cellStyle name="Note 3 2 3 2 6" xfId="27617" xr:uid="{6D3D160D-89E7-49C1-B896-6864DB6CE2FF}"/>
    <cellStyle name="Note 3 2 3 2_Exh G" xfId="3622" xr:uid="{00000000-0005-0000-0000-000006610000}"/>
    <cellStyle name="Note 3 2 3 3" xfId="4564" xr:uid="{00000000-0005-0000-0000-000007610000}"/>
    <cellStyle name="Note 3 2 3 3 2" xfId="8156" xr:uid="{00000000-0005-0000-0000-000008610000}"/>
    <cellStyle name="Note 3 2 3 3 2 2" xfId="16126" xr:uid="{00000000-0005-0000-0000-000009610000}"/>
    <cellStyle name="Note 3 2 3 3 2 2 2" xfId="39968" xr:uid="{E511DD9B-46FE-45CF-A3D2-472741B616A9}"/>
    <cellStyle name="Note 3 2 3 3 2 3" xfId="24072" xr:uid="{00000000-0005-0000-0000-00000A610000}"/>
    <cellStyle name="Note 3 2 3 3 2 3 2" xfId="47904" xr:uid="{9867FAA5-CEA2-4343-82F5-94859E14ADB0}"/>
    <cellStyle name="Note 3 2 3 3 2 4" xfId="32027" xr:uid="{B708B7B0-0A94-4C71-85A0-185E59291610}"/>
    <cellStyle name="Note 3 2 3 3 3" xfId="12588" xr:uid="{00000000-0005-0000-0000-00000B610000}"/>
    <cellStyle name="Note 3 2 3 3 3 2" xfId="36437" xr:uid="{55961D60-3EBB-4F32-A46D-7BEE2F8B0630}"/>
    <cellStyle name="Note 3 2 3 3 4" xfId="20543" xr:uid="{00000000-0005-0000-0000-00000C610000}"/>
    <cellStyle name="Note 3 2 3 3 4 2" xfId="44375" xr:uid="{8E00D923-450F-45D9-B080-8F1DF801560C}"/>
    <cellStyle name="Note 3 2 3 3 5" xfId="28496" xr:uid="{EE947940-7821-486D-ABBF-D0E3374BD180}"/>
    <cellStyle name="Note 3 2 3 4" xfId="6395" xr:uid="{00000000-0005-0000-0000-00000D610000}"/>
    <cellStyle name="Note 3 2 3 4 2" xfId="14368" xr:uid="{00000000-0005-0000-0000-00000E610000}"/>
    <cellStyle name="Note 3 2 3 4 2 2" xfId="38210" xr:uid="{8F4286E8-6108-4043-A6E1-7FA5F1F8E830}"/>
    <cellStyle name="Note 3 2 3 4 3" xfId="22315" xr:uid="{00000000-0005-0000-0000-00000F610000}"/>
    <cellStyle name="Note 3 2 3 4 3 2" xfId="46147" xr:uid="{A25C73B1-C6FC-49A2-8AB6-B4319A829C25}"/>
    <cellStyle name="Note 3 2 3 4 4" xfId="30269" xr:uid="{F677FEEA-63C4-4D8F-A26C-02E830313A4B}"/>
    <cellStyle name="Note 3 2 3 5" xfId="9936" xr:uid="{00000000-0005-0000-0000-000010610000}"/>
    <cellStyle name="Note 3 2 3 5 2" xfId="17894" xr:uid="{00000000-0005-0000-0000-000011610000}"/>
    <cellStyle name="Note 3 2 3 5 2 2" xfId="41734" xr:uid="{DC5014D9-D224-47C0-8966-1563CBF63619}"/>
    <cellStyle name="Note 3 2 3 5 3" xfId="25838" xr:uid="{00000000-0005-0000-0000-000012610000}"/>
    <cellStyle name="Note 3 2 3 5 3 2" xfId="49670" xr:uid="{63940F1E-C7A5-4BF1-8039-2C14A1393228}"/>
    <cellStyle name="Note 3 2 3 5 4" xfId="33793" xr:uid="{F47BBA52-644A-4567-B1A2-EDCF06A5CDD7}"/>
    <cellStyle name="Note 3 2 3 6" xfId="10832" xr:uid="{00000000-0005-0000-0000-000013610000}"/>
    <cellStyle name="Note 3 2 3 6 2" xfId="34681" xr:uid="{55595CC3-445C-465E-8CAE-E6006E3944BC}"/>
    <cellStyle name="Note 3 2 3 7" xfId="18787" xr:uid="{00000000-0005-0000-0000-000014610000}"/>
    <cellStyle name="Note 3 2 3 7 2" xfId="42619" xr:uid="{08517AB4-791D-40B7-A908-495DCDFFF6A8}"/>
    <cellStyle name="Note 3 2 3 8" xfId="26739" xr:uid="{5040E5C6-648D-4AE2-A2FF-33FAA8434472}"/>
    <cellStyle name="Note 3 2 3_Exh G" xfId="3621" xr:uid="{00000000-0005-0000-0000-000015610000}"/>
    <cellStyle name="Note 3 2 4" xfId="1734" xr:uid="{00000000-0005-0000-0000-000016610000}"/>
    <cellStyle name="Note 3 2 4 2" xfId="5261" xr:uid="{00000000-0005-0000-0000-000017610000}"/>
    <cellStyle name="Note 3 2 4 2 2" xfId="8852" xr:uid="{00000000-0005-0000-0000-000018610000}"/>
    <cellStyle name="Note 3 2 4 2 2 2" xfId="16822" xr:uid="{00000000-0005-0000-0000-000019610000}"/>
    <cellStyle name="Note 3 2 4 2 2 2 2" xfId="40664" xr:uid="{30997989-4838-493E-ABB4-5C81F61E80D0}"/>
    <cellStyle name="Note 3 2 4 2 2 3" xfId="24768" xr:uid="{00000000-0005-0000-0000-00001A610000}"/>
    <cellStyle name="Note 3 2 4 2 2 3 2" xfId="48600" xr:uid="{F1027CCE-C9BA-4CC0-AB51-4511EF800A5F}"/>
    <cellStyle name="Note 3 2 4 2 2 4" xfId="32723" xr:uid="{AD2942F7-6BBB-42B2-A9AB-A9AE1629D664}"/>
    <cellStyle name="Note 3 2 4 2 3" xfId="13284" xr:uid="{00000000-0005-0000-0000-00001B610000}"/>
    <cellStyle name="Note 3 2 4 2 3 2" xfId="37133" xr:uid="{431298A4-C0C0-43AD-A298-653C9CB10C65}"/>
    <cellStyle name="Note 3 2 4 2 4" xfId="21239" xr:uid="{00000000-0005-0000-0000-00001C610000}"/>
    <cellStyle name="Note 3 2 4 2 4 2" xfId="45071" xr:uid="{A2493C34-3260-48AB-8210-3C83035CF1D4}"/>
    <cellStyle name="Note 3 2 4 2 5" xfId="29192" xr:uid="{FC9552AF-91DF-42EB-9771-1FCA3ACDA939}"/>
    <cellStyle name="Note 3 2 4 3" xfId="7093" xr:uid="{00000000-0005-0000-0000-00001D610000}"/>
    <cellStyle name="Note 3 2 4 3 2" xfId="15064" xr:uid="{00000000-0005-0000-0000-00001E610000}"/>
    <cellStyle name="Note 3 2 4 3 2 2" xfId="38906" xr:uid="{4F01DC0B-37A5-4003-A22A-753C43D07524}"/>
    <cellStyle name="Note 3 2 4 3 3" xfId="23011" xr:uid="{00000000-0005-0000-0000-00001F610000}"/>
    <cellStyle name="Note 3 2 4 3 3 2" xfId="46843" xr:uid="{AFB919D3-A867-43D8-8B4B-8F6D3DD739CE}"/>
    <cellStyle name="Note 3 2 4 3 4" xfId="30965" xr:uid="{B5B4E587-7315-4B6B-80F8-7BBEFCC6E508}"/>
    <cellStyle name="Note 3 2 4 4" xfId="11528" xr:uid="{00000000-0005-0000-0000-000020610000}"/>
    <cellStyle name="Note 3 2 4 4 2" xfId="35377" xr:uid="{50F65C4B-4DAB-41B0-BDED-668C05AEA02D}"/>
    <cellStyle name="Note 3 2 4 5" xfId="19483" xr:uid="{00000000-0005-0000-0000-000021610000}"/>
    <cellStyle name="Note 3 2 4 5 2" xfId="43315" xr:uid="{036794DC-56E2-4581-BA4F-27C627ECE91C}"/>
    <cellStyle name="Note 3 2 4 6" xfId="27435" xr:uid="{59BBAF8D-B9B4-44D2-B065-8D507018E488}"/>
    <cellStyle name="Note 3 2 4_Exh G" xfId="3623" xr:uid="{00000000-0005-0000-0000-000022610000}"/>
    <cellStyle name="Note 3 2 5" xfId="4382" xr:uid="{00000000-0005-0000-0000-000023610000}"/>
    <cellStyle name="Note 3 2 5 2" xfId="7974" xr:uid="{00000000-0005-0000-0000-000024610000}"/>
    <cellStyle name="Note 3 2 5 2 2" xfId="15944" xr:uid="{00000000-0005-0000-0000-000025610000}"/>
    <cellStyle name="Note 3 2 5 2 2 2" xfId="39786" xr:uid="{5EE7B064-EA11-46CD-9885-5FFE4A89C04E}"/>
    <cellStyle name="Note 3 2 5 2 3" xfId="23890" xr:uid="{00000000-0005-0000-0000-000026610000}"/>
    <cellStyle name="Note 3 2 5 2 3 2" xfId="47722" xr:uid="{6B89D417-7ABE-4C9C-A1B1-7C5AD9219FA8}"/>
    <cellStyle name="Note 3 2 5 2 4" xfId="31845" xr:uid="{5933D7AD-4A20-48F8-AE40-CD59F4A197B2}"/>
    <cellStyle name="Note 3 2 5 3" xfId="12406" xr:uid="{00000000-0005-0000-0000-000027610000}"/>
    <cellStyle name="Note 3 2 5 3 2" xfId="36255" xr:uid="{0C776FCE-5723-46FF-8F64-A28AF0736F5E}"/>
    <cellStyle name="Note 3 2 5 4" xfId="20361" xr:uid="{00000000-0005-0000-0000-000028610000}"/>
    <cellStyle name="Note 3 2 5 4 2" xfId="44193" xr:uid="{2D7D7EFD-DC4D-4D75-BEB5-D22F6B3CAEC3}"/>
    <cellStyle name="Note 3 2 5 5" xfId="28314" xr:uid="{A7EF257F-6B7B-426D-91EE-A180EEAD9FA0}"/>
    <cellStyle name="Note 3 2 6" xfId="6202" xr:uid="{00000000-0005-0000-0000-000029610000}"/>
    <cellStyle name="Note 3 2 6 2" xfId="14185" xr:uid="{00000000-0005-0000-0000-00002A610000}"/>
    <cellStyle name="Note 3 2 6 2 2" xfId="38028" xr:uid="{B00778F9-CCE8-4A04-A952-A13E2240F198}"/>
    <cellStyle name="Note 3 2 6 3" xfId="22133" xr:uid="{00000000-0005-0000-0000-00002B610000}"/>
    <cellStyle name="Note 3 2 6 3 2" xfId="45965" xr:uid="{5C887453-FF2F-4A43-AC7E-8959EFF4482A}"/>
    <cellStyle name="Note 3 2 6 4" xfId="30087" xr:uid="{4B3BC7C9-E8DA-492D-ABDA-3D6366B7FB89}"/>
    <cellStyle name="Note 3 2 7" xfId="9754" xr:uid="{00000000-0005-0000-0000-00002C610000}"/>
    <cellStyle name="Note 3 2 7 2" xfId="17712" xr:uid="{00000000-0005-0000-0000-00002D610000}"/>
    <cellStyle name="Note 3 2 7 2 2" xfId="41552" xr:uid="{4AFE8ECB-75A4-4DA1-9236-F7741121EA49}"/>
    <cellStyle name="Note 3 2 7 3" xfId="25656" xr:uid="{00000000-0005-0000-0000-00002E610000}"/>
    <cellStyle name="Note 3 2 7 3 2" xfId="49488" xr:uid="{CD5A4773-FE9F-4500-A892-083C650E0916}"/>
    <cellStyle name="Note 3 2 7 4" xfId="33611" xr:uid="{E995FA6C-1587-4953-9448-B0C0E107314E}"/>
    <cellStyle name="Note 3 2 8" xfId="10650" xr:uid="{00000000-0005-0000-0000-00002F610000}"/>
    <cellStyle name="Note 3 2 8 2" xfId="34499" xr:uid="{42823E75-50F5-4E58-9093-1BE7ADB34D86}"/>
    <cellStyle name="Note 3 2 9" xfId="18605" xr:uid="{00000000-0005-0000-0000-000030610000}"/>
    <cellStyle name="Note 3 2 9 2" xfId="42437" xr:uid="{07937E32-2919-4189-BFD1-9A8200F1C7CD}"/>
    <cellStyle name="Note 3 2_Exh G" xfId="3618" xr:uid="{00000000-0005-0000-0000-000031610000}"/>
    <cellStyle name="Note 3 3" xfId="710" xr:uid="{00000000-0005-0000-0000-000032610000}"/>
    <cellStyle name="Note 3 3 2" xfId="1736" xr:uid="{00000000-0005-0000-0000-000033610000}"/>
    <cellStyle name="Note 3 3 2 2" xfId="5263" xr:uid="{00000000-0005-0000-0000-000034610000}"/>
    <cellStyle name="Note 3 3 2 2 2" xfId="8854" xr:uid="{00000000-0005-0000-0000-000035610000}"/>
    <cellStyle name="Note 3 3 2 2 2 2" xfId="16824" xr:uid="{00000000-0005-0000-0000-000036610000}"/>
    <cellStyle name="Note 3 3 2 2 2 2 2" xfId="40666" xr:uid="{3D4EC562-8F58-4C88-B890-41A74A9B5253}"/>
    <cellStyle name="Note 3 3 2 2 2 3" xfId="24770" xr:uid="{00000000-0005-0000-0000-000037610000}"/>
    <cellStyle name="Note 3 3 2 2 2 3 2" xfId="48602" xr:uid="{5EC36D32-C060-40F2-B90E-4CF635EA440A}"/>
    <cellStyle name="Note 3 3 2 2 2 4" xfId="32725" xr:uid="{45361EB8-603E-4BF9-AACD-E004534C2A95}"/>
    <cellStyle name="Note 3 3 2 2 3" xfId="13286" xr:uid="{00000000-0005-0000-0000-000038610000}"/>
    <cellStyle name="Note 3 3 2 2 3 2" xfId="37135" xr:uid="{43334850-09A4-4721-A4B7-D8AF84164156}"/>
    <cellStyle name="Note 3 3 2 2 4" xfId="21241" xr:uid="{00000000-0005-0000-0000-000039610000}"/>
    <cellStyle name="Note 3 3 2 2 4 2" xfId="45073" xr:uid="{410CF50F-B7CC-4431-9AA0-76703E8546E0}"/>
    <cellStyle name="Note 3 3 2 2 5" xfId="29194" xr:uid="{DCCF3F41-8887-4FA2-A2C2-F09EC86CD547}"/>
    <cellStyle name="Note 3 3 2 3" xfId="7095" xr:uid="{00000000-0005-0000-0000-00003A610000}"/>
    <cellStyle name="Note 3 3 2 3 2" xfId="15066" xr:uid="{00000000-0005-0000-0000-00003B610000}"/>
    <cellStyle name="Note 3 3 2 3 2 2" xfId="38908" xr:uid="{1C0AF8C2-D551-4B49-9CB6-C0EE317C5339}"/>
    <cellStyle name="Note 3 3 2 3 3" xfId="23013" xr:uid="{00000000-0005-0000-0000-00003C610000}"/>
    <cellStyle name="Note 3 3 2 3 3 2" xfId="46845" xr:uid="{3B6B859E-4C0D-4BB7-92BB-BCDFDB3DDD61}"/>
    <cellStyle name="Note 3 3 2 3 4" xfId="30967" xr:uid="{2D25DD51-32AB-4040-978C-FABB22378B49}"/>
    <cellStyle name="Note 3 3 2 4" xfId="11530" xr:uid="{00000000-0005-0000-0000-00003D610000}"/>
    <cellStyle name="Note 3 3 2 4 2" xfId="35379" xr:uid="{3F6385C2-FC6F-482E-8A33-9596625C9CDD}"/>
    <cellStyle name="Note 3 3 2 5" xfId="19485" xr:uid="{00000000-0005-0000-0000-00003E610000}"/>
    <cellStyle name="Note 3 3 2 5 2" xfId="43317" xr:uid="{B5F1C266-10DF-48D6-AA6C-3E5074C20486}"/>
    <cellStyle name="Note 3 3 2 6" xfId="27437" xr:uid="{032BDB11-B4F2-4915-8B75-128FB913C06A}"/>
    <cellStyle name="Note 3 3 2_Exh G" xfId="3625" xr:uid="{00000000-0005-0000-0000-00003F610000}"/>
    <cellStyle name="Note 3 3 3" xfId="4384" xr:uid="{00000000-0005-0000-0000-000040610000}"/>
    <cellStyle name="Note 3 3 3 2" xfId="7976" xr:uid="{00000000-0005-0000-0000-000041610000}"/>
    <cellStyle name="Note 3 3 3 2 2" xfId="15946" xr:uid="{00000000-0005-0000-0000-000042610000}"/>
    <cellStyle name="Note 3 3 3 2 2 2" xfId="39788" xr:uid="{360BC41A-7400-4044-A4D1-5092FCCCE01D}"/>
    <cellStyle name="Note 3 3 3 2 3" xfId="23892" xr:uid="{00000000-0005-0000-0000-000043610000}"/>
    <cellStyle name="Note 3 3 3 2 3 2" xfId="47724" xr:uid="{820731CD-AE79-4BEC-B0B8-C1B739AAB180}"/>
    <cellStyle name="Note 3 3 3 2 4" xfId="31847" xr:uid="{1F39B73B-BD46-4BCD-BE42-CE270CC8D781}"/>
    <cellStyle name="Note 3 3 3 3" xfId="12408" xr:uid="{00000000-0005-0000-0000-000044610000}"/>
    <cellStyle name="Note 3 3 3 3 2" xfId="36257" xr:uid="{287CDA20-53BC-4721-B9B3-E5B717B79C3C}"/>
    <cellStyle name="Note 3 3 3 4" xfId="20363" xr:uid="{00000000-0005-0000-0000-000045610000}"/>
    <cellStyle name="Note 3 3 3 4 2" xfId="44195" xr:uid="{25CF6AAA-5CD3-4519-85CC-3D345333CA87}"/>
    <cellStyle name="Note 3 3 3 5" xfId="28316" xr:uid="{5826EBDB-556E-4E4C-BFF1-40B42840F862}"/>
    <cellStyle name="Note 3 3 4" xfId="6204" xr:uid="{00000000-0005-0000-0000-000046610000}"/>
    <cellStyle name="Note 3 3 4 2" xfId="14187" xr:uid="{00000000-0005-0000-0000-000047610000}"/>
    <cellStyle name="Note 3 3 4 2 2" xfId="38030" xr:uid="{8AD30DC4-ED02-4E73-8A35-DA67F015BB3F}"/>
    <cellStyle name="Note 3 3 4 3" xfId="22135" xr:uid="{00000000-0005-0000-0000-000048610000}"/>
    <cellStyle name="Note 3 3 4 3 2" xfId="45967" xr:uid="{24D595EB-E499-47B0-A712-F8A5A1D80068}"/>
    <cellStyle name="Note 3 3 4 4" xfId="30089" xr:uid="{87E6B75B-6827-46E6-8D82-F7FDE5166402}"/>
    <cellStyle name="Note 3 3 5" xfId="9756" xr:uid="{00000000-0005-0000-0000-000049610000}"/>
    <cellStyle name="Note 3 3 5 2" xfId="17714" xr:uid="{00000000-0005-0000-0000-00004A610000}"/>
    <cellStyle name="Note 3 3 5 2 2" xfId="41554" xr:uid="{39F10505-7C4D-4AC1-9796-462B67C344A8}"/>
    <cellStyle name="Note 3 3 5 3" xfId="25658" xr:uid="{00000000-0005-0000-0000-00004B610000}"/>
    <cellStyle name="Note 3 3 5 3 2" xfId="49490" xr:uid="{9126D5F1-AE7B-4384-A645-20E8D7C84E80}"/>
    <cellStyle name="Note 3 3 5 4" xfId="33613" xr:uid="{9D74E631-911B-45AC-A39B-DBFF17AC3C9A}"/>
    <cellStyle name="Note 3 3 6" xfId="10652" xr:uid="{00000000-0005-0000-0000-00004C610000}"/>
    <cellStyle name="Note 3 3 6 2" xfId="34501" xr:uid="{D432CF03-600E-4C96-9AAC-158E2D7A1A20}"/>
    <cellStyle name="Note 3 3 7" xfId="18607" xr:uid="{00000000-0005-0000-0000-00004D610000}"/>
    <cellStyle name="Note 3 3 7 2" xfId="42439" xr:uid="{778C0D98-1BFE-44A3-8EAC-2624B3E05066}"/>
    <cellStyle name="Note 3 3 8" xfId="26559" xr:uid="{2BEE991B-791F-4376-B7BD-79900E285D3C}"/>
    <cellStyle name="Note 3 3_Exh G" xfId="3624" xr:uid="{00000000-0005-0000-0000-00004E610000}"/>
    <cellStyle name="Note 3 4" xfId="1029" xr:uid="{00000000-0005-0000-0000-00004F610000}"/>
    <cellStyle name="Note 3 4 2" xfId="1925" xr:uid="{00000000-0005-0000-0000-000050610000}"/>
    <cellStyle name="Note 3 4 2 2" xfId="5442" xr:uid="{00000000-0005-0000-0000-000051610000}"/>
    <cellStyle name="Note 3 4 2 2 2" xfId="9033" xr:uid="{00000000-0005-0000-0000-000052610000}"/>
    <cellStyle name="Note 3 4 2 2 2 2" xfId="17003" xr:uid="{00000000-0005-0000-0000-000053610000}"/>
    <cellStyle name="Note 3 4 2 2 2 2 2" xfId="40845" xr:uid="{E998324A-0935-4C79-AC08-FD0850B8B0FD}"/>
    <cellStyle name="Note 3 4 2 2 2 3" xfId="24949" xr:uid="{00000000-0005-0000-0000-000054610000}"/>
    <cellStyle name="Note 3 4 2 2 2 3 2" xfId="48781" xr:uid="{EBA96485-CEB0-4806-AD4C-690D2275441A}"/>
    <cellStyle name="Note 3 4 2 2 2 4" xfId="32904" xr:uid="{F5741EE3-F4D6-45BE-845B-185699576D1E}"/>
    <cellStyle name="Note 3 4 2 2 3" xfId="13465" xr:uid="{00000000-0005-0000-0000-000055610000}"/>
    <cellStyle name="Note 3 4 2 2 3 2" xfId="37314" xr:uid="{A38DF0F0-4603-4B49-848F-52B33B297144}"/>
    <cellStyle name="Note 3 4 2 2 4" xfId="21420" xr:uid="{00000000-0005-0000-0000-000056610000}"/>
    <cellStyle name="Note 3 4 2 2 4 2" xfId="45252" xr:uid="{E0F3E358-7C89-4422-9958-D4C8CA38F6E6}"/>
    <cellStyle name="Note 3 4 2 2 5" xfId="29373" xr:uid="{B62FEA4A-EDE6-4E8D-95BB-93861FCBC147}"/>
    <cellStyle name="Note 3 4 2 3" xfId="7274" xr:uid="{00000000-0005-0000-0000-000057610000}"/>
    <cellStyle name="Note 3 4 2 3 2" xfId="15245" xr:uid="{00000000-0005-0000-0000-000058610000}"/>
    <cellStyle name="Note 3 4 2 3 2 2" xfId="39087" xr:uid="{5B197E4E-C963-437D-84B1-BE810ABD4421}"/>
    <cellStyle name="Note 3 4 2 3 3" xfId="23192" xr:uid="{00000000-0005-0000-0000-000059610000}"/>
    <cellStyle name="Note 3 4 2 3 3 2" xfId="47024" xr:uid="{8801ECFE-1941-40E1-B59E-D91D7CD6E26B}"/>
    <cellStyle name="Note 3 4 2 3 4" xfId="31146" xr:uid="{555B2196-D28B-4E21-A33C-B8E6EFF2E3AA}"/>
    <cellStyle name="Note 3 4 2 4" xfId="11709" xr:uid="{00000000-0005-0000-0000-00005A610000}"/>
    <cellStyle name="Note 3 4 2 4 2" xfId="35558" xr:uid="{F124FED4-CBF2-40B3-A471-A66346602EA4}"/>
    <cellStyle name="Note 3 4 2 5" xfId="19664" xr:uid="{00000000-0005-0000-0000-00005B610000}"/>
    <cellStyle name="Note 3 4 2 5 2" xfId="43496" xr:uid="{6B4AF556-A528-4F90-9F8C-483A96D4F110}"/>
    <cellStyle name="Note 3 4 2 6" xfId="27616" xr:uid="{914693AE-7C9F-4B4F-9D1E-D8AE35C4DAC1}"/>
    <cellStyle name="Note 3 4 2_Exh G" xfId="3627" xr:uid="{00000000-0005-0000-0000-00005C610000}"/>
    <cellStyle name="Note 3 4 3" xfId="4563" xr:uid="{00000000-0005-0000-0000-00005D610000}"/>
    <cellStyle name="Note 3 4 3 2" xfId="8155" xr:uid="{00000000-0005-0000-0000-00005E610000}"/>
    <cellStyle name="Note 3 4 3 2 2" xfId="16125" xr:uid="{00000000-0005-0000-0000-00005F610000}"/>
    <cellStyle name="Note 3 4 3 2 2 2" xfId="39967" xr:uid="{A7741515-17CF-43A8-934C-9672883F1CB5}"/>
    <cellStyle name="Note 3 4 3 2 3" xfId="24071" xr:uid="{00000000-0005-0000-0000-000060610000}"/>
    <cellStyle name="Note 3 4 3 2 3 2" xfId="47903" xr:uid="{66C7D503-61A3-4FAC-9567-F7C17293085A}"/>
    <cellStyle name="Note 3 4 3 2 4" xfId="32026" xr:uid="{F7EE02FF-C984-4ADB-AC94-AAC63E1AAD02}"/>
    <cellStyle name="Note 3 4 3 3" xfId="12587" xr:uid="{00000000-0005-0000-0000-000061610000}"/>
    <cellStyle name="Note 3 4 3 3 2" xfId="36436" xr:uid="{FDB8E15D-2E86-4653-92E4-B89489EC88E0}"/>
    <cellStyle name="Note 3 4 3 4" xfId="20542" xr:uid="{00000000-0005-0000-0000-000062610000}"/>
    <cellStyle name="Note 3 4 3 4 2" xfId="44374" xr:uid="{4B951D95-46D1-4861-8784-684F85A64575}"/>
    <cellStyle name="Note 3 4 3 5" xfId="28495" xr:uid="{F6E9B008-54C4-4483-B83F-CE9262829539}"/>
    <cellStyle name="Note 3 4 4" xfId="6394" xr:uid="{00000000-0005-0000-0000-000063610000}"/>
    <cellStyle name="Note 3 4 4 2" xfId="14367" xr:uid="{00000000-0005-0000-0000-000064610000}"/>
    <cellStyle name="Note 3 4 4 2 2" xfId="38209" xr:uid="{04D2193B-6360-4052-BD79-F9FA7CB2A117}"/>
    <cellStyle name="Note 3 4 4 3" xfId="22314" xr:uid="{00000000-0005-0000-0000-000065610000}"/>
    <cellStyle name="Note 3 4 4 3 2" xfId="46146" xr:uid="{9CF71EB1-070D-4C3B-95D4-5DB6A20B1E85}"/>
    <cellStyle name="Note 3 4 4 4" xfId="30268" xr:uid="{BA11CEA0-5397-4137-B309-02D3EBBC00D6}"/>
    <cellStyle name="Note 3 4 5" xfId="9935" xr:uid="{00000000-0005-0000-0000-000066610000}"/>
    <cellStyle name="Note 3 4 5 2" xfId="17893" xr:uid="{00000000-0005-0000-0000-000067610000}"/>
    <cellStyle name="Note 3 4 5 2 2" xfId="41733" xr:uid="{DA172E84-C7F5-405E-9FB4-4BBB88791E0A}"/>
    <cellStyle name="Note 3 4 5 3" xfId="25837" xr:uid="{00000000-0005-0000-0000-000068610000}"/>
    <cellStyle name="Note 3 4 5 3 2" xfId="49669" xr:uid="{1B21245F-19FE-467E-B332-EBCB7E9413F7}"/>
    <cellStyle name="Note 3 4 5 4" xfId="33792" xr:uid="{5CF0B842-E019-48A5-AC8D-60BFA2E44220}"/>
    <cellStyle name="Note 3 4 6" xfId="10831" xr:uid="{00000000-0005-0000-0000-000069610000}"/>
    <cellStyle name="Note 3 4 6 2" xfId="34680" xr:uid="{746FBD09-863C-4178-A65D-27595F432013}"/>
    <cellStyle name="Note 3 4 7" xfId="18786" xr:uid="{00000000-0005-0000-0000-00006A610000}"/>
    <cellStyle name="Note 3 4 7 2" xfId="42618" xr:uid="{F13E9778-F0C5-4211-96E1-9767B6ED5466}"/>
    <cellStyle name="Note 3 4 8" xfId="26738" xr:uid="{D2478A99-180C-4A7B-9FA0-C82B5F96EFE7}"/>
    <cellStyle name="Note 3 4_Exh G" xfId="3626" xr:uid="{00000000-0005-0000-0000-00006B610000}"/>
    <cellStyle name="Note 3 5" xfId="1733" xr:uid="{00000000-0005-0000-0000-00006C610000}"/>
    <cellStyle name="Note 3 5 2" xfId="5260" xr:uid="{00000000-0005-0000-0000-00006D610000}"/>
    <cellStyle name="Note 3 5 2 2" xfId="8851" xr:uid="{00000000-0005-0000-0000-00006E610000}"/>
    <cellStyle name="Note 3 5 2 2 2" xfId="16821" xr:uid="{00000000-0005-0000-0000-00006F610000}"/>
    <cellStyle name="Note 3 5 2 2 2 2" xfId="40663" xr:uid="{14BADD2C-461C-46CA-AF15-B628B902F7D0}"/>
    <cellStyle name="Note 3 5 2 2 3" xfId="24767" xr:uid="{00000000-0005-0000-0000-000070610000}"/>
    <cellStyle name="Note 3 5 2 2 3 2" xfId="48599" xr:uid="{F4ED67C3-1CB3-4F5C-BF39-C2FCE8A36200}"/>
    <cellStyle name="Note 3 5 2 2 4" xfId="32722" xr:uid="{D445FD66-2BE8-4F39-9AC1-DA392AC6D2B5}"/>
    <cellStyle name="Note 3 5 2 3" xfId="13283" xr:uid="{00000000-0005-0000-0000-000071610000}"/>
    <cellStyle name="Note 3 5 2 3 2" xfId="37132" xr:uid="{AE3A92E5-62AC-4F0E-AA88-4E0F59ABF3C9}"/>
    <cellStyle name="Note 3 5 2 4" xfId="21238" xr:uid="{00000000-0005-0000-0000-000072610000}"/>
    <cellStyle name="Note 3 5 2 4 2" xfId="45070" xr:uid="{297C9924-C003-4BE6-A002-327CAE0EDC99}"/>
    <cellStyle name="Note 3 5 2 5" xfId="29191" xr:uid="{2D88ABD5-1D04-4C88-A235-F02F862FFA9E}"/>
    <cellStyle name="Note 3 5 3" xfId="7092" xr:uid="{00000000-0005-0000-0000-000073610000}"/>
    <cellStyle name="Note 3 5 3 2" xfId="15063" xr:uid="{00000000-0005-0000-0000-000074610000}"/>
    <cellStyle name="Note 3 5 3 2 2" xfId="38905" xr:uid="{07AA3B43-8466-492B-9B9A-39AFA8A1687D}"/>
    <cellStyle name="Note 3 5 3 3" xfId="23010" xr:uid="{00000000-0005-0000-0000-000075610000}"/>
    <cellStyle name="Note 3 5 3 3 2" xfId="46842" xr:uid="{AD9BC99D-56D9-4F70-BB3F-190AE9BA3F06}"/>
    <cellStyle name="Note 3 5 3 4" xfId="30964" xr:uid="{6B67647B-5C31-45D6-A58D-C83B3237EF12}"/>
    <cellStyle name="Note 3 5 4" xfId="11527" xr:uid="{00000000-0005-0000-0000-000076610000}"/>
    <cellStyle name="Note 3 5 4 2" xfId="35376" xr:uid="{2E9CFF69-3BC9-48E1-BC30-DC029A116AAB}"/>
    <cellStyle name="Note 3 5 5" xfId="19482" xr:uid="{00000000-0005-0000-0000-000077610000}"/>
    <cellStyle name="Note 3 5 5 2" xfId="43314" xr:uid="{3E3F657E-F04A-43B5-BF59-C3E2563A5CAB}"/>
    <cellStyle name="Note 3 5 6" xfId="27434" xr:uid="{22685268-C87F-4F27-8197-3AC3DEE832D4}"/>
    <cellStyle name="Note 3 5_Exh G" xfId="3628" xr:uid="{00000000-0005-0000-0000-000078610000}"/>
    <cellStyle name="Note 3 6" xfId="4381" xr:uid="{00000000-0005-0000-0000-000079610000}"/>
    <cellStyle name="Note 3 6 2" xfId="7973" xr:uid="{00000000-0005-0000-0000-00007A610000}"/>
    <cellStyle name="Note 3 6 2 2" xfId="15943" xr:uid="{00000000-0005-0000-0000-00007B610000}"/>
    <cellStyle name="Note 3 6 2 2 2" xfId="39785" xr:uid="{C1C7BE83-6093-4C35-A525-F4A3261DAB01}"/>
    <cellStyle name="Note 3 6 2 3" xfId="23889" xr:uid="{00000000-0005-0000-0000-00007C610000}"/>
    <cellStyle name="Note 3 6 2 3 2" xfId="47721" xr:uid="{BB243D5E-9655-4512-B853-8DE8B08C4549}"/>
    <cellStyle name="Note 3 6 2 4" xfId="31844" xr:uid="{6AB8578E-468B-4E92-A302-233B9077DE7B}"/>
    <cellStyle name="Note 3 6 3" xfId="12405" xr:uid="{00000000-0005-0000-0000-00007D610000}"/>
    <cellStyle name="Note 3 6 3 2" xfId="36254" xr:uid="{3DBA577D-AA71-4F81-9B07-2DB13991B68E}"/>
    <cellStyle name="Note 3 6 4" xfId="20360" xr:uid="{00000000-0005-0000-0000-00007E610000}"/>
    <cellStyle name="Note 3 6 4 2" xfId="44192" xr:uid="{75DD7661-7D1B-43D4-9BB1-4F5754795FD3}"/>
    <cellStyle name="Note 3 6 5" xfId="28313" xr:uid="{A4A01372-5851-4C13-B65F-97D82DD75FCD}"/>
    <cellStyle name="Note 3 7" xfId="6201" xr:uid="{00000000-0005-0000-0000-00007F610000}"/>
    <cellStyle name="Note 3 7 2" xfId="14184" xr:uid="{00000000-0005-0000-0000-000080610000}"/>
    <cellStyle name="Note 3 7 2 2" xfId="38027" xr:uid="{6D36E7A4-2F00-403F-8BD4-792F9A6A917D}"/>
    <cellStyle name="Note 3 7 3" xfId="22132" xr:uid="{00000000-0005-0000-0000-000081610000}"/>
    <cellStyle name="Note 3 7 3 2" xfId="45964" xr:uid="{CCD0A004-C5A5-45F9-B6DA-F950D9703035}"/>
    <cellStyle name="Note 3 7 4" xfId="30086" xr:uid="{BF9CF525-0B6C-41D0-B5DB-C5EC4A592F2B}"/>
    <cellStyle name="Note 3 8" xfId="9753" xr:uid="{00000000-0005-0000-0000-000082610000}"/>
    <cellStyle name="Note 3 8 2" xfId="17711" xr:uid="{00000000-0005-0000-0000-000083610000}"/>
    <cellStyle name="Note 3 8 2 2" xfId="41551" xr:uid="{9D5952C5-282C-4EE3-A875-EC373295A783}"/>
    <cellStyle name="Note 3 8 3" xfId="25655" xr:uid="{00000000-0005-0000-0000-000084610000}"/>
    <cellStyle name="Note 3 8 3 2" xfId="49487" xr:uid="{766E9775-2FA5-4721-B806-457BE6536DF3}"/>
    <cellStyle name="Note 3 8 4" xfId="33610" xr:uid="{BD35423C-9EBD-4F7E-A555-758236DA82C8}"/>
    <cellStyle name="Note 3 9" xfId="10649" xr:uid="{00000000-0005-0000-0000-000085610000}"/>
    <cellStyle name="Note 3 9 2" xfId="34498" xr:uid="{D4B06940-31DF-4CC5-99E4-FEDFEFB1E3D1}"/>
    <cellStyle name="Note 3_Exh G" xfId="3617" xr:uid="{00000000-0005-0000-0000-000086610000}"/>
    <cellStyle name="Note 4" xfId="711" xr:uid="{00000000-0005-0000-0000-000087610000}"/>
    <cellStyle name="Note 4 10" xfId="18608" xr:uid="{00000000-0005-0000-0000-000088610000}"/>
    <cellStyle name="Note 4 10 2" xfId="42440" xr:uid="{34CE7AA6-1085-40FA-8783-DD3E11E8EF20}"/>
    <cellStyle name="Note 4 11" xfId="26560" xr:uid="{7A489559-C85F-4B11-B769-B9BD4A4CCE23}"/>
    <cellStyle name="Note 4 2" xfId="712" xr:uid="{00000000-0005-0000-0000-000089610000}"/>
    <cellStyle name="Note 4 2 10" xfId="26561" xr:uid="{86C54F27-367D-41D0-AC67-F81A145F9D9D}"/>
    <cellStyle name="Note 4 2 2" xfId="713" xr:uid="{00000000-0005-0000-0000-00008A610000}"/>
    <cellStyle name="Note 4 2 2 2" xfId="1739" xr:uid="{00000000-0005-0000-0000-00008B610000}"/>
    <cellStyle name="Note 4 2 2 2 2" xfId="5266" xr:uid="{00000000-0005-0000-0000-00008C610000}"/>
    <cellStyle name="Note 4 2 2 2 2 2" xfId="8857" xr:uid="{00000000-0005-0000-0000-00008D610000}"/>
    <cellStyle name="Note 4 2 2 2 2 2 2" xfId="16827" xr:uid="{00000000-0005-0000-0000-00008E610000}"/>
    <cellStyle name="Note 4 2 2 2 2 2 2 2" xfId="40669" xr:uid="{9D347AF4-D494-426F-B7E8-2DF293E5706F}"/>
    <cellStyle name="Note 4 2 2 2 2 2 3" xfId="24773" xr:uid="{00000000-0005-0000-0000-00008F610000}"/>
    <cellStyle name="Note 4 2 2 2 2 2 3 2" xfId="48605" xr:uid="{06D67D3D-AE27-4E39-9691-E69086B56FE6}"/>
    <cellStyle name="Note 4 2 2 2 2 2 4" xfId="32728" xr:uid="{DAF12688-749F-4FAD-9518-D577BCEE2993}"/>
    <cellStyle name="Note 4 2 2 2 2 3" xfId="13289" xr:uid="{00000000-0005-0000-0000-000090610000}"/>
    <cellStyle name="Note 4 2 2 2 2 3 2" xfId="37138" xr:uid="{EC2496A0-6D2C-4E99-A5F3-2807C773A8F0}"/>
    <cellStyle name="Note 4 2 2 2 2 4" xfId="21244" xr:uid="{00000000-0005-0000-0000-000091610000}"/>
    <cellStyle name="Note 4 2 2 2 2 4 2" xfId="45076" xr:uid="{8257B93F-D2EE-4D5D-A08D-7DEAE601826B}"/>
    <cellStyle name="Note 4 2 2 2 2 5" xfId="29197" xr:uid="{CA0D0BDE-1E4C-4E22-9669-BE7640D23E86}"/>
    <cellStyle name="Note 4 2 2 2 3" xfId="7098" xr:uid="{00000000-0005-0000-0000-000092610000}"/>
    <cellStyle name="Note 4 2 2 2 3 2" xfId="15069" xr:uid="{00000000-0005-0000-0000-000093610000}"/>
    <cellStyle name="Note 4 2 2 2 3 2 2" xfId="38911" xr:uid="{E47DAA2E-418A-4742-B32C-C30548CE04D8}"/>
    <cellStyle name="Note 4 2 2 2 3 3" xfId="23016" xr:uid="{00000000-0005-0000-0000-000094610000}"/>
    <cellStyle name="Note 4 2 2 2 3 3 2" xfId="46848" xr:uid="{00F48420-3030-4C45-B3F4-81E7D06E6B11}"/>
    <cellStyle name="Note 4 2 2 2 3 4" xfId="30970" xr:uid="{6B9E348E-A663-4053-8C5C-A48880595074}"/>
    <cellStyle name="Note 4 2 2 2 4" xfId="11533" xr:uid="{00000000-0005-0000-0000-000095610000}"/>
    <cellStyle name="Note 4 2 2 2 4 2" xfId="35382" xr:uid="{8344CFB2-7EE7-444E-B2FE-EF42385D308C}"/>
    <cellStyle name="Note 4 2 2 2 5" xfId="19488" xr:uid="{00000000-0005-0000-0000-000096610000}"/>
    <cellStyle name="Note 4 2 2 2 5 2" xfId="43320" xr:uid="{ACD855E5-C869-468C-BEC1-28697EEB4A7F}"/>
    <cellStyle name="Note 4 2 2 2 6" xfId="27440" xr:uid="{DF60F928-864F-4C51-B25D-5E3B69E227F2}"/>
    <cellStyle name="Note 4 2 2 2_Exh G" xfId="3632" xr:uid="{00000000-0005-0000-0000-000097610000}"/>
    <cellStyle name="Note 4 2 2 3" xfId="4387" xr:uid="{00000000-0005-0000-0000-000098610000}"/>
    <cellStyle name="Note 4 2 2 3 2" xfId="7979" xr:uid="{00000000-0005-0000-0000-000099610000}"/>
    <cellStyle name="Note 4 2 2 3 2 2" xfId="15949" xr:uid="{00000000-0005-0000-0000-00009A610000}"/>
    <cellStyle name="Note 4 2 2 3 2 2 2" xfId="39791" xr:uid="{CD262D43-45BB-4047-B11D-0FFCB079D8F5}"/>
    <cellStyle name="Note 4 2 2 3 2 3" xfId="23895" xr:uid="{00000000-0005-0000-0000-00009B610000}"/>
    <cellStyle name="Note 4 2 2 3 2 3 2" xfId="47727" xr:uid="{2635D312-EA24-4F6F-A1C0-EE0DF793AE13}"/>
    <cellStyle name="Note 4 2 2 3 2 4" xfId="31850" xr:uid="{4E5FF219-4DF1-4B4F-8F2B-FEAE1743AFDC}"/>
    <cellStyle name="Note 4 2 2 3 3" xfId="12411" xr:uid="{00000000-0005-0000-0000-00009C610000}"/>
    <cellStyle name="Note 4 2 2 3 3 2" xfId="36260" xr:uid="{B6ED9608-BCB0-4194-8403-F3C54AB0F58C}"/>
    <cellStyle name="Note 4 2 2 3 4" xfId="20366" xr:uid="{00000000-0005-0000-0000-00009D610000}"/>
    <cellStyle name="Note 4 2 2 3 4 2" xfId="44198" xr:uid="{4B028F36-360C-4815-BD15-50DC3999821B}"/>
    <cellStyle name="Note 4 2 2 3 5" xfId="28319" xr:uid="{B581D3A9-F677-4C18-A6EB-2D136787B938}"/>
    <cellStyle name="Note 4 2 2 4" xfId="6207" xr:uid="{00000000-0005-0000-0000-00009E610000}"/>
    <cellStyle name="Note 4 2 2 4 2" xfId="14190" xr:uid="{00000000-0005-0000-0000-00009F610000}"/>
    <cellStyle name="Note 4 2 2 4 2 2" xfId="38033" xr:uid="{A26DBBDD-99E7-4AC5-A00B-6B90223DA0E3}"/>
    <cellStyle name="Note 4 2 2 4 3" xfId="22138" xr:uid="{00000000-0005-0000-0000-0000A0610000}"/>
    <cellStyle name="Note 4 2 2 4 3 2" xfId="45970" xr:uid="{574FC560-4F3F-46E8-97AA-33B7706F838E}"/>
    <cellStyle name="Note 4 2 2 4 4" xfId="30092" xr:uid="{0C164E33-CC66-4E1F-8BA8-A31BA412F28F}"/>
    <cellStyle name="Note 4 2 2 5" xfId="9759" xr:uid="{00000000-0005-0000-0000-0000A1610000}"/>
    <cellStyle name="Note 4 2 2 5 2" xfId="17717" xr:uid="{00000000-0005-0000-0000-0000A2610000}"/>
    <cellStyle name="Note 4 2 2 5 2 2" xfId="41557" xr:uid="{5566480E-34E9-484D-8B57-B43F7A5FFD4B}"/>
    <cellStyle name="Note 4 2 2 5 3" xfId="25661" xr:uid="{00000000-0005-0000-0000-0000A3610000}"/>
    <cellStyle name="Note 4 2 2 5 3 2" xfId="49493" xr:uid="{0294CC00-6205-4C4B-BAC7-9A2D1A45BED2}"/>
    <cellStyle name="Note 4 2 2 5 4" xfId="33616" xr:uid="{3DA0AF59-134C-49B8-BA5B-40ADD9FCEEFE}"/>
    <cellStyle name="Note 4 2 2 6" xfId="10655" xr:uid="{00000000-0005-0000-0000-0000A4610000}"/>
    <cellStyle name="Note 4 2 2 6 2" xfId="34504" xr:uid="{D1DBF110-02A8-4481-9756-4CB69C9FCAFE}"/>
    <cellStyle name="Note 4 2 2 7" xfId="18610" xr:uid="{00000000-0005-0000-0000-0000A5610000}"/>
    <cellStyle name="Note 4 2 2 7 2" xfId="42442" xr:uid="{6C7D00FA-FAD8-4135-B0EE-DE79F3E60531}"/>
    <cellStyle name="Note 4 2 2 8" xfId="26562" xr:uid="{1A76F685-025A-436A-91A6-ABCEC8C6E98D}"/>
    <cellStyle name="Note 4 2 2_Exh G" xfId="3631" xr:uid="{00000000-0005-0000-0000-0000A6610000}"/>
    <cellStyle name="Note 4 2 3" xfId="1032" xr:uid="{00000000-0005-0000-0000-0000A7610000}"/>
    <cellStyle name="Note 4 2 3 2" xfId="1928" xr:uid="{00000000-0005-0000-0000-0000A8610000}"/>
    <cellStyle name="Note 4 2 3 2 2" xfId="5445" xr:uid="{00000000-0005-0000-0000-0000A9610000}"/>
    <cellStyle name="Note 4 2 3 2 2 2" xfId="9036" xr:uid="{00000000-0005-0000-0000-0000AA610000}"/>
    <cellStyle name="Note 4 2 3 2 2 2 2" xfId="17006" xr:uid="{00000000-0005-0000-0000-0000AB610000}"/>
    <cellStyle name="Note 4 2 3 2 2 2 2 2" xfId="40848" xr:uid="{BD489DD2-43AC-4034-BFC1-D86620371774}"/>
    <cellStyle name="Note 4 2 3 2 2 2 3" xfId="24952" xr:uid="{00000000-0005-0000-0000-0000AC610000}"/>
    <cellStyle name="Note 4 2 3 2 2 2 3 2" xfId="48784" xr:uid="{4426528B-3F10-4374-8A09-11ABA6EB15A2}"/>
    <cellStyle name="Note 4 2 3 2 2 2 4" xfId="32907" xr:uid="{ECF1420E-A88D-4455-B0A8-AF20E79D5DE2}"/>
    <cellStyle name="Note 4 2 3 2 2 3" xfId="13468" xr:uid="{00000000-0005-0000-0000-0000AD610000}"/>
    <cellStyle name="Note 4 2 3 2 2 3 2" xfId="37317" xr:uid="{ECB406DD-0BE4-4C70-B6B6-5A6724CA0570}"/>
    <cellStyle name="Note 4 2 3 2 2 4" xfId="21423" xr:uid="{00000000-0005-0000-0000-0000AE610000}"/>
    <cellStyle name="Note 4 2 3 2 2 4 2" xfId="45255" xr:uid="{37E18582-9E1C-4ED2-8F56-EE1F88105DDA}"/>
    <cellStyle name="Note 4 2 3 2 2 5" xfId="29376" xr:uid="{26D01EE6-B61B-4303-BBD6-C6DE8A28ED86}"/>
    <cellStyle name="Note 4 2 3 2 3" xfId="7277" xr:uid="{00000000-0005-0000-0000-0000AF610000}"/>
    <cellStyle name="Note 4 2 3 2 3 2" xfId="15248" xr:uid="{00000000-0005-0000-0000-0000B0610000}"/>
    <cellStyle name="Note 4 2 3 2 3 2 2" xfId="39090" xr:uid="{A378248E-3D77-4ABD-B725-90E7AD1243F5}"/>
    <cellStyle name="Note 4 2 3 2 3 3" xfId="23195" xr:uid="{00000000-0005-0000-0000-0000B1610000}"/>
    <cellStyle name="Note 4 2 3 2 3 3 2" xfId="47027" xr:uid="{E639FF65-5407-47FC-9F19-6877B4912620}"/>
    <cellStyle name="Note 4 2 3 2 3 4" xfId="31149" xr:uid="{DBDB1A4E-EF9E-4971-8C00-FA0A268995B2}"/>
    <cellStyle name="Note 4 2 3 2 4" xfId="11712" xr:uid="{00000000-0005-0000-0000-0000B2610000}"/>
    <cellStyle name="Note 4 2 3 2 4 2" xfId="35561" xr:uid="{03A94A54-E2A1-4141-B299-7430082AF9D2}"/>
    <cellStyle name="Note 4 2 3 2 5" xfId="19667" xr:uid="{00000000-0005-0000-0000-0000B3610000}"/>
    <cellStyle name="Note 4 2 3 2 5 2" xfId="43499" xr:uid="{416BE71D-D28D-4CC3-8A2C-441BE1A793D9}"/>
    <cellStyle name="Note 4 2 3 2 6" xfId="27619" xr:uid="{8D753628-599F-4A0B-8B78-190D1D37F278}"/>
    <cellStyle name="Note 4 2 3 2_Exh G" xfId="3634" xr:uid="{00000000-0005-0000-0000-0000B4610000}"/>
    <cellStyle name="Note 4 2 3 3" xfId="4566" xr:uid="{00000000-0005-0000-0000-0000B5610000}"/>
    <cellStyle name="Note 4 2 3 3 2" xfId="8158" xr:uid="{00000000-0005-0000-0000-0000B6610000}"/>
    <cellStyle name="Note 4 2 3 3 2 2" xfId="16128" xr:uid="{00000000-0005-0000-0000-0000B7610000}"/>
    <cellStyle name="Note 4 2 3 3 2 2 2" xfId="39970" xr:uid="{E6609E2A-7901-4A0E-8C9F-239D80DD7D2A}"/>
    <cellStyle name="Note 4 2 3 3 2 3" xfId="24074" xr:uid="{00000000-0005-0000-0000-0000B8610000}"/>
    <cellStyle name="Note 4 2 3 3 2 3 2" xfId="47906" xr:uid="{F7C35BF1-B469-44AC-B539-06FA31A38DFF}"/>
    <cellStyle name="Note 4 2 3 3 2 4" xfId="32029" xr:uid="{7C948FDF-27C1-478E-9E13-35834C5F5C9C}"/>
    <cellStyle name="Note 4 2 3 3 3" xfId="12590" xr:uid="{00000000-0005-0000-0000-0000B9610000}"/>
    <cellStyle name="Note 4 2 3 3 3 2" xfId="36439" xr:uid="{E5202D3D-E9E4-42A1-9819-DCC25A0F2D76}"/>
    <cellStyle name="Note 4 2 3 3 4" xfId="20545" xr:uid="{00000000-0005-0000-0000-0000BA610000}"/>
    <cellStyle name="Note 4 2 3 3 4 2" xfId="44377" xr:uid="{B60EAFA9-F267-494E-BCD2-658892269974}"/>
    <cellStyle name="Note 4 2 3 3 5" xfId="28498" xr:uid="{9CA13B00-0FE9-4042-8E9E-2CE587823098}"/>
    <cellStyle name="Note 4 2 3 4" xfId="6397" xr:uid="{00000000-0005-0000-0000-0000BB610000}"/>
    <cellStyle name="Note 4 2 3 4 2" xfId="14370" xr:uid="{00000000-0005-0000-0000-0000BC610000}"/>
    <cellStyle name="Note 4 2 3 4 2 2" xfId="38212" xr:uid="{31765C46-5B1B-4917-AB24-D5CB841CE4A6}"/>
    <cellStyle name="Note 4 2 3 4 3" xfId="22317" xr:uid="{00000000-0005-0000-0000-0000BD610000}"/>
    <cellStyle name="Note 4 2 3 4 3 2" xfId="46149" xr:uid="{F80BF41F-4937-4B51-B811-FCA8045BF783}"/>
    <cellStyle name="Note 4 2 3 4 4" xfId="30271" xr:uid="{4FC9959B-8988-4CBE-9940-30FA6606348F}"/>
    <cellStyle name="Note 4 2 3 5" xfId="9938" xr:uid="{00000000-0005-0000-0000-0000BE610000}"/>
    <cellStyle name="Note 4 2 3 5 2" xfId="17896" xr:uid="{00000000-0005-0000-0000-0000BF610000}"/>
    <cellStyle name="Note 4 2 3 5 2 2" xfId="41736" xr:uid="{38398075-B2A1-45D4-AF7E-4993E0E9213E}"/>
    <cellStyle name="Note 4 2 3 5 3" xfId="25840" xr:uid="{00000000-0005-0000-0000-0000C0610000}"/>
    <cellStyle name="Note 4 2 3 5 3 2" xfId="49672" xr:uid="{34562F18-B844-480C-B848-AE2A69449213}"/>
    <cellStyle name="Note 4 2 3 5 4" xfId="33795" xr:uid="{F04198FC-29DC-49DA-959E-F24BD41B3DEB}"/>
    <cellStyle name="Note 4 2 3 6" xfId="10834" xr:uid="{00000000-0005-0000-0000-0000C1610000}"/>
    <cellStyle name="Note 4 2 3 6 2" xfId="34683" xr:uid="{9E05959E-9387-4DD2-A953-4ECAA032AE9C}"/>
    <cellStyle name="Note 4 2 3 7" xfId="18789" xr:uid="{00000000-0005-0000-0000-0000C2610000}"/>
    <cellStyle name="Note 4 2 3 7 2" xfId="42621" xr:uid="{38F2EF42-4597-4C90-A89B-A7F3C10D746D}"/>
    <cellStyle name="Note 4 2 3 8" xfId="26741" xr:uid="{13362789-DB1B-48FF-82AF-D2B03913A5C8}"/>
    <cellStyle name="Note 4 2 3_Exh G" xfId="3633" xr:uid="{00000000-0005-0000-0000-0000C3610000}"/>
    <cellStyle name="Note 4 2 4" xfId="1738" xr:uid="{00000000-0005-0000-0000-0000C4610000}"/>
    <cellStyle name="Note 4 2 4 2" xfId="5265" xr:uid="{00000000-0005-0000-0000-0000C5610000}"/>
    <cellStyle name="Note 4 2 4 2 2" xfId="8856" xr:uid="{00000000-0005-0000-0000-0000C6610000}"/>
    <cellStyle name="Note 4 2 4 2 2 2" xfId="16826" xr:uid="{00000000-0005-0000-0000-0000C7610000}"/>
    <cellStyle name="Note 4 2 4 2 2 2 2" xfId="40668" xr:uid="{0F505371-B43C-4C13-8C5F-AA5032E7247E}"/>
    <cellStyle name="Note 4 2 4 2 2 3" xfId="24772" xr:uid="{00000000-0005-0000-0000-0000C8610000}"/>
    <cellStyle name="Note 4 2 4 2 2 3 2" xfId="48604" xr:uid="{73A2D9AE-3116-4E6B-B63A-B55BB411EA17}"/>
    <cellStyle name="Note 4 2 4 2 2 4" xfId="32727" xr:uid="{229CB9F5-9F9B-4B8F-B997-D1034AD0B4C6}"/>
    <cellStyle name="Note 4 2 4 2 3" xfId="13288" xr:uid="{00000000-0005-0000-0000-0000C9610000}"/>
    <cellStyle name="Note 4 2 4 2 3 2" xfId="37137" xr:uid="{DB9C0077-1A63-465F-B88A-AD0A80E4A738}"/>
    <cellStyle name="Note 4 2 4 2 4" xfId="21243" xr:uid="{00000000-0005-0000-0000-0000CA610000}"/>
    <cellStyle name="Note 4 2 4 2 4 2" xfId="45075" xr:uid="{80487562-23EA-4DA1-8B7C-05E4C6FA249C}"/>
    <cellStyle name="Note 4 2 4 2 5" xfId="29196" xr:uid="{BC2F8F69-DDF7-4AC3-9E98-51CBA8B892B6}"/>
    <cellStyle name="Note 4 2 4 3" xfId="7097" xr:uid="{00000000-0005-0000-0000-0000CB610000}"/>
    <cellStyle name="Note 4 2 4 3 2" xfId="15068" xr:uid="{00000000-0005-0000-0000-0000CC610000}"/>
    <cellStyle name="Note 4 2 4 3 2 2" xfId="38910" xr:uid="{FB7ECB4E-F8F1-4804-B9F9-41772A0F4453}"/>
    <cellStyle name="Note 4 2 4 3 3" xfId="23015" xr:uid="{00000000-0005-0000-0000-0000CD610000}"/>
    <cellStyle name="Note 4 2 4 3 3 2" xfId="46847" xr:uid="{C6591DF3-B074-4E85-BA6A-974C4C49BED9}"/>
    <cellStyle name="Note 4 2 4 3 4" xfId="30969" xr:uid="{3F0AD540-8A98-4629-B98D-CB72F52C4CA4}"/>
    <cellStyle name="Note 4 2 4 4" xfId="11532" xr:uid="{00000000-0005-0000-0000-0000CE610000}"/>
    <cellStyle name="Note 4 2 4 4 2" xfId="35381" xr:uid="{0AA2E9E9-D884-478B-8864-BB8B77AFAACB}"/>
    <cellStyle name="Note 4 2 4 5" xfId="19487" xr:uid="{00000000-0005-0000-0000-0000CF610000}"/>
    <cellStyle name="Note 4 2 4 5 2" xfId="43319" xr:uid="{B9B1D505-F754-4361-8420-1D3C92594176}"/>
    <cellStyle name="Note 4 2 4 6" xfId="27439" xr:uid="{85B54443-0A99-4AEB-8DED-9EF9DC6D1661}"/>
    <cellStyle name="Note 4 2 4_Exh G" xfId="3635" xr:uid="{00000000-0005-0000-0000-0000D0610000}"/>
    <cellStyle name="Note 4 2 5" xfId="4386" xr:uid="{00000000-0005-0000-0000-0000D1610000}"/>
    <cellStyle name="Note 4 2 5 2" xfId="7978" xr:uid="{00000000-0005-0000-0000-0000D2610000}"/>
    <cellStyle name="Note 4 2 5 2 2" xfId="15948" xr:uid="{00000000-0005-0000-0000-0000D3610000}"/>
    <cellStyle name="Note 4 2 5 2 2 2" xfId="39790" xr:uid="{7BFF0614-1962-486E-9BE8-C691B59F26E0}"/>
    <cellStyle name="Note 4 2 5 2 3" xfId="23894" xr:uid="{00000000-0005-0000-0000-0000D4610000}"/>
    <cellStyle name="Note 4 2 5 2 3 2" xfId="47726" xr:uid="{8553BEDD-EDB4-4DD9-8423-631509EEC1EB}"/>
    <cellStyle name="Note 4 2 5 2 4" xfId="31849" xr:uid="{E67F73FD-C3B3-4252-AB3F-D2AA5F69886D}"/>
    <cellStyle name="Note 4 2 5 3" xfId="12410" xr:uid="{00000000-0005-0000-0000-0000D5610000}"/>
    <cellStyle name="Note 4 2 5 3 2" xfId="36259" xr:uid="{854746FB-F4DD-4E88-9A22-F3275D23F41F}"/>
    <cellStyle name="Note 4 2 5 4" xfId="20365" xr:uid="{00000000-0005-0000-0000-0000D6610000}"/>
    <cellStyle name="Note 4 2 5 4 2" xfId="44197" xr:uid="{5F3E5C15-61D1-4D55-89D7-95CF7AE58796}"/>
    <cellStyle name="Note 4 2 5 5" xfId="28318" xr:uid="{B450D644-CB6D-4ADC-AFE9-44C0B65416C5}"/>
    <cellStyle name="Note 4 2 6" xfId="6206" xr:uid="{00000000-0005-0000-0000-0000D7610000}"/>
    <cellStyle name="Note 4 2 6 2" xfId="14189" xr:uid="{00000000-0005-0000-0000-0000D8610000}"/>
    <cellStyle name="Note 4 2 6 2 2" xfId="38032" xr:uid="{8854F774-75FD-4588-8943-20739E72AD00}"/>
    <cellStyle name="Note 4 2 6 3" xfId="22137" xr:uid="{00000000-0005-0000-0000-0000D9610000}"/>
    <cellStyle name="Note 4 2 6 3 2" xfId="45969" xr:uid="{172C793A-B6E2-4EE7-BE6C-B9C9914451D9}"/>
    <cellStyle name="Note 4 2 6 4" xfId="30091" xr:uid="{E9126106-D77B-4202-9FF2-325D51AA6389}"/>
    <cellStyle name="Note 4 2 7" xfId="9758" xr:uid="{00000000-0005-0000-0000-0000DA610000}"/>
    <cellStyle name="Note 4 2 7 2" xfId="17716" xr:uid="{00000000-0005-0000-0000-0000DB610000}"/>
    <cellStyle name="Note 4 2 7 2 2" xfId="41556" xr:uid="{6AD4BCC5-6ADA-41A6-BC6D-681D1B671928}"/>
    <cellStyle name="Note 4 2 7 3" xfId="25660" xr:uid="{00000000-0005-0000-0000-0000DC610000}"/>
    <cellStyle name="Note 4 2 7 3 2" xfId="49492" xr:uid="{60D08E7D-7495-4FE1-A1B1-EF21252F1553}"/>
    <cellStyle name="Note 4 2 7 4" xfId="33615" xr:uid="{3D4A9442-BC94-4DBD-AFEC-CC2A91228B60}"/>
    <cellStyle name="Note 4 2 8" xfId="10654" xr:uid="{00000000-0005-0000-0000-0000DD610000}"/>
    <cellStyle name="Note 4 2 8 2" xfId="34503" xr:uid="{23CFB9AF-693B-4150-BBF0-E871E8E1308D}"/>
    <cellStyle name="Note 4 2 9" xfId="18609" xr:uid="{00000000-0005-0000-0000-0000DE610000}"/>
    <cellStyle name="Note 4 2 9 2" xfId="42441" xr:uid="{E544B7F6-E2D6-478D-96C3-D83460A68E0D}"/>
    <cellStyle name="Note 4 2_Exh G" xfId="3630" xr:uid="{00000000-0005-0000-0000-0000DF610000}"/>
    <cellStyle name="Note 4 3" xfId="714" xr:uid="{00000000-0005-0000-0000-0000E0610000}"/>
    <cellStyle name="Note 4 3 2" xfId="1740" xr:uid="{00000000-0005-0000-0000-0000E1610000}"/>
    <cellStyle name="Note 4 3 2 2" xfId="5267" xr:uid="{00000000-0005-0000-0000-0000E2610000}"/>
    <cellStyle name="Note 4 3 2 2 2" xfId="8858" xr:uid="{00000000-0005-0000-0000-0000E3610000}"/>
    <cellStyle name="Note 4 3 2 2 2 2" xfId="16828" xr:uid="{00000000-0005-0000-0000-0000E4610000}"/>
    <cellStyle name="Note 4 3 2 2 2 2 2" xfId="40670" xr:uid="{C62EAAE2-8EE5-4E01-A158-E51E0167250F}"/>
    <cellStyle name="Note 4 3 2 2 2 3" xfId="24774" xr:uid="{00000000-0005-0000-0000-0000E5610000}"/>
    <cellStyle name="Note 4 3 2 2 2 3 2" xfId="48606" xr:uid="{493E08CD-C547-4185-8AE3-5094A9FAF212}"/>
    <cellStyle name="Note 4 3 2 2 2 4" xfId="32729" xr:uid="{75E7D590-191A-4DC3-884D-C6147ECC1F17}"/>
    <cellStyle name="Note 4 3 2 2 3" xfId="13290" xr:uid="{00000000-0005-0000-0000-0000E6610000}"/>
    <cellStyle name="Note 4 3 2 2 3 2" xfId="37139" xr:uid="{B88FC9DA-0165-4791-BE59-D97D8833256A}"/>
    <cellStyle name="Note 4 3 2 2 4" xfId="21245" xr:uid="{00000000-0005-0000-0000-0000E7610000}"/>
    <cellStyle name="Note 4 3 2 2 4 2" xfId="45077" xr:uid="{7A369BF7-CD2F-45D5-9460-54112EFB1AD1}"/>
    <cellStyle name="Note 4 3 2 2 5" xfId="29198" xr:uid="{D24856EF-D609-4B50-870C-58340D958AD5}"/>
    <cellStyle name="Note 4 3 2 3" xfId="7099" xr:uid="{00000000-0005-0000-0000-0000E8610000}"/>
    <cellStyle name="Note 4 3 2 3 2" xfId="15070" xr:uid="{00000000-0005-0000-0000-0000E9610000}"/>
    <cellStyle name="Note 4 3 2 3 2 2" xfId="38912" xr:uid="{BBD2E413-26ED-468B-A705-53EA8340B57B}"/>
    <cellStyle name="Note 4 3 2 3 3" xfId="23017" xr:uid="{00000000-0005-0000-0000-0000EA610000}"/>
    <cellStyle name="Note 4 3 2 3 3 2" xfId="46849" xr:uid="{CB9C8201-CA03-4F69-81C3-D30739273ACC}"/>
    <cellStyle name="Note 4 3 2 3 4" xfId="30971" xr:uid="{3E558C9E-6436-45C8-BECE-68FE507E4283}"/>
    <cellStyle name="Note 4 3 2 4" xfId="11534" xr:uid="{00000000-0005-0000-0000-0000EB610000}"/>
    <cellStyle name="Note 4 3 2 4 2" xfId="35383" xr:uid="{9CBDDEFE-5777-43C5-8735-B030F1E67930}"/>
    <cellStyle name="Note 4 3 2 5" xfId="19489" xr:uid="{00000000-0005-0000-0000-0000EC610000}"/>
    <cellStyle name="Note 4 3 2 5 2" xfId="43321" xr:uid="{493333CD-6A4F-4526-806E-B6D16A2D2F56}"/>
    <cellStyle name="Note 4 3 2 6" xfId="27441" xr:uid="{4572109C-DEEB-4B86-B3B2-9787813EE2E8}"/>
    <cellStyle name="Note 4 3 2_Exh G" xfId="3637" xr:uid="{00000000-0005-0000-0000-0000ED610000}"/>
    <cellStyle name="Note 4 3 3" xfId="4388" xr:uid="{00000000-0005-0000-0000-0000EE610000}"/>
    <cellStyle name="Note 4 3 3 2" xfId="7980" xr:uid="{00000000-0005-0000-0000-0000EF610000}"/>
    <cellStyle name="Note 4 3 3 2 2" xfId="15950" xr:uid="{00000000-0005-0000-0000-0000F0610000}"/>
    <cellStyle name="Note 4 3 3 2 2 2" xfId="39792" xr:uid="{270923FF-BDF9-4439-A428-38A83E6B89B7}"/>
    <cellStyle name="Note 4 3 3 2 3" xfId="23896" xr:uid="{00000000-0005-0000-0000-0000F1610000}"/>
    <cellStyle name="Note 4 3 3 2 3 2" xfId="47728" xr:uid="{B1ACED73-FA67-41E3-AFD7-028857DB7C09}"/>
    <cellStyle name="Note 4 3 3 2 4" xfId="31851" xr:uid="{E610C7A6-ABF5-49C7-AEA2-3093BF702552}"/>
    <cellStyle name="Note 4 3 3 3" xfId="12412" xr:uid="{00000000-0005-0000-0000-0000F2610000}"/>
    <cellStyle name="Note 4 3 3 3 2" xfId="36261" xr:uid="{392A8318-D969-4BB8-9786-83C05019220B}"/>
    <cellStyle name="Note 4 3 3 4" xfId="20367" xr:uid="{00000000-0005-0000-0000-0000F3610000}"/>
    <cellStyle name="Note 4 3 3 4 2" xfId="44199" xr:uid="{627702EE-4270-4CB4-ACF3-07E78F443036}"/>
    <cellStyle name="Note 4 3 3 5" xfId="28320" xr:uid="{AAEBFBAD-921E-41ED-AED8-6BE4A4A76C7E}"/>
    <cellStyle name="Note 4 3 4" xfId="6208" xr:uid="{00000000-0005-0000-0000-0000F4610000}"/>
    <cellStyle name="Note 4 3 4 2" xfId="14191" xr:uid="{00000000-0005-0000-0000-0000F5610000}"/>
    <cellStyle name="Note 4 3 4 2 2" xfId="38034" xr:uid="{9AD90EE1-BA5F-47F9-851A-394E86FD4C0C}"/>
    <cellStyle name="Note 4 3 4 3" xfId="22139" xr:uid="{00000000-0005-0000-0000-0000F6610000}"/>
    <cellStyle name="Note 4 3 4 3 2" xfId="45971" xr:uid="{5AFAB07A-92BF-42BD-9107-CC5BA6636936}"/>
    <cellStyle name="Note 4 3 4 4" xfId="30093" xr:uid="{66628CA8-A71F-4483-AEF4-AEEB38EE47CA}"/>
    <cellStyle name="Note 4 3 5" xfId="9760" xr:uid="{00000000-0005-0000-0000-0000F7610000}"/>
    <cellStyle name="Note 4 3 5 2" xfId="17718" xr:uid="{00000000-0005-0000-0000-0000F8610000}"/>
    <cellStyle name="Note 4 3 5 2 2" xfId="41558" xr:uid="{C6500652-CD89-41B7-BD8C-6C67AFA4DFB5}"/>
    <cellStyle name="Note 4 3 5 3" xfId="25662" xr:uid="{00000000-0005-0000-0000-0000F9610000}"/>
    <cellStyle name="Note 4 3 5 3 2" xfId="49494" xr:uid="{013D7E00-A11C-48E0-9804-49BB88A6A465}"/>
    <cellStyle name="Note 4 3 5 4" xfId="33617" xr:uid="{A4D1124A-0DED-40B1-8C31-B29C9991D2DC}"/>
    <cellStyle name="Note 4 3 6" xfId="10656" xr:uid="{00000000-0005-0000-0000-0000FA610000}"/>
    <cellStyle name="Note 4 3 6 2" xfId="34505" xr:uid="{3AC7D8F3-9E6B-410E-9109-398A0DA3BE88}"/>
    <cellStyle name="Note 4 3 7" xfId="18611" xr:uid="{00000000-0005-0000-0000-0000FB610000}"/>
    <cellStyle name="Note 4 3 7 2" xfId="42443" xr:uid="{51AE0EFC-E6A6-40B1-9489-6B755D6137EF}"/>
    <cellStyle name="Note 4 3 8" xfId="26563" xr:uid="{A2005CF9-8E5C-4F29-89DE-06C58D4F7E62}"/>
    <cellStyle name="Note 4 3_Exh G" xfId="3636" xr:uid="{00000000-0005-0000-0000-0000FC610000}"/>
    <cellStyle name="Note 4 4" xfId="1031" xr:uid="{00000000-0005-0000-0000-0000FD610000}"/>
    <cellStyle name="Note 4 4 2" xfId="1927" xr:uid="{00000000-0005-0000-0000-0000FE610000}"/>
    <cellStyle name="Note 4 4 2 2" xfId="5444" xr:uid="{00000000-0005-0000-0000-0000FF610000}"/>
    <cellStyle name="Note 4 4 2 2 2" xfId="9035" xr:uid="{00000000-0005-0000-0000-000000620000}"/>
    <cellStyle name="Note 4 4 2 2 2 2" xfId="17005" xr:uid="{00000000-0005-0000-0000-000001620000}"/>
    <cellStyle name="Note 4 4 2 2 2 2 2" xfId="40847" xr:uid="{648FCDC1-4F46-4B19-B144-EE3408693342}"/>
    <cellStyle name="Note 4 4 2 2 2 3" xfId="24951" xr:uid="{00000000-0005-0000-0000-000002620000}"/>
    <cellStyle name="Note 4 4 2 2 2 3 2" xfId="48783" xr:uid="{8A03AE4A-E31B-4B32-B41E-7D698B2D4D32}"/>
    <cellStyle name="Note 4 4 2 2 2 4" xfId="32906" xr:uid="{A3E26942-0D05-42E8-A09E-035062DD3CCB}"/>
    <cellStyle name="Note 4 4 2 2 3" xfId="13467" xr:uid="{00000000-0005-0000-0000-000003620000}"/>
    <cellStyle name="Note 4 4 2 2 3 2" xfId="37316" xr:uid="{807EACC8-6D9A-4B2F-99D9-476C78B78CE5}"/>
    <cellStyle name="Note 4 4 2 2 4" xfId="21422" xr:uid="{00000000-0005-0000-0000-000004620000}"/>
    <cellStyle name="Note 4 4 2 2 4 2" xfId="45254" xr:uid="{31A3F56B-A28E-4FE3-A264-69BF5F0D6A27}"/>
    <cellStyle name="Note 4 4 2 2 5" xfId="29375" xr:uid="{650E0911-10C2-4939-B00C-D705372BEFAB}"/>
    <cellStyle name="Note 4 4 2 3" xfId="7276" xr:uid="{00000000-0005-0000-0000-000005620000}"/>
    <cellStyle name="Note 4 4 2 3 2" xfId="15247" xr:uid="{00000000-0005-0000-0000-000006620000}"/>
    <cellStyle name="Note 4 4 2 3 2 2" xfId="39089" xr:uid="{5070E025-EE10-4475-95AD-5242F63436A7}"/>
    <cellStyle name="Note 4 4 2 3 3" xfId="23194" xr:uid="{00000000-0005-0000-0000-000007620000}"/>
    <cellStyle name="Note 4 4 2 3 3 2" xfId="47026" xr:uid="{019CCF0F-3106-42FD-87F7-D2318955FAE2}"/>
    <cellStyle name="Note 4 4 2 3 4" xfId="31148" xr:uid="{1C069E39-BEED-4675-AF66-F5E9FC731D70}"/>
    <cellStyle name="Note 4 4 2 4" xfId="11711" xr:uid="{00000000-0005-0000-0000-000008620000}"/>
    <cellStyle name="Note 4 4 2 4 2" xfId="35560" xr:uid="{0EB4AD76-8F46-45D3-8B55-894D532A5990}"/>
    <cellStyle name="Note 4 4 2 5" xfId="19666" xr:uid="{00000000-0005-0000-0000-000009620000}"/>
    <cellStyle name="Note 4 4 2 5 2" xfId="43498" xr:uid="{8CF3A3DC-DA82-4C26-88D4-F625F8EBBA06}"/>
    <cellStyle name="Note 4 4 2 6" xfId="27618" xr:uid="{772B2EB3-2FD8-4917-A187-E141FF21A6F6}"/>
    <cellStyle name="Note 4 4 2_Exh G" xfId="3639" xr:uid="{00000000-0005-0000-0000-00000A620000}"/>
    <cellStyle name="Note 4 4 3" xfId="4565" xr:uid="{00000000-0005-0000-0000-00000B620000}"/>
    <cellStyle name="Note 4 4 3 2" xfId="8157" xr:uid="{00000000-0005-0000-0000-00000C620000}"/>
    <cellStyle name="Note 4 4 3 2 2" xfId="16127" xr:uid="{00000000-0005-0000-0000-00000D620000}"/>
    <cellStyle name="Note 4 4 3 2 2 2" xfId="39969" xr:uid="{B30BB5CC-35F7-4099-A073-5312C5A4B71E}"/>
    <cellStyle name="Note 4 4 3 2 3" xfId="24073" xr:uid="{00000000-0005-0000-0000-00000E620000}"/>
    <cellStyle name="Note 4 4 3 2 3 2" xfId="47905" xr:uid="{A6CD35B6-88D0-404D-8FA7-AB7FF6658C48}"/>
    <cellStyle name="Note 4 4 3 2 4" xfId="32028" xr:uid="{C6AFBFB9-64AC-40A9-9E2F-30020A27CDA8}"/>
    <cellStyle name="Note 4 4 3 3" xfId="12589" xr:uid="{00000000-0005-0000-0000-00000F620000}"/>
    <cellStyle name="Note 4 4 3 3 2" xfId="36438" xr:uid="{11E2AFF1-D0A4-4622-A56F-4F1CFE8A9E00}"/>
    <cellStyle name="Note 4 4 3 4" xfId="20544" xr:uid="{00000000-0005-0000-0000-000010620000}"/>
    <cellStyle name="Note 4 4 3 4 2" xfId="44376" xr:uid="{9A3BCD1F-D7AF-4AD8-964B-D94D9A8835A2}"/>
    <cellStyle name="Note 4 4 3 5" xfId="28497" xr:uid="{EB1FCFC8-7F75-427B-BD7B-EA9CC88D8F56}"/>
    <cellStyle name="Note 4 4 4" xfId="6396" xr:uid="{00000000-0005-0000-0000-000011620000}"/>
    <cellStyle name="Note 4 4 4 2" xfId="14369" xr:uid="{00000000-0005-0000-0000-000012620000}"/>
    <cellStyle name="Note 4 4 4 2 2" xfId="38211" xr:uid="{68D7AA58-160C-4C09-9BE6-99613FE8592E}"/>
    <cellStyle name="Note 4 4 4 3" xfId="22316" xr:uid="{00000000-0005-0000-0000-000013620000}"/>
    <cellStyle name="Note 4 4 4 3 2" xfId="46148" xr:uid="{5896C163-E58C-4A1B-BB02-646DBE026E31}"/>
    <cellStyle name="Note 4 4 4 4" xfId="30270" xr:uid="{198D5B08-23C1-413A-A15A-7378D61E648D}"/>
    <cellStyle name="Note 4 4 5" xfId="9937" xr:uid="{00000000-0005-0000-0000-000014620000}"/>
    <cellStyle name="Note 4 4 5 2" xfId="17895" xr:uid="{00000000-0005-0000-0000-000015620000}"/>
    <cellStyle name="Note 4 4 5 2 2" xfId="41735" xr:uid="{D61E4845-6346-447A-8751-5BC10414F293}"/>
    <cellStyle name="Note 4 4 5 3" xfId="25839" xr:uid="{00000000-0005-0000-0000-000016620000}"/>
    <cellStyle name="Note 4 4 5 3 2" xfId="49671" xr:uid="{480E6BEB-6A2F-424C-AEFC-2A07B15165C1}"/>
    <cellStyle name="Note 4 4 5 4" xfId="33794" xr:uid="{46EE0BF3-9F9C-41E6-8EAF-3A30F4CD27EF}"/>
    <cellStyle name="Note 4 4 6" xfId="10833" xr:uid="{00000000-0005-0000-0000-000017620000}"/>
    <cellStyle name="Note 4 4 6 2" xfId="34682" xr:uid="{106B1567-238A-4FE5-8FDE-B1C8C997F16C}"/>
    <cellStyle name="Note 4 4 7" xfId="18788" xr:uid="{00000000-0005-0000-0000-000018620000}"/>
    <cellStyle name="Note 4 4 7 2" xfId="42620" xr:uid="{D0FB6205-EE8B-45DC-AF95-727BE53DF79B}"/>
    <cellStyle name="Note 4 4 8" xfId="26740" xr:uid="{8429217B-1840-4C0F-B388-32E9723FAE74}"/>
    <cellStyle name="Note 4 4_Exh G" xfId="3638" xr:uid="{00000000-0005-0000-0000-000019620000}"/>
    <cellStyle name="Note 4 5" xfId="1737" xr:uid="{00000000-0005-0000-0000-00001A620000}"/>
    <cellStyle name="Note 4 5 2" xfId="5264" xr:uid="{00000000-0005-0000-0000-00001B620000}"/>
    <cellStyle name="Note 4 5 2 2" xfId="8855" xr:uid="{00000000-0005-0000-0000-00001C620000}"/>
    <cellStyle name="Note 4 5 2 2 2" xfId="16825" xr:uid="{00000000-0005-0000-0000-00001D620000}"/>
    <cellStyle name="Note 4 5 2 2 2 2" xfId="40667" xr:uid="{A5903344-A159-4C43-B63F-77CADDFE20A1}"/>
    <cellStyle name="Note 4 5 2 2 3" xfId="24771" xr:uid="{00000000-0005-0000-0000-00001E620000}"/>
    <cellStyle name="Note 4 5 2 2 3 2" xfId="48603" xr:uid="{F7ED64BC-56C1-47BD-820A-638EB69462A4}"/>
    <cellStyle name="Note 4 5 2 2 4" xfId="32726" xr:uid="{4304ADF5-1063-4E4B-9ADF-1706AF4F5758}"/>
    <cellStyle name="Note 4 5 2 3" xfId="13287" xr:uid="{00000000-0005-0000-0000-00001F620000}"/>
    <cellStyle name="Note 4 5 2 3 2" xfId="37136" xr:uid="{428B53B6-4591-4AEE-88CA-5CF8F294B9F8}"/>
    <cellStyle name="Note 4 5 2 4" xfId="21242" xr:uid="{00000000-0005-0000-0000-000020620000}"/>
    <cellStyle name="Note 4 5 2 4 2" xfId="45074" xr:uid="{F1F6B9D7-77DE-426A-8586-8670763E7746}"/>
    <cellStyle name="Note 4 5 2 5" xfId="29195" xr:uid="{A0859E2B-74CE-48D4-B753-37D5829591E6}"/>
    <cellStyle name="Note 4 5 3" xfId="7096" xr:uid="{00000000-0005-0000-0000-000021620000}"/>
    <cellStyle name="Note 4 5 3 2" xfId="15067" xr:uid="{00000000-0005-0000-0000-000022620000}"/>
    <cellStyle name="Note 4 5 3 2 2" xfId="38909" xr:uid="{8A551C51-93D2-488B-BCE2-72207A90481C}"/>
    <cellStyle name="Note 4 5 3 3" xfId="23014" xr:uid="{00000000-0005-0000-0000-000023620000}"/>
    <cellStyle name="Note 4 5 3 3 2" xfId="46846" xr:uid="{0238699C-21C2-4F79-A8D1-E838F9E20918}"/>
    <cellStyle name="Note 4 5 3 4" xfId="30968" xr:uid="{9D4011FE-1F32-46A2-B4BF-680D59E13436}"/>
    <cellStyle name="Note 4 5 4" xfId="11531" xr:uid="{00000000-0005-0000-0000-000024620000}"/>
    <cellStyle name="Note 4 5 4 2" xfId="35380" xr:uid="{68C3B892-CB3E-4EC6-8A25-45C4780C538D}"/>
    <cellStyle name="Note 4 5 5" xfId="19486" xr:uid="{00000000-0005-0000-0000-000025620000}"/>
    <cellStyle name="Note 4 5 5 2" xfId="43318" xr:uid="{1E098C70-BDB8-4605-9C8D-2C487F96AB03}"/>
    <cellStyle name="Note 4 5 6" xfId="27438" xr:uid="{7AD6B68C-CB98-473D-8B6E-24D6A9233656}"/>
    <cellStyle name="Note 4 5_Exh G" xfId="3640" xr:uid="{00000000-0005-0000-0000-000026620000}"/>
    <cellStyle name="Note 4 6" xfId="4385" xr:uid="{00000000-0005-0000-0000-000027620000}"/>
    <cellStyle name="Note 4 6 2" xfId="7977" xr:uid="{00000000-0005-0000-0000-000028620000}"/>
    <cellStyle name="Note 4 6 2 2" xfId="15947" xr:uid="{00000000-0005-0000-0000-000029620000}"/>
    <cellStyle name="Note 4 6 2 2 2" xfId="39789" xr:uid="{D9D026EC-805F-44CC-A186-5C85847518AE}"/>
    <cellStyle name="Note 4 6 2 3" xfId="23893" xr:uid="{00000000-0005-0000-0000-00002A620000}"/>
    <cellStyle name="Note 4 6 2 3 2" xfId="47725" xr:uid="{005D40EA-C6C0-461A-A87C-0D9549167F4D}"/>
    <cellStyle name="Note 4 6 2 4" xfId="31848" xr:uid="{1A93C193-EF24-4B6A-87CE-44D695DA0ED5}"/>
    <cellStyle name="Note 4 6 3" xfId="12409" xr:uid="{00000000-0005-0000-0000-00002B620000}"/>
    <cellStyle name="Note 4 6 3 2" xfId="36258" xr:uid="{1BC9A818-F353-4444-90AF-A3958885BFA9}"/>
    <cellStyle name="Note 4 6 4" xfId="20364" xr:uid="{00000000-0005-0000-0000-00002C620000}"/>
    <cellStyle name="Note 4 6 4 2" xfId="44196" xr:uid="{5BF15AFB-90E4-4C16-B19C-61FDD763A593}"/>
    <cellStyle name="Note 4 6 5" xfId="28317" xr:uid="{B74B0876-CA1C-466C-AE77-15E899998659}"/>
    <cellStyle name="Note 4 7" xfId="6205" xr:uid="{00000000-0005-0000-0000-00002D620000}"/>
    <cellStyle name="Note 4 7 2" xfId="14188" xr:uid="{00000000-0005-0000-0000-00002E620000}"/>
    <cellStyle name="Note 4 7 2 2" xfId="38031" xr:uid="{AE03D1B5-6736-4781-A02B-6C64C2810FCA}"/>
    <cellStyle name="Note 4 7 3" xfId="22136" xr:uid="{00000000-0005-0000-0000-00002F620000}"/>
    <cellStyle name="Note 4 7 3 2" xfId="45968" xr:uid="{C47900C6-E0EB-4379-9F25-208AE96F3BF1}"/>
    <cellStyle name="Note 4 7 4" xfId="30090" xr:uid="{3BE5A555-149C-4ABE-AF2C-0EC0C100D543}"/>
    <cellStyle name="Note 4 8" xfId="9757" xr:uid="{00000000-0005-0000-0000-000030620000}"/>
    <cellStyle name="Note 4 8 2" xfId="17715" xr:uid="{00000000-0005-0000-0000-000031620000}"/>
    <cellStyle name="Note 4 8 2 2" xfId="41555" xr:uid="{FE55F237-976F-4733-9AC5-D2191C111471}"/>
    <cellStyle name="Note 4 8 3" xfId="25659" xr:uid="{00000000-0005-0000-0000-000032620000}"/>
    <cellStyle name="Note 4 8 3 2" xfId="49491" xr:uid="{9ECD85EF-8A2E-4D6E-B4A6-A1FEB907D9B0}"/>
    <cellStyle name="Note 4 8 4" xfId="33614" xr:uid="{B4530F98-872C-40EA-AD66-1ABDC54644D3}"/>
    <cellStyle name="Note 4 9" xfId="10653" xr:uid="{00000000-0005-0000-0000-000033620000}"/>
    <cellStyle name="Note 4 9 2" xfId="34502" xr:uid="{85F6A9E4-3587-4438-8E7B-D060BE8EB3F9}"/>
    <cellStyle name="Note 4_Exh G" xfId="3629" xr:uid="{00000000-0005-0000-0000-000034620000}"/>
    <cellStyle name="Note 5" xfId="715" xr:uid="{00000000-0005-0000-0000-000035620000}"/>
    <cellStyle name="Note 5 10" xfId="18612" xr:uid="{00000000-0005-0000-0000-000036620000}"/>
    <cellStyle name="Note 5 10 2" xfId="42444" xr:uid="{BE33A779-548D-47A6-AC6C-E9FD43EF781B}"/>
    <cellStyle name="Note 5 11" xfId="26564" xr:uid="{042D98DF-5020-4440-91EA-9BF3A60B70B7}"/>
    <cellStyle name="Note 5 2" xfId="716" xr:uid="{00000000-0005-0000-0000-000037620000}"/>
    <cellStyle name="Note 5 2 2" xfId="717" xr:uid="{00000000-0005-0000-0000-000038620000}"/>
    <cellStyle name="Note 5 2 2 2" xfId="1743" xr:uid="{00000000-0005-0000-0000-000039620000}"/>
    <cellStyle name="Note 5 2 2 2 2" xfId="5270" xr:uid="{00000000-0005-0000-0000-00003A620000}"/>
    <cellStyle name="Note 5 2 2 2 2 2" xfId="8861" xr:uid="{00000000-0005-0000-0000-00003B620000}"/>
    <cellStyle name="Note 5 2 2 2 2 2 2" xfId="16831" xr:uid="{00000000-0005-0000-0000-00003C620000}"/>
    <cellStyle name="Note 5 2 2 2 2 2 2 2" xfId="40673" xr:uid="{92BC5263-9078-4F9D-8031-04E4ABDC4969}"/>
    <cellStyle name="Note 5 2 2 2 2 2 3" xfId="24777" xr:uid="{00000000-0005-0000-0000-00003D620000}"/>
    <cellStyle name="Note 5 2 2 2 2 2 3 2" xfId="48609" xr:uid="{FBF6E09E-1641-4FB4-B7BD-988D2DE3A170}"/>
    <cellStyle name="Note 5 2 2 2 2 2 4" xfId="32732" xr:uid="{8C909025-EA1D-4EDA-87AB-84AE0CDA2720}"/>
    <cellStyle name="Note 5 2 2 2 2 3" xfId="13293" xr:uid="{00000000-0005-0000-0000-00003E620000}"/>
    <cellStyle name="Note 5 2 2 2 2 3 2" xfId="37142" xr:uid="{C15C1BCE-0AC4-4679-A7CE-04EDE5224DA7}"/>
    <cellStyle name="Note 5 2 2 2 2 4" xfId="21248" xr:uid="{00000000-0005-0000-0000-00003F620000}"/>
    <cellStyle name="Note 5 2 2 2 2 4 2" xfId="45080" xr:uid="{914522A0-BEA8-49F6-BE81-FD53900DD185}"/>
    <cellStyle name="Note 5 2 2 2 2 5" xfId="29201" xr:uid="{873EB6BC-0A07-4AEF-B31C-FD51CA02E5DD}"/>
    <cellStyle name="Note 5 2 2 2 3" xfId="7102" xr:uid="{00000000-0005-0000-0000-000040620000}"/>
    <cellStyle name="Note 5 2 2 2 3 2" xfId="15073" xr:uid="{00000000-0005-0000-0000-000041620000}"/>
    <cellStyle name="Note 5 2 2 2 3 2 2" xfId="38915" xr:uid="{E585A137-8750-4033-B17E-9C031ED6661A}"/>
    <cellStyle name="Note 5 2 2 2 3 3" xfId="23020" xr:uid="{00000000-0005-0000-0000-000042620000}"/>
    <cellStyle name="Note 5 2 2 2 3 3 2" xfId="46852" xr:uid="{D5E957B9-19A3-43B0-98E2-EA45BB225114}"/>
    <cellStyle name="Note 5 2 2 2 3 4" xfId="30974" xr:uid="{12660465-1F99-4A7D-9709-A26617A09474}"/>
    <cellStyle name="Note 5 2 2 2 4" xfId="11537" xr:uid="{00000000-0005-0000-0000-000043620000}"/>
    <cellStyle name="Note 5 2 2 2 4 2" xfId="35386" xr:uid="{9568A220-5A2D-4E45-982C-3E9E8FFECE1E}"/>
    <cellStyle name="Note 5 2 2 2 5" xfId="19492" xr:uid="{00000000-0005-0000-0000-000044620000}"/>
    <cellStyle name="Note 5 2 2 2 5 2" xfId="43324" xr:uid="{5A5F37B4-EF38-4020-8DF4-5B2D84402913}"/>
    <cellStyle name="Note 5 2 2 2 6" xfId="27444" xr:uid="{7DD0FEA3-8DA8-40E0-AAED-3B2A5B526A08}"/>
    <cellStyle name="Note 5 2 2 2_Exh G" xfId="3644" xr:uid="{00000000-0005-0000-0000-000045620000}"/>
    <cellStyle name="Note 5 2 2 3" xfId="4391" xr:uid="{00000000-0005-0000-0000-000046620000}"/>
    <cellStyle name="Note 5 2 2 3 2" xfId="7983" xr:uid="{00000000-0005-0000-0000-000047620000}"/>
    <cellStyle name="Note 5 2 2 3 2 2" xfId="15953" xr:uid="{00000000-0005-0000-0000-000048620000}"/>
    <cellStyle name="Note 5 2 2 3 2 2 2" xfId="39795" xr:uid="{74CCDCEA-6D82-46BA-A9C5-833F5DE848C3}"/>
    <cellStyle name="Note 5 2 2 3 2 3" xfId="23899" xr:uid="{00000000-0005-0000-0000-000049620000}"/>
    <cellStyle name="Note 5 2 2 3 2 3 2" xfId="47731" xr:uid="{52F069E1-17BF-4E41-8F44-A72E2C168DBA}"/>
    <cellStyle name="Note 5 2 2 3 2 4" xfId="31854" xr:uid="{492E904E-04CC-4D87-9DBC-BBB565035A52}"/>
    <cellStyle name="Note 5 2 2 3 3" xfId="12415" xr:uid="{00000000-0005-0000-0000-00004A620000}"/>
    <cellStyle name="Note 5 2 2 3 3 2" xfId="36264" xr:uid="{A0CB728F-DAD5-4EEB-A71B-BC2029DA3E23}"/>
    <cellStyle name="Note 5 2 2 3 4" xfId="20370" xr:uid="{00000000-0005-0000-0000-00004B620000}"/>
    <cellStyle name="Note 5 2 2 3 4 2" xfId="44202" xr:uid="{6FBEDE4C-4C4D-4D48-8593-ABECB6BA15DD}"/>
    <cellStyle name="Note 5 2 2 3 5" xfId="28323" xr:uid="{31A35B2C-491F-4E3E-AADE-219C361DF393}"/>
    <cellStyle name="Note 5 2 2 4" xfId="6211" xr:uid="{00000000-0005-0000-0000-00004C620000}"/>
    <cellStyle name="Note 5 2 2 4 2" xfId="14194" xr:uid="{00000000-0005-0000-0000-00004D620000}"/>
    <cellStyle name="Note 5 2 2 4 2 2" xfId="38037" xr:uid="{7A2AB55F-1334-4593-B3DE-DC626435A42B}"/>
    <cellStyle name="Note 5 2 2 4 3" xfId="22142" xr:uid="{00000000-0005-0000-0000-00004E620000}"/>
    <cellStyle name="Note 5 2 2 4 3 2" xfId="45974" xr:uid="{C21BE198-7A27-4DC1-B5D3-22121F6B7D07}"/>
    <cellStyle name="Note 5 2 2 4 4" xfId="30096" xr:uid="{C0D943AD-B198-426E-9CCB-DA0257EDD86B}"/>
    <cellStyle name="Note 5 2 2 5" xfId="9763" xr:uid="{00000000-0005-0000-0000-00004F620000}"/>
    <cellStyle name="Note 5 2 2 5 2" xfId="17721" xr:uid="{00000000-0005-0000-0000-000050620000}"/>
    <cellStyle name="Note 5 2 2 5 2 2" xfId="41561" xr:uid="{A1DF3CE2-13BF-49CD-B1A9-B5B5D1BA62EF}"/>
    <cellStyle name="Note 5 2 2 5 3" xfId="25665" xr:uid="{00000000-0005-0000-0000-000051620000}"/>
    <cellStyle name="Note 5 2 2 5 3 2" xfId="49497" xr:uid="{DA49C371-9898-4B7D-8551-FB34A229A1B8}"/>
    <cellStyle name="Note 5 2 2 5 4" xfId="33620" xr:uid="{1954351C-94B0-4CB7-983F-8653A394F849}"/>
    <cellStyle name="Note 5 2 2 6" xfId="10659" xr:uid="{00000000-0005-0000-0000-000052620000}"/>
    <cellStyle name="Note 5 2 2 6 2" xfId="34508" xr:uid="{39F7E231-36E0-49E4-85E7-FA10AF917BBA}"/>
    <cellStyle name="Note 5 2 2 7" xfId="18614" xr:uid="{00000000-0005-0000-0000-000053620000}"/>
    <cellStyle name="Note 5 2 2 7 2" xfId="42446" xr:uid="{6C34C514-8788-4694-9B33-68CD63FE3051}"/>
    <cellStyle name="Note 5 2 2 8" xfId="26566" xr:uid="{014F7DAB-CCDF-4358-8495-5C2D321101A8}"/>
    <cellStyle name="Note 5 2 2_Exh G" xfId="3643" xr:uid="{00000000-0005-0000-0000-000054620000}"/>
    <cellStyle name="Note 5 2 3" xfId="1742" xr:uid="{00000000-0005-0000-0000-000055620000}"/>
    <cellStyle name="Note 5 2 3 2" xfId="5269" xr:uid="{00000000-0005-0000-0000-000056620000}"/>
    <cellStyle name="Note 5 2 3 2 2" xfId="8860" xr:uid="{00000000-0005-0000-0000-000057620000}"/>
    <cellStyle name="Note 5 2 3 2 2 2" xfId="16830" xr:uid="{00000000-0005-0000-0000-000058620000}"/>
    <cellStyle name="Note 5 2 3 2 2 2 2" xfId="40672" xr:uid="{CF9B6C08-CC44-4FD9-B739-89EBC0E839F1}"/>
    <cellStyle name="Note 5 2 3 2 2 3" xfId="24776" xr:uid="{00000000-0005-0000-0000-000059620000}"/>
    <cellStyle name="Note 5 2 3 2 2 3 2" xfId="48608" xr:uid="{58C28CEE-E844-40A3-9D86-8FC96C76B061}"/>
    <cellStyle name="Note 5 2 3 2 2 4" xfId="32731" xr:uid="{C488B482-02D1-4C67-A651-88A9D89D3809}"/>
    <cellStyle name="Note 5 2 3 2 3" xfId="13292" xr:uid="{00000000-0005-0000-0000-00005A620000}"/>
    <cellStyle name="Note 5 2 3 2 3 2" xfId="37141" xr:uid="{9ACD246A-51E3-40D4-BB16-EA0D7B1E3FFD}"/>
    <cellStyle name="Note 5 2 3 2 4" xfId="21247" xr:uid="{00000000-0005-0000-0000-00005B620000}"/>
    <cellStyle name="Note 5 2 3 2 4 2" xfId="45079" xr:uid="{A51D8201-3F1E-4002-91DA-2DA2AC6D8987}"/>
    <cellStyle name="Note 5 2 3 2 5" xfId="29200" xr:uid="{EDFE32B8-0D9D-4360-A3EA-86A3D7C44D02}"/>
    <cellStyle name="Note 5 2 3 3" xfId="7101" xr:uid="{00000000-0005-0000-0000-00005C620000}"/>
    <cellStyle name="Note 5 2 3 3 2" xfId="15072" xr:uid="{00000000-0005-0000-0000-00005D620000}"/>
    <cellStyle name="Note 5 2 3 3 2 2" xfId="38914" xr:uid="{0EC0C711-00CB-42C8-A4D5-D67AFAE39CF0}"/>
    <cellStyle name="Note 5 2 3 3 3" xfId="23019" xr:uid="{00000000-0005-0000-0000-00005E620000}"/>
    <cellStyle name="Note 5 2 3 3 3 2" xfId="46851" xr:uid="{D43C75E3-A5DD-4148-A294-4BFBFE9FCB5F}"/>
    <cellStyle name="Note 5 2 3 3 4" xfId="30973" xr:uid="{6F686380-D4E6-4AF3-9F8B-F51942F19179}"/>
    <cellStyle name="Note 5 2 3 4" xfId="11536" xr:uid="{00000000-0005-0000-0000-00005F620000}"/>
    <cellStyle name="Note 5 2 3 4 2" xfId="35385" xr:uid="{0CD3F45A-1F3C-4610-9926-8BAC9EA802D9}"/>
    <cellStyle name="Note 5 2 3 5" xfId="19491" xr:uid="{00000000-0005-0000-0000-000060620000}"/>
    <cellStyle name="Note 5 2 3 5 2" xfId="43323" xr:uid="{5465DD96-AE0E-48AD-9CED-419352FF6F51}"/>
    <cellStyle name="Note 5 2 3 6" xfId="27443" xr:uid="{9413FEF3-4711-41B0-A16A-B49DF6E128E1}"/>
    <cellStyle name="Note 5 2 3_Exh G" xfId="3645" xr:uid="{00000000-0005-0000-0000-000061620000}"/>
    <cellStyle name="Note 5 2 4" xfId="4390" xr:uid="{00000000-0005-0000-0000-000062620000}"/>
    <cellStyle name="Note 5 2 4 2" xfId="7982" xr:uid="{00000000-0005-0000-0000-000063620000}"/>
    <cellStyle name="Note 5 2 4 2 2" xfId="15952" xr:uid="{00000000-0005-0000-0000-000064620000}"/>
    <cellStyle name="Note 5 2 4 2 2 2" xfId="39794" xr:uid="{0B0AEEFE-55F4-4DD1-8261-A01C15191506}"/>
    <cellStyle name="Note 5 2 4 2 3" xfId="23898" xr:uid="{00000000-0005-0000-0000-000065620000}"/>
    <cellStyle name="Note 5 2 4 2 3 2" xfId="47730" xr:uid="{10D3926E-BAB2-4574-9D8C-5D9858DDB8A1}"/>
    <cellStyle name="Note 5 2 4 2 4" xfId="31853" xr:uid="{43323006-CF80-4DA2-9CAE-5E9C2148C3DC}"/>
    <cellStyle name="Note 5 2 4 3" xfId="12414" xr:uid="{00000000-0005-0000-0000-000066620000}"/>
    <cellStyle name="Note 5 2 4 3 2" xfId="36263" xr:uid="{75186C79-3EF4-4B01-B5C0-D2D3333B5E6E}"/>
    <cellStyle name="Note 5 2 4 4" xfId="20369" xr:uid="{00000000-0005-0000-0000-000067620000}"/>
    <cellStyle name="Note 5 2 4 4 2" xfId="44201" xr:uid="{88116EB5-C9A3-451D-A85B-D598AB30A9A7}"/>
    <cellStyle name="Note 5 2 4 5" xfId="28322" xr:uid="{8DD78997-480A-4722-820B-A69B4E06D398}"/>
    <cellStyle name="Note 5 2 5" xfId="6210" xr:uid="{00000000-0005-0000-0000-000068620000}"/>
    <cellStyle name="Note 5 2 5 2" xfId="14193" xr:uid="{00000000-0005-0000-0000-000069620000}"/>
    <cellStyle name="Note 5 2 5 2 2" xfId="38036" xr:uid="{4B84AA86-606C-4DDD-A84F-C960F9988214}"/>
    <cellStyle name="Note 5 2 5 3" xfId="22141" xr:uid="{00000000-0005-0000-0000-00006A620000}"/>
    <cellStyle name="Note 5 2 5 3 2" xfId="45973" xr:uid="{D7165F0E-02F3-4E60-9254-903A79A594D7}"/>
    <cellStyle name="Note 5 2 5 4" xfId="30095" xr:uid="{95596CBB-3E48-4095-AEA8-D3649BB4E775}"/>
    <cellStyle name="Note 5 2 6" xfId="9762" xr:uid="{00000000-0005-0000-0000-00006B620000}"/>
    <cellStyle name="Note 5 2 6 2" xfId="17720" xr:uid="{00000000-0005-0000-0000-00006C620000}"/>
    <cellStyle name="Note 5 2 6 2 2" xfId="41560" xr:uid="{F428AB1E-734B-4363-8BBC-38BE85DB22A1}"/>
    <cellStyle name="Note 5 2 6 3" xfId="25664" xr:uid="{00000000-0005-0000-0000-00006D620000}"/>
    <cellStyle name="Note 5 2 6 3 2" xfId="49496" xr:uid="{385E12D3-990C-42BF-9D3A-543D10BB8EC4}"/>
    <cellStyle name="Note 5 2 6 4" xfId="33619" xr:uid="{78890097-D71D-44EA-AC24-18AFB89FDF47}"/>
    <cellStyle name="Note 5 2 7" xfId="10658" xr:uid="{00000000-0005-0000-0000-00006E620000}"/>
    <cellStyle name="Note 5 2 7 2" xfId="34507" xr:uid="{13D8689F-A274-4F01-9139-A2AEC6374107}"/>
    <cellStyle name="Note 5 2 8" xfId="18613" xr:uid="{00000000-0005-0000-0000-00006F620000}"/>
    <cellStyle name="Note 5 2 8 2" xfId="42445" xr:uid="{CEBA806B-BAB7-4F38-AE25-FA3C97FDF814}"/>
    <cellStyle name="Note 5 2 9" xfId="26565" xr:uid="{53C88645-56C7-4471-95AB-BC1A4895AC08}"/>
    <cellStyle name="Note 5 2_Exh G" xfId="3642" xr:uid="{00000000-0005-0000-0000-000070620000}"/>
    <cellStyle name="Note 5 3" xfId="718" xr:uid="{00000000-0005-0000-0000-000071620000}"/>
    <cellStyle name="Note 5 3 2" xfId="1744" xr:uid="{00000000-0005-0000-0000-000072620000}"/>
    <cellStyle name="Note 5 3 2 2" xfId="5271" xr:uid="{00000000-0005-0000-0000-000073620000}"/>
    <cellStyle name="Note 5 3 2 2 2" xfId="8862" xr:uid="{00000000-0005-0000-0000-000074620000}"/>
    <cellStyle name="Note 5 3 2 2 2 2" xfId="16832" xr:uid="{00000000-0005-0000-0000-000075620000}"/>
    <cellStyle name="Note 5 3 2 2 2 2 2" xfId="40674" xr:uid="{33D9FA0B-A760-4819-8DF0-1B1F4D8C706D}"/>
    <cellStyle name="Note 5 3 2 2 2 3" xfId="24778" xr:uid="{00000000-0005-0000-0000-000076620000}"/>
    <cellStyle name="Note 5 3 2 2 2 3 2" xfId="48610" xr:uid="{3320F36C-1274-46DE-B22F-20F3C332E4AC}"/>
    <cellStyle name="Note 5 3 2 2 2 4" xfId="32733" xr:uid="{24A09F1A-96E5-4DBB-9CD5-C5819D66D7AF}"/>
    <cellStyle name="Note 5 3 2 2 3" xfId="13294" xr:uid="{00000000-0005-0000-0000-000077620000}"/>
    <cellStyle name="Note 5 3 2 2 3 2" xfId="37143" xr:uid="{E1C9AC7A-E13B-4E58-B954-E46641988670}"/>
    <cellStyle name="Note 5 3 2 2 4" xfId="21249" xr:uid="{00000000-0005-0000-0000-000078620000}"/>
    <cellStyle name="Note 5 3 2 2 4 2" xfId="45081" xr:uid="{14D664B9-20B1-4CD1-A947-1B57E9D424D0}"/>
    <cellStyle name="Note 5 3 2 2 5" xfId="29202" xr:uid="{E83EC0A6-876D-44BD-A5F5-37157D331389}"/>
    <cellStyle name="Note 5 3 2 3" xfId="7103" xr:uid="{00000000-0005-0000-0000-000079620000}"/>
    <cellStyle name="Note 5 3 2 3 2" xfId="15074" xr:uid="{00000000-0005-0000-0000-00007A620000}"/>
    <cellStyle name="Note 5 3 2 3 2 2" xfId="38916" xr:uid="{E484721E-974A-4068-8AA3-837126093AA8}"/>
    <cellStyle name="Note 5 3 2 3 3" xfId="23021" xr:uid="{00000000-0005-0000-0000-00007B620000}"/>
    <cellStyle name="Note 5 3 2 3 3 2" xfId="46853" xr:uid="{3A3AA3C9-0E43-4299-AE1F-4459372B9066}"/>
    <cellStyle name="Note 5 3 2 3 4" xfId="30975" xr:uid="{5E2E961F-1145-431B-83DD-82C0EB9595DC}"/>
    <cellStyle name="Note 5 3 2 4" xfId="11538" xr:uid="{00000000-0005-0000-0000-00007C620000}"/>
    <cellStyle name="Note 5 3 2 4 2" xfId="35387" xr:uid="{A8A0C09C-5B5F-4852-9BC1-9BF10878A11A}"/>
    <cellStyle name="Note 5 3 2 5" xfId="19493" xr:uid="{00000000-0005-0000-0000-00007D620000}"/>
    <cellStyle name="Note 5 3 2 5 2" xfId="43325" xr:uid="{16D73EE5-0A66-4D69-AE46-AB61C18AD1B2}"/>
    <cellStyle name="Note 5 3 2 6" xfId="27445" xr:uid="{1997B150-F875-48E7-9BAC-ACF260BF17DA}"/>
    <cellStyle name="Note 5 3 2_Exh G" xfId="3647" xr:uid="{00000000-0005-0000-0000-00007E620000}"/>
    <cellStyle name="Note 5 3 3" xfId="4392" xr:uid="{00000000-0005-0000-0000-00007F620000}"/>
    <cellStyle name="Note 5 3 3 2" xfId="7984" xr:uid="{00000000-0005-0000-0000-000080620000}"/>
    <cellStyle name="Note 5 3 3 2 2" xfId="15954" xr:uid="{00000000-0005-0000-0000-000081620000}"/>
    <cellStyle name="Note 5 3 3 2 2 2" xfId="39796" xr:uid="{AE60A50E-CD40-42AA-8B57-D9FCBE2539CD}"/>
    <cellStyle name="Note 5 3 3 2 3" xfId="23900" xr:uid="{00000000-0005-0000-0000-000082620000}"/>
    <cellStyle name="Note 5 3 3 2 3 2" xfId="47732" xr:uid="{56A867C5-83D4-4FF8-B9DA-8CC391EBBEE1}"/>
    <cellStyle name="Note 5 3 3 2 4" xfId="31855" xr:uid="{DC39FF4C-3B0D-44F1-AF63-F940255E7B21}"/>
    <cellStyle name="Note 5 3 3 3" xfId="12416" xr:uid="{00000000-0005-0000-0000-000083620000}"/>
    <cellStyle name="Note 5 3 3 3 2" xfId="36265" xr:uid="{5911BE76-133F-4BF7-A976-7ED193CAC784}"/>
    <cellStyle name="Note 5 3 3 4" xfId="20371" xr:uid="{00000000-0005-0000-0000-000084620000}"/>
    <cellStyle name="Note 5 3 3 4 2" xfId="44203" xr:uid="{CB9508A8-4AD0-46B5-AF4B-46E94F280935}"/>
    <cellStyle name="Note 5 3 3 5" xfId="28324" xr:uid="{3FC916BC-FAC2-4D6F-A815-0E31484319B1}"/>
    <cellStyle name="Note 5 3 4" xfId="6212" xr:uid="{00000000-0005-0000-0000-000085620000}"/>
    <cellStyle name="Note 5 3 4 2" xfId="14195" xr:uid="{00000000-0005-0000-0000-000086620000}"/>
    <cellStyle name="Note 5 3 4 2 2" xfId="38038" xr:uid="{3E4E1BAC-8889-47EB-88A5-2CD9529376E2}"/>
    <cellStyle name="Note 5 3 4 3" xfId="22143" xr:uid="{00000000-0005-0000-0000-000087620000}"/>
    <cellStyle name="Note 5 3 4 3 2" xfId="45975" xr:uid="{0C711136-92D2-4199-988A-73D609795711}"/>
    <cellStyle name="Note 5 3 4 4" xfId="30097" xr:uid="{B16579D5-E43A-4489-BD17-1CA41B2D7CEE}"/>
    <cellStyle name="Note 5 3 5" xfId="9764" xr:uid="{00000000-0005-0000-0000-000088620000}"/>
    <cellStyle name="Note 5 3 5 2" xfId="17722" xr:uid="{00000000-0005-0000-0000-000089620000}"/>
    <cellStyle name="Note 5 3 5 2 2" xfId="41562" xr:uid="{7FFA45A2-7638-493B-869E-FD94820CA070}"/>
    <cellStyle name="Note 5 3 5 3" xfId="25666" xr:uid="{00000000-0005-0000-0000-00008A620000}"/>
    <cellStyle name="Note 5 3 5 3 2" xfId="49498" xr:uid="{C9D91921-DC15-415F-9FCB-43073C82A894}"/>
    <cellStyle name="Note 5 3 5 4" xfId="33621" xr:uid="{8B920CE7-2E8C-48EA-997B-31D95B2B184F}"/>
    <cellStyle name="Note 5 3 6" xfId="10660" xr:uid="{00000000-0005-0000-0000-00008B620000}"/>
    <cellStyle name="Note 5 3 6 2" xfId="34509" xr:uid="{82E109DF-53AC-4CFB-937C-958B15E4CAAC}"/>
    <cellStyle name="Note 5 3 7" xfId="18615" xr:uid="{00000000-0005-0000-0000-00008C620000}"/>
    <cellStyle name="Note 5 3 7 2" xfId="42447" xr:uid="{E6F82C1B-7EE7-4E08-AB76-3DFD69349097}"/>
    <cellStyle name="Note 5 3 8" xfId="26567" xr:uid="{1386F825-9A36-47AE-BF00-5AD6D290E755}"/>
    <cellStyle name="Note 5 3_Exh G" xfId="3646" xr:uid="{00000000-0005-0000-0000-00008D620000}"/>
    <cellStyle name="Note 5 4" xfId="1033" xr:uid="{00000000-0005-0000-0000-00008E620000}"/>
    <cellStyle name="Note 5 4 2" xfId="6398" xr:uid="{00000000-0005-0000-0000-00008F620000}"/>
    <cellStyle name="Note 5 5" xfId="1741" xr:uid="{00000000-0005-0000-0000-000090620000}"/>
    <cellStyle name="Note 5 5 2" xfId="5268" xr:uid="{00000000-0005-0000-0000-000091620000}"/>
    <cellStyle name="Note 5 5 2 2" xfId="8859" xr:uid="{00000000-0005-0000-0000-000092620000}"/>
    <cellStyle name="Note 5 5 2 2 2" xfId="16829" xr:uid="{00000000-0005-0000-0000-000093620000}"/>
    <cellStyle name="Note 5 5 2 2 2 2" xfId="40671" xr:uid="{848629E3-A0EA-4EAD-B15F-9CC955944E79}"/>
    <cellStyle name="Note 5 5 2 2 3" xfId="24775" xr:uid="{00000000-0005-0000-0000-000094620000}"/>
    <cellStyle name="Note 5 5 2 2 3 2" xfId="48607" xr:uid="{3190C865-2265-43E4-93D3-35E2972F3A82}"/>
    <cellStyle name="Note 5 5 2 2 4" xfId="32730" xr:uid="{F93C6EB8-C609-4370-ABF6-81311896C30F}"/>
    <cellStyle name="Note 5 5 2 3" xfId="13291" xr:uid="{00000000-0005-0000-0000-000095620000}"/>
    <cellStyle name="Note 5 5 2 3 2" xfId="37140" xr:uid="{E6077A32-4C14-4F12-9594-83218E40E946}"/>
    <cellStyle name="Note 5 5 2 4" xfId="21246" xr:uid="{00000000-0005-0000-0000-000096620000}"/>
    <cellStyle name="Note 5 5 2 4 2" xfId="45078" xr:uid="{6840797A-BCFD-4A8C-A04A-6D58C520BAEF}"/>
    <cellStyle name="Note 5 5 2 5" xfId="29199" xr:uid="{FE6E87CC-14B2-4243-A36A-012E094D0FEB}"/>
    <cellStyle name="Note 5 5 3" xfId="7100" xr:uid="{00000000-0005-0000-0000-000097620000}"/>
    <cellStyle name="Note 5 5 3 2" xfId="15071" xr:uid="{00000000-0005-0000-0000-000098620000}"/>
    <cellStyle name="Note 5 5 3 2 2" xfId="38913" xr:uid="{E16287BD-3C60-4CD8-9793-A962E0BF449E}"/>
    <cellStyle name="Note 5 5 3 3" xfId="23018" xr:uid="{00000000-0005-0000-0000-000099620000}"/>
    <cellStyle name="Note 5 5 3 3 2" xfId="46850" xr:uid="{41814C19-7B2A-4448-9E0A-E3072D9D2ACD}"/>
    <cellStyle name="Note 5 5 3 4" xfId="30972" xr:uid="{526889DD-55EE-498B-8658-049B0DBC01D6}"/>
    <cellStyle name="Note 5 5 4" xfId="11535" xr:uid="{00000000-0005-0000-0000-00009A620000}"/>
    <cellStyle name="Note 5 5 4 2" xfId="35384" xr:uid="{FF2E04B9-99A8-4F7B-BF59-D22291D440D5}"/>
    <cellStyle name="Note 5 5 5" xfId="19490" xr:uid="{00000000-0005-0000-0000-00009B620000}"/>
    <cellStyle name="Note 5 5 5 2" xfId="43322" xr:uid="{EAC2AFA7-5739-42B0-980E-24E9FC9D4C2F}"/>
    <cellStyle name="Note 5 5 6" xfId="27442" xr:uid="{8216AD42-4F28-4182-ABB4-A07D743CF9B5}"/>
    <cellStyle name="Note 5 5_Exh G" xfId="3648" xr:uid="{00000000-0005-0000-0000-00009C620000}"/>
    <cellStyle name="Note 5 6" xfId="4389" xr:uid="{00000000-0005-0000-0000-00009D620000}"/>
    <cellStyle name="Note 5 6 2" xfId="7981" xr:uid="{00000000-0005-0000-0000-00009E620000}"/>
    <cellStyle name="Note 5 6 2 2" xfId="15951" xr:uid="{00000000-0005-0000-0000-00009F620000}"/>
    <cellStyle name="Note 5 6 2 2 2" xfId="39793" xr:uid="{1F159D4A-0D50-422F-80A6-D497968BF1DA}"/>
    <cellStyle name="Note 5 6 2 3" xfId="23897" xr:uid="{00000000-0005-0000-0000-0000A0620000}"/>
    <cellStyle name="Note 5 6 2 3 2" xfId="47729" xr:uid="{A0FFEACF-C8CE-4336-82AA-A0F7B1A3276A}"/>
    <cellStyle name="Note 5 6 2 4" xfId="31852" xr:uid="{3376C3C5-59C0-4549-822E-4C4FAD125AA9}"/>
    <cellStyle name="Note 5 6 3" xfId="12413" xr:uid="{00000000-0005-0000-0000-0000A1620000}"/>
    <cellStyle name="Note 5 6 3 2" xfId="36262" xr:uid="{0E962C4C-80F2-4543-9CDE-62F25212DDEA}"/>
    <cellStyle name="Note 5 6 4" xfId="20368" xr:uid="{00000000-0005-0000-0000-0000A2620000}"/>
    <cellStyle name="Note 5 6 4 2" xfId="44200" xr:uid="{AB30D8EB-CEA7-4AD4-AFB6-9CF64E82CC13}"/>
    <cellStyle name="Note 5 6 5" xfId="28321" xr:uid="{C79F3265-6FA6-4E7C-862C-FA7D8281817A}"/>
    <cellStyle name="Note 5 7" xfId="6209" xr:uid="{00000000-0005-0000-0000-0000A3620000}"/>
    <cellStyle name="Note 5 7 2" xfId="14192" xr:uid="{00000000-0005-0000-0000-0000A4620000}"/>
    <cellStyle name="Note 5 7 2 2" xfId="38035" xr:uid="{E44823B5-D2DE-4C10-9AB5-2E9164FB4634}"/>
    <cellStyle name="Note 5 7 3" xfId="22140" xr:uid="{00000000-0005-0000-0000-0000A5620000}"/>
    <cellStyle name="Note 5 7 3 2" xfId="45972" xr:uid="{577730FE-06DB-47E6-A1AE-4F0B835D7313}"/>
    <cellStyle name="Note 5 7 4" xfId="30094" xr:uid="{6E54CD0B-8488-4D27-8D99-665F35BB2194}"/>
    <cellStyle name="Note 5 8" xfId="9761" xr:uid="{00000000-0005-0000-0000-0000A6620000}"/>
    <cellStyle name="Note 5 8 2" xfId="17719" xr:uid="{00000000-0005-0000-0000-0000A7620000}"/>
    <cellStyle name="Note 5 8 2 2" xfId="41559" xr:uid="{7122009E-5636-4E27-85DC-8D14BF426100}"/>
    <cellStyle name="Note 5 8 3" xfId="25663" xr:uid="{00000000-0005-0000-0000-0000A8620000}"/>
    <cellStyle name="Note 5 8 3 2" xfId="49495" xr:uid="{B915848C-31C6-4E32-ADAE-EC165CAD8AC5}"/>
    <cellStyle name="Note 5 8 4" xfId="33618" xr:uid="{681BCA31-DD14-40DC-99AC-D562AA920479}"/>
    <cellStyle name="Note 5 9" xfId="10657" xr:uid="{00000000-0005-0000-0000-0000A9620000}"/>
    <cellStyle name="Note 5 9 2" xfId="34506" xr:uid="{3D168DBD-CD69-4582-B09B-153F4C6347EF}"/>
    <cellStyle name="Note 5_Exh G" xfId="3641" xr:uid="{00000000-0005-0000-0000-0000AA620000}"/>
    <cellStyle name="Note 6" xfId="719" xr:uid="{00000000-0005-0000-0000-0000AB620000}"/>
    <cellStyle name="Note 6 10" xfId="18616" xr:uid="{00000000-0005-0000-0000-0000AC620000}"/>
    <cellStyle name="Note 6 10 2" xfId="42448" xr:uid="{0AE95582-F33E-44E3-B702-4FF3339A130F}"/>
    <cellStyle name="Note 6 11" xfId="26568" xr:uid="{0951A3DA-ADDA-4600-A8A5-CABB9B599DE6}"/>
    <cellStyle name="Note 6 2" xfId="720" xr:uid="{00000000-0005-0000-0000-0000AD620000}"/>
    <cellStyle name="Note 6 2 2" xfId="721" xr:uid="{00000000-0005-0000-0000-0000AE620000}"/>
    <cellStyle name="Note 6 2 2 2" xfId="1747" xr:uid="{00000000-0005-0000-0000-0000AF620000}"/>
    <cellStyle name="Note 6 2 2 2 2" xfId="5274" xr:uid="{00000000-0005-0000-0000-0000B0620000}"/>
    <cellStyle name="Note 6 2 2 2 2 2" xfId="8865" xr:uid="{00000000-0005-0000-0000-0000B1620000}"/>
    <cellStyle name="Note 6 2 2 2 2 2 2" xfId="16835" xr:uid="{00000000-0005-0000-0000-0000B2620000}"/>
    <cellStyle name="Note 6 2 2 2 2 2 2 2" xfId="40677" xr:uid="{21021AAC-EB7C-4BF5-BCB6-3FFB2F2A5F40}"/>
    <cellStyle name="Note 6 2 2 2 2 2 3" xfId="24781" xr:uid="{00000000-0005-0000-0000-0000B3620000}"/>
    <cellStyle name="Note 6 2 2 2 2 2 3 2" xfId="48613" xr:uid="{8A5854D4-3F39-44A0-B79B-EAF65929CD0C}"/>
    <cellStyle name="Note 6 2 2 2 2 2 4" xfId="32736" xr:uid="{154EA236-DE76-4DBF-A690-8A48D5A1DBFF}"/>
    <cellStyle name="Note 6 2 2 2 2 3" xfId="13297" xr:uid="{00000000-0005-0000-0000-0000B4620000}"/>
    <cellStyle name="Note 6 2 2 2 2 3 2" xfId="37146" xr:uid="{9BF52C20-7B51-4B10-9B1E-1609974D63C4}"/>
    <cellStyle name="Note 6 2 2 2 2 4" xfId="21252" xr:uid="{00000000-0005-0000-0000-0000B5620000}"/>
    <cellStyle name="Note 6 2 2 2 2 4 2" xfId="45084" xr:uid="{F347E791-F0F8-4DD3-B6B9-B3AE91BBF8FC}"/>
    <cellStyle name="Note 6 2 2 2 2 5" xfId="29205" xr:uid="{EE892CE9-4782-4D1E-BB7E-46ED82A70A20}"/>
    <cellStyle name="Note 6 2 2 2 3" xfId="7106" xr:uid="{00000000-0005-0000-0000-0000B6620000}"/>
    <cellStyle name="Note 6 2 2 2 3 2" xfId="15077" xr:uid="{00000000-0005-0000-0000-0000B7620000}"/>
    <cellStyle name="Note 6 2 2 2 3 2 2" xfId="38919" xr:uid="{689E679F-5AE9-4A2E-BD1E-1217FD9FDFFE}"/>
    <cellStyle name="Note 6 2 2 2 3 3" xfId="23024" xr:uid="{00000000-0005-0000-0000-0000B8620000}"/>
    <cellStyle name="Note 6 2 2 2 3 3 2" xfId="46856" xr:uid="{87819170-4BD1-468F-BD10-C6F70C6DD9D0}"/>
    <cellStyle name="Note 6 2 2 2 3 4" xfId="30978" xr:uid="{06108D18-CA17-4464-80DD-E7108E2C464B}"/>
    <cellStyle name="Note 6 2 2 2 4" xfId="11541" xr:uid="{00000000-0005-0000-0000-0000B9620000}"/>
    <cellStyle name="Note 6 2 2 2 4 2" xfId="35390" xr:uid="{6BE17C8C-16EA-491B-9FDD-AE39AC33D41A}"/>
    <cellStyle name="Note 6 2 2 2 5" xfId="19496" xr:uid="{00000000-0005-0000-0000-0000BA620000}"/>
    <cellStyle name="Note 6 2 2 2 5 2" xfId="43328" xr:uid="{E70DDAD4-8A52-4285-B0A4-D30792DF4172}"/>
    <cellStyle name="Note 6 2 2 2 6" xfId="27448" xr:uid="{7776812E-0474-4A26-8ADA-D0AB619508FC}"/>
    <cellStyle name="Note 6 2 2 2_Exh G" xfId="3652" xr:uid="{00000000-0005-0000-0000-0000BB620000}"/>
    <cellStyle name="Note 6 2 2 3" xfId="4395" xr:uid="{00000000-0005-0000-0000-0000BC620000}"/>
    <cellStyle name="Note 6 2 2 3 2" xfId="7987" xr:uid="{00000000-0005-0000-0000-0000BD620000}"/>
    <cellStyle name="Note 6 2 2 3 2 2" xfId="15957" xr:uid="{00000000-0005-0000-0000-0000BE620000}"/>
    <cellStyle name="Note 6 2 2 3 2 2 2" xfId="39799" xr:uid="{0A2F646F-55ED-4F78-B132-9D91B80111F8}"/>
    <cellStyle name="Note 6 2 2 3 2 3" xfId="23903" xr:uid="{00000000-0005-0000-0000-0000BF620000}"/>
    <cellStyle name="Note 6 2 2 3 2 3 2" xfId="47735" xr:uid="{402AEEB5-163A-48C6-8975-B42CEA8DE43E}"/>
    <cellStyle name="Note 6 2 2 3 2 4" xfId="31858" xr:uid="{23445F78-1CAC-43B5-8794-FF0B400BC5F0}"/>
    <cellStyle name="Note 6 2 2 3 3" xfId="12419" xr:uid="{00000000-0005-0000-0000-0000C0620000}"/>
    <cellStyle name="Note 6 2 2 3 3 2" xfId="36268" xr:uid="{7B17F578-02E6-41AA-B3F2-B23BF85E215D}"/>
    <cellStyle name="Note 6 2 2 3 4" xfId="20374" xr:uid="{00000000-0005-0000-0000-0000C1620000}"/>
    <cellStyle name="Note 6 2 2 3 4 2" xfId="44206" xr:uid="{C4C06647-3F61-4BE3-A434-8BC11F56D1B3}"/>
    <cellStyle name="Note 6 2 2 3 5" xfId="28327" xr:uid="{E1192972-6D5F-42AE-BF98-17091344DCD0}"/>
    <cellStyle name="Note 6 2 2 4" xfId="6215" xr:uid="{00000000-0005-0000-0000-0000C2620000}"/>
    <cellStyle name="Note 6 2 2 4 2" xfId="14198" xr:uid="{00000000-0005-0000-0000-0000C3620000}"/>
    <cellStyle name="Note 6 2 2 4 2 2" xfId="38041" xr:uid="{321EE57A-A988-467E-9AB5-38BE50B599BB}"/>
    <cellStyle name="Note 6 2 2 4 3" xfId="22146" xr:uid="{00000000-0005-0000-0000-0000C4620000}"/>
    <cellStyle name="Note 6 2 2 4 3 2" xfId="45978" xr:uid="{0FE61AC8-2815-470B-A2FC-2EEEE28B9218}"/>
    <cellStyle name="Note 6 2 2 4 4" xfId="30100" xr:uid="{8B3FBB67-E40D-4817-9897-07D2C79E4970}"/>
    <cellStyle name="Note 6 2 2 5" xfId="9767" xr:uid="{00000000-0005-0000-0000-0000C5620000}"/>
    <cellStyle name="Note 6 2 2 5 2" xfId="17725" xr:uid="{00000000-0005-0000-0000-0000C6620000}"/>
    <cellStyle name="Note 6 2 2 5 2 2" xfId="41565" xr:uid="{D8076D5A-9FBB-4510-BBCE-281052D1E7FF}"/>
    <cellStyle name="Note 6 2 2 5 3" xfId="25669" xr:uid="{00000000-0005-0000-0000-0000C7620000}"/>
    <cellStyle name="Note 6 2 2 5 3 2" xfId="49501" xr:uid="{9746C7A9-7AD6-409E-9689-132071D7A56D}"/>
    <cellStyle name="Note 6 2 2 5 4" xfId="33624" xr:uid="{7EF736C7-BC3B-43BD-A567-FEB8E4D25BCD}"/>
    <cellStyle name="Note 6 2 2 6" xfId="10663" xr:uid="{00000000-0005-0000-0000-0000C8620000}"/>
    <cellStyle name="Note 6 2 2 6 2" xfId="34512" xr:uid="{9208433B-E761-4429-9F80-54B99B98830D}"/>
    <cellStyle name="Note 6 2 2 7" xfId="18618" xr:uid="{00000000-0005-0000-0000-0000C9620000}"/>
    <cellStyle name="Note 6 2 2 7 2" xfId="42450" xr:uid="{497F2705-B558-4BFE-96B2-7A9B47FC5AF2}"/>
    <cellStyle name="Note 6 2 2 8" xfId="26570" xr:uid="{6FC37E23-2CF6-473F-B057-35B3F84865DB}"/>
    <cellStyle name="Note 6 2 2_Exh G" xfId="3651" xr:uid="{00000000-0005-0000-0000-0000CA620000}"/>
    <cellStyle name="Note 6 2 3" xfId="1746" xr:uid="{00000000-0005-0000-0000-0000CB620000}"/>
    <cellStyle name="Note 6 2 3 2" xfId="5273" xr:uid="{00000000-0005-0000-0000-0000CC620000}"/>
    <cellStyle name="Note 6 2 3 2 2" xfId="8864" xr:uid="{00000000-0005-0000-0000-0000CD620000}"/>
    <cellStyle name="Note 6 2 3 2 2 2" xfId="16834" xr:uid="{00000000-0005-0000-0000-0000CE620000}"/>
    <cellStyle name="Note 6 2 3 2 2 2 2" xfId="40676" xr:uid="{8C976302-0B44-45A7-8DC0-0B2AA8C17E5B}"/>
    <cellStyle name="Note 6 2 3 2 2 3" xfId="24780" xr:uid="{00000000-0005-0000-0000-0000CF620000}"/>
    <cellStyle name="Note 6 2 3 2 2 3 2" xfId="48612" xr:uid="{857F871B-836A-4A71-91EC-14C8FDF4EE5F}"/>
    <cellStyle name="Note 6 2 3 2 2 4" xfId="32735" xr:uid="{3CD87FFA-290C-4888-BAD6-827D6980146E}"/>
    <cellStyle name="Note 6 2 3 2 3" xfId="13296" xr:uid="{00000000-0005-0000-0000-0000D0620000}"/>
    <cellStyle name="Note 6 2 3 2 3 2" xfId="37145" xr:uid="{75CA02D4-EFD4-4993-8439-0CA87B6DCA4A}"/>
    <cellStyle name="Note 6 2 3 2 4" xfId="21251" xr:uid="{00000000-0005-0000-0000-0000D1620000}"/>
    <cellStyle name="Note 6 2 3 2 4 2" xfId="45083" xr:uid="{53F08657-A08C-4F1D-B8B4-3331B299ED10}"/>
    <cellStyle name="Note 6 2 3 2 5" xfId="29204" xr:uid="{77692D84-28D8-4BCB-A09D-6EA42B8197A5}"/>
    <cellStyle name="Note 6 2 3 3" xfId="7105" xr:uid="{00000000-0005-0000-0000-0000D2620000}"/>
    <cellStyle name="Note 6 2 3 3 2" xfId="15076" xr:uid="{00000000-0005-0000-0000-0000D3620000}"/>
    <cellStyle name="Note 6 2 3 3 2 2" xfId="38918" xr:uid="{0C943A0F-2ACD-41D9-B180-FFC50C728049}"/>
    <cellStyle name="Note 6 2 3 3 3" xfId="23023" xr:uid="{00000000-0005-0000-0000-0000D4620000}"/>
    <cellStyle name="Note 6 2 3 3 3 2" xfId="46855" xr:uid="{C8E8F94E-64B1-4C3A-9575-8109E8BA09DD}"/>
    <cellStyle name="Note 6 2 3 3 4" xfId="30977" xr:uid="{B00B7CD3-BC93-46A7-99BE-8CF7AB00A195}"/>
    <cellStyle name="Note 6 2 3 4" xfId="11540" xr:uid="{00000000-0005-0000-0000-0000D5620000}"/>
    <cellStyle name="Note 6 2 3 4 2" xfId="35389" xr:uid="{01255B01-63B2-4FF2-AEA7-D413D0D5C348}"/>
    <cellStyle name="Note 6 2 3 5" xfId="19495" xr:uid="{00000000-0005-0000-0000-0000D6620000}"/>
    <cellStyle name="Note 6 2 3 5 2" xfId="43327" xr:uid="{2F710A43-188A-4186-B18F-BDCD60AB2376}"/>
    <cellStyle name="Note 6 2 3 6" xfId="27447" xr:uid="{9910E074-0877-464D-A2C3-A914B39CADE6}"/>
    <cellStyle name="Note 6 2 3_Exh G" xfId="3653" xr:uid="{00000000-0005-0000-0000-0000D7620000}"/>
    <cellStyle name="Note 6 2 4" xfId="4394" xr:uid="{00000000-0005-0000-0000-0000D8620000}"/>
    <cellStyle name="Note 6 2 4 2" xfId="7986" xr:uid="{00000000-0005-0000-0000-0000D9620000}"/>
    <cellStyle name="Note 6 2 4 2 2" xfId="15956" xr:uid="{00000000-0005-0000-0000-0000DA620000}"/>
    <cellStyle name="Note 6 2 4 2 2 2" xfId="39798" xr:uid="{878F76AF-6030-45CA-BDA1-0DB160544B95}"/>
    <cellStyle name="Note 6 2 4 2 3" xfId="23902" xr:uid="{00000000-0005-0000-0000-0000DB620000}"/>
    <cellStyle name="Note 6 2 4 2 3 2" xfId="47734" xr:uid="{DB06EAA7-F71E-41F3-A17E-4F48D6405708}"/>
    <cellStyle name="Note 6 2 4 2 4" xfId="31857" xr:uid="{4FB3B94A-0896-428F-9A9B-460AECBF5F5F}"/>
    <cellStyle name="Note 6 2 4 3" xfId="12418" xr:uid="{00000000-0005-0000-0000-0000DC620000}"/>
    <cellStyle name="Note 6 2 4 3 2" xfId="36267" xr:uid="{696BD8F9-06F5-4166-B166-82B27164EE1A}"/>
    <cellStyle name="Note 6 2 4 4" xfId="20373" xr:uid="{00000000-0005-0000-0000-0000DD620000}"/>
    <cellStyle name="Note 6 2 4 4 2" xfId="44205" xr:uid="{FEA5F447-095C-45B3-9BEF-041C9F660210}"/>
    <cellStyle name="Note 6 2 4 5" xfId="28326" xr:uid="{AA8352F3-4DF2-4EE9-BF2F-AE7542392ADB}"/>
    <cellStyle name="Note 6 2 5" xfId="6214" xr:uid="{00000000-0005-0000-0000-0000DE620000}"/>
    <cellStyle name="Note 6 2 5 2" xfId="14197" xr:uid="{00000000-0005-0000-0000-0000DF620000}"/>
    <cellStyle name="Note 6 2 5 2 2" xfId="38040" xr:uid="{FB128B45-F315-48CC-A9F3-304BFBC9910A}"/>
    <cellStyle name="Note 6 2 5 3" xfId="22145" xr:uid="{00000000-0005-0000-0000-0000E0620000}"/>
    <cellStyle name="Note 6 2 5 3 2" xfId="45977" xr:uid="{D12F487C-6E58-4E70-B1FB-3F9330A634F5}"/>
    <cellStyle name="Note 6 2 5 4" xfId="30099" xr:uid="{9080EF13-3FA2-4EFD-BBCE-E6DCA1A496A3}"/>
    <cellStyle name="Note 6 2 6" xfId="9766" xr:uid="{00000000-0005-0000-0000-0000E1620000}"/>
    <cellStyle name="Note 6 2 6 2" xfId="17724" xr:uid="{00000000-0005-0000-0000-0000E2620000}"/>
    <cellStyle name="Note 6 2 6 2 2" xfId="41564" xr:uid="{22D465DE-86FA-47BC-AB02-F43449E952B6}"/>
    <cellStyle name="Note 6 2 6 3" xfId="25668" xr:uid="{00000000-0005-0000-0000-0000E3620000}"/>
    <cellStyle name="Note 6 2 6 3 2" xfId="49500" xr:uid="{2CAD1488-15FC-474D-BEEB-FD1DF91EDE15}"/>
    <cellStyle name="Note 6 2 6 4" xfId="33623" xr:uid="{EF584F50-1D08-4956-86E9-6E50E8738D89}"/>
    <cellStyle name="Note 6 2 7" xfId="10662" xr:uid="{00000000-0005-0000-0000-0000E4620000}"/>
    <cellStyle name="Note 6 2 7 2" xfId="34511" xr:uid="{D1BCDB71-AF3D-4C6E-89D2-90411CFF2D5C}"/>
    <cellStyle name="Note 6 2 8" xfId="18617" xr:uid="{00000000-0005-0000-0000-0000E5620000}"/>
    <cellStyle name="Note 6 2 8 2" xfId="42449" xr:uid="{CC97A2E8-9084-45EC-B2ED-2C7CF98FA58D}"/>
    <cellStyle name="Note 6 2 9" xfId="26569" xr:uid="{9394434B-15EB-4C2E-B60B-2BCBC51DACB0}"/>
    <cellStyle name="Note 6 2_Exh G" xfId="3650" xr:uid="{00000000-0005-0000-0000-0000E6620000}"/>
    <cellStyle name="Note 6 3" xfId="722" xr:uid="{00000000-0005-0000-0000-0000E7620000}"/>
    <cellStyle name="Note 6 3 2" xfId="1748" xr:uid="{00000000-0005-0000-0000-0000E8620000}"/>
    <cellStyle name="Note 6 3 2 2" xfId="5275" xr:uid="{00000000-0005-0000-0000-0000E9620000}"/>
    <cellStyle name="Note 6 3 2 2 2" xfId="8866" xr:uid="{00000000-0005-0000-0000-0000EA620000}"/>
    <cellStyle name="Note 6 3 2 2 2 2" xfId="16836" xr:uid="{00000000-0005-0000-0000-0000EB620000}"/>
    <cellStyle name="Note 6 3 2 2 2 2 2" xfId="40678" xr:uid="{6913E42D-E5EE-438D-8266-C0D038C757D5}"/>
    <cellStyle name="Note 6 3 2 2 2 3" xfId="24782" xr:uid="{00000000-0005-0000-0000-0000EC620000}"/>
    <cellStyle name="Note 6 3 2 2 2 3 2" xfId="48614" xr:uid="{937689BB-4F4E-44FC-A58E-14A7794E21B2}"/>
    <cellStyle name="Note 6 3 2 2 2 4" xfId="32737" xr:uid="{5D393776-8010-4DDB-AD43-C4A7AD072CB8}"/>
    <cellStyle name="Note 6 3 2 2 3" xfId="13298" xr:uid="{00000000-0005-0000-0000-0000ED620000}"/>
    <cellStyle name="Note 6 3 2 2 3 2" xfId="37147" xr:uid="{FF01AF63-7319-41B5-9E61-6499D2C1275D}"/>
    <cellStyle name="Note 6 3 2 2 4" xfId="21253" xr:uid="{00000000-0005-0000-0000-0000EE620000}"/>
    <cellStyle name="Note 6 3 2 2 4 2" xfId="45085" xr:uid="{9EA328EB-5D80-4BDC-8278-883E09A03EC6}"/>
    <cellStyle name="Note 6 3 2 2 5" xfId="29206" xr:uid="{E7E31E76-2FB5-4F79-97D1-0ADCB6EED92A}"/>
    <cellStyle name="Note 6 3 2 3" xfId="7107" xr:uid="{00000000-0005-0000-0000-0000EF620000}"/>
    <cellStyle name="Note 6 3 2 3 2" xfId="15078" xr:uid="{00000000-0005-0000-0000-0000F0620000}"/>
    <cellStyle name="Note 6 3 2 3 2 2" xfId="38920" xr:uid="{45DAA393-5621-4419-9478-8431BED71AED}"/>
    <cellStyle name="Note 6 3 2 3 3" xfId="23025" xr:uid="{00000000-0005-0000-0000-0000F1620000}"/>
    <cellStyle name="Note 6 3 2 3 3 2" xfId="46857" xr:uid="{3F61B6FC-D8EB-4E19-998B-EFFF89723EF2}"/>
    <cellStyle name="Note 6 3 2 3 4" xfId="30979" xr:uid="{78591AA0-A737-4B90-A838-58D2F38C7FD3}"/>
    <cellStyle name="Note 6 3 2 4" xfId="11542" xr:uid="{00000000-0005-0000-0000-0000F2620000}"/>
    <cellStyle name="Note 6 3 2 4 2" xfId="35391" xr:uid="{C11EC697-D313-4017-8A25-5BB04531B25E}"/>
    <cellStyle name="Note 6 3 2 5" xfId="19497" xr:uid="{00000000-0005-0000-0000-0000F3620000}"/>
    <cellStyle name="Note 6 3 2 5 2" xfId="43329" xr:uid="{3AD66ED3-A7DF-4333-8E61-7E0C8FB28B47}"/>
    <cellStyle name="Note 6 3 2 6" xfId="27449" xr:uid="{AAA8C5E8-B73E-42DF-82D8-5CB031DE25D2}"/>
    <cellStyle name="Note 6 3 2_Exh G" xfId="3655" xr:uid="{00000000-0005-0000-0000-0000F4620000}"/>
    <cellStyle name="Note 6 3 3" xfId="4396" xr:uid="{00000000-0005-0000-0000-0000F5620000}"/>
    <cellStyle name="Note 6 3 3 2" xfId="7988" xr:uid="{00000000-0005-0000-0000-0000F6620000}"/>
    <cellStyle name="Note 6 3 3 2 2" xfId="15958" xr:uid="{00000000-0005-0000-0000-0000F7620000}"/>
    <cellStyle name="Note 6 3 3 2 2 2" xfId="39800" xr:uid="{F832649F-959E-4024-9701-57C84D23689E}"/>
    <cellStyle name="Note 6 3 3 2 3" xfId="23904" xr:uid="{00000000-0005-0000-0000-0000F8620000}"/>
    <cellStyle name="Note 6 3 3 2 3 2" xfId="47736" xr:uid="{6CBA3952-EABD-4587-A356-A2B81D607539}"/>
    <cellStyle name="Note 6 3 3 2 4" xfId="31859" xr:uid="{75A64901-3552-49C4-8815-2BAD60E1C93C}"/>
    <cellStyle name="Note 6 3 3 3" xfId="12420" xr:uid="{00000000-0005-0000-0000-0000F9620000}"/>
    <cellStyle name="Note 6 3 3 3 2" xfId="36269" xr:uid="{5688FF61-DEC6-40AB-B27F-9F32627BC97A}"/>
    <cellStyle name="Note 6 3 3 4" xfId="20375" xr:uid="{00000000-0005-0000-0000-0000FA620000}"/>
    <cellStyle name="Note 6 3 3 4 2" xfId="44207" xr:uid="{CD9E506E-5F44-46AC-82EA-52244DF6D7A3}"/>
    <cellStyle name="Note 6 3 3 5" xfId="28328" xr:uid="{CA50140B-442A-4B81-9B7F-322FB552F3CC}"/>
    <cellStyle name="Note 6 3 4" xfId="6216" xr:uid="{00000000-0005-0000-0000-0000FB620000}"/>
    <cellStyle name="Note 6 3 4 2" xfId="14199" xr:uid="{00000000-0005-0000-0000-0000FC620000}"/>
    <cellStyle name="Note 6 3 4 2 2" xfId="38042" xr:uid="{CD788941-55B4-42FA-95C2-7A6EA41308E4}"/>
    <cellStyle name="Note 6 3 4 3" xfId="22147" xr:uid="{00000000-0005-0000-0000-0000FD620000}"/>
    <cellStyle name="Note 6 3 4 3 2" xfId="45979" xr:uid="{AEC3755C-B88E-4052-80A0-682055ABB60C}"/>
    <cellStyle name="Note 6 3 4 4" xfId="30101" xr:uid="{1B3E0E61-335F-495C-8405-6119257D708F}"/>
    <cellStyle name="Note 6 3 5" xfId="9768" xr:uid="{00000000-0005-0000-0000-0000FE620000}"/>
    <cellStyle name="Note 6 3 5 2" xfId="17726" xr:uid="{00000000-0005-0000-0000-0000FF620000}"/>
    <cellStyle name="Note 6 3 5 2 2" xfId="41566" xr:uid="{25303036-6D61-4851-9111-89A3240AA149}"/>
    <cellStyle name="Note 6 3 5 3" xfId="25670" xr:uid="{00000000-0005-0000-0000-000000630000}"/>
    <cellStyle name="Note 6 3 5 3 2" xfId="49502" xr:uid="{D8FEC3F3-E7AA-4E54-B371-57F9D6177C78}"/>
    <cellStyle name="Note 6 3 5 4" xfId="33625" xr:uid="{11B2F3D1-63C2-48EC-80D1-EC2577CFB2B3}"/>
    <cellStyle name="Note 6 3 6" xfId="10664" xr:uid="{00000000-0005-0000-0000-000001630000}"/>
    <cellStyle name="Note 6 3 6 2" xfId="34513" xr:uid="{0AEBFA71-3CD9-4888-BFAD-53209F135FFE}"/>
    <cellStyle name="Note 6 3 7" xfId="18619" xr:uid="{00000000-0005-0000-0000-000002630000}"/>
    <cellStyle name="Note 6 3 7 2" xfId="42451" xr:uid="{D7475FF9-A152-4FA6-B550-A221661980AD}"/>
    <cellStyle name="Note 6 3 8" xfId="26571" xr:uid="{F7BF1D32-57FB-47C2-B7CC-052B2806A6E0}"/>
    <cellStyle name="Note 6 3_Exh G" xfId="3654" xr:uid="{00000000-0005-0000-0000-000003630000}"/>
    <cellStyle name="Note 6 4" xfId="1034" xr:uid="{00000000-0005-0000-0000-000004630000}"/>
    <cellStyle name="Note 6 4 2" xfId="1929" xr:uid="{00000000-0005-0000-0000-000005630000}"/>
    <cellStyle name="Note 6 4 2 2" xfId="5446" xr:uid="{00000000-0005-0000-0000-000006630000}"/>
    <cellStyle name="Note 6 4 2 2 2" xfId="9037" xr:uid="{00000000-0005-0000-0000-000007630000}"/>
    <cellStyle name="Note 6 4 2 2 2 2" xfId="17007" xr:uid="{00000000-0005-0000-0000-000008630000}"/>
    <cellStyle name="Note 6 4 2 2 2 2 2" xfId="40849" xr:uid="{A8D0F90A-D101-4BEB-BD82-93D3D69BA670}"/>
    <cellStyle name="Note 6 4 2 2 2 3" xfId="24953" xr:uid="{00000000-0005-0000-0000-000009630000}"/>
    <cellStyle name="Note 6 4 2 2 2 3 2" xfId="48785" xr:uid="{D70DFE5E-C1C7-4966-B755-FEF60F554C32}"/>
    <cellStyle name="Note 6 4 2 2 2 4" xfId="32908" xr:uid="{1B84FA1E-AA4F-41A6-8102-F3672EFC268F}"/>
    <cellStyle name="Note 6 4 2 2 3" xfId="13469" xr:uid="{00000000-0005-0000-0000-00000A630000}"/>
    <cellStyle name="Note 6 4 2 2 3 2" xfId="37318" xr:uid="{736DD08C-726B-42FC-A792-90B89527503A}"/>
    <cellStyle name="Note 6 4 2 2 4" xfId="21424" xr:uid="{00000000-0005-0000-0000-00000B630000}"/>
    <cellStyle name="Note 6 4 2 2 4 2" xfId="45256" xr:uid="{01AE5B3F-1A59-4BF3-8B4C-0398A6ED3175}"/>
    <cellStyle name="Note 6 4 2 2 5" xfId="29377" xr:uid="{CCD4C8C1-D98F-4EF5-8230-40D6F0E8199E}"/>
    <cellStyle name="Note 6 4 2 3" xfId="7278" xr:uid="{00000000-0005-0000-0000-00000C630000}"/>
    <cellStyle name="Note 6 4 2 3 2" xfId="15249" xr:uid="{00000000-0005-0000-0000-00000D630000}"/>
    <cellStyle name="Note 6 4 2 3 2 2" xfId="39091" xr:uid="{C59DF62C-51B4-4111-B684-EAA42265575B}"/>
    <cellStyle name="Note 6 4 2 3 3" xfId="23196" xr:uid="{00000000-0005-0000-0000-00000E630000}"/>
    <cellStyle name="Note 6 4 2 3 3 2" xfId="47028" xr:uid="{2975B587-BAF1-4BDF-839C-6444E183C833}"/>
    <cellStyle name="Note 6 4 2 3 4" xfId="31150" xr:uid="{D177DF9A-11CC-4F4F-80ED-12FD5BD0FE0A}"/>
    <cellStyle name="Note 6 4 2 4" xfId="11713" xr:uid="{00000000-0005-0000-0000-00000F630000}"/>
    <cellStyle name="Note 6 4 2 4 2" xfId="35562" xr:uid="{4A358289-86E4-4689-95E0-8E5C03797BE2}"/>
    <cellStyle name="Note 6 4 2 5" xfId="19668" xr:uid="{00000000-0005-0000-0000-000010630000}"/>
    <cellStyle name="Note 6 4 2 5 2" xfId="43500" xr:uid="{7DC24652-9318-407D-AD9B-D73167052ADE}"/>
    <cellStyle name="Note 6 4 2 6" xfId="27620" xr:uid="{E37D4B43-92C6-4655-9773-D0ACF1EE9C77}"/>
    <cellStyle name="Note 6 4 2_Exh G" xfId="3657" xr:uid="{00000000-0005-0000-0000-000011630000}"/>
    <cellStyle name="Note 6 4 3" xfId="4567" xr:uid="{00000000-0005-0000-0000-000012630000}"/>
    <cellStyle name="Note 6 4 3 2" xfId="8159" xr:uid="{00000000-0005-0000-0000-000013630000}"/>
    <cellStyle name="Note 6 4 3 2 2" xfId="16129" xr:uid="{00000000-0005-0000-0000-000014630000}"/>
    <cellStyle name="Note 6 4 3 2 2 2" xfId="39971" xr:uid="{13395481-AF97-4D9C-A7C1-2EE84AC49D85}"/>
    <cellStyle name="Note 6 4 3 2 3" xfId="24075" xr:uid="{00000000-0005-0000-0000-000015630000}"/>
    <cellStyle name="Note 6 4 3 2 3 2" xfId="47907" xr:uid="{8005C952-7E8F-4AFE-9465-9FFD99CF6784}"/>
    <cellStyle name="Note 6 4 3 2 4" xfId="32030" xr:uid="{EC786CAB-55BF-41FA-98D4-B860F16E1370}"/>
    <cellStyle name="Note 6 4 3 3" xfId="12591" xr:uid="{00000000-0005-0000-0000-000016630000}"/>
    <cellStyle name="Note 6 4 3 3 2" xfId="36440" xr:uid="{1E7A1F1A-79D9-4522-8927-23DB0461E70A}"/>
    <cellStyle name="Note 6 4 3 4" xfId="20546" xr:uid="{00000000-0005-0000-0000-000017630000}"/>
    <cellStyle name="Note 6 4 3 4 2" xfId="44378" xr:uid="{A43E6B62-E27C-43DD-86C3-7CC132A8A8D8}"/>
    <cellStyle name="Note 6 4 3 5" xfId="28499" xr:uid="{A06A6B39-B68F-48D1-8F55-CF1FF2992E8F}"/>
    <cellStyle name="Note 6 4 4" xfId="6399" xr:uid="{00000000-0005-0000-0000-000018630000}"/>
    <cellStyle name="Note 6 4 4 2" xfId="14371" xr:uid="{00000000-0005-0000-0000-000019630000}"/>
    <cellStyle name="Note 6 4 4 2 2" xfId="38213" xr:uid="{B3270BA5-F579-4F2C-967A-36FC48E8BC78}"/>
    <cellStyle name="Note 6 4 4 3" xfId="22318" xr:uid="{00000000-0005-0000-0000-00001A630000}"/>
    <cellStyle name="Note 6 4 4 3 2" xfId="46150" xr:uid="{F20D3B6E-61A4-4CCC-9D51-7738E6F03DAB}"/>
    <cellStyle name="Note 6 4 4 4" xfId="30272" xr:uid="{75FAF15E-3CA1-4290-B245-E466A3293363}"/>
    <cellStyle name="Note 6 4 5" xfId="9939" xr:uid="{00000000-0005-0000-0000-00001B630000}"/>
    <cellStyle name="Note 6 4 5 2" xfId="17897" xr:uid="{00000000-0005-0000-0000-00001C630000}"/>
    <cellStyle name="Note 6 4 5 2 2" xfId="41737" xr:uid="{FD0923B0-6673-4AFE-B3D3-9D37E31FBFCA}"/>
    <cellStyle name="Note 6 4 5 3" xfId="25841" xr:uid="{00000000-0005-0000-0000-00001D630000}"/>
    <cellStyle name="Note 6 4 5 3 2" xfId="49673" xr:uid="{8990D589-111B-4E98-BBEA-E26C90E62E67}"/>
    <cellStyle name="Note 6 4 5 4" xfId="33796" xr:uid="{D01DFB28-DD7B-4C32-B64D-FF12882D8BD1}"/>
    <cellStyle name="Note 6 4 6" xfId="10835" xr:uid="{00000000-0005-0000-0000-00001E630000}"/>
    <cellStyle name="Note 6 4 6 2" xfId="34684" xr:uid="{8DA5BAC2-AE1E-4968-8017-8F0FE083C128}"/>
    <cellStyle name="Note 6 4 7" xfId="18790" xr:uid="{00000000-0005-0000-0000-00001F630000}"/>
    <cellStyle name="Note 6 4 7 2" xfId="42622" xr:uid="{95C15FD6-7F01-484E-A211-5E11FE350B82}"/>
    <cellStyle name="Note 6 4 8" xfId="26742" xr:uid="{F06DC647-41BF-4892-ABA2-7934F224370F}"/>
    <cellStyle name="Note 6 4_Exh G" xfId="3656" xr:uid="{00000000-0005-0000-0000-000020630000}"/>
    <cellStyle name="Note 6 5" xfId="1745" xr:uid="{00000000-0005-0000-0000-000021630000}"/>
    <cellStyle name="Note 6 5 2" xfId="5272" xr:uid="{00000000-0005-0000-0000-000022630000}"/>
    <cellStyle name="Note 6 5 2 2" xfId="8863" xr:uid="{00000000-0005-0000-0000-000023630000}"/>
    <cellStyle name="Note 6 5 2 2 2" xfId="16833" xr:uid="{00000000-0005-0000-0000-000024630000}"/>
    <cellStyle name="Note 6 5 2 2 2 2" xfId="40675" xr:uid="{A48B0D6F-8402-4E52-89CA-D126EE256B82}"/>
    <cellStyle name="Note 6 5 2 2 3" xfId="24779" xr:uid="{00000000-0005-0000-0000-000025630000}"/>
    <cellStyle name="Note 6 5 2 2 3 2" xfId="48611" xr:uid="{ABABB5AF-9176-48AE-B299-F0F51685A161}"/>
    <cellStyle name="Note 6 5 2 2 4" xfId="32734" xr:uid="{28C09D12-0331-4248-9A11-C9B21632D65E}"/>
    <cellStyle name="Note 6 5 2 3" xfId="13295" xr:uid="{00000000-0005-0000-0000-000026630000}"/>
    <cellStyle name="Note 6 5 2 3 2" xfId="37144" xr:uid="{14C8F0AA-5CAA-424D-B78E-F4F775F03CE4}"/>
    <cellStyle name="Note 6 5 2 4" xfId="21250" xr:uid="{00000000-0005-0000-0000-000027630000}"/>
    <cellStyle name="Note 6 5 2 4 2" xfId="45082" xr:uid="{A77AB754-2711-4124-AE20-80273AA0F372}"/>
    <cellStyle name="Note 6 5 2 5" xfId="29203" xr:uid="{A1CA344F-816D-459E-81D4-7F44F22160B8}"/>
    <cellStyle name="Note 6 5 3" xfId="7104" xr:uid="{00000000-0005-0000-0000-000028630000}"/>
    <cellStyle name="Note 6 5 3 2" xfId="15075" xr:uid="{00000000-0005-0000-0000-000029630000}"/>
    <cellStyle name="Note 6 5 3 2 2" xfId="38917" xr:uid="{EB353DD3-00DC-4654-9076-EF3518C38C33}"/>
    <cellStyle name="Note 6 5 3 3" xfId="23022" xr:uid="{00000000-0005-0000-0000-00002A630000}"/>
    <cellStyle name="Note 6 5 3 3 2" xfId="46854" xr:uid="{3E2ED0D7-FB58-4A7F-BFC9-AA0816E7BA40}"/>
    <cellStyle name="Note 6 5 3 4" xfId="30976" xr:uid="{45C35445-9D84-4499-8ED0-D3CA13D61417}"/>
    <cellStyle name="Note 6 5 4" xfId="11539" xr:uid="{00000000-0005-0000-0000-00002B630000}"/>
    <cellStyle name="Note 6 5 4 2" xfId="35388" xr:uid="{4A57FCAB-2D37-4BED-8B4A-FC3FB0BC7F28}"/>
    <cellStyle name="Note 6 5 5" xfId="19494" xr:uid="{00000000-0005-0000-0000-00002C630000}"/>
    <cellStyle name="Note 6 5 5 2" xfId="43326" xr:uid="{A37BCA2D-1D26-4411-9C93-40A90211139A}"/>
    <cellStyle name="Note 6 5 6" xfId="27446" xr:uid="{F631EB3F-6FDB-456E-84AE-224577F33C66}"/>
    <cellStyle name="Note 6 5_Exh G" xfId="3658" xr:uid="{00000000-0005-0000-0000-00002D630000}"/>
    <cellStyle name="Note 6 6" xfId="4393" xr:uid="{00000000-0005-0000-0000-00002E630000}"/>
    <cellStyle name="Note 6 6 2" xfId="7985" xr:uid="{00000000-0005-0000-0000-00002F630000}"/>
    <cellStyle name="Note 6 6 2 2" xfId="15955" xr:uid="{00000000-0005-0000-0000-000030630000}"/>
    <cellStyle name="Note 6 6 2 2 2" xfId="39797" xr:uid="{4C711336-FD84-4F43-AAB3-BC088F9C5AD3}"/>
    <cellStyle name="Note 6 6 2 3" xfId="23901" xr:uid="{00000000-0005-0000-0000-000031630000}"/>
    <cellStyle name="Note 6 6 2 3 2" xfId="47733" xr:uid="{9EACFD37-1877-4500-BFF3-C129C552D14F}"/>
    <cellStyle name="Note 6 6 2 4" xfId="31856" xr:uid="{54AAE579-295F-4C5B-83F1-466BA46D6EFE}"/>
    <cellStyle name="Note 6 6 3" xfId="12417" xr:uid="{00000000-0005-0000-0000-000032630000}"/>
    <cellStyle name="Note 6 6 3 2" xfId="36266" xr:uid="{227FB8B1-32A7-4A0B-9E89-E42D9199BE3F}"/>
    <cellStyle name="Note 6 6 4" xfId="20372" xr:uid="{00000000-0005-0000-0000-000033630000}"/>
    <cellStyle name="Note 6 6 4 2" xfId="44204" xr:uid="{756F0496-45AF-48F3-A909-55B6465408BA}"/>
    <cellStyle name="Note 6 6 5" xfId="28325" xr:uid="{5734E952-6F92-4368-9737-464F2374440C}"/>
    <cellStyle name="Note 6 7" xfId="6213" xr:uid="{00000000-0005-0000-0000-000034630000}"/>
    <cellStyle name="Note 6 7 2" xfId="14196" xr:uid="{00000000-0005-0000-0000-000035630000}"/>
    <cellStyle name="Note 6 7 2 2" xfId="38039" xr:uid="{DB2B1185-8C1B-4453-A560-4EAAA263B80D}"/>
    <cellStyle name="Note 6 7 3" xfId="22144" xr:uid="{00000000-0005-0000-0000-000036630000}"/>
    <cellStyle name="Note 6 7 3 2" xfId="45976" xr:uid="{39E2BF80-1CA4-4131-840E-21FF79AB64EA}"/>
    <cellStyle name="Note 6 7 4" xfId="30098" xr:uid="{00360398-DA9E-4A1F-A94E-27E9152E0A1F}"/>
    <cellStyle name="Note 6 8" xfId="9765" xr:uid="{00000000-0005-0000-0000-000037630000}"/>
    <cellStyle name="Note 6 8 2" xfId="17723" xr:uid="{00000000-0005-0000-0000-000038630000}"/>
    <cellStyle name="Note 6 8 2 2" xfId="41563" xr:uid="{80D0573E-8EB8-4EA5-9A1A-C872C8CBDACF}"/>
    <cellStyle name="Note 6 8 3" xfId="25667" xr:uid="{00000000-0005-0000-0000-000039630000}"/>
    <cellStyle name="Note 6 8 3 2" xfId="49499" xr:uid="{99DB2541-5F35-4717-AEC6-4329D3EE3F83}"/>
    <cellStyle name="Note 6 8 4" xfId="33622" xr:uid="{EF35199E-B284-4DB3-8548-77E8E7365C1B}"/>
    <cellStyle name="Note 6 9" xfId="10661" xr:uid="{00000000-0005-0000-0000-00003A630000}"/>
    <cellStyle name="Note 6 9 2" xfId="34510" xr:uid="{A32B5139-EAA9-43C2-B1A9-0BB0C0CB537D}"/>
    <cellStyle name="Note 6_Exh G" xfId="3649" xr:uid="{00000000-0005-0000-0000-00003B630000}"/>
    <cellStyle name="Note 7" xfId="723" xr:uid="{00000000-0005-0000-0000-00003C630000}"/>
    <cellStyle name="Note 7 10" xfId="18620" xr:uid="{00000000-0005-0000-0000-00003D630000}"/>
    <cellStyle name="Note 7 10 2" xfId="42452" xr:uid="{37C19CA8-FA63-4D83-A7F1-8519BB2948EF}"/>
    <cellStyle name="Note 7 11" xfId="26572" xr:uid="{58EECAC3-9365-445D-9BAE-2D41EC247AD6}"/>
    <cellStyle name="Note 7 2" xfId="724" xr:uid="{00000000-0005-0000-0000-00003E630000}"/>
    <cellStyle name="Note 7 2 2" xfId="725" xr:uid="{00000000-0005-0000-0000-00003F630000}"/>
    <cellStyle name="Note 7 2 2 2" xfId="1751" xr:uid="{00000000-0005-0000-0000-000040630000}"/>
    <cellStyle name="Note 7 2 2 2 2" xfId="5278" xr:uid="{00000000-0005-0000-0000-000041630000}"/>
    <cellStyle name="Note 7 2 2 2 2 2" xfId="8869" xr:uid="{00000000-0005-0000-0000-000042630000}"/>
    <cellStyle name="Note 7 2 2 2 2 2 2" xfId="16839" xr:uid="{00000000-0005-0000-0000-000043630000}"/>
    <cellStyle name="Note 7 2 2 2 2 2 2 2" xfId="40681" xr:uid="{765F0807-D078-4E39-8627-94FE011E8B7F}"/>
    <cellStyle name="Note 7 2 2 2 2 2 3" xfId="24785" xr:uid="{00000000-0005-0000-0000-000044630000}"/>
    <cellStyle name="Note 7 2 2 2 2 2 3 2" xfId="48617" xr:uid="{B7028E86-6A96-4498-860D-4898D62B7EBF}"/>
    <cellStyle name="Note 7 2 2 2 2 2 4" xfId="32740" xr:uid="{A07B7C47-DD4B-4A67-B67A-1D0F1C8088F6}"/>
    <cellStyle name="Note 7 2 2 2 2 3" xfId="13301" xr:uid="{00000000-0005-0000-0000-000045630000}"/>
    <cellStyle name="Note 7 2 2 2 2 3 2" xfId="37150" xr:uid="{DD74694B-D551-4D1A-BE48-BCA274034C30}"/>
    <cellStyle name="Note 7 2 2 2 2 4" xfId="21256" xr:uid="{00000000-0005-0000-0000-000046630000}"/>
    <cellStyle name="Note 7 2 2 2 2 4 2" xfId="45088" xr:uid="{EB97868B-7C1D-4DE1-8539-859C92C3FDCC}"/>
    <cellStyle name="Note 7 2 2 2 2 5" xfId="29209" xr:uid="{92464023-F81D-46F6-807A-DF6CE992F00D}"/>
    <cellStyle name="Note 7 2 2 2 3" xfId="7110" xr:uid="{00000000-0005-0000-0000-000047630000}"/>
    <cellStyle name="Note 7 2 2 2 3 2" xfId="15081" xr:uid="{00000000-0005-0000-0000-000048630000}"/>
    <cellStyle name="Note 7 2 2 2 3 2 2" xfId="38923" xr:uid="{F01DDC00-6D2A-4AA5-B38C-A70E61FB26BE}"/>
    <cellStyle name="Note 7 2 2 2 3 3" xfId="23028" xr:uid="{00000000-0005-0000-0000-000049630000}"/>
    <cellStyle name="Note 7 2 2 2 3 3 2" xfId="46860" xr:uid="{73CCA1C0-83CF-430C-AE0D-2592761876B3}"/>
    <cellStyle name="Note 7 2 2 2 3 4" xfId="30982" xr:uid="{2610BB79-D206-4588-A7F8-412F40E0A458}"/>
    <cellStyle name="Note 7 2 2 2 4" xfId="11545" xr:uid="{00000000-0005-0000-0000-00004A630000}"/>
    <cellStyle name="Note 7 2 2 2 4 2" xfId="35394" xr:uid="{6BAD975C-91FB-4CD5-9600-D54F14388C80}"/>
    <cellStyle name="Note 7 2 2 2 5" xfId="19500" xr:uid="{00000000-0005-0000-0000-00004B630000}"/>
    <cellStyle name="Note 7 2 2 2 5 2" xfId="43332" xr:uid="{AFB972D3-0E8F-43FF-BB1F-43DF91808CF9}"/>
    <cellStyle name="Note 7 2 2 2 6" xfId="27452" xr:uid="{FCC2FE9E-D76D-45F7-8950-CE3D64E05FBB}"/>
    <cellStyle name="Note 7 2 2 2_Exh G" xfId="3662" xr:uid="{00000000-0005-0000-0000-00004C630000}"/>
    <cellStyle name="Note 7 2 2 3" xfId="4399" xr:uid="{00000000-0005-0000-0000-00004D630000}"/>
    <cellStyle name="Note 7 2 2 3 2" xfId="7991" xr:uid="{00000000-0005-0000-0000-00004E630000}"/>
    <cellStyle name="Note 7 2 2 3 2 2" xfId="15961" xr:uid="{00000000-0005-0000-0000-00004F630000}"/>
    <cellStyle name="Note 7 2 2 3 2 2 2" xfId="39803" xr:uid="{CA15BBF0-F8B3-41CB-9510-83838AAF53C7}"/>
    <cellStyle name="Note 7 2 2 3 2 3" xfId="23907" xr:uid="{00000000-0005-0000-0000-000050630000}"/>
    <cellStyle name="Note 7 2 2 3 2 3 2" xfId="47739" xr:uid="{49DBBEA4-01AE-412A-BE1C-ED054EC8AF5D}"/>
    <cellStyle name="Note 7 2 2 3 2 4" xfId="31862" xr:uid="{061348FB-82E8-402A-8855-41259213FD23}"/>
    <cellStyle name="Note 7 2 2 3 3" xfId="12423" xr:uid="{00000000-0005-0000-0000-000051630000}"/>
    <cellStyle name="Note 7 2 2 3 3 2" xfId="36272" xr:uid="{97EE7B30-F1D3-49A7-8E31-B2E984BC993B}"/>
    <cellStyle name="Note 7 2 2 3 4" xfId="20378" xr:uid="{00000000-0005-0000-0000-000052630000}"/>
    <cellStyle name="Note 7 2 2 3 4 2" xfId="44210" xr:uid="{AC815131-9236-436C-B69D-C14888E81B97}"/>
    <cellStyle name="Note 7 2 2 3 5" xfId="28331" xr:uid="{C2799515-4EC9-44E9-83CB-25872772673A}"/>
    <cellStyle name="Note 7 2 2 4" xfId="6219" xr:uid="{00000000-0005-0000-0000-000053630000}"/>
    <cellStyle name="Note 7 2 2 4 2" xfId="14202" xr:uid="{00000000-0005-0000-0000-000054630000}"/>
    <cellStyle name="Note 7 2 2 4 2 2" xfId="38045" xr:uid="{FEC7D2B9-CBF1-41CA-83E6-3AB1AC85F0CA}"/>
    <cellStyle name="Note 7 2 2 4 3" xfId="22150" xr:uid="{00000000-0005-0000-0000-000055630000}"/>
    <cellStyle name="Note 7 2 2 4 3 2" xfId="45982" xr:uid="{3A5D0FE5-23DA-4713-BC0A-B687EE858A2A}"/>
    <cellStyle name="Note 7 2 2 4 4" xfId="30104" xr:uid="{873440D6-3AE6-4123-AAD8-72C1F252F9B3}"/>
    <cellStyle name="Note 7 2 2 5" xfId="9771" xr:uid="{00000000-0005-0000-0000-000056630000}"/>
    <cellStyle name="Note 7 2 2 5 2" xfId="17729" xr:uid="{00000000-0005-0000-0000-000057630000}"/>
    <cellStyle name="Note 7 2 2 5 2 2" xfId="41569" xr:uid="{4313F135-7296-4FA5-8956-2C2B9279655B}"/>
    <cellStyle name="Note 7 2 2 5 3" xfId="25673" xr:uid="{00000000-0005-0000-0000-000058630000}"/>
    <cellStyle name="Note 7 2 2 5 3 2" xfId="49505" xr:uid="{B126BF9D-6895-47BE-9298-8F166B33AC47}"/>
    <cellStyle name="Note 7 2 2 5 4" xfId="33628" xr:uid="{3CFED1FC-61CF-4201-B8FC-7035CF5AFBB8}"/>
    <cellStyle name="Note 7 2 2 6" xfId="10667" xr:uid="{00000000-0005-0000-0000-000059630000}"/>
    <cellStyle name="Note 7 2 2 6 2" xfId="34516" xr:uid="{F9B95CEE-A797-4C4A-892A-89BE6CDA63DA}"/>
    <cellStyle name="Note 7 2 2 7" xfId="18622" xr:uid="{00000000-0005-0000-0000-00005A630000}"/>
    <cellStyle name="Note 7 2 2 7 2" xfId="42454" xr:uid="{08F348B3-954D-456E-A15F-BB8B41A138B0}"/>
    <cellStyle name="Note 7 2 2 8" xfId="26574" xr:uid="{DEC4EA2E-5294-48B5-9DC7-556B5A5D3844}"/>
    <cellStyle name="Note 7 2 2_Exh G" xfId="3661" xr:uid="{00000000-0005-0000-0000-00005B630000}"/>
    <cellStyle name="Note 7 2 3" xfId="1750" xr:uid="{00000000-0005-0000-0000-00005C630000}"/>
    <cellStyle name="Note 7 2 3 2" xfId="5277" xr:uid="{00000000-0005-0000-0000-00005D630000}"/>
    <cellStyle name="Note 7 2 3 2 2" xfId="8868" xr:uid="{00000000-0005-0000-0000-00005E630000}"/>
    <cellStyle name="Note 7 2 3 2 2 2" xfId="16838" xr:uid="{00000000-0005-0000-0000-00005F630000}"/>
    <cellStyle name="Note 7 2 3 2 2 2 2" xfId="40680" xr:uid="{592B8260-3831-4E11-A30F-32706335D5C0}"/>
    <cellStyle name="Note 7 2 3 2 2 3" xfId="24784" xr:uid="{00000000-0005-0000-0000-000060630000}"/>
    <cellStyle name="Note 7 2 3 2 2 3 2" xfId="48616" xr:uid="{F58B9BC5-634F-4A92-987F-4D02035B5E4A}"/>
    <cellStyle name="Note 7 2 3 2 2 4" xfId="32739" xr:uid="{332C6730-A12F-42E0-8012-EAEEE6603618}"/>
    <cellStyle name="Note 7 2 3 2 3" xfId="13300" xr:uid="{00000000-0005-0000-0000-000061630000}"/>
    <cellStyle name="Note 7 2 3 2 3 2" xfId="37149" xr:uid="{1AAB50E8-4F60-43E7-942D-3DC187CD0576}"/>
    <cellStyle name="Note 7 2 3 2 4" xfId="21255" xr:uid="{00000000-0005-0000-0000-000062630000}"/>
    <cellStyle name="Note 7 2 3 2 4 2" xfId="45087" xr:uid="{360985C1-613E-4FE2-AF6C-1EF609E61D66}"/>
    <cellStyle name="Note 7 2 3 2 5" xfId="29208" xr:uid="{7DB66ACC-700A-4426-A7A2-B083DD1D0346}"/>
    <cellStyle name="Note 7 2 3 3" xfId="7109" xr:uid="{00000000-0005-0000-0000-000063630000}"/>
    <cellStyle name="Note 7 2 3 3 2" xfId="15080" xr:uid="{00000000-0005-0000-0000-000064630000}"/>
    <cellStyle name="Note 7 2 3 3 2 2" xfId="38922" xr:uid="{7C0A05AB-5637-4075-A65D-60214868D5C0}"/>
    <cellStyle name="Note 7 2 3 3 3" xfId="23027" xr:uid="{00000000-0005-0000-0000-000065630000}"/>
    <cellStyle name="Note 7 2 3 3 3 2" xfId="46859" xr:uid="{CB079F5E-8225-4844-8E52-5ABF4CEFB9C5}"/>
    <cellStyle name="Note 7 2 3 3 4" xfId="30981" xr:uid="{61ABD42B-A9D2-48D9-BF8A-6C9A8F8A41DF}"/>
    <cellStyle name="Note 7 2 3 4" xfId="11544" xr:uid="{00000000-0005-0000-0000-000066630000}"/>
    <cellStyle name="Note 7 2 3 4 2" xfId="35393" xr:uid="{2DE4D065-9EC0-48D5-A314-8C33EDA23ECD}"/>
    <cellStyle name="Note 7 2 3 5" xfId="19499" xr:uid="{00000000-0005-0000-0000-000067630000}"/>
    <cellStyle name="Note 7 2 3 5 2" xfId="43331" xr:uid="{0D55A4C8-8E0D-4999-B524-E05431B570D0}"/>
    <cellStyle name="Note 7 2 3 6" xfId="27451" xr:uid="{CB2D4B63-AC96-447B-A2C7-0E166C26502C}"/>
    <cellStyle name="Note 7 2 3_Exh G" xfId="3663" xr:uid="{00000000-0005-0000-0000-000068630000}"/>
    <cellStyle name="Note 7 2 4" xfId="4398" xr:uid="{00000000-0005-0000-0000-000069630000}"/>
    <cellStyle name="Note 7 2 4 2" xfId="7990" xr:uid="{00000000-0005-0000-0000-00006A630000}"/>
    <cellStyle name="Note 7 2 4 2 2" xfId="15960" xr:uid="{00000000-0005-0000-0000-00006B630000}"/>
    <cellStyle name="Note 7 2 4 2 2 2" xfId="39802" xr:uid="{ADC97A64-D66A-43F3-BECB-BF87F74F5FCD}"/>
    <cellStyle name="Note 7 2 4 2 3" xfId="23906" xr:uid="{00000000-0005-0000-0000-00006C630000}"/>
    <cellStyle name="Note 7 2 4 2 3 2" xfId="47738" xr:uid="{4DDD1366-794F-4AAD-B4B3-074325C8CE07}"/>
    <cellStyle name="Note 7 2 4 2 4" xfId="31861" xr:uid="{974E908F-7298-4733-BB26-1AAC712FC7C6}"/>
    <cellStyle name="Note 7 2 4 3" xfId="12422" xr:uid="{00000000-0005-0000-0000-00006D630000}"/>
    <cellStyle name="Note 7 2 4 3 2" xfId="36271" xr:uid="{2B932B72-B66A-461B-A177-D2233A3ECA7C}"/>
    <cellStyle name="Note 7 2 4 4" xfId="20377" xr:uid="{00000000-0005-0000-0000-00006E630000}"/>
    <cellStyle name="Note 7 2 4 4 2" xfId="44209" xr:uid="{AE8E4935-4C4A-42AA-A12F-8BFE5E6D90B2}"/>
    <cellStyle name="Note 7 2 4 5" xfId="28330" xr:uid="{8F39E04A-9CE4-4BF0-B88C-BC28B6F2C82C}"/>
    <cellStyle name="Note 7 2 5" xfId="6218" xr:uid="{00000000-0005-0000-0000-00006F630000}"/>
    <cellStyle name="Note 7 2 5 2" xfId="14201" xr:uid="{00000000-0005-0000-0000-000070630000}"/>
    <cellStyle name="Note 7 2 5 2 2" xfId="38044" xr:uid="{3D16AFAA-D331-416F-9382-8CE45BE64863}"/>
    <cellStyle name="Note 7 2 5 3" xfId="22149" xr:uid="{00000000-0005-0000-0000-000071630000}"/>
    <cellStyle name="Note 7 2 5 3 2" xfId="45981" xr:uid="{02C321A9-2373-41D7-9572-6DA35088EBC8}"/>
    <cellStyle name="Note 7 2 5 4" xfId="30103" xr:uid="{F0F64EE7-A89A-4EE6-ABF9-E74FBB8B00CD}"/>
    <cellStyle name="Note 7 2 6" xfId="9770" xr:uid="{00000000-0005-0000-0000-000072630000}"/>
    <cellStyle name="Note 7 2 6 2" xfId="17728" xr:uid="{00000000-0005-0000-0000-000073630000}"/>
    <cellStyle name="Note 7 2 6 2 2" xfId="41568" xr:uid="{D6A07E71-BCBD-4CF5-B74F-DAD1E3B97E41}"/>
    <cellStyle name="Note 7 2 6 3" xfId="25672" xr:uid="{00000000-0005-0000-0000-000074630000}"/>
    <cellStyle name="Note 7 2 6 3 2" xfId="49504" xr:uid="{202BECFF-857A-40EC-9318-2BDA9FD8E3F3}"/>
    <cellStyle name="Note 7 2 6 4" xfId="33627" xr:uid="{A1391F5C-D3DD-4DDA-B1B7-FD689F20E9E2}"/>
    <cellStyle name="Note 7 2 7" xfId="10666" xr:uid="{00000000-0005-0000-0000-000075630000}"/>
    <cellStyle name="Note 7 2 7 2" xfId="34515" xr:uid="{39FE35A0-6255-492A-8A2B-D196747E36C3}"/>
    <cellStyle name="Note 7 2 8" xfId="18621" xr:uid="{00000000-0005-0000-0000-000076630000}"/>
    <cellStyle name="Note 7 2 8 2" xfId="42453" xr:uid="{FEC1E762-B1A3-4D6A-B9AD-6DDD60672BE3}"/>
    <cellStyle name="Note 7 2 9" xfId="26573" xr:uid="{AB2C0C38-3306-4964-9BF3-8494D17F4A3B}"/>
    <cellStyle name="Note 7 2_Exh G" xfId="3660" xr:uid="{00000000-0005-0000-0000-000077630000}"/>
    <cellStyle name="Note 7 3" xfId="726" xr:uid="{00000000-0005-0000-0000-000078630000}"/>
    <cellStyle name="Note 7 3 2" xfId="1752" xr:uid="{00000000-0005-0000-0000-000079630000}"/>
    <cellStyle name="Note 7 3 2 2" xfId="5279" xr:uid="{00000000-0005-0000-0000-00007A630000}"/>
    <cellStyle name="Note 7 3 2 2 2" xfId="8870" xr:uid="{00000000-0005-0000-0000-00007B630000}"/>
    <cellStyle name="Note 7 3 2 2 2 2" xfId="16840" xr:uid="{00000000-0005-0000-0000-00007C630000}"/>
    <cellStyle name="Note 7 3 2 2 2 2 2" xfId="40682" xr:uid="{F5582F72-1876-4C57-B53E-B7D8FD183B05}"/>
    <cellStyle name="Note 7 3 2 2 2 3" xfId="24786" xr:uid="{00000000-0005-0000-0000-00007D630000}"/>
    <cellStyle name="Note 7 3 2 2 2 3 2" xfId="48618" xr:uid="{6628D03F-6554-42C9-A876-CF6710B17F64}"/>
    <cellStyle name="Note 7 3 2 2 2 4" xfId="32741" xr:uid="{76A14E6B-2733-4132-9D53-85ABF4877D34}"/>
    <cellStyle name="Note 7 3 2 2 3" xfId="13302" xr:uid="{00000000-0005-0000-0000-00007E630000}"/>
    <cellStyle name="Note 7 3 2 2 3 2" xfId="37151" xr:uid="{CC4BA355-BA1B-4543-9FB6-77EBE407B33B}"/>
    <cellStyle name="Note 7 3 2 2 4" xfId="21257" xr:uid="{00000000-0005-0000-0000-00007F630000}"/>
    <cellStyle name="Note 7 3 2 2 4 2" xfId="45089" xr:uid="{BCC86D99-31E9-4A08-880A-F9A2E6F61430}"/>
    <cellStyle name="Note 7 3 2 2 5" xfId="29210" xr:uid="{2AC9386F-C904-4E9E-A3AA-55089DA1AF11}"/>
    <cellStyle name="Note 7 3 2 3" xfId="7111" xr:uid="{00000000-0005-0000-0000-000080630000}"/>
    <cellStyle name="Note 7 3 2 3 2" xfId="15082" xr:uid="{00000000-0005-0000-0000-000081630000}"/>
    <cellStyle name="Note 7 3 2 3 2 2" xfId="38924" xr:uid="{E2FF6A83-44D8-4181-A415-D39D2A0CB011}"/>
    <cellStyle name="Note 7 3 2 3 3" xfId="23029" xr:uid="{00000000-0005-0000-0000-000082630000}"/>
    <cellStyle name="Note 7 3 2 3 3 2" xfId="46861" xr:uid="{CDED8B1F-91A6-4848-B50B-990DFDB92137}"/>
    <cellStyle name="Note 7 3 2 3 4" xfId="30983" xr:uid="{006C555D-A970-4C58-BF74-352F3F95A241}"/>
    <cellStyle name="Note 7 3 2 4" xfId="11546" xr:uid="{00000000-0005-0000-0000-000083630000}"/>
    <cellStyle name="Note 7 3 2 4 2" xfId="35395" xr:uid="{F517FF5F-12BF-4FE3-BC18-A44A35CF6E68}"/>
    <cellStyle name="Note 7 3 2 5" xfId="19501" xr:uid="{00000000-0005-0000-0000-000084630000}"/>
    <cellStyle name="Note 7 3 2 5 2" xfId="43333" xr:uid="{C03B754D-D1DA-4EB4-B320-E289B8E3C745}"/>
    <cellStyle name="Note 7 3 2 6" xfId="27453" xr:uid="{3CCC7F24-3B61-4C08-A4CF-8F1F4425FE56}"/>
    <cellStyle name="Note 7 3 2_Exh G" xfId="3665" xr:uid="{00000000-0005-0000-0000-000085630000}"/>
    <cellStyle name="Note 7 3 3" xfId="4400" xr:uid="{00000000-0005-0000-0000-000086630000}"/>
    <cellStyle name="Note 7 3 3 2" xfId="7992" xr:uid="{00000000-0005-0000-0000-000087630000}"/>
    <cellStyle name="Note 7 3 3 2 2" xfId="15962" xr:uid="{00000000-0005-0000-0000-000088630000}"/>
    <cellStyle name="Note 7 3 3 2 2 2" xfId="39804" xr:uid="{B8020F76-848B-4FE2-9398-24B83C2E74F3}"/>
    <cellStyle name="Note 7 3 3 2 3" xfId="23908" xr:uid="{00000000-0005-0000-0000-000089630000}"/>
    <cellStyle name="Note 7 3 3 2 3 2" xfId="47740" xr:uid="{EB3DFB58-56FC-4755-9612-76933599936F}"/>
    <cellStyle name="Note 7 3 3 2 4" xfId="31863" xr:uid="{C9C80FA5-ECA2-41C4-A351-8618134F2372}"/>
    <cellStyle name="Note 7 3 3 3" xfId="12424" xr:uid="{00000000-0005-0000-0000-00008A630000}"/>
    <cellStyle name="Note 7 3 3 3 2" xfId="36273" xr:uid="{A14AAA62-2003-4549-90D2-8FDE0A305504}"/>
    <cellStyle name="Note 7 3 3 4" xfId="20379" xr:uid="{00000000-0005-0000-0000-00008B630000}"/>
    <cellStyle name="Note 7 3 3 4 2" xfId="44211" xr:uid="{C0214B57-347D-46A3-9A7D-1068ADEC626A}"/>
    <cellStyle name="Note 7 3 3 5" xfId="28332" xr:uid="{2D5CA383-7D78-4F2D-B700-B926E09A5566}"/>
    <cellStyle name="Note 7 3 4" xfId="6220" xr:uid="{00000000-0005-0000-0000-00008C630000}"/>
    <cellStyle name="Note 7 3 4 2" xfId="14203" xr:uid="{00000000-0005-0000-0000-00008D630000}"/>
    <cellStyle name="Note 7 3 4 2 2" xfId="38046" xr:uid="{71437BC4-6699-416B-9173-969B11E4D706}"/>
    <cellStyle name="Note 7 3 4 3" xfId="22151" xr:uid="{00000000-0005-0000-0000-00008E630000}"/>
    <cellStyle name="Note 7 3 4 3 2" xfId="45983" xr:uid="{49B2FE65-2D3F-488B-81BD-D7729D2D7C31}"/>
    <cellStyle name="Note 7 3 4 4" xfId="30105" xr:uid="{298B3010-763E-40EA-90D9-C9F19A616D34}"/>
    <cellStyle name="Note 7 3 5" xfId="9772" xr:uid="{00000000-0005-0000-0000-00008F630000}"/>
    <cellStyle name="Note 7 3 5 2" xfId="17730" xr:uid="{00000000-0005-0000-0000-000090630000}"/>
    <cellStyle name="Note 7 3 5 2 2" xfId="41570" xr:uid="{D11640CC-F07F-4ACD-B2A5-4DB0C80E4BF9}"/>
    <cellStyle name="Note 7 3 5 3" xfId="25674" xr:uid="{00000000-0005-0000-0000-000091630000}"/>
    <cellStyle name="Note 7 3 5 3 2" xfId="49506" xr:uid="{FAFD66A5-04E8-4C98-90F7-DDA074E0A7C6}"/>
    <cellStyle name="Note 7 3 5 4" xfId="33629" xr:uid="{FD1D3E1C-7671-4CC3-9AFA-FAB1F5043F93}"/>
    <cellStyle name="Note 7 3 6" xfId="10668" xr:uid="{00000000-0005-0000-0000-000092630000}"/>
    <cellStyle name="Note 7 3 6 2" xfId="34517" xr:uid="{B2C4B0CD-C38E-41D9-9C43-8C716033C847}"/>
    <cellStyle name="Note 7 3 7" xfId="18623" xr:uid="{00000000-0005-0000-0000-000093630000}"/>
    <cellStyle name="Note 7 3 7 2" xfId="42455" xr:uid="{3B0B6630-B3A4-4990-8FC9-C5C42AD08FDD}"/>
    <cellStyle name="Note 7 3 8" xfId="26575" xr:uid="{BB357ED6-BD3D-4C26-B60B-3F7DA351A6BA}"/>
    <cellStyle name="Note 7 3_Exh G" xfId="3664" xr:uid="{00000000-0005-0000-0000-000094630000}"/>
    <cellStyle name="Note 7 4" xfId="1035" xr:uid="{00000000-0005-0000-0000-000095630000}"/>
    <cellStyle name="Note 7 4 2" xfId="1930" xr:uid="{00000000-0005-0000-0000-000096630000}"/>
    <cellStyle name="Note 7 4 2 2" xfId="5447" xr:uid="{00000000-0005-0000-0000-000097630000}"/>
    <cellStyle name="Note 7 4 2 2 2" xfId="9038" xr:uid="{00000000-0005-0000-0000-000098630000}"/>
    <cellStyle name="Note 7 4 2 2 2 2" xfId="17008" xr:uid="{00000000-0005-0000-0000-000099630000}"/>
    <cellStyle name="Note 7 4 2 2 2 2 2" xfId="40850" xr:uid="{4B0BE7AC-9D0A-4785-BF6F-E1BC41F9E8A9}"/>
    <cellStyle name="Note 7 4 2 2 2 3" xfId="24954" xr:uid="{00000000-0005-0000-0000-00009A630000}"/>
    <cellStyle name="Note 7 4 2 2 2 3 2" xfId="48786" xr:uid="{8DA24AA4-1C2F-4EDC-897E-3DEB05FF6B64}"/>
    <cellStyle name="Note 7 4 2 2 2 4" xfId="32909" xr:uid="{608FBA51-A4A7-428D-B9A1-9CA8DE02D06D}"/>
    <cellStyle name="Note 7 4 2 2 3" xfId="13470" xr:uid="{00000000-0005-0000-0000-00009B630000}"/>
    <cellStyle name="Note 7 4 2 2 3 2" xfId="37319" xr:uid="{168EAF6F-FC69-49EA-ACEF-39479AC2AE56}"/>
    <cellStyle name="Note 7 4 2 2 4" xfId="21425" xr:uid="{00000000-0005-0000-0000-00009C630000}"/>
    <cellStyle name="Note 7 4 2 2 4 2" xfId="45257" xr:uid="{D12C7362-A983-4B77-8A2C-A9BC69DDD0A7}"/>
    <cellStyle name="Note 7 4 2 2 5" xfId="29378" xr:uid="{99DF0504-06D1-4047-A635-9658ED312417}"/>
    <cellStyle name="Note 7 4 2 3" xfId="7279" xr:uid="{00000000-0005-0000-0000-00009D630000}"/>
    <cellStyle name="Note 7 4 2 3 2" xfId="15250" xr:uid="{00000000-0005-0000-0000-00009E630000}"/>
    <cellStyle name="Note 7 4 2 3 2 2" xfId="39092" xr:uid="{4980E09C-7EFF-4CD4-B1F6-8A4E742C0DBA}"/>
    <cellStyle name="Note 7 4 2 3 3" xfId="23197" xr:uid="{00000000-0005-0000-0000-00009F630000}"/>
    <cellStyle name="Note 7 4 2 3 3 2" xfId="47029" xr:uid="{3C79AF4E-B1A1-4A7C-986A-2B5796BEE99C}"/>
    <cellStyle name="Note 7 4 2 3 4" xfId="31151" xr:uid="{9F77BD7F-0962-43DD-9E4A-E2DA20AEF22A}"/>
    <cellStyle name="Note 7 4 2 4" xfId="11714" xr:uid="{00000000-0005-0000-0000-0000A0630000}"/>
    <cellStyle name="Note 7 4 2 4 2" xfId="35563" xr:uid="{4F9DA239-E362-44B1-A639-760046ADAF18}"/>
    <cellStyle name="Note 7 4 2 5" xfId="19669" xr:uid="{00000000-0005-0000-0000-0000A1630000}"/>
    <cellStyle name="Note 7 4 2 5 2" xfId="43501" xr:uid="{80911EB7-F9D0-46D4-B34D-BCC2309A9794}"/>
    <cellStyle name="Note 7 4 2 6" xfId="27621" xr:uid="{420C4039-66F1-4845-A731-13AB1A19ACCD}"/>
    <cellStyle name="Note 7 4 2_Exh G" xfId="3667" xr:uid="{00000000-0005-0000-0000-0000A2630000}"/>
    <cellStyle name="Note 7 4 3" xfId="4568" xr:uid="{00000000-0005-0000-0000-0000A3630000}"/>
    <cellStyle name="Note 7 4 3 2" xfId="8160" xr:uid="{00000000-0005-0000-0000-0000A4630000}"/>
    <cellStyle name="Note 7 4 3 2 2" xfId="16130" xr:uid="{00000000-0005-0000-0000-0000A5630000}"/>
    <cellStyle name="Note 7 4 3 2 2 2" xfId="39972" xr:uid="{18FF64FB-9BEC-4FDF-A472-20850110097F}"/>
    <cellStyle name="Note 7 4 3 2 3" xfId="24076" xr:uid="{00000000-0005-0000-0000-0000A6630000}"/>
    <cellStyle name="Note 7 4 3 2 3 2" xfId="47908" xr:uid="{95621C49-B5E6-4278-9CB5-916F8DEE3E38}"/>
    <cellStyle name="Note 7 4 3 2 4" xfId="32031" xr:uid="{2AD4486C-067C-466A-A99B-D002C942D894}"/>
    <cellStyle name="Note 7 4 3 3" xfId="12592" xr:uid="{00000000-0005-0000-0000-0000A7630000}"/>
    <cellStyle name="Note 7 4 3 3 2" xfId="36441" xr:uid="{31F82225-1DC3-4AB7-9A83-070ADF0EBD60}"/>
    <cellStyle name="Note 7 4 3 4" xfId="20547" xr:uid="{00000000-0005-0000-0000-0000A8630000}"/>
    <cellStyle name="Note 7 4 3 4 2" xfId="44379" xr:uid="{E0AF8BC0-263D-4A37-8DAE-4EF603611932}"/>
    <cellStyle name="Note 7 4 3 5" xfId="28500" xr:uid="{06D9D1E2-B4CB-4C94-8E1F-1ED6E01EDBBA}"/>
    <cellStyle name="Note 7 4 4" xfId="6400" xr:uid="{00000000-0005-0000-0000-0000A9630000}"/>
    <cellStyle name="Note 7 4 4 2" xfId="14372" xr:uid="{00000000-0005-0000-0000-0000AA630000}"/>
    <cellStyle name="Note 7 4 4 2 2" xfId="38214" xr:uid="{7A703873-2FE0-4D60-AC0A-073B3A542800}"/>
    <cellStyle name="Note 7 4 4 3" xfId="22319" xr:uid="{00000000-0005-0000-0000-0000AB630000}"/>
    <cellStyle name="Note 7 4 4 3 2" xfId="46151" xr:uid="{C77A2D8E-04F3-4FAA-B142-764B897A15FF}"/>
    <cellStyle name="Note 7 4 4 4" xfId="30273" xr:uid="{FC004B60-6B7D-4226-B1E3-01CB6744E394}"/>
    <cellStyle name="Note 7 4 5" xfId="9940" xr:uid="{00000000-0005-0000-0000-0000AC630000}"/>
    <cellStyle name="Note 7 4 5 2" xfId="17898" xr:uid="{00000000-0005-0000-0000-0000AD630000}"/>
    <cellStyle name="Note 7 4 5 2 2" xfId="41738" xr:uid="{6A8D784A-6EF3-4BDB-B9CE-EB40C3172DF2}"/>
    <cellStyle name="Note 7 4 5 3" xfId="25842" xr:uid="{00000000-0005-0000-0000-0000AE630000}"/>
    <cellStyle name="Note 7 4 5 3 2" xfId="49674" xr:uid="{3A3F658F-C951-4CF1-967B-33D1614785FF}"/>
    <cellStyle name="Note 7 4 5 4" xfId="33797" xr:uid="{66CD39A2-EB1E-4B12-BA31-C498D09D3716}"/>
    <cellStyle name="Note 7 4 6" xfId="10836" xr:uid="{00000000-0005-0000-0000-0000AF630000}"/>
    <cellStyle name="Note 7 4 6 2" xfId="34685" xr:uid="{1AD5B30D-5FD9-4E72-8693-21EAB680EC8F}"/>
    <cellStyle name="Note 7 4 7" xfId="18791" xr:uid="{00000000-0005-0000-0000-0000B0630000}"/>
    <cellStyle name="Note 7 4 7 2" xfId="42623" xr:uid="{0F8F70C0-8DE1-46A8-9DBF-0B1060526DEB}"/>
    <cellStyle name="Note 7 4 8" xfId="26743" xr:uid="{BDDDD839-050C-4714-97A5-3E49C1CFF0E6}"/>
    <cellStyle name="Note 7 4_Exh G" xfId="3666" xr:uid="{00000000-0005-0000-0000-0000B1630000}"/>
    <cellStyle name="Note 7 5" xfId="1749" xr:uid="{00000000-0005-0000-0000-0000B2630000}"/>
    <cellStyle name="Note 7 5 2" xfId="5276" xr:uid="{00000000-0005-0000-0000-0000B3630000}"/>
    <cellStyle name="Note 7 5 2 2" xfId="8867" xr:uid="{00000000-0005-0000-0000-0000B4630000}"/>
    <cellStyle name="Note 7 5 2 2 2" xfId="16837" xr:uid="{00000000-0005-0000-0000-0000B5630000}"/>
    <cellStyle name="Note 7 5 2 2 2 2" xfId="40679" xr:uid="{42A8F110-DFB7-455A-A931-3FB690619B3B}"/>
    <cellStyle name="Note 7 5 2 2 3" xfId="24783" xr:uid="{00000000-0005-0000-0000-0000B6630000}"/>
    <cellStyle name="Note 7 5 2 2 3 2" xfId="48615" xr:uid="{A8C8C401-2BDE-4990-AD62-A92852C8DD16}"/>
    <cellStyle name="Note 7 5 2 2 4" xfId="32738" xr:uid="{3DBFB330-47AD-4326-91B2-57418C52F4F4}"/>
    <cellStyle name="Note 7 5 2 3" xfId="13299" xr:uid="{00000000-0005-0000-0000-0000B7630000}"/>
    <cellStyle name="Note 7 5 2 3 2" xfId="37148" xr:uid="{1D87D7D6-467C-4445-899E-791B8D3C5D6A}"/>
    <cellStyle name="Note 7 5 2 4" xfId="21254" xr:uid="{00000000-0005-0000-0000-0000B8630000}"/>
    <cellStyle name="Note 7 5 2 4 2" xfId="45086" xr:uid="{0DA2B26D-AC10-4B89-9CFE-5654E7FF4E01}"/>
    <cellStyle name="Note 7 5 2 5" xfId="29207" xr:uid="{D5A9E371-E7F2-4508-8073-16A6CE3B2B68}"/>
    <cellStyle name="Note 7 5 3" xfId="7108" xr:uid="{00000000-0005-0000-0000-0000B9630000}"/>
    <cellStyle name="Note 7 5 3 2" xfId="15079" xr:uid="{00000000-0005-0000-0000-0000BA630000}"/>
    <cellStyle name="Note 7 5 3 2 2" xfId="38921" xr:uid="{5AFBACAE-2F8A-427E-AC4C-9C6FD1AAE912}"/>
    <cellStyle name="Note 7 5 3 3" xfId="23026" xr:uid="{00000000-0005-0000-0000-0000BB630000}"/>
    <cellStyle name="Note 7 5 3 3 2" xfId="46858" xr:uid="{14EE3D0D-BCEA-4CFB-8A6D-CB2A1E6A94C9}"/>
    <cellStyle name="Note 7 5 3 4" xfId="30980" xr:uid="{13475C61-7F58-4289-9485-227B8F80B13E}"/>
    <cellStyle name="Note 7 5 4" xfId="11543" xr:uid="{00000000-0005-0000-0000-0000BC630000}"/>
    <cellStyle name="Note 7 5 4 2" xfId="35392" xr:uid="{1B5F9427-DC01-4FCB-A422-3B7786C9B0DA}"/>
    <cellStyle name="Note 7 5 5" xfId="19498" xr:uid="{00000000-0005-0000-0000-0000BD630000}"/>
    <cellStyle name="Note 7 5 5 2" xfId="43330" xr:uid="{341FF9A0-ADAA-4DE0-8950-DF3E3C167616}"/>
    <cellStyle name="Note 7 5 6" xfId="27450" xr:uid="{614FD2FA-E697-47E6-8027-21B0F2E60B99}"/>
    <cellStyle name="Note 7 5_Exh G" xfId="3668" xr:uid="{00000000-0005-0000-0000-0000BE630000}"/>
    <cellStyle name="Note 7 6" xfId="4397" xr:uid="{00000000-0005-0000-0000-0000BF630000}"/>
    <cellStyle name="Note 7 6 2" xfId="7989" xr:uid="{00000000-0005-0000-0000-0000C0630000}"/>
    <cellStyle name="Note 7 6 2 2" xfId="15959" xr:uid="{00000000-0005-0000-0000-0000C1630000}"/>
    <cellStyle name="Note 7 6 2 2 2" xfId="39801" xr:uid="{00792BE2-951F-4A58-8806-9D79DAE5C7E5}"/>
    <cellStyle name="Note 7 6 2 3" xfId="23905" xr:uid="{00000000-0005-0000-0000-0000C2630000}"/>
    <cellStyle name="Note 7 6 2 3 2" xfId="47737" xr:uid="{5D9B35AC-397A-43CF-9C2A-FCF77045FD00}"/>
    <cellStyle name="Note 7 6 2 4" xfId="31860" xr:uid="{74657897-4602-49DB-85D0-114D14FFE61C}"/>
    <cellStyle name="Note 7 6 3" xfId="12421" xr:uid="{00000000-0005-0000-0000-0000C3630000}"/>
    <cellStyle name="Note 7 6 3 2" xfId="36270" xr:uid="{3B49A196-35C7-470B-885B-893516EDEC7F}"/>
    <cellStyle name="Note 7 6 4" xfId="20376" xr:uid="{00000000-0005-0000-0000-0000C4630000}"/>
    <cellStyle name="Note 7 6 4 2" xfId="44208" xr:uid="{5B02F138-53ED-422F-AC53-9329408B0114}"/>
    <cellStyle name="Note 7 6 5" xfId="28329" xr:uid="{5D6CA9C2-928F-479A-B06D-633098E8CE74}"/>
    <cellStyle name="Note 7 7" xfId="6217" xr:uid="{00000000-0005-0000-0000-0000C5630000}"/>
    <cellStyle name="Note 7 7 2" xfId="14200" xr:uid="{00000000-0005-0000-0000-0000C6630000}"/>
    <cellStyle name="Note 7 7 2 2" xfId="38043" xr:uid="{437A33A1-49BA-4734-8321-B62DAEC4CB8D}"/>
    <cellStyle name="Note 7 7 3" xfId="22148" xr:uid="{00000000-0005-0000-0000-0000C7630000}"/>
    <cellStyle name="Note 7 7 3 2" xfId="45980" xr:uid="{F1D2DA14-135A-4996-8E68-EAD8E2B85EC3}"/>
    <cellStyle name="Note 7 7 4" xfId="30102" xr:uid="{7847B059-393C-45A3-A855-DD9104666356}"/>
    <cellStyle name="Note 7 8" xfId="9769" xr:uid="{00000000-0005-0000-0000-0000C8630000}"/>
    <cellStyle name="Note 7 8 2" xfId="17727" xr:uid="{00000000-0005-0000-0000-0000C9630000}"/>
    <cellStyle name="Note 7 8 2 2" xfId="41567" xr:uid="{098C2545-1FC1-4A99-944B-19B412718459}"/>
    <cellStyle name="Note 7 8 3" xfId="25671" xr:uid="{00000000-0005-0000-0000-0000CA630000}"/>
    <cellStyle name="Note 7 8 3 2" xfId="49503" xr:uid="{B49DC4D8-72CD-48BF-AC53-97CC1F65ECD9}"/>
    <cellStyle name="Note 7 8 4" xfId="33626" xr:uid="{08ABB11F-7591-417E-A402-201DCDE9B94A}"/>
    <cellStyle name="Note 7 9" xfId="10665" xr:uid="{00000000-0005-0000-0000-0000CB630000}"/>
    <cellStyle name="Note 7 9 2" xfId="34514" xr:uid="{F6F02DAD-AF6B-46AF-ABF8-1A567B0D80EF}"/>
    <cellStyle name="Note 7_Exh G" xfId="3659" xr:uid="{00000000-0005-0000-0000-0000CC630000}"/>
    <cellStyle name="Note 8" xfId="727" xr:uid="{00000000-0005-0000-0000-0000CD630000}"/>
    <cellStyle name="Note 8 10" xfId="18624" xr:uid="{00000000-0005-0000-0000-0000CE630000}"/>
    <cellStyle name="Note 8 10 2" xfId="42456" xr:uid="{1F8CD182-1153-4491-BABA-A3CB444D249B}"/>
    <cellStyle name="Note 8 11" xfId="26576" xr:uid="{43B3572E-25A3-4512-A114-9EA12C273871}"/>
    <cellStyle name="Note 8 2" xfId="728" xr:uid="{00000000-0005-0000-0000-0000CF630000}"/>
    <cellStyle name="Note 8 2 2" xfId="729" xr:uid="{00000000-0005-0000-0000-0000D0630000}"/>
    <cellStyle name="Note 8 2 2 2" xfId="1755" xr:uid="{00000000-0005-0000-0000-0000D1630000}"/>
    <cellStyle name="Note 8 2 2 2 2" xfId="5282" xr:uid="{00000000-0005-0000-0000-0000D2630000}"/>
    <cellStyle name="Note 8 2 2 2 2 2" xfId="8873" xr:uid="{00000000-0005-0000-0000-0000D3630000}"/>
    <cellStyle name="Note 8 2 2 2 2 2 2" xfId="16843" xr:uid="{00000000-0005-0000-0000-0000D4630000}"/>
    <cellStyle name="Note 8 2 2 2 2 2 2 2" xfId="40685" xr:uid="{72506A00-2AD9-4F36-B157-9820679FDA60}"/>
    <cellStyle name="Note 8 2 2 2 2 2 3" xfId="24789" xr:uid="{00000000-0005-0000-0000-0000D5630000}"/>
    <cellStyle name="Note 8 2 2 2 2 2 3 2" xfId="48621" xr:uid="{DA1E8156-790B-4E45-949C-C408762F3A8D}"/>
    <cellStyle name="Note 8 2 2 2 2 2 4" xfId="32744" xr:uid="{34827A84-617A-42DF-B4DE-DE2F603B89FD}"/>
    <cellStyle name="Note 8 2 2 2 2 3" xfId="13305" xr:uid="{00000000-0005-0000-0000-0000D6630000}"/>
    <cellStyle name="Note 8 2 2 2 2 3 2" xfId="37154" xr:uid="{D0AA8119-838C-4246-B341-3528A98B7279}"/>
    <cellStyle name="Note 8 2 2 2 2 4" xfId="21260" xr:uid="{00000000-0005-0000-0000-0000D7630000}"/>
    <cellStyle name="Note 8 2 2 2 2 4 2" xfId="45092" xr:uid="{F283AE83-4C95-4AF6-88C9-687509AC669C}"/>
    <cellStyle name="Note 8 2 2 2 2 5" xfId="29213" xr:uid="{4FFAE6CF-946D-4B9F-837C-BAA32E99B7DE}"/>
    <cellStyle name="Note 8 2 2 2 3" xfId="7114" xr:uid="{00000000-0005-0000-0000-0000D8630000}"/>
    <cellStyle name="Note 8 2 2 2 3 2" xfId="15085" xr:uid="{00000000-0005-0000-0000-0000D9630000}"/>
    <cellStyle name="Note 8 2 2 2 3 2 2" xfId="38927" xr:uid="{7583724E-2A20-4F91-B17C-8E971317F51D}"/>
    <cellStyle name="Note 8 2 2 2 3 3" xfId="23032" xr:uid="{00000000-0005-0000-0000-0000DA630000}"/>
    <cellStyle name="Note 8 2 2 2 3 3 2" xfId="46864" xr:uid="{CE291EC7-968E-42A9-9AEA-D3E4B9D4A9AB}"/>
    <cellStyle name="Note 8 2 2 2 3 4" xfId="30986" xr:uid="{451F52AC-9B92-4505-99CF-6CD9A6842AA5}"/>
    <cellStyle name="Note 8 2 2 2 4" xfId="11549" xr:uid="{00000000-0005-0000-0000-0000DB630000}"/>
    <cellStyle name="Note 8 2 2 2 4 2" xfId="35398" xr:uid="{E9C5A6F0-2F6B-414F-9B53-ABAD1D808E06}"/>
    <cellStyle name="Note 8 2 2 2 5" xfId="19504" xr:uid="{00000000-0005-0000-0000-0000DC630000}"/>
    <cellStyle name="Note 8 2 2 2 5 2" xfId="43336" xr:uid="{F4825AD0-D064-4841-8542-E9ABAF7C9D00}"/>
    <cellStyle name="Note 8 2 2 2 6" xfId="27456" xr:uid="{76A5F2F8-0362-4BE5-98AD-8BAB21D7B176}"/>
    <cellStyle name="Note 8 2 2 2_Exh G" xfId="3672" xr:uid="{00000000-0005-0000-0000-0000DD630000}"/>
    <cellStyle name="Note 8 2 2 3" xfId="4403" xr:uid="{00000000-0005-0000-0000-0000DE630000}"/>
    <cellStyle name="Note 8 2 2 3 2" xfId="7995" xr:uid="{00000000-0005-0000-0000-0000DF630000}"/>
    <cellStyle name="Note 8 2 2 3 2 2" xfId="15965" xr:uid="{00000000-0005-0000-0000-0000E0630000}"/>
    <cellStyle name="Note 8 2 2 3 2 2 2" xfId="39807" xr:uid="{6CDEF469-4CE9-4E08-9682-6DA5A3D73DC2}"/>
    <cellStyle name="Note 8 2 2 3 2 3" xfId="23911" xr:uid="{00000000-0005-0000-0000-0000E1630000}"/>
    <cellStyle name="Note 8 2 2 3 2 3 2" xfId="47743" xr:uid="{F2C328ED-AD78-4787-8524-D98535236C01}"/>
    <cellStyle name="Note 8 2 2 3 2 4" xfId="31866" xr:uid="{3C5502C2-FCDF-47A3-B3EE-C46C33CA918F}"/>
    <cellStyle name="Note 8 2 2 3 3" xfId="12427" xr:uid="{00000000-0005-0000-0000-0000E2630000}"/>
    <cellStyle name="Note 8 2 2 3 3 2" xfId="36276" xr:uid="{B3CF7684-C7EC-44EC-9850-949CD18A97A9}"/>
    <cellStyle name="Note 8 2 2 3 4" xfId="20382" xr:uid="{00000000-0005-0000-0000-0000E3630000}"/>
    <cellStyle name="Note 8 2 2 3 4 2" xfId="44214" xr:uid="{EB5609C4-10D1-478E-8E04-8A24B5486E06}"/>
    <cellStyle name="Note 8 2 2 3 5" xfId="28335" xr:uid="{28176FCA-A69E-43B9-B126-241B24B4B4D3}"/>
    <cellStyle name="Note 8 2 2 4" xfId="6223" xr:uid="{00000000-0005-0000-0000-0000E4630000}"/>
    <cellStyle name="Note 8 2 2 4 2" xfId="14206" xr:uid="{00000000-0005-0000-0000-0000E5630000}"/>
    <cellStyle name="Note 8 2 2 4 2 2" xfId="38049" xr:uid="{E0217F82-5B25-4596-AA8C-11415B6B1620}"/>
    <cellStyle name="Note 8 2 2 4 3" xfId="22154" xr:uid="{00000000-0005-0000-0000-0000E6630000}"/>
    <cellStyle name="Note 8 2 2 4 3 2" xfId="45986" xr:uid="{6DF9F867-AA84-46DC-8815-E344CF5A8E71}"/>
    <cellStyle name="Note 8 2 2 4 4" xfId="30108" xr:uid="{D18F3768-39BE-40D6-AA86-59DC91694DB6}"/>
    <cellStyle name="Note 8 2 2 5" xfId="9775" xr:uid="{00000000-0005-0000-0000-0000E7630000}"/>
    <cellStyle name="Note 8 2 2 5 2" xfId="17733" xr:uid="{00000000-0005-0000-0000-0000E8630000}"/>
    <cellStyle name="Note 8 2 2 5 2 2" xfId="41573" xr:uid="{3F844209-1986-4E29-8775-BBE09D9B7616}"/>
    <cellStyle name="Note 8 2 2 5 3" xfId="25677" xr:uid="{00000000-0005-0000-0000-0000E9630000}"/>
    <cellStyle name="Note 8 2 2 5 3 2" xfId="49509" xr:uid="{E03191F5-D0DB-4919-A7A6-91D85B5DD7DF}"/>
    <cellStyle name="Note 8 2 2 5 4" xfId="33632" xr:uid="{2BE16926-2CF3-44AE-9DE6-C5AF4080782C}"/>
    <cellStyle name="Note 8 2 2 6" xfId="10671" xr:uid="{00000000-0005-0000-0000-0000EA630000}"/>
    <cellStyle name="Note 8 2 2 6 2" xfId="34520" xr:uid="{47A79E80-5E60-49DC-8FDA-57E258076FFC}"/>
    <cellStyle name="Note 8 2 2 7" xfId="18626" xr:uid="{00000000-0005-0000-0000-0000EB630000}"/>
    <cellStyle name="Note 8 2 2 7 2" xfId="42458" xr:uid="{D1A786AD-4939-411E-A7E5-CAC0DE82406C}"/>
    <cellStyle name="Note 8 2 2 8" xfId="26578" xr:uid="{ED0A6726-4072-4744-95FA-00D77C697672}"/>
    <cellStyle name="Note 8 2 2_Exh G" xfId="3671" xr:uid="{00000000-0005-0000-0000-0000EC630000}"/>
    <cellStyle name="Note 8 2 3" xfId="1754" xr:uid="{00000000-0005-0000-0000-0000ED630000}"/>
    <cellStyle name="Note 8 2 3 2" xfId="5281" xr:uid="{00000000-0005-0000-0000-0000EE630000}"/>
    <cellStyle name="Note 8 2 3 2 2" xfId="8872" xr:uid="{00000000-0005-0000-0000-0000EF630000}"/>
    <cellStyle name="Note 8 2 3 2 2 2" xfId="16842" xr:uid="{00000000-0005-0000-0000-0000F0630000}"/>
    <cellStyle name="Note 8 2 3 2 2 2 2" xfId="40684" xr:uid="{63548E7A-7762-4B03-ADD8-195F5D07EB86}"/>
    <cellStyle name="Note 8 2 3 2 2 3" xfId="24788" xr:uid="{00000000-0005-0000-0000-0000F1630000}"/>
    <cellStyle name="Note 8 2 3 2 2 3 2" xfId="48620" xr:uid="{07B51B5D-F2E3-41F4-81E8-CB5A6D277B8E}"/>
    <cellStyle name="Note 8 2 3 2 2 4" xfId="32743" xr:uid="{9C925BCE-47D9-4BF5-A018-5285BE6E5BE8}"/>
    <cellStyle name="Note 8 2 3 2 3" xfId="13304" xr:uid="{00000000-0005-0000-0000-0000F2630000}"/>
    <cellStyle name="Note 8 2 3 2 3 2" xfId="37153" xr:uid="{BFF1E5C3-8822-4714-B06C-2C3EA0CF0DE3}"/>
    <cellStyle name="Note 8 2 3 2 4" xfId="21259" xr:uid="{00000000-0005-0000-0000-0000F3630000}"/>
    <cellStyle name="Note 8 2 3 2 4 2" xfId="45091" xr:uid="{063D5F86-1617-48D3-9429-7F33BD129181}"/>
    <cellStyle name="Note 8 2 3 2 5" xfId="29212" xr:uid="{4B50A9FB-5025-4007-AF30-AD09F678AB1D}"/>
    <cellStyle name="Note 8 2 3 3" xfId="7113" xr:uid="{00000000-0005-0000-0000-0000F4630000}"/>
    <cellStyle name="Note 8 2 3 3 2" xfId="15084" xr:uid="{00000000-0005-0000-0000-0000F5630000}"/>
    <cellStyle name="Note 8 2 3 3 2 2" xfId="38926" xr:uid="{E075F74C-DD9B-4EEC-B96B-97431AB65454}"/>
    <cellStyle name="Note 8 2 3 3 3" xfId="23031" xr:uid="{00000000-0005-0000-0000-0000F6630000}"/>
    <cellStyle name="Note 8 2 3 3 3 2" xfId="46863" xr:uid="{69417B97-9ABF-4484-A930-EE2491CC8C49}"/>
    <cellStyle name="Note 8 2 3 3 4" xfId="30985" xr:uid="{7A49E12A-E40A-43C4-802E-529170A36E8D}"/>
    <cellStyle name="Note 8 2 3 4" xfId="11548" xr:uid="{00000000-0005-0000-0000-0000F7630000}"/>
    <cellStyle name="Note 8 2 3 4 2" xfId="35397" xr:uid="{F0815516-64B5-4115-B279-B4A7C854CF7B}"/>
    <cellStyle name="Note 8 2 3 5" xfId="19503" xr:uid="{00000000-0005-0000-0000-0000F8630000}"/>
    <cellStyle name="Note 8 2 3 5 2" xfId="43335" xr:uid="{1D6FBDCA-F536-44C3-A0B0-E81F26850271}"/>
    <cellStyle name="Note 8 2 3 6" xfId="27455" xr:uid="{247591EE-BD0D-4939-B378-910B586AD8DB}"/>
    <cellStyle name="Note 8 2 3_Exh G" xfId="3673" xr:uid="{00000000-0005-0000-0000-0000F9630000}"/>
    <cellStyle name="Note 8 2 4" xfId="4402" xr:uid="{00000000-0005-0000-0000-0000FA630000}"/>
    <cellStyle name="Note 8 2 4 2" xfId="7994" xr:uid="{00000000-0005-0000-0000-0000FB630000}"/>
    <cellStyle name="Note 8 2 4 2 2" xfId="15964" xr:uid="{00000000-0005-0000-0000-0000FC630000}"/>
    <cellStyle name="Note 8 2 4 2 2 2" xfId="39806" xr:uid="{3EE8AD4E-8217-4C45-8588-4B36F670432C}"/>
    <cellStyle name="Note 8 2 4 2 3" xfId="23910" xr:uid="{00000000-0005-0000-0000-0000FD630000}"/>
    <cellStyle name="Note 8 2 4 2 3 2" xfId="47742" xr:uid="{37C4B5C4-9AE2-43A8-95B3-EABD654EF34B}"/>
    <cellStyle name="Note 8 2 4 2 4" xfId="31865" xr:uid="{38BD62FA-C80A-485A-BBD4-0E493649D62C}"/>
    <cellStyle name="Note 8 2 4 3" xfId="12426" xr:uid="{00000000-0005-0000-0000-0000FE630000}"/>
    <cellStyle name="Note 8 2 4 3 2" xfId="36275" xr:uid="{D83E8153-48F6-4139-99A5-0BDECED808B8}"/>
    <cellStyle name="Note 8 2 4 4" xfId="20381" xr:uid="{00000000-0005-0000-0000-0000FF630000}"/>
    <cellStyle name="Note 8 2 4 4 2" xfId="44213" xr:uid="{24D89FC8-2FC5-4B16-86F7-E8084CAB3635}"/>
    <cellStyle name="Note 8 2 4 5" xfId="28334" xr:uid="{66936F82-B784-4DF6-A82E-09F5C8C8BDD2}"/>
    <cellStyle name="Note 8 2 5" xfId="6222" xr:uid="{00000000-0005-0000-0000-000000640000}"/>
    <cellStyle name="Note 8 2 5 2" xfId="14205" xr:uid="{00000000-0005-0000-0000-000001640000}"/>
    <cellStyle name="Note 8 2 5 2 2" xfId="38048" xr:uid="{A9A68F0A-01D2-45DB-B75C-613A2A329007}"/>
    <cellStyle name="Note 8 2 5 3" xfId="22153" xr:uid="{00000000-0005-0000-0000-000002640000}"/>
    <cellStyle name="Note 8 2 5 3 2" xfId="45985" xr:uid="{E55CC68F-B7BB-47CE-AE5D-35A7BAD649EF}"/>
    <cellStyle name="Note 8 2 5 4" xfId="30107" xr:uid="{BBC9B3B0-EE08-4B0E-B86A-E2B0C987084F}"/>
    <cellStyle name="Note 8 2 6" xfId="9774" xr:uid="{00000000-0005-0000-0000-000003640000}"/>
    <cellStyle name="Note 8 2 6 2" xfId="17732" xr:uid="{00000000-0005-0000-0000-000004640000}"/>
    <cellStyle name="Note 8 2 6 2 2" xfId="41572" xr:uid="{07CA26E1-224A-40D1-87F0-3DD1FEAD5BB4}"/>
    <cellStyle name="Note 8 2 6 3" xfId="25676" xr:uid="{00000000-0005-0000-0000-000005640000}"/>
    <cellStyle name="Note 8 2 6 3 2" xfId="49508" xr:uid="{2085ED1D-191D-4B96-A7EB-D07AAAF87A41}"/>
    <cellStyle name="Note 8 2 6 4" xfId="33631" xr:uid="{2FFD3AAA-7335-4ABD-9A8D-379BA735A7F5}"/>
    <cellStyle name="Note 8 2 7" xfId="10670" xr:uid="{00000000-0005-0000-0000-000006640000}"/>
    <cellStyle name="Note 8 2 7 2" xfId="34519" xr:uid="{4E067028-E69E-4D1A-B75D-8CD55F3ABC48}"/>
    <cellStyle name="Note 8 2 8" xfId="18625" xr:uid="{00000000-0005-0000-0000-000007640000}"/>
    <cellStyle name="Note 8 2 8 2" xfId="42457" xr:uid="{38A9F875-3E6F-43D5-9902-840FA539EA2D}"/>
    <cellStyle name="Note 8 2 9" xfId="26577" xr:uid="{E98D833B-65C4-4D21-9B10-7A818061EFE8}"/>
    <cellStyle name="Note 8 2_Exh G" xfId="3670" xr:uid="{00000000-0005-0000-0000-000008640000}"/>
    <cellStyle name="Note 8 3" xfId="730" xr:uid="{00000000-0005-0000-0000-000009640000}"/>
    <cellStyle name="Note 8 3 2" xfId="1756" xr:uid="{00000000-0005-0000-0000-00000A640000}"/>
    <cellStyle name="Note 8 3 2 2" xfId="5283" xr:uid="{00000000-0005-0000-0000-00000B640000}"/>
    <cellStyle name="Note 8 3 2 2 2" xfId="8874" xr:uid="{00000000-0005-0000-0000-00000C640000}"/>
    <cellStyle name="Note 8 3 2 2 2 2" xfId="16844" xr:uid="{00000000-0005-0000-0000-00000D640000}"/>
    <cellStyle name="Note 8 3 2 2 2 2 2" xfId="40686" xr:uid="{8AF9DFF0-7652-45B7-845C-1CE62304A500}"/>
    <cellStyle name="Note 8 3 2 2 2 3" xfId="24790" xr:uid="{00000000-0005-0000-0000-00000E640000}"/>
    <cellStyle name="Note 8 3 2 2 2 3 2" xfId="48622" xr:uid="{69C1EFE1-DDE0-4451-BE53-EC287CC5CF0A}"/>
    <cellStyle name="Note 8 3 2 2 2 4" xfId="32745" xr:uid="{7633BA60-6287-4896-80E1-4241E4DCC26C}"/>
    <cellStyle name="Note 8 3 2 2 3" xfId="13306" xr:uid="{00000000-0005-0000-0000-00000F640000}"/>
    <cellStyle name="Note 8 3 2 2 3 2" xfId="37155" xr:uid="{AA027590-7800-45D9-94AA-065B297FE5A2}"/>
    <cellStyle name="Note 8 3 2 2 4" xfId="21261" xr:uid="{00000000-0005-0000-0000-000010640000}"/>
    <cellStyle name="Note 8 3 2 2 4 2" xfId="45093" xr:uid="{3C55BE14-3B03-4DB0-9110-546F46136947}"/>
    <cellStyle name="Note 8 3 2 2 5" xfId="29214" xr:uid="{5FC7FFE4-E1F6-4411-8181-5FBCD1B56064}"/>
    <cellStyle name="Note 8 3 2 3" xfId="7115" xr:uid="{00000000-0005-0000-0000-000011640000}"/>
    <cellStyle name="Note 8 3 2 3 2" xfId="15086" xr:uid="{00000000-0005-0000-0000-000012640000}"/>
    <cellStyle name="Note 8 3 2 3 2 2" xfId="38928" xr:uid="{DB5DE7FA-B525-431C-B008-92110EC35B34}"/>
    <cellStyle name="Note 8 3 2 3 3" xfId="23033" xr:uid="{00000000-0005-0000-0000-000013640000}"/>
    <cellStyle name="Note 8 3 2 3 3 2" xfId="46865" xr:uid="{6E069EB6-8C00-4CA4-BF1D-06286F52C24F}"/>
    <cellStyle name="Note 8 3 2 3 4" xfId="30987" xr:uid="{4A6BCEC1-416E-4BE0-8DB6-84B52F378CE0}"/>
    <cellStyle name="Note 8 3 2 4" xfId="11550" xr:uid="{00000000-0005-0000-0000-000014640000}"/>
    <cellStyle name="Note 8 3 2 4 2" xfId="35399" xr:uid="{FD26E75F-662F-4F73-B726-29D186AEF245}"/>
    <cellStyle name="Note 8 3 2 5" xfId="19505" xr:uid="{00000000-0005-0000-0000-000015640000}"/>
    <cellStyle name="Note 8 3 2 5 2" xfId="43337" xr:uid="{67564E43-117E-4873-82AE-E7B67BE62D38}"/>
    <cellStyle name="Note 8 3 2 6" xfId="27457" xr:uid="{BE8DE65B-11F9-4783-B13A-45BAC5A827D3}"/>
    <cellStyle name="Note 8 3 2_Exh G" xfId="3675" xr:uid="{00000000-0005-0000-0000-000016640000}"/>
    <cellStyle name="Note 8 3 3" xfId="4404" xr:uid="{00000000-0005-0000-0000-000017640000}"/>
    <cellStyle name="Note 8 3 3 2" xfId="7996" xr:uid="{00000000-0005-0000-0000-000018640000}"/>
    <cellStyle name="Note 8 3 3 2 2" xfId="15966" xr:uid="{00000000-0005-0000-0000-000019640000}"/>
    <cellStyle name="Note 8 3 3 2 2 2" xfId="39808" xr:uid="{D75C55FE-F151-47E5-ACD6-CFE973156494}"/>
    <cellStyle name="Note 8 3 3 2 3" xfId="23912" xr:uid="{00000000-0005-0000-0000-00001A640000}"/>
    <cellStyle name="Note 8 3 3 2 3 2" xfId="47744" xr:uid="{BCFA711C-1520-4428-880B-8B6C801310F6}"/>
    <cellStyle name="Note 8 3 3 2 4" xfId="31867" xr:uid="{97305AF0-10C8-49F4-93C1-108560C2024C}"/>
    <cellStyle name="Note 8 3 3 3" xfId="12428" xr:uid="{00000000-0005-0000-0000-00001B640000}"/>
    <cellStyle name="Note 8 3 3 3 2" xfId="36277" xr:uid="{301B5D9C-0CA7-423A-9648-D6CA5177A414}"/>
    <cellStyle name="Note 8 3 3 4" xfId="20383" xr:uid="{00000000-0005-0000-0000-00001C640000}"/>
    <cellStyle name="Note 8 3 3 4 2" xfId="44215" xr:uid="{00A76828-3B9D-42BD-812B-D997FB99C288}"/>
    <cellStyle name="Note 8 3 3 5" xfId="28336" xr:uid="{43B07A51-BBF9-4B81-874E-34783E7BE7F5}"/>
    <cellStyle name="Note 8 3 4" xfId="6224" xr:uid="{00000000-0005-0000-0000-00001D640000}"/>
    <cellStyle name="Note 8 3 4 2" xfId="14207" xr:uid="{00000000-0005-0000-0000-00001E640000}"/>
    <cellStyle name="Note 8 3 4 2 2" xfId="38050" xr:uid="{D297F137-8A44-45C3-86E6-34B8002233B8}"/>
    <cellStyle name="Note 8 3 4 3" xfId="22155" xr:uid="{00000000-0005-0000-0000-00001F640000}"/>
    <cellStyle name="Note 8 3 4 3 2" xfId="45987" xr:uid="{88AD672F-3951-4AD4-BE9E-5DD6C85DAB92}"/>
    <cellStyle name="Note 8 3 4 4" xfId="30109" xr:uid="{916ADA40-127A-455A-9B63-5D1B523AEF9D}"/>
    <cellStyle name="Note 8 3 5" xfId="9776" xr:uid="{00000000-0005-0000-0000-000020640000}"/>
    <cellStyle name="Note 8 3 5 2" xfId="17734" xr:uid="{00000000-0005-0000-0000-000021640000}"/>
    <cellStyle name="Note 8 3 5 2 2" xfId="41574" xr:uid="{FBEA77E8-BE3D-4EEE-A7C0-669A5438630F}"/>
    <cellStyle name="Note 8 3 5 3" xfId="25678" xr:uid="{00000000-0005-0000-0000-000022640000}"/>
    <cellStyle name="Note 8 3 5 3 2" xfId="49510" xr:uid="{AD16EDE4-3B86-45E9-B11C-2DF6FBEF7CE3}"/>
    <cellStyle name="Note 8 3 5 4" xfId="33633" xr:uid="{CE97A360-3E32-4DB8-8751-AB59D824A1DC}"/>
    <cellStyle name="Note 8 3 6" xfId="10672" xr:uid="{00000000-0005-0000-0000-000023640000}"/>
    <cellStyle name="Note 8 3 6 2" xfId="34521" xr:uid="{F4006A2E-28F6-4E4D-ADD0-A29A5B2421D6}"/>
    <cellStyle name="Note 8 3 7" xfId="18627" xr:uid="{00000000-0005-0000-0000-000024640000}"/>
    <cellStyle name="Note 8 3 7 2" xfId="42459" xr:uid="{8286A584-A1B1-45BF-8F09-B148C3FA2BFC}"/>
    <cellStyle name="Note 8 3 8" xfId="26579" xr:uid="{43B7EB35-917E-4E62-AA85-60D463E60782}"/>
    <cellStyle name="Note 8 3_Exh G" xfId="3674" xr:uid="{00000000-0005-0000-0000-000025640000}"/>
    <cellStyle name="Note 8 4" xfId="1036" xr:uid="{00000000-0005-0000-0000-000026640000}"/>
    <cellStyle name="Note 8 4 2" xfId="1931" xr:uid="{00000000-0005-0000-0000-000027640000}"/>
    <cellStyle name="Note 8 4 2 2" xfId="5448" xr:uid="{00000000-0005-0000-0000-000028640000}"/>
    <cellStyle name="Note 8 4 2 2 2" xfId="9039" xr:uid="{00000000-0005-0000-0000-000029640000}"/>
    <cellStyle name="Note 8 4 2 2 2 2" xfId="17009" xr:uid="{00000000-0005-0000-0000-00002A640000}"/>
    <cellStyle name="Note 8 4 2 2 2 2 2" xfId="40851" xr:uid="{E873D45B-4F6C-4EA6-95AC-15E11C0B3511}"/>
    <cellStyle name="Note 8 4 2 2 2 3" xfId="24955" xr:uid="{00000000-0005-0000-0000-00002B640000}"/>
    <cellStyle name="Note 8 4 2 2 2 3 2" xfId="48787" xr:uid="{C6FBE82C-63A6-49B4-965C-1DF3CC7370F5}"/>
    <cellStyle name="Note 8 4 2 2 2 4" xfId="32910" xr:uid="{2B5C05D8-B100-4481-9B1C-ABB728AC1FC4}"/>
    <cellStyle name="Note 8 4 2 2 3" xfId="13471" xr:uid="{00000000-0005-0000-0000-00002C640000}"/>
    <cellStyle name="Note 8 4 2 2 3 2" xfId="37320" xr:uid="{12A82DDB-EEF9-4095-A075-A4E9B09177D2}"/>
    <cellStyle name="Note 8 4 2 2 4" xfId="21426" xr:uid="{00000000-0005-0000-0000-00002D640000}"/>
    <cellStyle name="Note 8 4 2 2 4 2" xfId="45258" xr:uid="{50E1A598-678B-4452-A676-2CB7ECE299CE}"/>
    <cellStyle name="Note 8 4 2 2 5" xfId="29379" xr:uid="{DFE17543-89B3-4AA4-8469-00692E0E8337}"/>
    <cellStyle name="Note 8 4 2 3" xfId="7280" xr:uid="{00000000-0005-0000-0000-00002E640000}"/>
    <cellStyle name="Note 8 4 2 3 2" xfId="15251" xr:uid="{00000000-0005-0000-0000-00002F640000}"/>
    <cellStyle name="Note 8 4 2 3 2 2" xfId="39093" xr:uid="{CF5D3994-BFF1-4577-BAEE-F0BF7AFB6F34}"/>
    <cellStyle name="Note 8 4 2 3 3" xfId="23198" xr:uid="{00000000-0005-0000-0000-000030640000}"/>
    <cellStyle name="Note 8 4 2 3 3 2" xfId="47030" xr:uid="{873CD936-23A5-4475-8C95-F29FA0F3E787}"/>
    <cellStyle name="Note 8 4 2 3 4" xfId="31152" xr:uid="{4F7DF1D7-EB3F-440C-8346-635A18F5A62E}"/>
    <cellStyle name="Note 8 4 2 4" xfId="11715" xr:uid="{00000000-0005-0000-0000-000031640000}"/>
    <cellStyle name="Note 8 4 2 4 2" xfId="35564" xr:uid="{E962DC72-9902-43FA-A5A9-0F515CDE5C19}"/>
    <cellStyle name="Note 8 4 2 5" xfId="19670" xr:uid="{00000000-0005-0000-0000-000032640000}"/>
    <cellStyle name="Note 8 4 2 5 2" xfId="43502" xr:uid="{1F50D184-6819-4AFA-B0CB-5673040572CE}"/>
    <cellStyle name="Note 8 4 2 6" xfId="27622" xr:uid="{DE27C334-829B-4231-B485-E7CDDFC48C68}"/>
    <cellStyle name="Note 8 4 2_Exh G" xfId="3677" xr:uid="{00000000-0005-0000-0000-000033640000}"/>
    <cellStyle name="Note 8 4 3" xfId="4569" xr:uid="{00000000-0005-0000-0000-000034640000}"/>
    <cellStyle name="Note 8 4 3 2" xfId="8161" xr:uid="{00000000-0005-0000-0000-000035640000}"/>
    <cellStyle name="Note 8 4 3 2 2" xfId="16131" xr:uid="{00000000-0005-0000-0000-000036640000}"/>
    <cellStyle name="Note 8 4 3 2 2 2" xfId="39973" xr:uid="{2CC612D2-F167-495D-9D83-550581000B60}"/>
    <cellStyle name="Note 8 4 3 2 3" xfId="24077" xr:uid="{00000000-0005-0000-0000-000037640000}"/>
    <cellStyle name="Note 8 4 3 2 3 2" xfId="47909" xr:uid="{9FEEA6FF-B90B-44B9-B2AF-3A3B0B2DEAAD}"/>
    <cellStyle name="Note 8 4 3 2 4" xfId="32032" xr:uid="{54A04BCD-7907-40AD-9F19-55D0D256A5E6}"/>
    <cellStyle name="Note 8 4 3 3" xfId="12593" xr:uid="{00000000-0005-0000-0000-000038640000}"/>
    <cellStyle name="Note 8 4 3 3 2" xfId="36442" xr:uid="{EDD023C3-299A-4E82-A86A-2C5BF361E8AD}"/>
    <cellStyle name="Note 8 4 3 4" xfId="20548" xr:uid="{00000000-0005-0000-0000-000039640000}"/>
    <cellStyle name="Note 8 4 3 4 2" xfId="44380" xr:uid="{9B6475E4-0746-4A7E-99C4-43D31FA0D2A0}"/>
    <cellStyle name="Note 8 4 3 5" xfId="28501" xr:uid="{7DCE7A64-4C06-464D-AD55-8064D4487834}"/>
    <cellStyle name="Note 8 4 4" xfId="6401" xr:uid="{00000000-0005-0000-0000-00003A640000}"/>
    <cellStyle name="Note 8 4 4 2" xfId="14373" xr:uid="{00000000-0005-0000-0000-00003B640000}"/>
    <cellStyle name="Note 8 4 4 2 2" xfId="38215" xr:uid="{26CF8171-CAC5-46D7-A619-2EAB940A8705}"/>
    <cellStyle name="Note 8 4 4 3" xfId="22320" xr:uid="{00000000-0005-0000-0000-00003C640000}"/>
    <cellStyle name="Note 8 4 4 3 2" xfId="46152" xr:uid="{4A77A5B6-F30F-40BB-B7C3-5C4F3CF366FF}"/>
    <cellStyle name="Note 8 4 4 4" xfId="30274" xr:uid="{5C08CCC4-8D3F-4DA3-B9F3-C8AA9631DFD8}"/>
    <cellStyle name="Note 8 4 5" xfId="9941" xr:uid="{00000000-0005-0000-0000-00003D640000}"/>
    <cellStyle name="Note 8 4 5 2" xfId="17899" xr:uid="{00000000-0005-0000-0000-00003E640000}"/>
    <cellStyle name="Note 8 4 5 2 2" xfId="41739" xr:uid="{97E57DDC-C5DB-4BEF-A65E-07088C35D68F}"/>
    <cellStyle name="Note 8 4 5 3" xfId="25843" xr:uid="{00000000-0005-0000-0000-00003F640000}"/>
    <cellStyle name="Note 8 4 5 3 2" xfId="49675" xr:uid="{C6A3D02A-BE45-45A8-B1E2-00351B709CFD}"/>
    <cellStyle name="Note 8 4 5 4" xfId="33798" xr:uid="{E409C61F-9537-4913-B6D2-D4E997BA52D5}"/>
    <cellStyle name="Note 8 4 6" xfId="10837" xr:uid="{00000000-0005-0000-0000-000040640000}"/>
    <cellStyle name="Note 8 4 6 2" xfId="34686" xr:uid="{F66B31BE-9D03-49D5-937B-BBE976F99859}"/>
    <cellStyle name="Note 8 4 7" xfId="18792" xr:uid="{00000000-0005-0000-0000-000041640000}"/>
    <cellStyle name="Note 8 4 7 2" xfId="42624" xr:uid="{523BF6CA-65A5-4766-BFB8-0C0418C3DF2D}"/>
    <cellStyle name="Note 8 4 8" xfId="26744" xr:uid="{C31A3C85-379C-439F-A1B5-C1C7C00EBD79}"/>
    <cellStyle name="Note 8 4_Exh G" xfId="3676" xr:uid="{00000000-0005-0000-0000-000042640000}"/>
    <cellStyle name="Note 8 5" xfId="1753" xr:uid="{00000000-0005-0000-0000-000043640000}"/>
    <cellStyle name="Note 8 5 2" xfId="5280" xr:uid="{00000000-0005-0000-0000-000044640000}"/>
    <cellStyle name="Note 8 5 2 2" xfId="8871" xr:uid="{00000000-0005-0000-0000-000045640000}"/>
    <cellStyle name="Note 8 5 2 2 2" xfId="16841" xr:uid="{00000000-0005-0000-0000-000046640000}"/>
    <cellStyle name="Note 8 5 2 2 2 2" xfId="40683" xr:uid="{F10403B5-68B4-45B0-8EA4-DA99A79E97BF}"/>
    <cellStyle name="Note 8 5 2 2 3" xfId="24787" xr:uid="{00000000-0005-0000-0000-000047640000}"/>
    <cellStyle name="Note 8 5 2 2 3 2" xfId="48619" xr:uid="{B439B1AE-930E-4A6F-B616-CF5C01747FC4}"/>
    <cellStyle name="Note 8 5 2 2 4" xfId="32742" xr:uid="{DE99AE66-3C81-4AFF-9A8B-26F5BEE32650}"/>
    <cellStyle name="Note 8 5 2 3" xfId="13303" xr:uid="{00000000-0005-0000-0000-000048640000}"/>
    <cellStyle name="Note 8 5 2 3 2" xfId="37152" xr:uid="{652A6115-AFA7-4F73-80D2-079437B508B4}"/>
    <cellStyle name="Note 8 5 2 4" xfId="21258" xr:uid="{00000000-0005-0000-0000-000049640000}"/>
    <cellStyle name="Note 8 5 2 4 2" xfId="45090" xr:uid="{0E63588F-89B8-4FC8-8311-806379B96489}"/>
    <cellStyle name="Note 8 5 2 5" xfId="29211" xr:uid="{E209B5F5-9B36-4357-91B6-3E4954AACB46}"/>
    <cellStyle name="Note 8 5 3" xfId="7112" xr:uid="{00000000-0005-0000-0000-00004A640000}"/>
    <cellStyle name="Note 8 5 3 2" xfId="15083" xr:uid="{00000000-0005-0000-0000-00004B640000}"/>
    <cellStyle name="Note 8 5 3 2 2" xfId="38925" xr:uid="{F74FCE8C-55D2-4414-B769-2337DC9B1C19}"/>
    <cellStyle name="Note 8 5 3 3" xfId="23030" xr:uid="{00000000-0005-0000-0000-00004C640000}"/>
    <cellStyle name="Note 8 5 3 3 2" xfId="46862" xr:uid="{B633E7B0-AE25-4EA3-B241-15C599D28125}"/>
    <cellStyle name="Note 8 5 3 4" xfId="30984" xr:uid="{410F1D6D-2BAE-497F-B727-3F5C7198A628}"/>
    <cellStyle name="Note 8 5 4" xfId="11547" xr:uid="{00000000-0005-0000-0000-00004D640000}"/>
    <cellStyle name="Note 8 5 4 2" xfId="35396" xr:uid="{A417BB95-10C2-4964-BFBE-105D66B709D6}"/>
    <cellStyle name="Note 8 5 5" xfId="19502" xr:uid="{00000000-0005-0000-0000-00004E640000}"/>
    <cellStyle name="Note 8 5 5 2" xfId="43334" xr:uid="{0AE910E6-0478-45AF-B984-969BBDD212C4}"/>
    <cellStyle name="Note 8 5 6" xfId="27454" xr:uid="{BC14E67C-7DFB-46A0-AF54-6D72D43A5C69}"/>
    <cellStyle name="Note 8 5_Exh G" xfId="3678" xr:uid="{00000000-0005-0000-0000-00004F640000}"/>
    <cellStyle name="Note 8 6" xfId="4401" xr:uid="{00000000-0005-0000-0000-000050640000}"/>
    <cellStyle name="Note 8 6 2" xfId="7993" xr:uid="{00000000-0005-0000-0000-000051640000}"/>
    <cellStyle name="Note 8 6 2 2" xfId="15963" xr:uid="{00000000-0005-0000-0000-000052640000}"/>
    <cellStyle name="Note 8 6 2 2 2" xfId="39805" xr:uid="{DB6680BD-138D-4E4C-A662-A3CBC8118270}"/>
    <cellStyle name="Note 8 6 2 3" xfId="23909" xr:uid="{00000000-0005-0000-0000-000053640000}"/>
    <cellStyle name="Note 8 6 2 3 2" xfId="47741" xr:uid="{58330B1C-9CC6-4FEB-8F7D-E56516A99383}"/>
    <cellStyle name="Note 8 6 2 4" xfId="31864" xr:uid="{24F668AF-DE54-4819-AC21-34F323F8683C}"/>
    <cellStyle name="Note 8 6 3" xfId="12425" xr:uid="{00000000-0005-0000-0000-000054640000}"/>
    <cellStyle name="Note 8 6 3 2" xfId="36274" xr:uid="{A1AD7CAE-AC1C-4FC7-A741-A3963D0E1D23}"/>
    <cellStyle name="Note 8 6 4" xfId="20380" xr:uid="{00000000-0005-0000-0000-000055640000}"/>
    <cellStyle name="Note 8 6 4 2" xfId="44212" xr:uid="{3C579453-8B71-40D0-8EA8-66EDE0529B8E}"/>
    <cellStyle name="Note 8 6 5" xfId="28333" xr:uid="{EEF9605E-B825-4E6A-9B8B-D24CC79E55FD}"/>
    <cellStyle name="Note 8 7" xfId="6221" xr:uid="{00000000-0005-0000-0000-000056640000}"/>
    <cellStyle name="Note 8 7 2" xfId="14204" xr:uid="{00000000-0005-0000-0000-000057640000}"/>
    <cellStyle name="Note 8 7 2 2" xfId="38047" xr:uid="{EFFD7369-ABD4-4198-B24A-C876C1E812D8}"/>
    <cellStyle name="Note 8 7 3" xfId="22152" xr:uid="{00000000-0005-0000-0000-000058640000}"/>
    <cellStyle name="Note 8 7 3 2" xfId="45984" xr:uid="{02D5B6FF-B1F6-4D30-A3AB-64A01E140B33}"/>
    <cellStyle name="Note 8 7 4" xfId="30106" xr:uid="{330E36B0-1665-495D-B5CA-CAF2C6BC6CED}"/>
    <cellStyle name="Note 8 8" xfId="9773" xr:uid="{00000000-0005-0000-0000-000059640000}"/>
    <cellStyle name="Note 8 8 2" xfId="17731" xr:uid="{00000000-0005-0000-0000-00005A640000}"/>
    <cellStyle name="Note 8 8 2 2" xfId="41571" xr:uid="{B304004F-46F3-451B-A212-B1CAF2B38425}"/>
    <cellStyle name="Note 8 8 3" xfId="25675" xr:uid="{00000000-0005-0000-0000-00005B640000}"/>
    <cellStyle name="Note 8 8 3 2" xfId="49507" xr:uid="{67EC6100-8C1B-4417-89A4-8BBCC9F2F90E}"/>
    <cellStyle name="Note 8 8 4" xfId="33630" xr:uid="{217D7B9E-2152-4FBA-9874-98769FF59B9C}"/>
    <cellStyle name="Note 8 9" xfId="10669" xr:uid="{00000000-0005-0000-0000-00005C640000}"/>
    <cellStyle name="Note 8 9 2" xfId="34518" xr:uid="{816180DD-9C9A-4FB8-90EB-BA7356F704C5}"/>
    <cellStyle name="Note 8_Exh G" xfId="3669" xr:uid="{00000000-0005-0000-0000-00005D640000}"/>
    <cellStyle name="Note 9" xfId="731" xr:uid="{00000000-0005-0000-0000-00005E640000}"/>
    <cellStyle name="Note 9 10" xfId="18628" xr:uid="{00000000-0005-0000-0000-00005F640000}"/>
    <cellStyle name="Note 9 10 2" xfId="42460" xr:uid="{98B9C75C-217E-468B-B836-1BFA1471A54C}"/>
    <cellStyle name="Note 9 11" xfId="26580" xr:uid="{F0B124F6-2BEA-4906-A0DF-E1434034527E}"/>
    <cellStyle name="Note 9 2" xfId="732" xr:uid="{00000000-0005-0000-0000-000060640000}"/>
    <cellStyle name="Note 9 2 2" xfId="733" xr:uid="{00000000-0005-0000-0000-000061640000}"/>
    <cellStyle name="Note 9 2 2 2" xfId="1759" xr:uid="{00000000-0005-0000-0000-000062640000}"/>
    <cellStyle name="Note 9 2 2 2 2" xfId="5286" xr:uid="{00000000-0005-0000-0000-000063640000}"/>
    <cellStyle name="Note 9 2 2 2 2 2" xfId="8877" xr:uid="{00000000-0005-0000-0000-000064640000}"/>
    <cellStyle name="Note 9 2 2 2 2 2 2" xfId="16847" xr:uid="{00000000-0005-0000-0000-000065640000}"/>
    <cellStyle name="Note 9 2 2 2 2 2 2 2" xfId="40689" xr:uid="{2D443883-E3F4-48F5-BCA5-31A87887C37A}"/>
    <cellStyle name="Note 9 2 2 2 2 2 3" xfId="24793" xr:uid="{00000000-0005-0000-0000-000066640000}"/>
    <cellStyle name="Note 9 2 2 2 2 2 3 2" xfId="48625" xr:uid="{EC701DFC-ED0B-45F7-A230-0D382607B695}"/>
    <cellStyle name="Note 9 2 2 2 2 2 4" xfId="32748" xr:uid="{8D6DDB7B-BF2B-4D9D-9432-38C26ED87383}"/>
    <cellStyle name="Note 9 2 2 2 2 3" xfId="13309" xr:uid="{00000000-0005-0000-0000-000067640000}"/>
    <cellStyle name="Note 9 2 2 2 2 3 2" xfId="37158" xr:uid="{1F719971-457F-4C97-8C9A-72D329527BC5}"/>
    <cellStyle name="Note 9 2 2 2 2 4" xfId="21264" xr:uid="{00000000-0005-0000-0000-000068640000}"/>
    <cellStyle name="Note 9 2 2 2 2 4 2" xfId="45096" xr:uid="{09D2A380-2537-4386-895B-99DE54996E06}"/>
    <cellStyle name="Note 9 2 2 2 2 5" xfId="29217" xr:uid="{12A3A0B5-DFD2-46D9-9BB1-9642A542B42F}"/>
    <cellStyle name="Note 9 2 2 2 3" xfId="7118" xr:uid="{00000000-0005-0000-0000-000069640000}"/>
    <cellStyle name="Note 9 2 2 2 3 2" xfId="15089" xr:uid="{00000000-0005-0000-0000-00006A640000}"/>
    <cellStyle name="Note 9 2 2 2 3 2 2" xfId="38931" xr:uid="{078FD4DD-EAF2-4535-A68D-C930A97BF291}"/>
    <cellStyle name="Note 9 2 2 2 3 3" xfId="23036" xr:uid="{00000000-0005-0000-0000-00006B640000}"/>
    <cellStyle name="Note 9 2 2 2 3 3 2" xfId="46868" xr:uid="{A2B42C10-33A2-4005-9D7E-0E4C70560091}"/>
    <cellStyle name="Note 9 2 2 2 3 4" xfId="30990" xr:uid="{C927B8EC-6E59-411A-8B59-040A882B5F8B}"/>
    <cellStyle name="Note 9 2 2 2 4" xfId="11553" xr:uid="{00000000-0005-0000-0000-00006C640000}"/>
    <cellStyle name="Note 9 2 2 2 4 2" xfId="35402" xr:uid="{DB1E7BDD-2FE9-4515-BFB2-FCA230E4DBF7}"/>
    <cellStyle name="Note 9 2 2 2 5" xfId="19508" xr:uid="{00000000-0005-0000-0000-00006D640000}"/>
    <cellStyle name="Note 9 2 2 2 5 2" xfId="43340" xr:uid="{3F47AA54-B958-4765-84CD-23357413E3A3}"/>
    <cellStyle name="Note 9 2 2 2 6" xfId="27460" xr:uid="{166A8905-D3A2-44D6-9CB9-78E488A62856}"/>
    <cellStyle name="Note 9 2 2 2_Exh G" xfId="3682" xr:uid="{00000000-0005-0000-0000-00006E640000}"/>
    <cellStyle name="Note 9 2 2 3" xfId="4407" xr:uid="{00000000-0005-0000-0000-00006F640000}"/>
    <cellStyle name="Note 9 2 2 3 2" xfId="7999" xr:uid="{00000000-0005-0000-0000-000070640000}"/>
    <cellStyle name="Note 9 2 2 3 2 2" xfId="15969" xr:uid="{00000000-0005-0000-0000-000071640000}"/>
    <cellStyle name="Note 9 2 2 3 2 2 2" xfId="39811" xr:uid="{1EFBE16C-39C7-44E4-BAFD-DA197FF3A81A}"/>
    <cellStyle name="Note 9 2 2 3 2 3" xfId="23915" xr:uid="{00000000-0005-0000-0000-000072640000}"/>
    <cellStyle name="Note 9 2 2 3 2 3 2" xfId="47747" xr:uid="{91E399AA-393D-4E0E-9791-3DAFBA206921}"/>
    <cellStyle name="Note 9 2 2 3 2 4" xfId="31870" xr:uid="{59D134C6-B0FA-402F-B60A-ECA87D3A4D13}"/>
    <cellStyle name="Note 9 2 2 3 3" xfId="12431" xr:uid="{00000000-0005-0000-0000-000073640000}"/>
    <cellStyle name="Note 9 2 2 3 3 2" xfId="36280" xr:uid="{3F556A19-C9A2-476F-9736-BA06CFA0D254}"/>
    <cellStyle name="Note 9 2 2 3 4" xfId="20386" xr:uid="{00000000-0005-0000-0000-000074640000}"/>
    <cellStyle name="Note 9 2 2 3 4 2" xfId="44218" xr:uid="{88F22C36-53C0-442B-B895-AB3436CB788D}"/>
    <cellStyle name="Note 9 2 2 3 5" xfId="28339" xr:uid="{C8BBE478-628E-43C8-9A4F-0F237F9505F8}"/>
    <cellStyle name="Note 9 2 2 4" xfId="6227" xr:uid="{00000000-0005-0000-0000-000075640000}"/>
    <cellStyle name="Note 9 2 2 4 2" xfId="14210" xr:uid="{00000000-0005-0000-0000-000076640000}"/>
    <cellStyle name="Note 9 2 2 4 2 2" xfId="38053" xr:uid="{06722C63-491B-40EE-910F-3E0EC976BA36}"/>
    <cellStyle name="Note 9 2 2 4 3" xfId="22158" xr:uid="{00000000-0005-0000-0000-000077640000}"/>
    <cellStyle name="Note 9 2 2 4 3 2" xfId="45990" xr:uid="{50761395-11F3-4477-8B4E-AF71A9BAB984}"/>
    <cellStyle name="Note 9 2 2 4 4" xfId="30112" xr:uid="{83ADB7C1-33FC-4EAD-A531-65CB663C696D}"/>
    <cellStyle name="Note 9 2 2 5" xfId="9779" xr:uid="{00000000-0005-0000-0000-000078640000}"/>
    <cellStyle name="Note 9 2 2 5 2" xfId="17737" xr:uid="{00000000-0005-0000-0000-000079640000}"/>
    <cellStyle name="Note 9 2 2 5 2 2" xfId="41577" xr:uid="{29272D50-0AC3-4DCD-BE6D-5547D13989D9}"/>
    <cellStyle name="Note 9 2 2 5 3" xfId="25681" xr:uid="{00000000-0005-0000-0000-00007A640000}"/>
    <cellStyle name="Note 9 2 2 5 3 2" xfId="49513" xr:uid="{B9B36932-535D-48A7-BDF8-4039689ABF63}"/>
    <cellStyle name="Note 9 2 2 5 4" xfId="33636" xr:uid="{37DC56FC-852B-4665-80D1-96157414653C}"/>
    <cellStyle name="Note 9 2 2 6" xfId="10675" xr:uid="{00000000-0005-0000-0000-00007B640000}"/>
    <cellStyle name="Note 9 2 2 6 2" xfId="34524" xr:uid="{EB985E95-1468-438A-9455-BEF23B2D1286}"/>
    <cellStyle name="Note 9 2 2 7" xfId="18630" xr:uid="{00000000-0005-0000-0000-00007C640000}"/>
    <cellStyle name="Note 9 2 2 7 2" xfId="42462" xr:uid="{37218FD2-1018-4F1A-AD78-710F959A928F}"/>
    <cellStyle name="Note 9 2 2 8" xfId="26582" xr:uid="{A18FFB61-E257-4B9E-802C-1C10DEB0BF77}"/>
    <cellStyle name="Note 9 2 2_Exh G" xfId="3681" xr:uid="{00000000-0005-0000-0000-00007D640000}"/>
    <cellStyle name="Note 9 2 3" xfId="1758" xr:uid="{00000000-0005-0000-0000-00007E640000}"/>
    <cellStyle name="Note 9 2 3 2" xfId="5285" xr:uid="{00000000-0005-0000-0000-00007F640000}"/>
    <cellStyle name="Note 9 2 3 2 2" xfId="8876" xr:uid="{00000000-0005-0000-0000-000080640000}"/>
    <cellStyle name="Note 9 2 3 2 2 2" xfId="16846" xr:uid="{00000000-0005-0000-0000-000081640000}"/>
    <cellStyle name="Note 9 2 3 2 2 2 2" xfId="40688" xr:uid="{3BB1BFBD-2CE6-4F99-85CD-08377CDE41CF}"/>
    <cellStyle name="Note 9 2 3 2 2 3" xfId="24792" xr:uid="{00000000-0005-0000-0000-000082640000}"/>
    <cellStyle name="Note 9 2 3 2 2 3 2" xfId="48624" xr:uid="{12EC2A26-DBD7-4457-A71D-B18B20149CAE}"/>
    <cellStyle name="Note 9 2 3 2 2 4" xfId="32747" xr:uid="{913125BA-48CE-413E-844C-F9F6357B5E11}"/>
    <cellStyle name="Note 9 2 3 2 3" xfId="13308" xr:uid="{00000000-0005-0000-0000-000083640000}"/>
    <cellStyle name="Note 9 2 3 2 3 2" xfId="37157" xr:uid="{76A0EBB1-208B-4902-AFCF-B863942F4F13}"/>
    <cellStyle name="Note 9 2 3 2 4" xfId="21263" xr:uid="{00000000-0005-0000-0000-000084640000}"/>
    <cellStyle name="Note 9 2 3 2 4 2" xfId="45095" xr:uid="{BE569910-21A3-4387-9B9E-DA58FFB91038}"/>
    <cellStyle name="Note 9 2 3 2 5" xfId="29216" xr:uid="{16D98DC3-78BD-4290-B2D1-4AD97773FB77}"/>
    <cellStyle name="Note 9 2 3 3" xfId="7117" xr:uid="{00000000-0005-0000-0000-000085640000}"/>
    <cellStyle name="Note 9 2 3 3 2" xfId="15088" xr:uid="{00000000-0005-0000-0000-000086640000}"/>
    <cellStyle name="Note 9 2 3 3 2 2" xfId="38930" xr:uid="{6B631D50-00E4-48EA-A506-EBFFDD73F1A3}"/>
    <cellStyle name="Note 9 2 3 3 3" xfId="23035" xr:uid="{00000000-0005-0000-0000-000087640000}"/>
    <cellStyle name="Note 9 2 3 3 3 2" xfId="46867" xr:uid="{CF5FEBFB-F4B8-40AD-9962-0D91C34BCE84}"/>
    <cellStyle name="Note 9 2 3 3 4" xfId="30989" xr:uid="{0158848B-0761-4643-B0F8-D7B91262020C}"/>
    <cellStyle name="Note 9 2 3 4" xfId="11552" xr:uid="{00000000-0005-0000-0000-000088640000}"/>
    <cellStyle name="Note 9 2 3 4 2" xfId="35401" xr:uid="{E0A60404-9383-4654-AC06-E5EF29779FC7}"/>
    <cellStyle name="Note 9 2 3 5" xfId="19507" xr:uid="{00000000-0005-0000-0000-000089640000}"/>
    <cellStyle name="Note 9 2 3 5 2" xfId="43339" xr:uid="{9CC48B5C-1FDC-490E-9E21-F10400B1D813}"/>
    <cellStyle name="Note 9 2 3 6" xfId="27459" xr:uid="{2A7D0932-7982-46E8-BE35-C49DBFDB90BA}"/>
    <cellStyle name="Note 9 2 3_Exh G" xfId="3683" xr:uid="{00000000-0005-0000-0000-00008A640000}"/>
    <cellStyle name="Note 9 2 4" xfId="4406" xr:uid="{00000000-0005-0000-0000-00008B640000}"/>
    <cellStyle name="Note 9 2 4 2" xfId="7998" xr:uid="{00000000-0005-0000-0000-00008C640000}"/>
    <cellStyle name="Note 9 2 4 2 2" xfId="15968" xr:uid="{00000000-0005-0000-0000-00008D640000}"/>
    <cellStyle name="Note 9 2 4 2 2 2" xfId="39810" xr:uid="{952586E8-D0E2-40CB-B3C8-C0E86334BF46}"/>
    <cellStyle name="Note 9 2 4 2 3" xfId="23914" xr:uid="{00000000-0005-0000-0000-00008E640000}"/>
    <cellStyle name="Note 9 2 4 2 3 2" xfId="47746" xr:uid="{9816545D-6831-4973-91DD-F89D0893BBE3}"/>
    <cellStyle name="Note 9 2 4 2 4" xfId="31869" xr:uid="{1524D5FB-7BB1-4CFE-B1D6-04C34170FE75}"/>
    <cellStyle name="Note 9 2 4 3" xfId="12430" xr:uid="{00000000-0005-0000-0000-00008F640000}"/>
    <cellStyle name="Note 9 2 4 3 2" xfId="36279" xr:uid="{7EDE5BB3-B91A-4051-8F19-39525599E51C}"/>
    <cellStyle name="Note 9 2 4 4" xfId="20385" xr:uid="{00000000-0005-0000-0000-000090640000}"/>
    <cellStyle name="Note 9 2 4 4 2" xfId="44217" xr:uid="{2C166FE7-8094-46ED-B450-B287ED046DEF}"/>
    <cellStyle name="Note 9 2 4 5" xfId="28338" xr:uid="{A09D6DCC-DCA6-4553-8F20-F9B488CC13BA}"/>
    <cellStyle name="Note 9 2 5" xfId="6226" xr:uid="{00000000-0005-0000-0000-000091640000}"/>
    <cellStyle name="Note 9 2 5 2" xfId="14209" xr:uid="{00000000-0005-0000-0000-000092640000}"/>
    <cellStyle name="Note 9 2 5 2 2" xfId="38052" xr:uid="{1EB43644-1CC8-4657-AF56-0755C72A3C89}"/>
    <cellStyle name="Note 9 2 5 3" xfId="22157" xr:uid="{00000000-0005-0000-0000-000093640000}"/>
    <cellStyle name="Note 9 2 5 3 2" xfId="45989" xr:uid="{EB92B02A-CC55-4D84-AC85-6E90C488D82D}"/>
    <cellStyle name="Note 9 2 5 4" xfId="30111" xr:uid="{6C9076B9-5776-4296-8FF6-A39F1891041A}"/>
    <cellStyle name="Note 9 2 6" xfId="9778" xr:uid="{00000000-0005-0000-0000-000094640000}"/>
    <cellStyle name="Note 9 2 6 2" xfId="17736" xr:uid="{00000000-0005-0000-0000-000095640000}"/>
    <cellStyle name="Note 9 2 6 2 2" xfId="41576" xr:uid="{C39C2126-F5A1-4803-86F7-2DE346FFB5F7}"/>
    <cellStyle name="Note 9 2 6 3" xfId="25680" xr:uid="{00000000-0005-0000-0000-000096640000}"/>
    <cellStyle name="Note 9 2 6 3 2" xfId="49512" xr:uid="{BB05DF12-8D10-4A1C-AD6D-94E3EF766631}"/>
    <cellStyle name="Note 9 2 6 4" xfId="33635" xr:uid="{AC8705EE-7DA1-4D36-B381-77BA644BE889}"/>
    <cellStyle name="Note 9 2 7" xfId="10674" xr:uid="{00000000-0005-0000-0000-000097640000}"/>
    <cellStyle name="Note 9 2 7 2" xfId="34523" xr:uid="{AB17183B-8372-4FE9-8A5C-B227B8BEAFA7}"/>
    <cellStyle name="Note 9 2 8" xfId="18629" xr:uid="{00000000-0005-0000-0000-000098640000}"/>
    <cellStyle name="Note 9 2 8 2" xfId="42461" xr:uid="{CE486E6A-AE1A-4C18-A7DB-5AEE510096FA}"/>
    <cellStyle name="Note 9 2 9" xfId="26581" xr:uid="{5185B392-403C-40F1-A600-A94F930EF2C3}"/>
    <cellStyle name="Note 9 2_Exh G" xfId="3680" xr:uid="{00000000-0005-0000-0000-000099640000}"/>
    <cellStyle name="Note 9 3" xfId="734" xr:uid="{00000000-0005-0000-0000-00009A640000}"/>
    <cellStyle name="Note 9 3 2" xfId="1760" xr:uid="{00000000-0005-0000-0000-00009B640000}"/>
    <cellStyle name="Note 9 3 2 2" xfId="5287" xr:uid="{00000000-0005-0000-0000-00009C640000}"/>
    <cellStyle name="Note 9 3 2 2 2" xfId="8878" xr:uid="{00000000-0005-0000-0000-00009D640000}"/>
    <cellStyle name="Note 9 3 2 2 2 2" xfId="16848" xr:uid="{00000000-0005-0000-0000-00009E640000}"/>
    <cellStyle name="Note 9 3 2 2 2 2 2" xfId="40690" xr:uid="{7BA52E4B-BEA9-4E81-888B-0F16DEED7B7F}"/>
    <cellStyle name="Note 9 3 2 2 2 3" xfId="24794" xr:uid="{00000000-0005-0000-0000-00009F640000}"/>
    <cellStyle name="Note 9 3 2 2 2 3 2" xfId="48626" xr:uid="{F088ADB2-8808-4F78-8A9B-F26AF4447D27}"/>
    <cellStyle name="Note 9 3 2 2 2 4" xfId="32749" xr:uid="{121FDCA3-06B5-4493-A6EF-B9E80552D087}"/>
    <cellStyle name="Note 9 3 2 2 3" xfId="13310" xr:uid="{00000000-0005-0000-0000-0000A0640000}"/>
    <cellStyle name="Note 9 3 2 2 3 2" xfId="37159" xr:uid="{FCABA7E6-2460-4BB1-BFBA-B8FC3E78DD35}"/>
    <cellStyle name="Note 9 3 2 2 4" xfId="21265" xr:uid="{00000000-0005-0000-0000-0000A1640000}"/>
    <cellStyle name="Note 9 3 2 2 4 2" xfId="45097" xr:uid="{0DE34CCF-FB3E-42BC-86FE-97474D989DD3}"/>
    <cellStyle name="Note 9 3 2 2 5" xfId="29218" xr:uid="{BFA1A0DC-AC88-4671-898A-F8C1B795F6B7}"/>
    <cellStyle name="Note 9 3 2 3" xfId="7119" xr:uid="{00000000-0005-0000-0000-0000A2640000}"/>
    <cellStyle name="Note 9 3 2 3 2" xfId="15090" xr:uid="{00000000-0005-0000-0000-0000A3640000}"/>
    <cellStyle name="Note 9 3 2 3 2 2" xfId="38932" xr:uid="{6DF68F2E-9056-44E8-8FF2-2EC4D957C92B}"/>
    <cellStyle name="Note 9 3 2 3 3" xfId="23037" xr:uid="{00000000-0005-0000-0000-0000A4640000}"/>
    <cellStyle name="Note 9 3 2 3 3 2" xfId="46869" xr:uid="{E7E32DBC-AC83-432E-9A1B-691590658963}"/>
    <cellStyle name="Note 9 3 2 3 4" xfId="30991" xr:uid="{3684B375-E59C-46C0-A947-D8E182BED6D1}"/>
    <cellStyle name="Note 9 3 2 4" xfId="11554" xr:uid="{00000000-0005-0000-0000-0000A5640000}"/>
    <cellStyle name="Note 9 3 2 4 2" xfId="35403" xr:uid="{0629671D-4FA6-4CD1-8C23-23722B992BE7}"/>
    <cellStyle name="Note 9 3 2 5" xfId="19509" xr:uid="{00000000-0005-0000-0000-0000A6640000}"/>
    <cellStyle name="Note 9 3 2 5 2" xfId="43341" xr:uid="{32E4144E-1792-4A8F-8E20-BB216C2F481A}"/>
    <cellStyle name="Note 9 3 2 6" xfId="27461" xr:uid="{4B26D67F-4328-4822-948A-C2A5E08ECC55}"/>
    <cellStyle name="Note 9 3 2_Exh G" xfId="3685" xr:uid="{00000000-0005-0000-0000-0000A7640000}"/>
    <cellStyle name="Note 9 3 3" xfId="4408" xr:uid="{00000000-0005-0000-0000-0000A8640000}"/>
    <cellStyle name="Note 9 3 3 2" xfId="8000" xr:uid="{00000000-0005-0000-0000-0000A9640000}"/>
    <cellStyle name="Note 9 3 3 2 2" xfId="15970" xr:uid="{00000000-0005-0000-0000-0000AA640000}"/>
    <cellStyle name="Note 9 3 3 2 2 2" xfId="39812" xr:uid="{025402E5-89FA-47C7-AAF8-CC30F966A95D}"/>
    <cellStyle name="Note 9 3 3 2 3" xfId="23916" xr:uid="{00000000-0005-0000-0000-0000AB640000}"/>
    <cellStyle name="Note 9 3 3 2 3 2" xfId="47748" xr:uid="{85655C44-CA1C-4E5F-A4C2-ABE55C91B7EB}"/>
    <cellStyle name="Note 9 3 3 2 4" xfId="31871" xr:uid="{55C0D61F-6845-4FDC-BFEF-916AA714DF0B}"/>
    <cellStyle name="Note 9 3 3 3" xfId="12432" xr:uid="{00000000-0005-0000-0000-0000AC640000}"/>
    <cellStyle name="Note 9 3 3 3 2" xfId="36281" xr:uid="{A9F54A81-4971-4B9C-B747-733A73440430}"/>
    <cellStyle name="Note 9 3 3 4" xfId="20387" xr:uid="{00000000-0005-0000-0000-0000AD640000}"/>
    <cellStyle name="Note 9 3 3 4 2" xfId="44219" xr:uid="{071D1F73-4DEA-47B2-9963-E7450FBA5BC1}"/>
    <cellStyle name="Note 9 3 3 5" xfId="28340" xr:uid="{10A356E1-703E-4BA8-BB5F-89F19340AEB4}"/>
    <cellStyle name="Note 9 3 4" xfId="6228" xr:uid="{00000000-0005-0000-0000-0000AE640000}"/>
    <cellStyle name="Note 9 3 4 2" xfId="14211" xr:uid="{00000000-0005-0000-0000-0000AF640000}"/>
    <cellStyle name="Note 9 3 4 2 2" xfId="38054" xr:uid="{2A5B5B53-711F-484A-BBD2-18046760BF61}"/>
    <cellStyle name="Note 9 3 4 3" xfId="22159" xr:uid="{00000000-0005-0000-0000-0000B0640000}"/>
    <cellStyle name="Note 9 3 4 3 2" xfId="45991" xr:uid="{D855488D-BE13-4326-9B5A-D73F6E948206}"/>
    <cellStyle name="Note 9 3 4 4" xfId="30113" xr:uid="{1FE304DB-EDA2-4876-BBB6-917105D9E9FE}"/>
    <cellStyle name="Note 9 3 5" xfId="9780" xr:uid="{00000000-0005-0000-0000-0000B1640000}"/>
    <cellStyle name="Note 9 3 5 2" xfId="17738" xr:uid="{00000000-0005-0000-0000-0000B2640000}"/>
    <cellStyle name="Note 9 3 5 2 2" xfId="41578" xr:uid="{D869A498-2E05-4320-9410-39124CA16A02}"/>
    <cellStyle name="Note 9 3 5 3" xfId="25682" xr:uid="{00000000-0005-0000-0000-0000B3640000}"/>
    <cellStyle name="Note 9 3 5 3 2" xfId="49514" xr:uid="{FA716C05-1469-4773-819A-8DF163AF5753}"/>
    <cellStyle name="Note 9 3 5 4" xfId="33637" xr:uid="{5EC47388-7488-40BA-93CA-8919656C2AEA}"/>
    <cellStyle name="Note 9 3 6" xfId="10676" xr:uid="{00000000-0005-0000-0000-0000B4640000}"/>
    <cellStyle name="Note 9 3 6 2" xfId="34525" xr:uid="{34C0D769-605B-4B84-8CC5-31E8C2BB7219}"/>
    <cellStyle name="Note 9 3 7" xfId="18631" xr:uid="{00000000-0005-0000-0000-0000B5640000}"/>
    <cellStyle name="Note 9 3 7 2" xfId="42463" xr:uid="{73370D5C-FF90-4822-957A-70087EB19867}"/>
    <cellStyle name="Note 9 3 8" xfId="26583" xr:uid="{CAFDE4F9-349A-41D7-8DD4-F04AD2FF9896}"/>
    <cellStyle name="Note 9 3_Exh G" xfId="3684" xr:uid="{00000000-0005-0000-0000-0000B6640000}"/>
    <cellStyle name="Note 9 4" xfId="1037" xr:uid="{00000000-0005-0000-0000-0000B7640000}"/>
    <cellStyle name="Note 9 4 2" xfId="1932" xr:uid="{00000000-0005-0000-0000-0000B8640000}"/>
    <cellStyle name="Note 9 4 2 2" xfId="5449" xr:uid="{00000000-0005-0000-0000-0000B9640000}"/>
    <cellStyle name="Note 9 4 2 2 2" xfId="9040" xr:uid="{00000000-0005-0000-0000-0000BA640000}"/>
    <cellStyle name="Note 9 4 2 2 2 2" xfId="17010" xr:uid="{00000000-0005-0000-0000-0000BB640000}"/>
    <cellStyle name="Note 9 4 2 2 2 2 2" xfId="40852" xr:uid="{85F5DB24-E768-4C5D-89E7-BC9EC28DC9A3}"/>
    <cellStyle name="Note 9 4 2 2 2 3" xfId="24956" xr:uid="{00000000-0005-0000-0000-0000BC640000}"/>
    <cellStyle name="Note 9 4 2 2 2 3 2" xfId="48788" xr:uid="{4FF6F304-2880-4723-B83E-00B41D78F801}"/>
    <cellStyle name="Note 9 4 2 2 2 4" xfId="32911" xr:uid="{F854AF45-7057-41EC-A750-1B1A5A7CD89F}"/>
    <cellStyle name="Note 9 4 2 2 3" xfId="13472" xr:uid="{00000000-0005-0000-0000-0000BD640000}"/>
    <cellStyle name="Note 9 4 2 2 3 2" xfId="37321" xr:uid="{F35A9143-9507-47AB-9AFA-CFDC65AD70D2}"/>
    <cellStyle name="Note 9 4 2 2 4" xfId="21427" xr:uid="{00000000-0005-0000-0000-0000BE640000}"/>
    <cellStyle name="Note 9 4 2 2 4 2" xfId="45259" xr:uid="{05CDFAFE-43A0-4DB7-AD40-513E05FDBE39}"/>
    <cellStyle name="Note 9 4 2 2 5" xfId="29380" xr:uid="{FCB04ED0-1D36-4610-8197-5FF83ACCA4C3}"/>
    <cellStyle name="Note 9 4 2 3" xfId="7281" xr:uid="{00000000-0005-0000-0000-0000BF640000}"/>
    <cellStyle name="Note 9 4 2 3 2" xfId="15252" xr:uid="{00000000-0005-0000-0000-0000C0640000}"/>
    <cellStyle name="Note 9 4 2 3 2 2" xfId="39094" xr:uid="{C6ACBE81-6FE8-4D6F-8A92-3C87EF40DA2B}"/>
    <cellStyle name="Note 9 4 2 3 3" xfId="23199" xr:uid="{00000000-0005-0000-0000-0000C1640000}"/>
    <cellStyle name="Note 9 4 2 3 3 2" xfId="47031" xr:uid="{9FE996E6-5A70-428C-9963-5D10D49BD029}"/>
    <cellStyle name="Note 9 4 2 3 4" xfId="31153" xr:uid="{2F18982D-C728-458B-8290-047945938E0A}"/>
    <cellStyle name="Note 9 4 2 4" xfId="11716" xr:uid="{00000000-0005-0000-0000-0000C2640000}"/>
    <cellStyle name="Note 9 4 2 4 2" xfId="35565" xr:uid="{97DE4D4F-3165-446A-938C-831C0565C8D0}"/>
    <cellStyle name="Note 9 4 2 5" xfId="19671" xr:uid="{00000000-0005-0000-0000-0000C3640000}"/>
    <cellStyle name="Note 9 4 2 5 2" xfId="43503" xr:uid="{2548050B-672E-4F1A-9EA3-7D6BF103A094}"/>
    <cellStyle name="Note 9 4 2 6" xfId="27623" xr:uid="{07606C73-9462-4344-8A22-EEF9B12042A0}"/>
    <cellStyle name="Note 9 4 2_Exh G" xfId="3687" xr:uid="{00000000-0005-0000-0000-0000C4640000}"/>
    <cellStyle name="Note 9 4 3" xfId="4570" xr:uid="{00000000-0005-0000-0000-0000C5640000}"/>
    <cellStyle name="Note 9 4 3 2" xfId="8162" xr:uid="{00000000-0005-0000-0000-0000C6640000}"/>
    <cellStyle name="Note 9 4 3 2 2" xfId="16132" xr:uid="{00000000-0005-0000-0000-0000C7640000}"/>
    <cellStyle name="Note 9 4 3 2 2 2" xfId="39974" xr:uid="{4BD1D994-2BE2-4513-BB17-3EDE5B9C6899}"/>
    <cellStyle name="Note 9 4 3 2 3" xfId="24078" xr:uid="{00000000-0005-0000-0000-0000C8640000}"/>
    <cellStyle name="Note 9 4 3 2 3 2" xfId="47910" xr:uid="{78C8BB83-55B4-47FB-A6A1-874823D1B441}"/>
    <cellStyle name="Note 9 4 3 2 4" xfId="32033" xr:uid="{B8E10B37-B55A-4043-A061-72FF0C3E7000}"/>
    <cellStyle name="Note 9 4 3 3" xfId="12594" xr:uid="{00000000-0005-0000-0000-0000C9640000}"/>
    <cellStyle name="Note 9 4 3 3 2" xfId="36443" xr:uid="{D3677765-E255-499A-A9DD-20203B96DFD5}"/>
    <cellStyle name="Note 9 4 3 4" xfId="20549" xr:uid="{00000000-0005-0000-0000-0000CA640000}"/>
    <cellStyle name="Note 9 4 3 4 2" xfId="44381" xr:uid="{1C9B6469-67D7-4E5D-8728-FEC0F7BF5E3E}"/>
    <cellStyle name="Note 9 4 3 5" xfId="28502" xr:uid="{6ACAD47C-00A5-4E27-99EC-514D1F554E74}"/>
    <cellStyle name="Note 9 4 4" xfId="6402" xr:uid="{00000000-0005-0000-0000-0000CB640000}"/>
    <cellStyle name="Note 9 4 4 2" xfId="14374" xr:uid="{00000000-0005-0000-0000-0000CC640000}"/>
    <cellStyle name="Note 9 4 4 2 2" xfId="38216" xr:uid="{44A4CB88-4953-4B88-BAC7-19189840842C}"/>
    <cellStyle name="Note 9 4 4 3" xfId="22321" xr:uid="{00000000-0005-0000-0000-0000CD640000}"/>
    <cellStyle name="Note 9 4 4 3 2" xfId="46153" xr:uid="{AE891A76-2F3F-4972-BBED-666CA2CDA770}"/>
    <cellStyle name="Note 9 4 4 4" xfId="30275" xr:uid="{870B71CA-450C-4469-989F-4A150849CAFA}"/>
    <cellStyle name="Note 9 4 5" xfId="9942" xr:uid="{00000000-0005-0000-0000-0000CE640000}"/>
    <cellStyle name="Note 9 4 5 2" xfId="17900" xr:uid="{00000000-0005-0000-0000-0000CF640000}"/>
    <cellStyle name="Note 9 4 5 2 2" xfId="41740" xr:uid="{CDC63EC5-9A76-4C83-B319-B981DF13F7CD}"/>
    <cellStyle name="Note 9 4 5 3" xfId="25844" xr:uid="{00000000-0005-0000-0000-0000D0640000}"/>
    <cellStyle name="Note 9 4 5 3 2" xfId="49676" xr:uid="{B47A73D7-7BF9-422B-B981-6C9879313EAF}"/>
    <cellStyle name="Note 9 4 5 4" xfId="33799" xr:uid="{624C4EE8-59C5-4D17-86EC-F730D2450BA0}"/>
    <cellStyle name="Note 9 4 6" xfId="10838" xr:uid="{00000000-0005-0000-0000-0000D1640000}"/>
    <cellStyle name="Note 9 4 6 2" xfId="34687" xr:uid="{E44B7865-C2CF-435A-8162-3A504C97FBC8}"/>
    <cellStyle name="Note 9 4 7" xfId="18793" xr:uid="{00000000-0005-0000-0000-0000D2640000}"/>
    <cellStyle name="Note 9 4 7 2" xfId="42625" xr:uid="{17B125CC-9029-43B8-9CCD-EF5E64807373}"/>
    <cellStyle name="Note 9 4 8" xfId="26745" xr:uid="{68465ACF-3318-42D2-894D-4F3EAFF5A991}"/>
    <cellStyle name="Note 9 4_Exh G" xfId="3686" xr:uid="{00000000-0005-0000-0000-0000D3640000}"/>
    <cellStyle name="Note 9 5" xfId="1757" xr:uid="{00000000-0005-0000-0000-0000D4640000}"/>
    <cellStyle name="Note 9 5 2" xfId="5284" xr:uid="{00000000-0005-0000-0000-0000D5640000}"/>
    <cellStyle name="Note 9 5 2 2" xfId="8875" xr:uid="{00000000-0005-0000-0000-0000D6640000}"/>
    <cellStyle name="Note 9 5 2 2 2" xfId="16845" xr:uid="{00000000-0005-0000-0000-0000D7640000}"/>
    <cellStyle name="Note 9 5 2 2 2 2" xfId="40687" xr:uid="{E2784E14-631A-49F8-A183-20F4BBC34474}"/>
    <cellStyle name="Note 9 5 2 2 3" xfId="24791" xr:uid="{00000000-0005-0000-0000-0000D8640000}"/>
    <cellStyle name="Note 9 5 2 2 3 2" xfId="48623" xr:uid="{44C01FFE-FF1F-4B4B-BE37-7B5D55DDA016}"/>
    <cellStyle name="Note 9 5 2 2 4" xfId="32746" xr:uid="{E5D1CB3B-DBC6-400C-B6BE-3AEAB52CE928}"/>
    <cellStyle name="Note 9 5 2 3" xfId="13307" xr:uid="{00000000-0005-0000-0000-0000D9640000}"/>
    <cellStyle name="Note 9 5 2 3 2" xfId="37156" xr:uid="{0CC1E72F-7F09-4E67-9688-1AB72169C69C}"/>
    <cellStyle name="Note 9 5 2 4" xfId="21262" xr:uid="{00000000-0005-0000-0000-0000DA640000}"/>
    <cellStyle name="Note 9 5 2 4 2" xfId="45094" xr:uid="{031118EF-EFDF-497A-8D96-956A132594D5}"/>
    <cellStyle name="Note 9 5 2 5" xfId="29215" xr:uid="{4875B6C3-E4D1-4893-B2A8-EB62E0761EBA}"/>
    <cellStyle name="Note 9 5 3" xfId="7116" xr:uid="{00000000-0005-0000-0000-0000DB640000}"/>
    <cellStyle name="Note 9 5 3 2" xfId="15087" xr:uid="{00000000-0005-0000-0000-0000DC640000}"/>
    <cellStyle name="Note 9 5 3 2 2" xfId="38929" xr:uid="{22D0326C-02FD-4950-988B-8CDECF1E124E}"/>
    <cellStyle name="Note 9 5 3 3" xfId="23034" xr:uid="{00000000-0005-0000-0000-0000DD640000}"/>
    <cellStyle name="Note 9 5 3 3 2" xfId="46866" xr:uid="{EC09DB24-E68C-4DC3-9E3E-E7470C7A5CFF}"/>
    <cellStyle name="Note 9 5 3 4" xfId="30988" xr:uid="{8338139E-CBF8-4580-B6B2-59B5DE317D85}"/>
    <cellStyle name="Note 9 5 4" xfId="11551" xr:uid="{00000000-0005-0000-0000-0000DE640000}"/>
    <cellStyle name="Note 9 5 4 2" xfId="35400" xr:uid="{EEEBB55E-EB5E-4B40-A415-91404DE198E0}"/>
    <cellStyle name="Note 9 5 5" xfId="19506" xr:uid="{00000000-0005-0000-0000-0000DF640000}"/>
    <cellStyle name="Note 9 5 5 2" xfId="43338" xr:uid="{6A2CBF48-990B-4B7A-AD9F-DFE9B31C5C1E}"/>
    <cellStyle name="Note 9 5 6" xfId="27458" xr:uid="{B46E9553-82F2-4BB0-9687-1C51FDFCBB2F}"/>
    <cellStyle name="Note 9 5_Exh G" xfId="3688" xr:uid="{00000000-0005-0000-0000-0000E0640000}"/>
    <cellStyle name="Note 9 6" xfId="4405" xr:uid="{00000000-0005-0000-0000-0000E1640000}"/>
    <cellStyle name="Note 9 6 2" xfId="7997" xr:uid="{00000000-0005-0000-0000-0000E2640000}"/>
    <cellStyle name="Note 9 6 2 2" xfId="15967" xr:uid="{00000000-0005-0000-0000-0000E3640000}"/>
    <cellStyle name="Note 9 6 2 2 2" xfId="39809" xr:uid="{F3442581-C66B-4807-B45B-E27AA1C13D99}"/>
    <cellStyle name="Note 9 6 2 3" xfId="23913" xr:uid="{00000000-0005-0000-0000-0000E4640000}"/>
    <cellStyle name="Note 9 6 2 3 2" xfId="47745" xr:uid="{7AB757CF-CCD2-4E5D-A0A5-8BAF19F415BF}"/>
    <cellStyle name="Note 9 6 2 4" xfId="31868" xr:uid="{82152DC6-DD9C-4034-8B66-AEE997C635CA}"/>
    <cellStyle name="Note 9 6 3" xfId="12429" xr:uid="{00000000-0005-0000-0000-0000E5640000}"/>
    <cellStyle name="Note 9 6 3 2" xfId="36278" xr:uid="{22F523A3-1225-46F2-8910-7C265C5DCC36}"/>
    <cellStyle name="Note 9 6 4" xfId="20384" xr:uid="{00000000-0005-0000-0000-0000E6640000}"/>
    <cellStyle name="Note 9 6 4 2" xfId="44216" xr:uid="{63C1CCD7-746F-4032-9FD5-82C7F288995B}"/>
    <cellStyle name="Note 9 6 5" xfId="28337" xr:uid="{6033349D-DA3A-4F38-B015-575531D4E7A5}"/>
    <cellStyle name="Note 9 7" xfId="6225" xr:uid="{00000000-0005-0000-0000-0000E7640000}"/>
    <cellStyle name="Note 9 7 2" xfId="14208" xr:uid="{00000000-0005-0000-0000-0000E8640000}"/>
    <cellStyle name="Note 9 7 2 2" xfId="38051" xr:uid="{F8A12693-B556-47A7-A9FA-DD7ACB6301E3}"/>
    <cellStyle name="Note 9 7 3" xfId="22156" xr:uid="{00000000-0005-0000-0000-0000E9640000}"/>
    <cellStyle name="Note 9 7 3 2" xfId="45988" xr:uid="{9DEFCB75-D49F-495D-B4B6-B6E68D2469AD}"/>
    <cellStyle name="Note 9 7 4" xfId="30110" xr:uid="{A70B7A2C-1211-45ED-BA8F-6B93FCED5545}"/>
    <cellStyle name="Note 9 8" xfId="9777" xr:uid="{00000000-0005-0000-0000-0000EA640000}"/>
    <cellStyle name="Note 9 8 2" xfId="17735" xr:uid="{00000000-0005-0000-0000-0000EB640000}"/>
    <cellStyle name="Note 9 8 2 2" xfId="41575" xr:uid="{50E5D5B6-8394-4308-BCFA-E2C55E89E792}"/>
    <cellStyle name="Note 9 8 3" xfId="25679" xr:uid="{00000000-0005-0000-0000-0000EC640000}"/>
    <cellStyle name="Note 9 8 3 2" xfId="49511" xr:uid="{3631378F-98BE-45FC-9208-116AA7BD97B6}"/>
    <cellStyle name="Note 9 8 4" xfId="33634" xr:uid="{C08FB77F-2549-4656-9792-D82943581AAC}"/>
    <cellStyle name="Note 9 9" xfId="10673" xr:uid="{00000000-0005-0000-0000-0000ED640000}"/>
    <cellStyle name="Note 9 9 2" xfId="34522" xr:uid="{C0476EFF-DB74-4AFB-917A-2D96C5A2BBE5}"/>
    <cellStyle name="Note 9_Exh G" xfId="3679" xr:uid="{00000000-0005-0000-0000-0000EE640000}"/>
    <cellStyle name="Output 2" xfId="812" xr:uid="{00000000-0005-0000-0000-0000EF640000}"/>
    <cellStyle name="Output 3" xfId="813" xr:uid="{00000000-0005-0000-0000-0000F0640000}"/>
    <cellStyle name="Output 3 2" xfId="6236" xr:uid="{00000000-0005-0000-0000-0000F1640000}"/>
    <cellStyle name="Output 4" xfId="814" xr:uid="{00000000-0005-0000-0000-0000F2640000}"/>
    <cellStyle name="Output 4 2" xfId="6237" xr:uid="{00000000-0005-0000-0000-0000F3640000}"/>
    <cellStyle name="Output Amounts" xfId="9" xr:uid="{00000000-0005-0000-0000-0000F4640000}"/>
    <cellStyle name="Output Column Headings" xfId="10" xr:uid="{00000000-0005-0000-0000-0000F5640000}"/>
    <cellStyle name="Output Line Items" xfId="11" xr:uid="{00000000-0005-0000-0000-0000F6640000}"/>
    <cellStyle name="Output Line Items 2" xfId="3691" xr:uid="{00000000-0005-0000-0000-0000F7640000}"/>
    <cellStyle name="Output Line Items 2 2" xfId="7284" xr:uid="{00000000-0005-0000-0000-0000F8640000}"/>
    <cellStyle name="Output Line Items 2 2 2" xfId="15254" xr:uid="{00000000-0005-0000-0000-0000F9640000}"/>
    <cellStyle name="Output Line Items 2 2 2 2" xfId="39096" xr:uid="{DD1B4581-ED16-4FE9-8D26-767DF391F833}"/>
    <cellStyle name="Output Line Items 2 2 3" xfId="31155" xr:uid="{6B9629A4-57B1-41F7-9C4F-31C740D38E2A}"/>
    <cellStyle name="Output Line Items 2 3" xfId="27624" xr:uid="{D68E4EC4-62A1-4E83-B9F6-A0869640F005}"/>
    <cellStyle name="Output Line Items 3" xfId="5452" xr:uid="{00000000-0005-0000-0000-0000FA640000}"/>
    <cellStyle name="Output Line Items 3 2" xfId="13473" xr:uid="{00000000-0005-0000-0000-0000FB640000}"/>
    <cellStyle name="Output Line Items 3 2 2" xfId="37322" xr:uid="{9F230919-D3E3-4D78-A5E8-B6F0F7FCFD58}"/>
    <cellStyle name="Output Line Items 3 3" xfId="29381" xr:uid="{E56313D5-4E26-4450-B7FF-567F3DD9AAEC}"/>
    <cellStyle name="Output Line Items 4" xfId="25867" xr:uid="{DAC44F73-0623-4BAD-BBDC-2544B852F1F6}"/>
    <cellStyle name="Output Line Items 5" xfId="49822" xr:uid="{A6CAE701-5986-412A-B9D2-3D3EF86F7C09}"/>
    <cellStyle name="Output Line Items_Exh G" xfId="3689" xr:uid="{00000000-0005-0000-0000-0000FC640000}"/>
    <cellStyle name="Output Report Heading" xfId="12" xr:uid="{00000000-0005-0000-0000-0000FD640000}"/>
    <cellStyle name="Output Report Title" xfId="13" xr:uid="{00000000-0005-0000-0000-0000FE640000}"/>
    <cellStyle name="Percent" xfId="1933" builtinId="5"/>
    <cellStyle name="Percent 2 2" xfId="1044" xr:uid="{00000000-0005-0000-0000-000001650000}"/>
    <cellStyle name="Percent 3" xfId="1040" xr:uid="{00000000-0005-0000-0000-000002650000}"/>
    <cellStyle name="Percent 4" xfId="7282" xr:uid="{00000000-0005-0000-0000-000003650000}"/>
    <cellStyle name="R00A" xfId="49729" xr:uid="{7B6C0521-7885-4DB5-B264-E219D81DF26D}"/>
    <cellStyle name="R00B" xfId="49730" xr:uid="{98E9EBBF-D33C-4870-8619-E4CCB7FE6D7E}"/>
    <cellStyle name="R00L" xfId="49731" xr:uid="{C4FF600F-1EAC-4A4F-B738-673259829868}"/>
    <cellStyle name="R01A" xfId="49732" xr:uid="{DE1E0AE8-EA60-4498-92F0-43FB7007CDEC}"/>
    <cellStyle name="R01A 2" xfId="49835" xr:uid="{DABF9478-ABC1-43BE-8EA0-4E827A71B562}"/>
    <cellStyle name="R01B" xfId="25854" xr:uid="{00000000-0005-0000-0000-000004650000}"/>
    <cellStyle name="R01H" xfId="25855" xr:uid="{00000000-0005-0000-0000-000005650000}"/>
    <cellStyle name="R01L" xfId="25861" xr:uid="{00000000-0005-0000-0000-000006650000}"/>
    <cellStyle name="R02A" xfId="25860" xr:uid="{00000000-0005-0000-0000-000007650000}"/>
    <cellStyle name="R02A 2" xfId="49836" xr:uid="{D1F025BA-102A-42E8-AD04-8D68630742F4}"/>
    <cellStyle name="R02B" xfId="25856" xr:uid="{00000000-0005-0000-0000-000008650000}"/>
    <cellStyle name="R02H" xfId="49733" xr:uid="{9CBCAA73-9F11-4254-8054-AF0AA71F6F70}"/>
    <cellStyle name="R02L" xfId="25857" xr:uid="{00000000-0005-0000-0000-000009650000}"/>
    <cellStyle name="R03A" xfId="49734" xr:uid="{B8150B26-A38B-411A-9C1F-713565795023}"/>
    <cellStyle name="R03B" xfId="49735" xr:uid="{0B8CD15F-4416-430F-8748-8DD071013D90}"/>
    <cellStyle name="R03H" xfId="49736" xr:uid="{8CF50398-D3EE-434B-A96F-22B187A24912}"/>
    <cellStyle name="R03L" xfId="49737" xr:uid="{B2E5094E-A000-4592-A4B7-39799F3C4979}"/>
    <cellStyle name="R04A" xfId="49738" xr:uid="{30C3E21F-4C7D-4492-9DD8-6DDAA92046A5}"/>
    <cellStyle name="R04B" xfId="49739" xr:uid="{E1BD74AC-8068-4BAB-A82E-97C36F6650B9}"/>
    <cellStyle name="R04H" xfId="49740" xr:uid="{66CE1DD6-250A-44DD-B070-B6DF6B0071F2}"/>
    <cellStyle name="R04L" xfId="49741" xr:uid="{67189EA3-ADB9-487C-8F42-160572CC00F3}"/>
    <cellStyle name="R05A" xfId="49742" xr:uid="{C8E11FEA-5847-4E79-8849-696E1F4BD714}"/>
    <cellStyle name="R05B" xfId="49743" xr:uid="{F12A779A-FC04-4EA5-9ACB-6BEE437BD4D5}"/>
    <cellStyle name="R05H" xfId="49744" xr:uid="{4A349211-27A5-45F0-9A61-EDA5810BF6D3}"/>
    <cellStyle name="R05L" xfId="49745" xr:uid="{CCF23101-AF9D-42AA-9A10-A1AFDB9DE572}"/>
    <cellStyle name="R05L 2" xfId="49781" xr:uid="{6F9D4CE7-1A52-4BEE-B2DF-49672611DE7C}"/>
    <cellStyle name="R05L 3" xfId="49767" xr:uid="{B3B8F5D7-F2EB-45E8-B55C-76C55797736C}"/>
    <cellStyle name="R06A" xfId="49746" xr:uid="{60DBFAD4-68B0-4C88-994E-FA60A95F9159}"/>
    <cellStyle name="R06B" xfId="49747" xr:uid="{54C3346D-A60C-4C4F-9405-2B2D147C4413}"/>
    <cellStyle name="R06H" xfId="49748" xr:uid="{3AEA0AAD-CFA7-4AE6-B8B9-BD7E01ED1A46}"/>
    <cellStyle name="R06L" xfId="49749" xr:uid="{048A8497-953F-4DE4-859C-27069A4DFE88}"/>
    <cellStyle name="R07A" xfId="49750" xr:uid="{F4E5A1A0-6741-4EE6-A45A-9723749FE4D0}"/>
    <cellStyle name="R07B" xfId="49751" xr:uid="{9ECF5628-EEC7-433D-9063-2A60C438965E}"/>
    <cellStyle name="R07H" xfId="49752" xr:uid="{5852413E-657C-470A-AACE-EA9CFA079B29}"/>
    <cellStyle name="R07L" xfId="49753" xr:uid="{D72A47E1-0953-43E0-83CB-70BF7CAD80BD}"/>
    <cellStyle name="Title 2" xfId="815" xr:uid="{00000000-0005-0000-0000-00000A650000}"/>
    <cellStyle name="Title 3" xfId="816" xr:uid="{00000000-0005-0000-0000-00000B650000}"/>
    <cellStyle name="Title 4" xfId="817" xr:uid="{00000000-0005-0000-0000-00000C650000}"/>
    <cellStyle name="Total 2" xfId="818" xr:uid="{00000000-0005-0000-0000-00000D650000}"/>
    <cellStyle name="Total 3" xfId="819" xr:uid="{00000000-0005-0000-0000-00000E650000}"/>
    <cellStyle name="Total 3 2" xfId="6238" xr:uid="{00000000-0005-0000-0000-00000F650000}"/>
    <cellStyle name="Total 4" xfId="820" xr:uid="{00000000-0005-0000-0000-000010650000}"/>
    <cellStyle name="Total 4 2" xfId="6239" xr:uid="{00000000-0005-0000-0000-000011650000}"/>
    <cellStyle name="Warning Text 2" xfId="821" xr:uid="{00000000-0005-0000-0000-000012650000}"/>
    <cellStyle name="Warning Text 3" xfId="822" xr:uid="{00000000-0005-0000-0000-000013650000}"/>
    <cellStyle name="Warning Text 4" xfId="823" xr:uid="{00000000-0005-0000-0000-000014650000}"/>
  </cellStyles>
  <dxfs count="0"/>
  <tableStyles count="0" defaultTableStyle="TableStyleMedium9" defaultPivotStyle="PivotStyleLight16"/>
  <colors>
    <mruColors>
      <color rgb="FFFFFFCC"/>
      <color rgb="FFCCCCFF"/>
      <color rgb="FFCCFFCC"/>
      <color rgb="FF0000FF"/>
      <color rgb="FFCCECFF"/>
      <color rgb="FF5C39EF"/>
      <color rgb="FF1362D7"/>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New York State Comptroller Official Seal">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 uri="{C183D7F6-B498-43B3-948B-1728B52AA6E4}">
              <adec:decorative xmlns:adec="http://schemas.microsoft.com/office/drawing/2017/decorative" val="1"/>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L109"/>
  <sheetViews>
    <sheetView showGridLines="0" tabSelected="1" workbookViewId="0"/>
  </sheetViews>
  <sheetFormatPr defaultColWidth="8.84375" defaultRowHeight="12.5"/>
  <cols>
    <col min="1" max="1" width="2.07421875" style="236" customWidth="1"/>
    <col min="2" max="2" width="22.84375" style="236" customWidth="1"/>
    <col min="3" max="3" width="6" style="236" customWidth="1"/>
    <col min="4" max="4" width="24.07421875" style="236" customWidth="1"/>
    <col min="5" max="6" width="12.4609375" style="236" customWidth="1"/>
    <col min="7" max="7" width="4" style="236" customWidth="1"/>
    <col min="8" max="8" width="12.4609375" style="236" customWidth="1"/>
    <col min="9" max="9" width="12" style="236" customWidth="1"/>
    <col min="10" max="10" width="3.84375" style="236" customWidth="1"/>
    <col min="11" max="11" width="28.4609375" style="236" customWidth="1"/>
    <col min="12" max="16384" width="8.84375" style="236"/>
  </cols>
  <sheetData>
    <row r="1" spans="1:11" s="233" customFormat="1" ht="13">
      <c r="A1" s="231"/>
      <c r="B1" s="231"/>
      <c r="C1" s="231"/>
      <c r="D1" s="231"/>
      <c r="E1" s="231"/>
      <c r="F1" s="231"/>
      <c r="G1" s="231"/>
      <c r="H1" s="231"/>
      <c r="I1" s="231"/>
      <c r="J1" s="232"/>
    </row>
    <row r="2" spans="1:11" s="233" customFormat="1" ht="13">
      <c r="A2" s="231"/>
      <c r="B2" s="231"/>
      <c r="C2" s="231"/>
      <c r="D2" s="231"/>
      <c r="E2" s="231"/>
      <c r="F2" s="231"/>
      <c r="G2" s="231"/>
      <c r="H2" s="231"/>
      <c r="I2" s="231"/>
      <c r="J2" s="232"/>
    </row>
    <row r="3" spans="1:11" s="233" customFormat="1" ht="13">
      <c r="A3" s="231"/>
      <c r="B3" s="231"/>
      <c r="C3" s="231"/>
      <c r="D3" s="231"/>
      <c r="E3" s="231"/>
      <c r="F3" s="231"/>
      <c r="G3" s="231"/>
      <c r="H3" s="231"/>
      <c r="I3" s="231"/>
      <c r="J3" s="232"/>
    </row>
    <row r="4" spans="1:11" s="233" customFormat="1" ht="13">
      <c r="A4" s="231" t="s">
        <v>0</v>
      </c>
      <c r="B4" s="231"/>
      <c r="C4" s="231"/>
      <c r="D4" s="231"/>
      <c r="E4" s="231"/>
      <c r="F4" s="231"/>
      <c r="G4" s="231"/>
      <c r="H4" s="231"/>
      <c r="I4" s="327" t="s">
        <v>1</v>
      </c>
      <c r="J4" s="232"/>
    </row>
    <row r="5" spans="1:11" ht="18">
      <c r="A5" s="231" t="s">
        <v>2</v>
      </c>
      <c r="B5" s="234"/>
      <c r="C5" s="234"/>
      <c r="D5" s="234"/>
      <c r="E5" s="234"/>
      <c r="F5" s="234"/>
      <c r="G5" s="234"/>
      <c r="H5" s="234"/>
      <c r="I5" s="327" t="s">
        <v>3</v>
      </c>
      <c r="J5" s="235"/>
    </row>
    <row r="6" spans="1:11" ht="18">
      <c r="A6" s="231" t="s">
        <v>4</v>
      </c>
      <c r="B6" s="234"/>
      <c r="C6" s="234"/>
      <c r="D6" s="234"/>
      <c r="E6" s="234"/>
      <c r="F6" s="234"/>
      <c r="G6" s="234"/>
      <c r="H6" s="234"/>
      <c r="I6" s="234"/>
      <c r="J6" s="235"/>
    </row>
    <row r="7" spans="1:11" ht="18">
      <c r="A7" s="231" t="s">
        <v>5</v>
      </c>
      <c r="B7" s="234"/>
      <c r="C7" s="234"/>
      <c r="D7" s="234"/>
      <c r="E7" s="234"/>
      <c r="F7" s="234"/>
      <c r="G7" s="234"/>
      <c r="H7" s="234"/>
      <c r="I7" s="234"/>
      <c r="J7" s="235"/>
    </row>
    <row r="8" spans="1:11" ht="18.5" thickBot="1">
      <c r="A8" s="234"/>
      <c r="B8" s="234"/>
      <c r="C8" s="234"/>
      <c r="D8" s="234"/>
      <c r="E8" s="234"/>
      <c r="F8" s="234"/>
      <c r="G8" s="234"/>
      <c r="H8" s="234"/>
      <c r="I8" s="234"/>
      <c r="J8" s="235"/>
    </row>
    <row r="9" spans="1:11" ht="18.5" thickTop="1">
      <c r="A9" s="237" t="s">
        <v>6</v>
      </c>
      <c r="B9" s="238"/>
      <c r="C9" s="238"/>
      <c r="D9" s="238"/>
      <c r="E9" s="238"/>
      <c r="F9" s="238"/>
      <c r="G9" s="238"/>
      <c r="H9" s="238"/>
      <c r="I9" s="238"/>
      <c r="J9" s="239"/>
    </row>
    <row r="10" spans="1:11" ht="18.5" thickBot="1">
      <c r="A10" s="555" t="str">
        <f>_xlfn.TEXTAFTER('Exh D Governmental  '!A6," ",4)</f>
        <v>APRIL 30, 2026</v>
      </c>
      <c r="B10" s="234"/>
      <c r="C10" s="234"/>
      <c r="D10" s="234"/>
      <c r="E10" s="234"/>
      <c r="F10" s="234"/>
      <c r="G10" s="234"/>
      <c r="H10" s="234"/>
      <c r="I10" s="234"/>
      <c r="J10" s="239"/>
      <c r="K10" s="1489"/>
    </row>
    <row r="11" spans="1:11" ht="18.5" thickTop="1">
      <c r="A11" s="240"/>
      <c r="B11" s="241"/>
      <c r="C11" s="241"/>
      <c r="D11" s="241"/>
      <c r="E11" s="241"/>
      <c r="F11" s="241"/>
      <c r="G11" s="241"/>
      <c r="H11" s="241"/>
      <c r="I11" s="241"/>
      <c r="J11" s="242"/>
      <c r="K11" s="1489"/>
    </row>
    <row r="12" spans="1:11" ht="13">
      <c r="A12" s="231" t="s">
        <v>7</v>
      </c>
      <c r="B12" s="234"/>
      <c r="C12" s="234"/>
      <c r="D12" s="234"/>
      <c r="E12" s="231"/>
      <c r="F12" s="231"/>
      <c r="G12" s="231"/>
      <c r="H12" s="234"/>
      <c r="I12" s="234"/>
      <c r="J12" s="243"/>
    </row>
    <row r="13" spans="1:11" ht="13">
      <c r="A13" s="233"/>
      <c r="J13" s="243"/>
    </row>
    <row r="14" spans="1:11" ht="13">
      <c r="A14" s="233" t="s">
        <v>8</v>
      </c>
      <c r="B14" s="246"/>
      <c r="J14" s="244"/>
    </row>
    <row r="15" spans="1:11" ht="13">
      <c r="A15" s="233"/>
      <c r="B15" s="271"/>
      <c r="J15" s="244"/>
    </row>
    <row r="16" spans="1:11" ht="13">
      <c r="A16" s="233"/>
      <c r="B16" s="519" t="s">
        <v>9</v>
      </c>
      <c r="D16" s="245" t="s">
        <v>10</v>
      </c>
      <c r="F16" s="246"/>
      <c r="J16" s="272">
        <v>2</v>
      </c>
    </row>
    <row r="17" spans="1:11" ht="13">
      <c r="A17" s="233"/>
      <c r="B17" s="519" t="s">
        <v>11</v>
      </c>
      <c r="D17" s="236" t="s">
        <v>12</v>
      </c>
      <c r="E17" s="1096"/>
      <c r="F17" s="1097"/>
      <c r="G17" s="1096"/>
      <c r="H17" s="1096"/>
      <c r="I17" s="1096"/>
      <c r="J17" s="272">
        <v>3</v>
      </c>
    </row>
    <row r="18" spans="1:11" ht="13">
      <c r="A18" s="248"/>
      <c r="B18" s="514" t="s">
        <v>13</v>
      </c>
      <c r="D18" s="981" t="s">
        <v>14</v>
      </c>
      <c r="E18" s="245"/>
      <c r="F18" s="245"/>
      <c r="G18" s="245"/>
      <c r="H18" s="245"/>
      <c r="I18" s="245"/>
      <c r="J18" s="272">
        <v>4</v>
      </c>
    </row>
    <row r="19" spans="1:11" ht="13">
      <c r="A19" s="233"/>
      <c r="B19" s="514" t="s">
        <v>15</v>
      </c>
      <c r="D19" s="982" t="s">
        <v>16</v>
      </c>
      <c r="E19" s="982"/>
      <c r="F19" s="982"/>
      <c r="G19" s="982"/>
      <c r="H19" s="982"/>
      <c r="I19" s="982"/>
      <c r="J19" s="272">
        <v>5</v>
      </c>
    </row>
    <row r="20" spans="1:11" ht="13">
      <c r="A20" s="233"/>
      <c r="B20" s="514" t="s">
        <v>17</v>
      </c>
      <c r="D20" s="982" t="s">
        <v>18</v>
      </c>
      <c r="E20" s="982"/>
      <c r="F20" s="982"/>
      <c r="G20" s="982"/>
      <c r="H20" s="982"/>
      <c r="I20" s="982"/>
      <c r="J20" s="272">
        <v>6</v>
      </c>
    </row>
    <row r="21" spans="1:11" ht="13">
      <c r="A21" s="233"/>
      <c r="B21" s="519" t="s">
        <v>19</v>
      </c>
      <c r="D21" s="981" t="s">
        <v>20</v>
      </c>
      <c r="E21" s="982"/>
      <c r="F21" s="982"/>
      <c r="G21" s="982"/>
      <c r="H21" s="982"/>
      <c r="I21" s="982"/>
      <c r="J21" s="272">
        <v>7</v>
      </c>
    </row>
    <row r="22" spans="1:11" ht="13">
      <c r="A22" s="233"/>
      <c r="B22" s="514" t="s">
        <v>21</v>
      </c>
      <c r="D22" s="981" t="s">
        <v>22</v>
      </c>
      <c r="E22" s="982"/>
      <c r="F22" s="982"/>
      <c r="G22" s="982"/>
      <c r="H22" s="982"/>
      <c r="I22" s="982"/>
      <c r="J22" s="272">
        <v>8</v>
      </c>
    </row>
    <row r="23" spans="1:11" ht="13">
      <c r="A23" s="233"/>
      <c r="B23" s="519" t="s">
        <v>23</v>
      </c>
      <c r="D23" s="981" t="s">
        <v>24</v>
      </c>
      <c r="E23" s="982"/>
      <c r="F23" s="982"/>
      <c r="G23" s="982"/>
      <c r="H23" s="982"/>
      <c r="I23" s="982"/>
      <c r="J23" s="272">
        <v>9</v>
      </c>
    </row>
    <row r="24" spans="1:11" ht="13">
      <c r="A24" s="233"/>
      <c r="B24" s="514" t="s">
        <v>25</v>
      </c>
      <c r="D24" s="981" t="s">
        <v>26</v>
      </c>
      <c r="E24" s="982"/>
      <c r="F24" s="982"/>
      <c r="G24" s="982"/>
      <c r="H24" s="982"/>
      <c r="I24" s="982"/>
      <c r="J24" s="272">
        <v>10</v>
      </c>
    </row>
    <row r="25" spans="1:11" ht="13">
      <c r="A25" s="233"/>
      <c r="B25" s="514" t="s">
        <v>27</v>
      </c>
      <c r="D25" s="981" t="s">
        <v>28</v>
      </c>
      <c r="E25" s="982"/>
      <c r="F25" s="982"/>
      <c r="G25" s="982"/>
      <c r="H25" s="982"/>
      <c r="I25" s="982"/>
      <c r="J25" s="272">
        <v>11</v>
      </c>
    </row>
    <row r="26" spans="1:11" ht="13">
      <c r="A26" s="233"/>
      <c r="B26" s="514" t="s">
        <v>29</v>
      </c>
      <c r="D26" s="981" t="s">
        <v>30</v>
      </c>
      <c r="E26" s="982"/>
      <c r="F26" s="982"/>
      <c r="G26" s="982"/>
      <c r="H26" s="982"/>
      <c r="I26" s="982"/>
      <c r="J26" s="272">
        <v>12</v>
      </c>
    </row>
    <row r="27" spans="1:11" ht="13">
      <c r="A27" s="233"/>
      <c r="B27" s="514" t="s">
        <v>31</v>
      </c>
      <c r="D27" s="981" t="s">
        <v>32</v>
      </c>
      <c r="E27" s="982"/>
      <c r="F27" s="982"/>
      <c r="G27" s="982"/>
      <c r="H27" s="982"/>
      <c r="I27" s="982"/>
      <c r="J27" s="272">
        <v>13</v>
      </c>
    </row>
    <row r="28" spans="1:11" ht="13">
      <c r="A28" s="233"/>
      <c r="B28" s="514" t="s">
        <v>33</v>
      </c>
      <c r="D28" s="981" t="s">
        <v>34</v>
      </c>
      <c r="E28" s="982"/>
      <c r="F28" s="982"/>
      <c r="G28" s="982"/>
      <c r="H28" s="982"/>
      <c r="I28" s="982"/>
      <c r="J28" s="272">
        <v>14</v>
      </c>
    </row>
    <row r="29" spans="1:11" ht="13">
      <c r="A29" s="233"/>
      <c r="B29" s="514" t="s">
        <v>35</v>
      </c>
      <c r="D29" s="249" t="s">
        <v>36</v>
      </c>
      <c r="E29" s="982"/>
      <c r="F29" s="982"/>
      <c r="G29" s="982"/>
      <c r="H29" s="982"/>
      <c r="I29" s="982"/>
      <c r="J29" s="272">
        <v>15</v>
      </c>
    </row>
    <row r="30" spans="1:11" ht="13">
      <c r="A30" s="233"/>
      <c r="B30" s="519" t="s">
        <v>37</v>
      </c>
      <c r="D30" s="981" t="s">
        <v>38</v>
      </c>
      <c r="E30" s="981"/>
      <c r="F30" s="981"/>
      <c r="G30" s="981"/>
      <c r="H30" s="981"/>
      <c r="I30" s="981"/>
      <c r="J30" s="272">
        <v>16</v>
      </c>
      <c r="K30" s="233"/>
    </row>
    <row r="31" spans="1:11" ht="13">
      <c r="A31" s="233"/>
      <c r="B31" s="514" t="s">
        <v>39</v>
      </c>
      <c r="D31" s="981" t="s">
        <v>12</v>
      </c>
      <c r="E31" s="1096"/>
      <c r="F31" s="1096"/>
      <c r="G31" s="1096"/>
      <c r="H31" s="1096"/>
      <c r="I31" s="1096"/>
      <c r="J31" s="272">
        <v>18</v>
      </c>
      <c r="K31" s="233"/>
    </row>
    <row r="32" spans="1:11" ht="13">
      <c r="A32" s="233"/>
      <c r="B32" s="514"/>
      <c r="J32" s="272"/>
      <c r="K32" s="233"/>
    </row>
    <row r="33" spans="1:11" ht="13">
      <c r="A33" s="233"/>
      <c r="B33" s="515"/>
      <c r="J33" s="272"/>
    </row>
    <row r="34" spans="1:11" ht="13">
      <c r="A34" s="233" t="s">
        <v>40</v>
      </c>
      <c r="B34" s="516"/>
      <c r="C34" s="233"/>
      <c r="D34" s="233"/>
      <c r="E34" s="233"/>
      <c r="F34" s="233"/>
      <c r="G34" s="233"/>
      <c r="H34" s="233"/>
      <c r="I34" s="233"/>
      <c r="J34" s="273"/>
    </row>
    <row r="35" spans="1:11" ht="13">
      <c r="A35" s="233"/>
      <c r="B35" s="516"/>
      <c r="C35" s="233"/>
      <c r="D35" s="233"/>
      <c r="E35" s="233"/>
      <c r="F35" s="233"/>
      <c r="G35" s="233"/>
      <c r="H35" s="233"/>
      <c r="I35" s="233"/>
      <c r="J35" s="273"/>
    </row>
    <row r="36" spans="1:11" ht="13">
      <c r="A36" s="233"/>
      <c r="B36" s="519" t="s">
        <v>41</v>
      </c>
      <c r="D36" s="245" t="s">
        <v>42</v>
      </c>
      <c r="E36" s="245"/>
      <c r="F36" s="245"/>
      <c r="G36" s="245"/>
      <c r="H36" s="245"/>
      <c r="I36" s="245"/>
      <c r="J36" s="272">
        <v>20</v>
      </c>
    </row>
    <row r="37" spans="1:11" ht="13">
      <c r="A37" s="233"/>
      <c r="B37" s="519" t="s">
        <v>43</v>
      </c>
      <c r="D37" s="236" t="s">
        <v>44</v>
      </c>
      <c r="J37" s="272">
        <v>22</v>
      </c>
    </row>
    <row r="38" spans="1:11" ht="13">
      <c r="A38" s="233"/>
      <c r="B38" s="519" t="s">
        <v>45</v>
      </c>
      <c r="D38" s="982" t="s">
        <v>46</v>
      </c>
      <c r="E38" s="982"/>
      <c r="F38" s="982"/>
      <c r="G38" s="982"/>
      <c r="H38" s="982"/>
      <c r="I38" s="982"/>
      <c r="J38" s="272">
        <v>24</v>
      </c>
    </row>
    <row r="39" spans="1:11" ht="13">
      <c r="A39" s="233"/>
      <c r="B39" s="519" t="s">
        <v>47</v>
      </c>
      <c r="D39" s="982" t="s">
        <v>48</v>
      </c>
      <c r="E39" s="982"/>
      <c r="F39" s="982"/>
      <c r="G39" s="982"/>
      <c r="H39" s="982"/>
      <c r="I39" s="982"/>
      <c r="J39" s="272">
        <v>26</v>
      </c>
    </row>
    <row r="40" spans="1:11" ht="13">
      <c r="A40" s="233"/>
      <c r="B40" s="514" t="s">
        <v>49</v>
      </c>
      <c r="D40" s="982" t="s">
        <v>50</v>
      </c>
      <c r="E40" s="982"/>
      <c r="F40" s="982"/>
      <c r="G40" s="982"/>
      <c r="H40" s="982"/>
      <c r="I40" s="982"/>
      <c r="J40" s="272">
        <v>28</v>
      </c>
    </row>
    <row r="41" spans="1:11" ht="13">
      <c r="A41" s="233"/>
      <c r="B41" s="519" t="s">
        <v>51</v>
      </c>
      <c r="D41" s="982" t="s">
        <v>52</v>
      </c>
      <c r="E41" s="982"/>
      <c r="F41" s="982"/>
      <c r="G41" s="982"/>
      <c r="H41" s="982"/>
      <c r="I41" s="982"/>
      <c r="J41" s="272">
        <v>29</v>
      </c>
    </row>
    <row r="42" spans="1:11" ht="13">
      <c r="A42" s="233"/>
      <c r="B42" s="519" t="s">
        <v>53</v>
      </c>
      <c r="D42" s="982" t="s">
        <v>54</v>
      </c>
      <c r="E42" s="982"/>
      <c r="F42" s="982"/>
      <c r="G42" s="982"/>
      <c r="H42" s="982"/>
      <c r="I42" s="982"/>
      <c r="J42" s="272">
        <v>31</v>
      </c>
    </row>
    <row r="43" spans="1:11" ht="13">
      <c r="A43" s="233"/>
      <c r="B43" s="519" t="s">
        <v>55</v>
      </c>
      <c r="D43" s="982" t="s">
        <v>56</v>
      </c>
      <c r="E43" s="982"/>
      <c r="F43" s="982"/>
      <c r="G43" s="982"/>
      <c r="H43" s="982"/>
      <c r="I43" s="982"/>
      <c r="J43" s="272">
        <v>33</v>
      </c>
    </row>
    <row r="44" spans="1:11" ht="13">
      <c r="A44" s="233"/>
      <c r="B44" s="514" t="s">
        <v>57</v>
      </c>
      <c r="D44" s="982" t="s">
        <v>58</v>
      </c>
      <c r="E44" s="982"/>
      <c r="F44" s="982"/>
      <c r="G44" s="982"/>
      <c r="H44" s="982"/>
      <c r="I44" s="982"/>
      <c r="J44" s="272">
        <v>34</v>
      </c>
    </row>
    <row r="45" spans="1:11" ht="13">
      <c r="A45" s="233"/>
      <c r="B45" s="519" t="s">
        <v>59</v>
      </c>
      <c r="D45" s="982" t="s">
        <v>60</v>
      </c>
      <c r="E45" s="982"/>
      <c r="F45" s="982"/>
      <c r="G45" s="982"/>
      <c r="H45" s="982"/>
      <c r="I45" s="982"/>
      <c r="J45" s="272">
        <v>35</v>
      </c>
    </row>
    <row r="46" spans="1:11" ht="13">
      <c r="A46" s="233"/>
      <c r="B46" s="514" t="s">
        <v>61</v>
      </c>
      <c r="D46" s="982" t="s">
        <v>62</v>
      </c>
      <c r="E46" s="982"/>
      <c r="F46" s="982"/>
      <c r="G46" s="982"/>
      <c r="H46" s="982"/>
      <c r="I46" s="982"/>
      <c r="J46" s="272">
        <v>36</v>
      </c>
    </row>
    <row r="47" spans="1:11" ht="13">
      <c r="A47" s="233"/>
      <c r="B47" s="514" t="s">
        <v>63</v>
      </c>
      <c r="D47" s="981" t="s">
        <v>64</v>
      </c>
      <c r="E47" s="981"/>
      <c r="F47" s="981"/>
      <c r="G47" s="981"/>
      <c r="H47" s="981"/>
      <c r="I47" s="981"/>
      <c r="J47" s="272">
        <v>37</v>
      </c>
      <c r="K47" s="233"/>
    </row>
    <row r="48" spans="1:11" ht="13">
      <c r="A48" s="233"/>
      <c r="B48" s="515"/>
      <c r="J48" s="272"/>
    </row>
    <row r="49" spans="1:12" ht="13">
      <c r="A49" s="233" t="s">
        <v>65</v>
      </c>
      <c r="B49" s="515"/>
      <c r="J49" s="272"/>
    </row>
    <row r="50" spans="1:12" ht="13">
      <c r="A50" s="233"/>
      <c r="B50" s="516"/>
      <c r="C50" s="233"/>
      <c r="D50" s="233"/>
      <c r="E50" s="233"/>
      <c r="F50" s="233"/>
      <c r="G50" s="233"/>
      <c r="H50" s="233"/>
      <c r="I50" s="233"/>
      <c r="J50" s="273"/>
    </row>
    <row r="51" spans="1:12" ht="13">
      <c r="A51" s="233"/>
      <c r="B51" s="514" t="s">
        <v>66</v>
      </c>
      <c r="D51" s="236" t="s">
        <v>67</v>
      </c>
      <c r="J51" s="272">
        <v>38</v>
      </c>
    </row>
    <row r="52" spans="1:12" ht="13">
      <c r="A52" s="233"/>
      <c r="B52" s="514" t="s">
        <v>68</v>
      </c>
      <c r="D52" s="982" t="s">
        <v>69</v>
      </c>
      <c r="E52" s="982"/>
      <c r="F52" s="982"/>
      <c r="G52" s="982"/>
      <c r="H52" s="982"/>
      <c r="I52" s="982"/>
      <c r="J52" s="272">
        <v>41</v>
      </c>
    </row>
    <row r="53" spans="1:12" ht="13">
      <c r="A53" s="233"/>
      <c r="B53" s="514" t="s">
        <v>70</v>
      </c>
      <c r="D53" s="982" t="s">
        <v>71</v>
      </c>
      <c r="E53" s="982"/>
      <c r="F53" s="982"/>
      <c r="G53" s="982"/>
      <c r="H53" s="982"/>
      <c r="I53" s="982"/>
      <c r="J53" s="272">
        <v>42</v>
      </c>
      <c r="L53" s="236" t="s">
        <v>103</v>
      </c>
    </row>
    <row r="54" spans="1:12" ht="13">
      <c r="A54" s="233"/>
      <c r="B54" s="514" t="s">
        <v>72</v>
      </c>
      <c r="D54" s="982" t="s">
        <v>73</v>
      </c>
      <c r="E54" s="982"/>
      <c r="F54" s="982"/>
      <c r="G54" s="982"/>
      <c r="H54" s="982"/>
      <c r="I54" s="982"/>
      <c r="J54" s="272">
        <v>43</v>
      </c>
    </row>
    <row r="55" spans="1:12" ht="13">
      <c r="A55" s="233"/>
      <c r="B55" s="514" t="s">
        <v>74</v>
      </c>
      <c r="D55" s="982" t="s">
        <v>75</v>
      </c>
      <c r="E55" s="982"/>
      <c r="F55" s="982"/>
      <c r="G55" s="982"/>
      <c r="H55" s="982"/>
      <c r="I55" s="982"/>
      <c r="J55" s="272">
        <v>44</v>
      </c>
      <c r="K55" s="250"/>
    </row>
    <row r="56" spans="1:12" ht="13">
      <c r="A56" s="233"/>
      <c r="B56" s="519" t="s">
        <v>76</v>
      </c>
      <c r="D56" s="982" t="s">
        <v>1462</v>
      </c>
      <c r="E56" s="982"/>
      <c r="F56" s="982"/>
      <c r="G56" s="982"/>
      <c r="H56" s="982"/>
      <c r="I56" s="982"/>
      <c r="J56" s="272">
        <v>45</v>
      </c>
      <c r="K56" s="243"/>
    </row>
    <row r="57" spans="1:12" ht="13">
      <c r="A57" s="233"/>
      <c r="B57" s="514" t="s">
        <v>77</v>
      </c>
      <c r="D57" s="981" t="s">
        <v>78</v>
      </c>
      <c r="E57" s="981"/>
      <c r="F57" s="981"/>
      <c r="G57" s="981"/>
      <c r="H57" s="981"/>
      <c r="I57" s="981"/>
      <c r="J57" s="272">
        <v>46</v>
      </c>
      <c r="K57" s="243"/>
    </row>
    <row r="58" spans="1:12" ht="13">
      <c r="A58" s="233"/>
      <c r="B58" s="517" t="s">
        <v>79</v>
      </c>
      <c r="D58" s="245" t="s">
        <v>80</v>
      </c>
      <c r="E58" s="245"/>
      <c r="F58" s="245"/>
      <c r="G58" s="245"/>
      <c r="H58" s="245"/>
      <c r="I58" s="245"/>
      <c r="J58" s="272">
        <v>47</v>
      </c>
      <c r="K58" s="243"/>
    </row>
    <row r="59" spans="1:12" ht="13">
      <c r="A59" s="233"/>
      <c r="B59" s="518" t="s">
        <v>81</v>
      </c>
      <c r="D59" s="1096" t="s">
        <v>82</v>
      </c>
      <c r="E59" s="1096"/>
      <c r="F59" s="1096"/>
      <c r="G59" s="1096"/>
      <c r="H59" s="1096"/>
      <c r="I59" s="1096"/>
      <c r="J59" s="272">
        <v>48</v>
      </c>
      <c r="K59" s="243"/>
    </row>
    <row r="60" spans="1:12" ht="13">
      <c r="A60" s="233"/>
      <c r="B60" s="518" t="s">
        <v>83</v>
      </c>
      <c r="D60" s="1098" t="s">
        <v>84</v>
      </c>
      <c r="E60" s="1096"/>
      <c r="F60" s="1098"/>
      <c r="G60" s="1096"/>
      <c r="H60" s="1096"/>
      <c r="I60" s="1096"/>
      <c r="J60" s="272">
        <v>49</v>
      </c>
      <c r="K60" s="243"/>
    </row>
    <row r="61" spans="1:12" ht="13">
      <c r="A61" s="233"/>
      <c r="B61" s="518" t="s">
        <v>85</v>
      </c>
      <c r="D61" s="1096" t="s">
        <v>86</v>
      </c>
      <c r="E61" s="1096"/>
      <c r="F61" s="1096"/>
      <c r="G61" s="1096"/>
      <c r="H61" s="1096"/>
      <c r="I61" s="1096"/>
      <c r="J61" s="272">
        <v>50</v>
      </c>
    </row>
    <row r="62" spans="1:12" ht="13">
      <c r="A62" s="233"/>
      <c r="B62" s="581" t="s">
        <v>87</v>
      </c>
      <c r="D62" s="1096" t="s">
        <v>88</v>
      </c>
      <c r="E62" s="1096"/>
      <c r="F62" s="1096"/>
      <c r="G62" s="1096"/>
      <c r="H62" s="1097"/>
      <c r="I62" s="1096"/>
      <c r="J62" s="272">
        <v>51</v>
      </c>
    </row>
    <row r="63" spans="1:12" ht="13">
      <c r="A63" s="233"/>
      <c r="B63" s="581" t="s">
        <v>89</v>
      </c>
      <c r="D63" s="1096" t="s">
        <v>90</v>
      </c>
      <c r="E63" s="1096"/>
      <c r="F63" s="1096"/>
      <c r="G63" s="1096"/>
      <c r="H63" s="1097"/>
      <c r="I63" s="1096"/>
      <c r="J63" s="272">
        <v>53</v>
      </c>
    </row>
    <row r="64" spans="1:12" ht="13">
      <c r="A64" s="233"/>
      <c r="B64" s="519" t="s">
        <v>91</v>
      </c>
      <c r="D64" s="1096" t="s">
        <v>92</v>
      </c>
      <c r="E64" s="1096"/>
      <c r="F64" s="1096"/>
      <c r="G64" s="1096"/>
      <c r="H64" s="1097"/>
      <c r="I64" s="1096"/>
      <c r="J64" s="272">
        <v>56</v>
      </c>
    </row>
    <row r="65" spans="1:10" ht="13.4" customHeight="1">
      <c r="A65" s="233"/>
      <c r="B65" s="519" t="s">
        <v>93</v>
      </c>
      <c r="D65" s="1096" t="s">
        <v>94</v>
      </c>
      <c r="E65" s="1096"/>
      <c r="F65" s="1096"/>
      <c r="G65" s="1096"/>
      <c r="H65" s="1097"/>
      <c r="I65" s="1096"/>
      <c r="J65" s="272">
        <v>57</v>
      </c>
    </row>
    <row r="66" spans="1:10" ht="13.4" customHeight="1">
      <c r="A66" s="233"/>
      <c r="B66" s="519" t="s">
        <v>95</v>
      </c>
      <c r="D66" s="1096" t="s">
        <v>96</v>
      </c>
      <c r="E66" s="1096"/>
      <c r="F66" s="1096"/>
      <c r="G66" s="1096"/>
      <c r="H66" s="1097"/>
      <c r="I66" s="1096"/>
      <c r="J66" s="272">
        <v>58</v>
      </c>
    </row>
    <row r="67" spans="1:10" ht="13.4" customHeight="1">
      <c r="A67" s="233"/>
      <c r="B67" s="251"/>
      <c r="D67" s="246"/>
      <c r="E67" s="246"/>
      <c r="F67" s="246"/>
      <c r="G67" s="246"/>
      <c r="H67" s="246"/>
      <c r="I67" s="246"/>
      <c r="J67" s="247"/>
    </row>
    <row r="68" spans="1:10" ht="13.4" customHeight="1">
      <c r="A68" s="233"/>
      <c r="B68" s="251"/>
      <c r="D68" s="246"/>
      <c r="E68" s="246"/>
      <c r="F68" s="246"/>
      <c r="G68" s="246"/>
      <c r="H68" s="246"/>
      <c r="I68" s="246"/>
      <c r="J68" s="247"/>
    </row>
    <row r="69" spans="1:10" ht="13.4" customHeight="1">
      <c r="A69" s="233"/>
      <c r="B69" s="251"/>
      <c r="D69" s="246"/>
      <c r="E69" s="246"/>
      <c r="F69" s="246"/>
      <c r="G69" s="246"/>
      <c r="H69" s="246"/>
      <c r="I69" s="246"/>
      <c r="J69" s="247"/>
    </row>
    <row r="70" spans="1:10" ht="13.4" customHeight="1">
      <c r="A70" s="233"/>
      <c r="B70" s="251"/>
      <c r="D70" s="246"/>
      <c r="E70" s="246"/>
      <c r="F70" s="246"/>
      <c r="G70" s="246"/>
      <c r="H70" s="246"/>
      <c r="I70" s="246"/>
      <c r="J70" s="247"/>
    </row>
    <row r="71" spans="1:10" ht="13.4" customHeight="1">
      <c r="A71" s="233"/>
      <c r="B71" s="251"/>
      <c r="D71" s="246"/>
      <c r="E71" s="246"/>
      <c r="F71" s="246"/>
      <c r="G71" s="246"/>
      <c r="H71" s="246"/>
      <c r="I71" s="246"/>
      <c r="J71" s="247"/>
    </row>
    <row r="72" spans="1:10" ht="13.4" customHeight="1">
      <c r="A72" s="233"/>
      <c r="B72" s="251"/>
      <c r="D72" s="246"/>
      <c r="E72" s="246"/>
      <c r="F72" s="246"/>
      <c r="G72" s="246"/>
      <c r="H72" s="246"/>
      <c r="I72" s="246"/>
      <c r="J72" s="247"/>
    </row>
    <row r="73" spans="1:10" ht="13.4" customHeight="1">
      <c r="A73" s="233"/>
      <c r="B73" s="251"/>
      <c r="D73" s="246"/>
      <c r="E73" s="246"/>
      <c r="F73" s="246"/>
      <c r="G73" s="246"/>
      <c r="H73" s="246"/>
      <c r="I73" s="246"/>
      <c r="J73" s="247"/>
    </row>
    <row r="74" spans="1:10" ht="13.4" customHeight="1">
      <c r="A74" s="233"/>
      <c r="B74" s="251"/>
      <c r="D74" s="246"/>
      <c r="E74" s="246"/>
      <c r="F74" s="246"/>
      <c r="G74" s="246"/>
      <c r="H74" s="246"/>
      <c r="I74" s="246"/>
      <c r="J74" s="247"/>
    </row>
    <row r="75" spans="1:10" ht="13.4" customHeight="1">
      <c r="A75" s="233"/>
      <c r="B75" s="251"/>
      <c r="D75" s="246"/>
      <c r="E75" s="246"/>
      <c r="F75" s="246"/>
      <c r="G75" s="246"/>
      <c r="H75" s="246"/>
      <c r="I75" s="246"/>
      <c r="J75" s="247"/>
    </row>
    <row r="76" spans="1:10" ht="13.4" customHeight="1">
      <c r="A76" s="233"/>
      <c r="B76" s="251"/>
      <c r="D76" s="246"/>
      <c r="E76" s="246"/>
      <c r="F76" s="246"/>
      <c r="G76" s="246"/>
      <c r="H76" s="246"/>
      <c r="I76" s="246"/>
      <c r="J76" s="247"/>
    </row>
    <row r="77" spans="1:10" ht="13.4" customHeight="1">
      <c r="A77" s="233"/>
      <c r="B77" s="251"/>
      <c r="D77" s="246"/>
      <c r="E77" s="246"/>
      <c r="F77" s="246"/>
      <c r="G77" s="246"/>
      <c r="H77" s="246"/>
      <c r="I77" s="246"/>
      <c r="J77" s="247"/>
    </row>
    <row r="78" spans="1:10" ht="13.4" customHeight="1">
      <c r="A78" s="233"/>
      <c r="B78" s="251"/>
      <c r="D78" s="246"/>
      <c r="E78" s="246"/>
      <c r="F78" s="246"/>
      <c r="G78" s="246"/>
      <c r="H78" s="246"/>
      <c r="I78" s="246"/>
      <c r="J78" s="247"/>
    </row>
    <row r="79" spans="1:10" ht="13.4" customHeight="1">
      <c r="A79" s="233"/>
      <c r="B79" s="251"/>
      <c r="D79" s="246"/>
      <c r="E79" s="246"/>
      <c r="F79" s="246"/>
      <c r="G79" s="246"/>
      <c r="H79" s="246"/>
      <c r="I79" s="246"/>
      <c r="J79" s="247"/>
    </row>
    <row r="80" spans="1:10" ht="13.4" customHeight="1">
      <c r="A80" s="233"/>
      <c r="B80" s="251"/>
      <c r="D80" s="246"/>
      <c r="E80" s="246"/>
      <c r="F80" s="246"/>
      <c r="G80" s="246"/>
      <c r="H80" s="246"/>
      <c r="I80" s="246"/>
      <c r="J80" s="247"/>
    </row>
    <row r="81" spans="1:10" ht="13.4" customHeight="1">
      <c r="A81" s="233"/>
      <c r="B81" s="251"/>
      <c r="D81" s="246"/>
      <c r="E81" s="246"/>
      <c r="F81" s="246"/>
      <c r="G81" s="246"/>
      <c r="H81" s="246"/>
      <c r="I81" s="246"/>
      <c r="J81" s="247"/>
    </row>
    <row r="82" spans="1:10" ht="13.4" customHeight="1">
      <c r="A82" s="233"/>
      <c r="B82" s="251"/>
      <c r="D82" s="246"/>
      <c r="E82" s="246"/>
      <c r="F82" s="246"/>
      <c r="G82" s="246"/>
      <c r="H82" s="246"/>
      <c r="I82" s="246"/>
      <c r="J82" s="247"/>
    </row>
    <row r="83" spans="1:10" ht="13.4" customHeight="1">
      <c r="A83" s="233"/>
      <c r="B83" s="251"/>
      <c r="D83" s="246"/>
      <c r="E83" s="246"/>
      <c r="F83" s="246"/>
      <c r="G83" s="246"/>
      <c r="H83" s="246"/>
      <c r="I83" s="246"/>
      <c r="J83" s="247"/>
    </row>
    <row r="84" spans="1:10" ht="13.4" customHeight="1">
      <c r="A84" s="233"/>
      <c r="B84" s="251"/>
      <c r="D84" s="246"/>
      <c r="E84" s="246"/>
      <c r="F84" s="246"/>
      <c r="G84" s="246"/>
      <c r="H84" s="246"/>
      <c r="I84" s="246"/>
      <c r="J84" s="247"/>
    </row>
    <row r="85" spans="1:10" ht="13.4" customHeight="1">
      <c r="A85" s="233"/>
      <c r="B85" s="251"/>
      <c r="D85" s="246"/>
      <c r="E85" s="246"/>
      <c r="F85" s="246"/>
      <c r="G85" s="246"/>
      <c r="H85" s="246"/>
      <c r="I85" s="246"/>
      <c r="J85" s="247"/>
    </row>
    <row r="86" spans="1:10" ht="13.4" customHeight="1">
      <c r="A86" s="233"/>
      <c r="B86" s="251"/>
      <c r="D86" s="246"/>
      <c r="E86" s="246"/>
      <c r="F86" s="246"/>
      <c r="G86" s="246"/>
      <c r="H86" s="246"/>
      <c r="I86" s="246"/>
      <c r="J86" s="247"/>
    </row>
    <row r="87" spans="1:10" ht="13.4" customHeight="1">
      <c r="A87" s="233"/>
      <c r="B87" s="251"/>
      <c r="D87" s="246"/>
      <c r="E87" s="246"/>
      <c r="F87" s="246"/>
      <c r="G87" s="246"/>
      <c r="H87" s="246"/>
      <c r="I87" s="246"/>
      <c r="J87" s="247"/>
    </row>
    <row r="88" spans="1:10" ht="13.4" customHeight="1">
      <c r="A88" s="233"/>
      <c r="B88" s="251"/>
      <c r="D88" s="246"/>
      <c r="E88" s="246"/>
      <c r="F88" s="246"/>
      <c r="G88" s="246"/>
      <c r="H88" s="246"/>
      <c r="I88" s="246"/>
      <c r="J88" s="247"/>
    </row>
    <row r="89" spans="1:10" ht="13.4" customHeight="1">
      <c r="A89" s="233"/>
      <c r="B89" s="251"/>
      <c r="D89" s="246"/>
      <c r="E89" s="246"/>
      <c r="F89" s="246"/>
      <c r="G89" s="246"/>
      <c r="H89" s="246"/>
      <c r="I89" s="246"/>
      <c r="J89" s="247"/>
    </row>
    <row r="90" spans="1:10" ht="13.4" customHeight="1">
      <c r="A90" s="233"/>
      <c r="B90" s="251"/>
      <c r="D90" s="246"/>
      <c r="E90" s="246"/>
      <c r="F90" s="246"/>
      <c r="G90" s="246"/>
      <c r="H90" s="246"/>
      <c r="I90" s="246"/>
      <c r="J90" s="247"/>
    </row>
    <row r="91" spans="1:10" ht="13.4" customHeight="1">
      <c r="A91" s="233"/>
      <c r="B91" s="251"/>
      <c r="D91" s="246"/>
      <c r="E91" s="246"/>
      <c r="F91" s="246"/>
      <c r="G91" s="246"/>
      <c r="H91" s="246"/>
      <c r="I91" s="246"/>
      <c r="J91" s="247"/>
    </row>
    <row r="92" spans="1:10" ht="13.4" customHeight="1">
      <c r="A92" s="233"/>
      <c r="B92" s="251"/>
      <c r="D92" s="246"/>
      <c r="E92" s="246"/>
      <c r="F92" s="246"/>
      <c r="G92" s="246"/>
      <c r="H92" s="246"/>
      <c r="I92" s="246"/>
      <c r="J92" s="247"/>
    </row>
    <row r="93" spans="1:10" ht="13.4" customHeight="1">
      <c r="A93" s="233"/>
      <c r="B93" s="251"/>
      <c r="D93" s="246"/>
      <c r="E93" s="246"/>
      <c r="F93" s="246"/>
      <c r="G93" s="246"/>
      <c r="H93" s="246"/>
      <c r="I93" s="246"/>
      <c r="J93" s="247"/>
    </row>
    <row r="94" spans="1:10" ht="13.4" customHeight="1">
      <c r="A94" s="233"/>
      <c r="B94" s="251"/>
      <c r="D94" s="246"/>
      <c r="E94" s="246"/>
      <c r="F94" s="246"/>
      <c r="G94" s="246"/>
      <c r="H94" s="246"/>
      <c r="I94" s="246"/>
      <c r="J94" s="247"/>
    </row>
    <row r="95" spans="1:10" ht="13.4" customHeight="1">
      <c r="A95" s="233"/>
      <c r="B95" s="251"/>
      <c r="D95" s="246"/>
      <c r="E95" s="246"/>
      <c r="F95" s="246"/>
      <c r="G95" s="246"/>
      <c r="H95" s="246"/>
      <c r="I95" s="246"/>
      <c r="J95" s="247"/>
    </row>
    <row r="96" spans="1:10" ht="13.4" customHeight="1">
      <c r="A96" s="233"/>
      <c r="B96" s="251"/>
      <c r="D96" s="246"/>
      <c r="E96" s="246"/>
      <c r="F96" s="246"/>
      <c r="G96" s="246"/>
      <c r="H96" s="246"/>
      <c r="I96" s="246"/>
      <c r="J96" s="247"/>
    </row>
    <row r="97" spans="1:10" ht="13.4" customHeight="1">
      <c r="A97" s="233"/>
      <c r="B97" s="251"/>
      <c r="D97" s="246"/>
      <c r="E97" s="246"/>
      <c r="F97" s="246"/>
      <c r="G97" s="246"/>
      <c r="H97" s="246"/>
      <c r="I97" s="246"/>
      <c r="J97" s="247"/>
    </row>
    <row r="98" spans="1:10" ht="13.4" customHeight="1">
      <c r="A98" s="233"/>
      <c r="B98" s="251"/>
      <c r="D98" s="246"/>
      <c r="E98" s="246"/>
      <c r="F98" s="246"/>
      <c r="G98" s="246"/>
      <c r="H98" s="246"/>
      <c r="I98" s="246"/>
      <c r="J98" s="247"/>
    </row>
    <row r="99" spans="1:10" ht="13.4" customHeight="1">
      <c r="A99" s="233"/>
      <c r="B99" s="251"/>
      <c r="D99" s="246"/>
      <c r="E99" s="246"/>
      <c r="F99" s="246"/>
      <c r="G99" s="246"/>
      <c r="H99" s="246"/>
      <c r="I99" s="246"/>
      <c r="J99" s="247"/>
    </row>
    <row r="100" spans="1:10" ht="13.4" customHeight="1">
      <c r="A100" s="233"/>
      <c r="B100" s="251"/>
      <c r="D100" s="246"/>
      <c r="E100" s="246"/>
      <c r="F100" s="246"/>
      <c r="G100" s="246"/>
      <c r="H100" s="246"/>
      <c r="I100" s="246"/>
      <c r="J100" s="247"/>
    </row>
    <row r="101" spans="1:10">
      <c r="B101" s="251"/>
      <c r="J101" s="252"/>
    </row>
    <row r="102" spans="1:10">
      <c r="B102" s="251"/>
      <c r="J102" s="252"/>
    </row>
    <row r="103" spans="1:10">
      <c r="B103" s="251"/>
      <c r="J103" s="252"/>
    </row>
    <row r="104" spans="1:10">
      <c r="B104" s="251"/>
    </row>
    <row r="105" spans="1:10">
      <c r="B105" s="251"/>
    </row>
    <row r="106" spans="1:10">
      <c r="B106" s="251"/>
    </row>
    <row r="107" spans="1:10">
      <c r="B107" s="251"/>
    </row>
    <row r="108" spans="1:10">
      <c r="B108" s="251"/>
    </row>
    <row r="109" spans="1:10">
      <c r="B109" s="251"/>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 Governmental  '!A1" display="Exhibit D Governmental"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Q52"/>
  <sheetViews>
    <sheetView showGridLines="0" zoomScale="90" zoomScaleNormal="90" workbookViewId="0"/>
  </sheetViews>
  <sheetFormatPr defaultColWidth="8.84375" defaultRowHeight="15.5"/>
  <cols>
    <col min="1" max="1" width="50.07421875" style="291" customWidth="1"/>
    <col min="2" max="2" width="3.84375" style="256" customWidth="1"/>
    <col min="3" max="3" width="16.84375" style="256" customWidth="1"/>
    <col min="4" max="4" width="1.53515625" style="256" customWidth="1"/>
    <col min="5" max="5" width="16.4609375" style="128" customWidth="1"/>
    <col min="6" max="6" width="1.53515625" style="256" customWidth="1"/>
    <col min="7" max="7" width="14.07421875" style="256" customWidth="1"/>
    <col min="8" max="8" width="1.53515625" style="256" customWidth="1"/>
    <col min="9" max="9" width="14.07421875" style="256" customWidth="1"/>
    <col min="10" max="10" width="1.53515625" style="256" customWidth="1"/>
    <col min="11" max="11" width="14.07421875" style="256" customWidth="1"/>
    <col min="12" max="12" width="1.53515625" style="256" customWidth="1"/>
    <col min="13" max="13" width="16.07421875" style="256" customWidth="1"/>
    <col min="14" max="14" width="1.53515625" style="256" customWidth="1"/>
    <col min="15" max="15" width="12.53515625" style="256" customWidth="1"/>
    <col min="16" max="16" width="11.4609375" style="256" customWidth="1"/>
    <col min="17" max="17" width="1.84375" style="256" customWidth="1"/>
    <col min="18" max="16384" width="8.84375" style="291"/>
  </cols>
  <sheetData>
    <row r="1" spans="1:17">
      <c r="A1" s="265" t="s">
        <v>97</v>
      </c>
      <c r="B1" s="48"/>
      <c r="C1" s="48"/>
      <c r="D1" s="48"/>
      <c r="E1" s="124"/>
      <c r="F1" s="48"/>
      <c r="G1" s="48"/>
      <c r="H1" s="48"/>
      <c r="I1" s="48"/>
      <c r="J1" s="48"/>
      <c r="K1" s="48"/>
      <c r="L1" s="48"/>
      <c r="M1" s="48"/>
      <c r="N1" s="48"/>
      <c r="O1" s="48"/>
      <c r="P1" s="48"/>
      <c r="Q1" s="48"/>
    </row>
    <row r="2" spans="1:17" ht="17.25" customHeight="1">
      <c r="A2" s="49"/>
      <c r="B2" s="48"/>
      <c r="C2" s="48"/>
      <c r="D2" s="48"/>
      <c r="E2" s="124"/>
      <c r="F2" s="48"/>
      <c r="G2" s="48"/>
      <c r="H2" s="48"/>
      <c r="I2" s="48"/>
      <c r="J2" s="48"/>
      <c r="K2" s="48"/>
      <c r="L2" s="48"/>
      <c r="M2" s="48"/>
      <c r="N2" s="48"/>
      <c r="O2" s="48"/>
      <c r="P2" s="48"/>
      <c r="Q2" s="48"/>
    </row>
    <row r="3" spans="1:17" ht="18" customHeight="1">
      <c r="A3" s="50" t="s">
        <v>98</v>
      </c>
      <c r="B3" s="30"/>
      <c r="C3" s="30"/>
      <c r="D3" s="30"/>
      <c r="E3" s="125"/>
      <c r="F3" s="30"/>
      <c r="G3" s="30"/>
      <c r="H3" s="30"/>
      <c r="I3" s="30"/>
      <c r="J3" s="30"/>
      <c r="K3" s="30"/>
      <c r="L3" s="30"/>
      <c r="M3" s="352"/>
      <c r="N3" s="30"/>
      <c r="O3" s="352" t="s">
        <v>224</v>
      </c>
      <c r="P3" s="30"/>
      <c r="Q3" s="30"/>
    </row>
    <row r="4" spans="1:17" ht="18" customHeight="1">
      <c r="A4" s="50" t="s">
        <v>225</v>
      </c>
      <c r="B4" s="30"/>
      <c r="C4" s="30"/>
      <c r="D4" s="30"/>
      <c r="E4" s="125"/>
      <c r="F4" s="30"/>
      <c r="G4" s="30"/>
      <c r="H4" s="30"/>
      <c r="I4" s="30"/>
      <c r="J4" s="30"/>
      <c r="K4" s="30"/>
      <c r="L4" s="30"/>
      <c r="M4" s="353"/>
      <c r="N4" s="30"/>
      <c r="O4" s="353"/>
      <c r="P4" s="30"/>
      <c r="Q4" s="30"/>
    </row>
    <row r="5" spans="1:17" ht="18" customHeight="1">
      <c r="A5" s="65" t="str">
        <f>'Exh D Governmental  '!A5</f>
        <v>FISCAL YEAR 2026-2027</v>
      </c>
      <c r="B5" s="23"/>
      <c r="C5" s="23"/>
      <c r="D5" s="23"/>
      <c r="E5" s="23"/>
      <c r="F5" s="30"/>
      <c r="G5" s="30"/>
      <c r="H5" s="30"/>
      <c r="I5" s="30"/>
      <c r="J5" s="30"/>
      <c r="K5" s="30"/>
      <c r="L5" s="30"/>
      <c r="M5" s="30"/>
      <c r="N5" s="30"/>
      <c r="O5" s="30"/>
      <c r="P5" s="30"/>
      <c r="Q5" s="30"/>
    </row>
    <row r="6" spans="1:17" ht="18" customHeight="1">
      <c r="A6" s="50" t="str">
        <f>+'Exh D Governmental  '!A6</f>
        <v>FOR ONE MONTH ENDED APRIL 30, 2026</v>
      </c>
      <c r="B6" s="30"/>
      <c r="C6" s="30"/>
      <c r="D6" s="30"/>
      <c r="E6" s="125"/>
      <c r="F6" s="30"/>
      <c r="G6" s="30"/>
      <c r="H6" s="30"/>
      <c r="I6" s="30"/>
      <c r="J6" s="30"/>
      <c r="K6" s="30"/>
      <c r="L6" s="30"/>
      <c r="M6" s="30"/>
      <c r="N6" s="30"/>
      <c r="O6" s="30"/>
      <c r="P6" s="30"/>
      <c r="Q6" s="30"/>
    </row>
    <row r="7" spans="1:17" ht="18" customHeight="1">
      <c r="A7" s="50" t="s">
        <v>226</v>
      </c>
      <c r="B7" s="30"/>
      <c r="C7" s="30"/>
      <c r="D7" s="30"/>
      <c r="E7" s="125"/>
      <c r="F7" s="30"/>
      <c r="G7" s="30"/>
      <c r="H7" s="30"/>
      <c r="I7" s="30"/>
      <c r="J7" s="30"/>
      <c r="K7" s="30"/>
      <c r="L7" s="30"/>
      <c r="M7" s="30"/>
      <c r="N7" s="30"/>
      <c r="O7" s="30"/>
      <c r="P7" s="30"/>
      <c r="Q7" s="30"/>
    </row>
    <row r="8" spans="1:17" ht="15" customHeight="1">
      <c r="A8" s="34"/>
      <c r="B8" s="30"/>
      <c r="C8" s="30"/>
      <c r="D8" s="30"/>
      <c r="E8" s="125"/>
      <c r="F8" s="30"/>
      <c r="G8" s="30"/>
      <c r="H8" s="30"/>
      <c r="I8" s="30"/>
      <c r="J8" s="30"/>
      <c r="K8" s="30"/>
      <c r="L8" s="30"/>
      <c r="M8" s="30"/>
      <c r="N8" s="30"/>
      <c r="O8" s="30"/>
      <c r="P8" s="30"/>
      <c r="Q8" s="30"/>
    </row>
    <row r="9" spans="1:17">
      <c r="A9" s="35"/>
      <c r="B9" s="30"/>
      <c r="C9" s="30"/>
      <c r="D9" s="30"/>
      <c r="E9" s="125"/>
      <c r="F9" s="30"/>
      <c r="G9" s="30"/>
      <c r="H9" s="30"/>
      <c r="I9" s="30"/>
      <c r="J9" s="30"/>
      <c r="K9" s="30"/>
      <c r="L9" s="30"/>
      <c r="M9" s="30"/>
      <c r="N9" s="30"/>
      <c r="O9" s="30"/>
      <c r="P9" s="30"/>
      <c r="Q9" s="30"/>
    </row>
    <row r="10" spans="1:17">
      <c r="A10" s="35"/>
      <c r="B10" s="30"/>
      <c r="C10" s="30"/>
      <c r="D10" s="30"/>
      <c r="E10" s="125"/>
      <c r="F10" s="30"/>
      <c r="G10" s="30"/>
      <c r="H10" s="30"/>
      <c r="I10" s="30"/>
      <c r="J10" s="30"/>
      <c r="K10" s="30"/>
      <c r="L10" s="30"/>
      <c r="M10" s="30"/>
      <c r="N10" s="30"/>
      <c r="O10" s="30"/>
      <c r="P10" s="30"/>
      <c r="Q10" s="30"/>
    </row>
    <row r="11" spans="1:17">
      <c r="C11" s="1007"/>
      <c r="D11" s="1007"/>
      <c r="E11" s="1219"/>
      <c r="F11" s="1007"/>
      <c r="G11" s="1219" t="s">
        <v>274</v>
      </c>
      <c r="H11" s="1007"/>
      <c r="I11" s="1219"/>
      <c r="J11" s="1007"/>
      <c r="K11" s="1219"/>
      <c r="L11" s="1007"/>
      <c r="M11" s="1219"/>
      <c r="N11" s="1007"/>
      <c r="O11" s="428"/>
      <c r="P11" s="51"/>
      <c r="Q11" s="51"/>
    </row>
    <row r="12" spans="1:17">
      <c r="G12" s="53"/>
      <c r="I12" s="53"/>
      <c r="K12" s="53"/>
      <c r="M12" s="52" t="s">
        <v>228</v>
      </c>
      <c r="O12" s="52" t="s">
        <v>228</v>
      </c>
      <c r="P12" s="51"/>
      <c r="Q12" s="51"/>
    </row>
    <row r="13" spans="1:17">
      <c r="G13" s="53"/>
      <c r="I13" s="53"/>
      <c r="K13" s="53"/>
      <c r="M13" s="37" t="s">
        <v>229</v>
      </c>
      <c r="O13" s="37" t="s">
        <v>229</v>
      </c>
      <c r="P13" s="51"/>
      <c r="Q13" s="51"/>
    </row>
    <row r="14" spans="1:17">
      <c r="B14" s="36"/>
      <c r="C14" s="38" t="s">
        <v>231</v>
      </c>
      <c r="D14" s="36"/>
      <c r="E14" s="37" t="s">
        <v>232</v>
      </c>
      <c r="F14" s="36"/>
      <c r="G14" s="36"/>
      <c r="H14" s="36"/>
      <c r="I14" s="36"/>
      <c r="J14" s="36"/>
      <c r="K14" s="36"/>
      <c r="L14" s="36"/>
      <c r="M14" s="37" t="s">
        <v>233</v>
      </c>
      <c r="N14" s="36"/>
      <c r="O14" s="37" t="s">
        <v>233</v>
      </c>
      <c r="P14" s="36"/>
      <c r="Q14" s="36"/>
    </row>
    <row r="15" spans="1:17">
      <c r="B15" s="54"/>
      <c r="C15" s="37" t="s">
        <v>234</v>
      </c>
      <c r="D15" s="1330"/>
      <c r="E15" s="37" t="s">
        <v>234</v>
      </c>
      <c r="F15" s="1330"/>
      <c r="G15" s="36"/>
      <c r="H15" s="1330"/>
      <c r="I15" s="36"/>
      <c r="J15" s="1330"/>
      <c r="K15" s="36"/>
      <c r="L15" s="1330"/>
      <c r="M15" s="37" t="s">
        <v>231</v>
      </c>
      <c r="N15" s="1330"/>
      <c r="O15" s="37" t="s">
        <v>232</v>
      </c>
      <c r="P15" s="37"/>
      <c r="Q15" s="36"/>
    </row>
    <row r="16" spans="1:17">
      <c r="B16" s="37"/>
      <c r="C16" s="431" t="s">
        <v>1510</v>
      </c>
      <c r="D16" s="36"/>
      <c r="E16" s="37" t="s">
        <v>235</v>
      </c>
      <c r="F16" s="36"/>
      <c r="G16" s="38" t="s">
        <v>228</v>
      </c>
      <c r="H16" s="36"/>
      <c r="I16" s="584" t="s">
        <v>275</v>
      </c>
      <c r="J16" s="36"/>
      <c r="K16" s="584" t="s">
        <v>276</v>
      </c>
      <c r="L16" s="36"/>
      <c r="M16" s="37" t="s">
        <v>236</v>
      </c>
      <c r="N16" s="36"/>
      <c r="O16" s="431" t="s">
        <v>236</v>
      </c>
      <c r="P16" s="37"/>
      <c r="Q16" s="36"/>
    </row>
    <row r="17" spans="1:17">
      <c r="A17" s="39"/>
      <c r="B17" s="30"/>
      <c r="C17" s="30"/>
      <c r="D17" s="30"/>
      <c r="E17" s="1006"/>
      <c r="F17" s="30"/>
      <c r="G17" s="1006"/>
      <c r="H17" s="30"/>
      <c r="I17" s="30"/>
      <c r="J17" s="30"/>
      <c r="K17" s="30"/>
      <c r="L17" s="30"/>
      <c r="M17" s="1006"/>
      <c r="N17" s="30"/>
      <c r="O17" s="30"/>
      <c r="P17" s="30"/>
      <c r="Q17" s="30"/>
    </row>
    <row r="18" spans="1:17">
      <c r="A18" s="3" t="s">
        <v>114</v>
      </c>
      <c r="E18" s="256"/>
      <c r="P18" s="30"/>
      <c r="Q18" s="30"/>
    </row>
    <row r="19" spans="1:17">
      <c r="A19" s="350" t="s">
        <v>237</v>
      </c>
      <c r="B19" s="379"/>
      <c r="C19" s="379"/>
      <c r="D19" s="379"/>
      <c r="E19" s="256"/>
      <c r="F19" s="379"/>
      <c r="H19" s="379"/>
      <c r="J19" s="379"/>
      <c r="L19" s="379"/>
      <c r="N19" s="379"/>
      <c r="O19" s="556"/>
    </row>
    <row r="20" spans="1:17">
      <c r="A20" s="350" t="s">
        <v>238</v>
      </c>
      <c r="B20" s="379"/>
      <c r="C20" s="277">
        <v>0</v>
      </c>
      <c r="D20" s="276"/>
      <c r="E20" s="277">
        <v>0</v>
      </c>
      <c r="F20" s="379"/>
      <c r="G20" s="388">
        <f>+'Exh D Special Revenue State Fed'!G20</f>
        <v>0</v>
      </c>
      <c r="H20" s="379"/>
      <c r="I20" s="388">
        <v>0</v>
      </c>
      <c r="J20" s="379"/>
      <c r="K20" s="388">
        <f t="shared" ref="K20:K25" si="0">+G20+I20</f>
        <v>0</v>
      </c>
      <c r="L20" s="379"/>
      <c r="M20" s="274">
        <f t="shared" ref="M20" si="1">K20-C20</f>
        <v>0</v>
      </c>
      <c r="N20" s="379"/>
      <c r="O20" s="274">
        <f>K20-E20</f>
        <v>0</v>
      </c>
      <c r="P20" s="1497"/>
      <c r="Q20" s="1497"/>
    </row>
    <row r="21" spans="1:17">
      <c r="A21" s="350" t="s">
        <v>239</v>
      </c>
      <c r="C21" s="275">
        <v>0</v>
      </c>
      <c r="D21" s="1796"/>
      <c r="E21" s="275">
        <v>221</v>
      </c>
      <c r="G21" s="264">
        <f>+'Exh D Special Revenue State Fed'!G21</f>
        <v>221.9</v>
      </c>
      <c r="I21" s="264">
        <v>0</v>
      </c>
      <c r="K21" s="264">
        <f t="shared" si="0"/>
        <v>221.9</v>
      </c>
      <c r="M21" s="264">
        <v>0</v>
      </c>
      <c r="O21" s="264">
        <f t="shared" ref="O21:O25" si="2">K21-E21</f>
        <v>0.90000000000000568</v>
      </c>
      <c r="P21" s="1497"/>
      <c r="Q21" s="1497"/>
    </row>
    <row r="22" spans="1:17">
      <c r="A22" s="350" t="s">
        <v>240</v>
      </c>
      <c r="B22" s="379"/>
      <c r="C22" s="275">
        <v>0</v>
      </c>
      <c r="D22" s="367"/>
      <c r="E22" s="275">
        <v>388</v>
      </c>
      <c r="F22" s="379"/>
      <c r="G22" s="264">
        <f>+'Exh D Special Revenue State Fed'!G22</f>
        <v>350.4</v>
      </c>
      <c r="H22" s="379"/>
      <c r="I22" s="264">
        <v>0</v>
      </c>
      <c r="J22" s="379"/>
      <c r="K22" s="264">
        <f t="shared" si="0"/>
        <v>350.4</v>
      </c>
      <c r="L22" s="379"/>
      <c r="M22" s="264">
        <v>0</v>
      </c>
      <c r="N22" s="379"/>
      <c r="O22" s="264">
        <f t="shared" si="2"/>
        <v>-37.600000000000023</v>
      </c>
      <c r="P22" s="1497"/>
      <c r="Q22" s="1497"/>
    </row>
    <row r="23" spans="1:17" ht="15" customHeight="1">
      <c r="A23" s="350" t="s">
        <v>119</v>
      </c>
      <c r="C23" s="275">
        <v>0</v>
      </c>
      <c r="D23" s="1797"/>
      <c r="E23" s="275">
        <v>1969</v>
      </c>
      <c r="G23" s="264">
        <f>+'Exh D Special Revenue State Fed'!G23+'Exh D Special Revenue State Fed'!S23</f>
        <v>2104.1999999999998</v>
      </c>
      <c r="I23" s="264">
        <v>0</v>
      </c>
      <c r="K23" s="264">
        <f t="shared" si="0"/>
        <v>2104.1999999999998</v>
      </c>
      <c r="M23" s="264">
        <v>0</v>
      </c>
      <c r="O23" s="264">
        <f t="shared" si="2"/>
        <v>135.19999999999982</v>
      </c>
      <c r="P23" s="1497"/>
      <c r="Q23" s="1517"/>
    </row>
    <row r="24" spans="1:17" ht="15" customHeight="1">
      <c r="A24" s="350" t="s">
        <v>120</v>
      </c>
      <c r="C24" s="275">
        <v>0</v>
      </c>
      <c r="D24" s="1796"/>
      <c r="E24" s="275">
        <v>8376</v>
      </c>
      <c r="G24" s="264">
        <f>+'Exh D Special Revenue State Fed'!G24+'Exh D Special Revenue State Fed'!S24</f>
        <v>8995.3000000000011</v>
      </c>
      <c r="I24" s="264">
        <v>0</v>
      </c>
      <c r="K24" s="264">
        <f t="shared" si="0"/>
        <v>8995.3000000000011</v>
      </c>
      <c r="M24" s="264">
        <v>0</v>
      </c>
      <c r="O24" s="264">
        <f t="shared" si="2"/>
        <v>619.30000000000109</v>
      </c>
      <c r="P24" s="1497"/>
      <c r="Q24" s="1497"/>
    </row>
    <row r="25" spans="1:17">
      <c r="A25" s="350" t="s">
        <v>277</v>
      </c>
      <c r="B25" s="381"/>
      <c r="C25" s="836">
        <v>0</v>
      </c>
      <c r="D25" s="1796"/>
      <c r="E25" s="836">
        <v>419</v>
      </c>
      <c r="F25" s="381"/>
      <c r="G25" s="382">
        <f>+'Exh D Special Revenue State Fed'!G25+'Exh D Special Revenue State Fed'!S25</f>
        <v>243.1</v>
      </c>
      <c r="H25" s="381"/>
      <c r="I25" s="382">
        <f>+'Exhibit G'!AB114</f>
        <v>-17.100000000000001</v>
      </c>
      <c r="J25" s="381"/>
      <c r="K25" s="383">
        <f t="shared" si="0"/>
        <v>226</v>
      </c>
      <c r="L25" s="381"/>
      <c r="M25" s="264">
        <v>0</v>
      </c>
      <c r="N25" s="381"/>
      <c r="O25" s="264">
        <f t="shared" si="2"/>
        <v>-193</v>
      </c>
      <c r="P25" s="1520"/>
      <c r="Q25" s="1497"/>
    </row>
    <row r="26" spans="1:17" ht="18" customHeight="1">
      <c r="A26" s="1218" t="s">
        <v>261</v>
      </c>
      <c r="B26" s="36"/>
      <c r="C26" s="357">
        <f>ROUND(SUM(C20:C25),1)</f>
        <v>0</v>
      </c>
      <c r="D26" s="36"/>
      <c r="E26" s="357">
        <f>ROUND(SUM(E20:E25),1)</f>
        <v>11373</v>
      </c>
      <c r="F26" s="36"/>
      <c r="G26" s="357">
        <f>ROUND(SUM(G20:G25),1)</f>
        <v>11914.9</v>
      </c>
      <c r="H26" s="36"/>
      <c r="I26" s="357">
        <f>ROUND(SUM(I20:I25),1)</f>
        <v>-17.100000000000001</v>
      </c>
      <c r="J26" s="36"/>
      <c r="K26" s="357">
        <f>ROUND(SUM(K20:K25),1)</f>
        <v>11897.8</v>
      </c>
      <c r="L26" s="36"/>
      <c r="M26" s="966">
        <f>ROUND(SUM(M20:M25),1)</f>
        <v>0</v>
      </c>
      <c r="N26" s="36"/>
      <c r="O26" s="966">
        <f>ROUND(SUM(O20:O25),1)</f>
        <v>524.79999999999995</v>
      </c>
      <c r="P26" s="1520"/>
      <c r="Q26" s="1497"/>
    </row>
    <row r="27" spans="1:17">
      <c r="C27" s="264"/>
      <c r="E27" s="264"/>
      <c r="G27" s="616"/>
      <c r="I27" s="264"/>
      <c r="K27" s="264"/>
      <c r="M27" s="616"/>
      <c r="O27" s="616"/>
      <c r="P27" s="1522"/>
      <c r="Q27" s="1522"/>
    </row>
    <row r="28" spans="1:17">
      <c r="A28" s="3" t="s">
        <v>122</v>
      </c>
      <c r="C28" s="264"/>
      <c r="E28" s="264"/>
      <c r="G28" s="264"/>
      <c r="I28" s="264" t="s">
        <v>103</v>
      </c>
      <c r="K28" s="264" t="s">
        <v>103</v>
      </c>
      <c r="M28" s="264"/>
      <c r="O28" s="264"/>
      <c r="P28" s="1497"/>
      <c r="Q28" s="1497"/>
    </row>
    <row r="29" spans="1:17">
      <c r="A29" s="350" t="s">
        <v>243</v>
      </c>
      <c r="B29" s="379"/>
      <c r="C29" s="275">
        <v>0</v>
      </c>
      <c r="D29" s="1796"/>
      <c r="E29" s="275">
        <v>8719</v>
      </c>
      <c r="F29" s="379"/>
      <c r="G29" s="287">
        <f>+'Exh D Special Revenue State Fed'!G29+'Exh D Special Revenue State Fed'!S29</f>
        <v>8157.6</v>
      </c>
      <c r="H29" s="379"/>
      <c r="I29" s="287">
        <v>0</v>
      </c>
      <c r="J29" s="379"/>
      <c r="K29" s="264">
        <f t="shared" ref="K29:K34" si="3">+G29+I29</f>
        <v>8157.6</v>
      </c>
      <c r="L29" s="379"/>
      <c r="M29" s="264">
        <v>0</v>
      </c>
      <c r="N29" s="379"/>
      <c r="O29" s="264">
        <f t="shared" ref="O29:O34" si="4">K29-E29</f>
        <v>-561.39999999999964</v>
      </c>
      <c r="P29" s="1497"/>
      <c r="Q29" s="1497"/>
    </row>
    <row r="30" spans="1:17">
      <c r="A30" s="350" t="s">
        <v>244</v>
      </c>
      <c r="B30" s="379"/>
      <c r="C30" s="275">
        <v>0</v>
      </c>
      <c r="D30" s="1796"/>
      <c r="E30" s="275">
        <v>1076</v>
      </c>
      <c r="F30" s="379"/>
      <c r="G30" s="287">
        <f>+'Exh D Special Revenue State Fed'!G30+'Exh D Special Revenue State Fed'!S30</f>
        <v>1021.0999999999999</v>
      </c>
      <c r="H30" s="379"/>
      <c r="I30" s="287">
        <v>0</v>
      </c>
      <c r="J30" s="379"/>
      <c r="K30" s="264">
        <f t="shared" si="3"/>
        <v>1021.0999999999999</v>
      </c>
      <c r="L30" s="379"/>
      <c r="M30" s="264">
        <v>0</v>
      </c>
      <c r="N30" s="379"/>
      <c r="O30" s="264">
        <f t="shared" si="4"/>
        <v>-54.900000000000091</v>
      </c>
      <c r="P30" s="1520"/>
      <c r="Q30" s="1497"/>
    </row>
    <row r="31" spans="1:17">
      <c r="A31" s="350" t="s">
        <v>209</v>
      </c>
      <c r="B31" s="379"/>
      <c r="C31" s="275">
        <v>0</v>
      </c>
      <c r="D31" s="1796"/>
      <c r="E31" s="275">
        <v>117</v>
      </c>
      <c r="F31" s="379"/>
      <c r="G31" s="287">
        <f>+'Exh D Special Revenue State Fed'!G31+'Exh D Special Revenue State Fed'!S31</f>
        <v>34.5</v>
      </c>
      <c r="H31" s="379"/>
      <c r="I31" s="287">
        <v>0</v>
      </c>
      <c r="J31" s="379"/>
      <c r="K31" s="264">
        <f t="shared" si="3"/>
        <v>34.5</v>
      </c>
      <c r="L31" s="379"/>
      <c r="M31" s="264">
        <v>0</v>
      </c>
      <c r="N31" s="379"/>
      <c r="O31" s="264">
        <f t="shared" si="4"/>
        <v>-82.5</v>
      </c>
      <c r="P31" s="1517"/>
      <c r="Q31" s="1497"/>
    </row>
    <row r="32" spans="1:17">
      <c r="A32" s="350" t="s">
        <v>245</v>
      </c>
      <c r="B32" s="379"/>
      <c r="C32" s="275">
        <v>0</v>
      </c>
      <c r="D32" s="379"/>
      <c r="E32" s="275">
        <v>0</v>
      </c>
      <c r="F32" s="379"/>
      <c r="G32" s="287">
        <f>+'Exh D Special Revenue State Fed'!G32+'Exh D Special Revenue State Fed'!S32</f>
        <v>0</v>
      </c>
      <c r="H32" s="379"/>
      <c r="I32" s="287">
        <v>0</v>
      </c>
      <c r="J32" s="379"/>
      <c r="K32" s="264">
        <f t="shared" si="3"/>
        <v>0</v>
      </c>
      <c r="L32" s="379"/>
      <c r="M32" s="264">
        <f t="shared" ref="M32:M33" si="5">K32-C32</f>
        <v>0</v>
      </c>
      <c r="N32" s="379"/>
      <c r="O32" s="264">
        <f t="shared" si="4"/>
        <v>0</v>
      </c>
      <c r="P32" s="1520"/>
      <c r="Q32" s="1497"/>
    </row>
    <row r="33" spans="1:17">
      <c r="A33" s="350" t="s">
        <v>140</v>
      </c>
      <c r="B33" s="379"/>
      <c r="C33" s="275">
        <v>0</v>
      </c>
      <c r="D33" s="379"/>
      <c r="E33" s="275">
        <v>0</v>
      </c>
      <c r="F33" s="379"/>
      <c r="G33" s="288">
        <f>+'Exh D Special Revenue State Fed'!G33+'Exh D Special Revenue State Fed'!S33</f>
        <v>0</v>
      </c>
      <c r="H33" s="379"/>
      <c r="I33" s="288">
        <v>0</v>
      </c>
      <c r="J33" s="379"/>
      <c r="K33" s="264">
        <f t="shared" si="3"/>
        <v>0</v>
      </c>
      <c r="L33" s="379"/>
      <c r="M33" s="264">
        <f t="shared" si="5"/>
        <v>0</v>
      </c>
      <c r="N33" s="379"/>
      <c r="O33" s="264">
        <f t="shared" si="4"/>
        <v>0</v>
      </c>
      <c r="P33" s="1520"/>
      <c r="Q33" s="1497"/>
    </row>
    <row r="34" spans="1:17">
      <c r="A34" s="350" t="s">
        <v>278</v>
      </c>
      <c r="B34" s="379"/>
      <c r="C34" s="275">
        <v>0</v>
      </c>
      <c r="D34" s="379"/>
      <c r="E34" s="275">
        <v>208</v>
      </c>
      <c r="F34" s="379"/>
      <c r="G34" s="287">
        <f>+'Exh D Special Revenue State Fed'!G34+'Exh D Special Revenue State Fed'!S34</f>
        <v>275.39999999999998</v>
      </c>
      <c r="H34" s="379"/>
      <c r="I34" s="287">
        <f>-'Exhibit G'!AB115</f>
        <v>-17.100000000000001</v>
      </c>
      <c r="J34" s="379"/>
      <c r="K34" s="264">
        <f t="shared" si="3"/>
        <v>258.29999999999995</v>
      </c>
      <c r="L34" s="379"/>
      <c r="M34" s="264">
        <v>0</v>
      </c>
      <c r="N34" s="379"/>
      <c r="O34" s="264">
        <f t="shared" si="4"/>
        <v>50.299999999999955</v>
      </c>
      <c r="P34" s="1520"/>
      <c r="Q34" s="1497"/>
    </row>
    <row r="35" spans="1:17" ht="18" customHeight="1">
      <c r="A35" s="1218" t="s">
        <v>270</v>
      </c>
      <c r="B35" s="36"/>
      <c r="C35" s="617">
        <f>ROUND(SUM(C29:C34),1)</f>
        <v>0</v>
      </c>
      <c r="D35" s="36"/>
      <c r="E35" s="617">
        <f>ROUND(SUM(E29:E34),1)</f>
        <v>10120</v>
      </c>
      <c r="F35" s="36"/>
      <c r="G35" s="618">
        <f>ROUND(SUM(G29:G34),1)</f>
        <v>9488.6</v>
      </c>
      <c r="H35" s="36"/>
      <c r="I35" s="617">
        <f>ROUND(SUM(I29:I34),1)</f>
        <v>-17.100000000000001</v>
      </c>
      <c r="J35" s="36"/>
      <c r="K35" s="617">
        <f>ROUND(SUM(K29:K34),1)</f>
        <v>9471.5</v>
      </c>
      <c r="L35" s="36"/>
      <c r="M35" s="618">
        <f>ROUND(SUM(M29:M34),1)</f>
        <v>0</v>
      </c>
      <c r="N35" s="36"/>
      <c r="O35" s="618">
        <f>ROUND(SUM(O29:O34),1)</f>
        <v>-648.5</v>
      </c>
      <c r="P35" s="1520"/>
      <c r="Q35" s="1497"/>
    </row>
    <row r="36" spans="1:17">
      <c r="C36" s="264"/>
      <c r="E36" s="264"/>
      <c r="G36" s="616"/>
      <c r="I36" s="264"/>
      <c r="K36" s="264"/>
      <c r="M36" s="616"/>
      <c r="O36" s="616"/>
      <c r="P36" s="1522"/>
      <c r="Q36" s="1522"/>
    </row>
    <row r="37" spans="1:17">
      <c r="A37" s="3" t="s">
        <v>271</v>
      </c>
      <c r="C37" s="264"/>
      <c r="E37" s="264"/>
      <c r="G37" s="264"/>
      <c r="I37" s="264"/>
      <c r="K37" s="264"/>
      <c r="M37" s="264"/>
      <c r="O37" s="264"/>
      <c r="P37" s="1497"/>
      <c r="Q37" s="1497"/>
    </row>
    <row r="38" spans="1:17">
      <c r="A38" s="3" t="s">
        <v>272</v>
      </c>
      <c r="C38" s="264"/>
      <c r="E38" s="264"/>
      <c r="G38" s="264"/>
      <c r="I38" s="264"/>
      <c r="K38" s="264"/>
      <c r="M38" s="264"/>
      <c r="O38" s="264"/>
      <c r="P38" s="1497"/>
      <c r="Q38" s="1497"/>
    </row>
    <row r="39" spans="1:17">
      <c r="A39" s="1218" t="s">
        <v>252</v>
      </c>
      <c r="B39" s="42"/>
      <c r="C39" s="13">
        <f>ROUND(SUM(C26)-SUM(C35),1)</f>
        <v>0</v>
      </c>
      <c r="D39" s="42"/>
      <c r="E39" s="13">
        <f>ROUND(SUM(E26)-SUM(E35),1)</f>
        <v>1253</v>
      </c>
      <c r="F39" s="42"/>
      <c r="G39" s="13">
        <f>ROUND(SUM(G26)-SUM(G35),1)</f>
        <v>2426.3000000000002</v>
      </c>
      <c r="H39" s="42"/>
      <c r="I39" s="13">
        <v>0</v>
      </c>
      <c r="J39" s="42"/>
      <c r="K39" s="13">
        <f>+G39+I39</f>
        <v>2426.3000000000002</v>
      </c>
      <c r="L39" s="42"/>
      <c r="M39" s="13">
        <f>ROUND(SUM(M26)-SUM(M35),1)</f>
        <v>0</v>
      </c>
      <c r="N39" s="42"/>
      <c r="O39" s="13">
        <f>ROUND(SUM(O26)-SUM(O35),1)</f>
        <v>1173.3</v>
      </c>
      <c r="P39" s="1497"/>
      <c r="Q39" s="1497"/>
    </row>
    <row r="40" spans="1:17" ht="15" customHeight="1">
      <c r="C40" s="264"/>
      <c r="E40" s="264"/>
      <c r="G40" s="264"/>
      <c r="I40" s="264"/>
      <c r="K40" s="264"/>
      <c r="M40" s="264"/>
      <c r="O40" s="264"/>
      <c r="P40" s="1522"/>
      <c r="Q40" s="1523"/>
    </row>
    <row r="41" spans="1:17">
      <c r="A41" s="1218" t="str">
        <f>+'Exh D Governmental  '!A49</f>
        <v>Fund Balances (Deficits) at April 1</v>
      </c>
      <c r="C41" s="26">
        <v>0</v>
      </c>
      <c r="E41" s="26">
        <v>19189</v>
      </c>
      <c r="G41" s="13">
        <f>'Exh D Special Revenue State Fed'!G41+'Exh D Special Revenue State Fed'!S41</f>
        <v>21208.6</v>
      </c>
      <c r="I41" s="13">
        <v>0</v>
      </c>
      <c r="K41" s="13">
        <f>+G41+I41</f>
        <v>21208.6</v>
      </c>
      <c r="M41" s="13">
        <v>0</v>
      </c>
      <c r="O41" s="13">
        <f t="shared" ref="O41" si="6">K41-E41</f>
        <v>2019.5999999999985</v>
      </c>
      <c r="P41" s="1497"/>
      <c r="Q41" s="1497"/>
    </row>
    <row r="42" spans="1:17" ht="18" customHeight="1" thickBot="1">
      <c r="A42" s="1218" t="str">
        <f>+'Exh D Governmental  '!A50</f>
        <v>Fund Balances (Deficits) at April 30, 2026</v>
      </c>
      <c r="B42" s="42"/>
      <c r="C42" s="675">
        <f>ROUND(SUM(C39:C41),1)</f>
        <v>0</v>
      </c>
      <c r="D42" s="42"/>
      <c r="E42" s="675">
        <f>ROUND(SUM(E39:E41),1)</f>
        <v>20442</v>
      </c>
      <c r="F42" s="42"/>
      <c r="G42" s="675">
        <f>ROUND(SUM(G39:G41),1)</f>
        <v>23634.9</v>
      </c>
      <c r="H42" s="42"/>
      <c r="I42" s="675">
        <f>ROUND(SUM(I39:I41),1)</f>
        <v>0</v>
      </c>
      <c r="J42" s="42"/>
      <c r="K42" s="675">
        <f>ROUND(SUM(K39:K41),1)</f>
        <v>23634.9</v>
      </c>
      <c r="L42" s="42"/>
      <c r="M42" s="675">
        <f>ROUND(SUM(M39:M41),1)</f>
        <v>0</v>
      </c>
      <c r="N42" s="42"/>
      <c r="O42" s="675">
        <f>ROUND(SUM(O39:O41),1)</f>
        <v>3192.9</v>
      </c>
      <c r="P42" s="1497"/>
      <c r="Q42" s="1497"/>
    </row>
    <row r="43" spans="1:17" ht="15" customHeight="1" thickTop="1">
      <c r="A43" s="39"/>
      <c r="E43" s="290"/>
      <c r="G43" s="274"/>
      <c r="I43" s="274"/>
      <c r="K43" s="274"/>
      <c r="M43" s="274"/>
      <c r="O43" s="557"/>
    </row>
    <row r="44" spans="1:17">
      <c r="A44" s="386" t="str">
        <f>'Exh D Governmental  '!A52</f>
        <v>(*)  Source: 2026-27 Executive Budget with 30-day amendments dated February 20, 2026, which made no changes to the Executive Budget Financial Plan.</v>
      </c>
    </row>
    <row r="45" spans="1:17">
      <c r="A45" s="386" t="str">
        <f>'Exh D Governmental  '!A53</f>
        <v>Due to the absence of the 2026-27 Enacted Budget Financial Plan, the "Financial Plan Cashflow" is not available.</v>
      </c>
    </row>
    <row r="46" spans="1:17">
      <c r="A46" s="350" t="s">
        <v>1522</v>
      </c>
    </row>
    <row r="49" spans="1:1">
      <c r="A49" s="350"/>
    </row>
    <row r="51" spans="1:1">
      <c r="A51" s="55"/>
    </row>
    <row r="52" spans="1:1">
      <c r="A52" s="55"/>
    </row>
  </sheetData>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Z47"/>
  <sheetViews>
    <sheetView showGridLines="0" zoomScale="80" zoomScaleNormal="80" workbookViewId="0"/>
  </sheetViews>
  <sheetFormatPr defaultColWidth="8.84375" defaultRowHeight="15.5"/>
  <cols>
    <col min="1" max="1" width="53.07421875" style="291" customWidth="1"/>
    <col min="2" max="2" width="0.84375" style="256" customWidth="1"/>
    <col min="3" max="3" width="15.84375" style="128" customWidth="1"/>
    <col min="4" max="4" width="1.07421875" style="256" customWidth="1"/>
    <col min="5" max="5" width="15.84375" style="128" customWidth="1"/>
    <col min="6" max="6" width="1.07421875" style="256" customWidth="1"/>
    <col min="7" max="7" width="15.84375" style="256" customWidth="1"/>
    <col min="8" max="8" width="1.07421875" style="256" customWidth="1"/>
    <col min="9" max="9" width="15.84375" style="256" customWidth="1"/>
    <col min="10" max="10" width="1.07421875" style="256" customWidth="1"/>
    <col min="11" max="11" width="15.84375" style="256" customWidth="1"/>
    <col min="12" max="14" width="1.07421875" style="256" customWidth="1"/>
    <col min="15" max="15" width="15.84375" style="256" customWidth="1"/>
    <col min="16" max="16" width="1.07421875" style="256" customWidth="1"/>
    <col min="17" max="17" width="15.84375" style="256" customWidth="1"/>
    <col min="18" max="18" width="1.07421875" style="256" customWidth="1"/>
    <col min="19" max="19" width="15.84375" style="256" customWidth="1"/>
    <col min="20" max="20" width="1.07421875" style="256" customWidth="1"/>
    <col min="21" max="21" width="15.84375" style="256" customWidth="1"/>
    <col min="22" max="22" width="1.07421875" style="256" customWidth="1"/>
    <col min="23" max="23" width="15.84375" style="128" customWidth="1"/>
    <col min="24" max="24" width="1" style="256" customWidth="1"/>
    <col min="25" max="25" width="3.84375" style="128" customWidth="1"/>
    <col min="26" max="26" width="1" style="256" customWidth="1"/>
    <col min="27" max="16384" width="8.84375" style="291"/>
  </cols>
  <sheetData>
    <row r="1" spans="1:26">
      <c r="A1" s="387" t="s">
        <v>97</v>
      </c>
      <c r="B1" s="48"/>
      <c r="C1" s="124"/>
      <c r="D1" s="48"/>
      <c r="E1" s="124"/>
      <c r="F1" s="48"/>
      <c r="G1" s="48"/>
      <c r="H1" s="48"/>
      <c r="I1" s="48"/>
      <c r="J1" s="48"/>
      <c r="K1" s="48"/>
      <c r="L1" s="48"/>
      <c r="M1" s="48"/>
      <c r="N1" s="48"/>
      <c r="O1" s="48"/>
      <c r="P1" s="48"/>
      <c r="Q1" s="48"/>
      <c r="R1" s="48"/>
      <c r="S1" s="48"/>
      <c r="T1" s="48"/>
      <c r="U1" s="48"/>
      <c r="V1" s="48"/>
      <c r="W1" s="124"/>
      <c r="X1" s="48"/>
      <c r="Y1" s="124"/>
      <c r="Z1" s="48"/>
    </row>
    <row r="2" spans="1:26" ht="17.25" customHeight="1">
      <c r="A2" s="49"/>
      <c r="B2" s="48"/>
      <c r="C2" s="124"/>
      <c r="D2" s="48"/>
      <c r="E2" s="124"/>
      <c r="F2" s="48"/>
      <c r="G2" s="48"/>
      <c r="H2" s="48"/>
      <c r="I2" s="48"/>
      <c r="J2" s="48"/>
      <c r="K2" s="48"/>
      <c r="L2" s="48"/>
      <c r="M2" s="48"/>
      <c r="N2" s="48"/>
      <c r="O2" s="48"/>
      <c r="P2" s="48"/>
      <c r="Q2" s="48"/>
      <c r="R2" s="48"/>
      <c r="S2" s="48"/>
      <c r="T2" s="48"/>
      <c r="U2" s="48"/>
      <c r="V2" s="48"/>
      <c r="W2" s="124"/>
      <c r="X2" s="48"/>
      <c r="Y2" s="124"/>
      <c r="Z2" s="48"/>
    </row>
    <row r="3" spans="1:26" ht="18.75" customHeight="1">
      <c r="A3" s="50" t="s">
        <v>98</v>
      </c>
      <c r="B3" s="30"/>
      <c r="C3" s="125"/>
      <c r="D3" s="30"/>
      <c r="E3" s="125"/>
      <c r="F3" s="30"/>
      <c r="G3" s="30"/>
      <c r="H3" s="30"/>
      <c r="I3" s="30"/>
      <c r="J3" s="30"/>
      <c r="K3" s="30"/>
      <c r="L3" s="30"/>
      <c r="M3" s="30"/>
      <c r="N3" s="30"/>
      <c r="O3" s="30"/>
      <c r="P3" s="30"/>
      <c r="Q3" s="30"/>
      <c r="R3" s="30"/>
      <c r="S3" s="30"/>
      <c r="T3" s="30"/>
      <c r="U3" s="352"/>
      <c r="V3" s="30"/>
      <c r="W3" s="352" t="s">
        <v>224</v>
      </c>
      <c r="X3" s="30"/>
      <c r="Y3" s="125"/>
      <c r="Z3" s="30"/>
    </row>
    <row r="4" spans="1:26" ht="18.75" customHeight="1">
      <c r="A4" s="50" t="s">
        <v>225</v>
      </c>
      <c r="B4" s="30"/>
      <c r="C4" s="125"/>
      <c r="D4" s="30"/>
      <c r="E4" s="125"/>
      <c r="F4" s="30"/>
      <c r="G4" s="30"/>
      <c r="H4" s="30"/>
      <c r="I4" s="30"/>
      <c r="J4" s="30"/>
      <c r="K4" s="30"/>
      <c r="L4" s="30"/>
      <c r="M4" s="30"/>
      <c r="N4" s="30"/>
      <c r="O4" s="30"/>
      <c r="P4" s="30"/>
      <c r="Q4" s="30"/>
      <c r="R4" s="30"/>
      <c r="S4" s="30"/>
      <c r="T4" s="30"/>
      <c r="U4" s="353"/>
      <c r="V4" s="30"/>
      <c r="W4" s="353"/>
      <c r="X4" s="30"/>
      <c r="Y4" s="125"/>
      <c r="Z4" s="30"/>
    </row>
    <row r="5" spans="1:26" ht="18.75" customHeight="1">
      <c r="A5" s="2005" t="str">
        <f>'Exh D Governmental  '!A5</f>
        <v>FISCAL YEAR 2026-2027</v>
      </c>
      <c r="B5" s="23"/>
      <c r="C5" s="23"/>
      <c r="D5" s="23"/>
      <c r="E5" s="23"/>
      <c r="F5" s="30"/>
      <c r="G5" s="268"/>
      <c r="H5" s="30"/>
      <c r="I5" s="30"/>
      <c r="J5" s="30"/>
      <c r="K5" s="30"/>
      <c r="L5" s="30"/>
      <c r="M5" s="30"/>
      <c r="N5" s="30"/>
      <c r="O5" s="277"/>
      <c r="P5" s="30"/>
      <c r="Q5" s="30"/>
      <c r="R5" s="30"/>
      <c r="S5" s="30"/>
      <c r="T5" s="30"/>
      <c r="U5" s="30"/>
      <c r="V5" s="30"/>
      <c r="W5" s="125"/>
      <c r="X5" s="30"/>
      <c r="Y5" s="125"/>
      <c r="Z5" s="30"/>
    </row>
    <row r="6" spans="1:26" ht="18.75" customHeight="1">
      <c r="A6" s="33" t="str">
        <f>'Exh D Governmental  '!A6</f>
        <v>FOR ONE MONTH ENDED APRIL 30, 2026</v>
      </c>
      <c r="B6" s="30"/>
      <c r="C6" s="125"/>
      <c r="D6" s="30"/>
      <c r="E6" s="125"/>
      <c r="F6" s="30"/>
      <c r="G6" s="30"/>
      <c r="H6" s="30"/>
      <c r="I6" s="30"/>
      <c r="J6" s="30"/>
      <c r="K6" s="30"/>
      <c r="L6" s="30"/>
      <c r="M6" s="30"/>
      <c r="N6" s="30"/>
      <c r="O6" s="30"/>
      <c r="P6" s="30"/>
      <c r="Q6" s="30"/>
      <c r="R6" s="30"/>
      <c r="S6" s="30"/>
      <c r="T6" s="30"/>
      <c r="U6" s="30"/>
      <c r="V6" s="30"/>
      <c r="W6" s="125"/>
      <c r="X6" s="30"/>
      <c r="Y6" s="125"/>
      <c r="Z6" s="30"/>
    </row>
    <row r="7" spans="1:26" ht="18.75" customHeight="1">
      <c r="A7" s="50" t="s">
        <v>226</v>
      </c>
      <c r="B7" s="30"/>
      <c r="C7" s="125"/>
      <c r="D7" s="30"/>
      <c r="E7" s="125"/>
      <c r="F7" s="30"/>
      <c r="G7" s="30"/>
      <c r="H7" s="30"/>
      <c r="I7" s="30"/>
      <c r="J7" s="30"/>
      <c r="K7" s="30"/>
      <c r="L7" s="30"/>
      <c r="M7" s="30"/>
      <c r="N7" s="30"/>
      <c r="O7" s="30"/>
      <c r="P7" s="30"/>
      <c r="Q7" s="30"/>
      <c r="R7" s="30"/>
      <c r="S7" s="30"/>
      <c r="T7" s="30"/>
      <c r="U7" s="30"/>
      <c r="V7" s="30"/>
      <c r="W7" s="125"/>
      <c r="X7" s="30"/>
      <c r="Y7" s="125"/>
      <c r="Z7" s="30"/>
    </row>
    <row r="8" spans="1:26" ht="15" customHeight="1">
      <c r="A8" s="34"/>
      <c r="B8" s="30"/>
      <c r="C8" s="125"/>
      <c r="D8" s="30"/>
      <c r="E8" s="125"/>
      <c r="F8" s="30"/>
      <c r="G8" s="30"/>
      <c r="H8" s="30"/>
      <c r="I8" s="30"/>
      <c r="J8" s="30"/>
      <c r="K8" s="30"/>
      <c r="L8" s="30"/>
      <c r="M8" s="30"/>
      <c r="N8" s="30"/>
      <c r="O8" s="30"/>
      <c r="P8" s="30"/>
      <c r="Q8" s="30"/>
      <c r="R8" s="30"/>
      <c r="S8" s="30"/>
      <c r="T8" s="30"/>
      <c r="U8" s="30"/>
      <c r="V8" s="30"/>
      <c r="W8" s="125"/>
      <c r="X8" s="30"/>
      <c r="Y8" s="125"/>
      <c r="Z8" s="30"/>
    </row>
    <row r="9" spans="1:26">
      <c r="A9" s="35"/>
      <c r="B9" s="30"/>
      <c r="C9" s="125"/>
      <c r="D9" s="30"/>
      <c r="E9" s="125"/>
      <c r="F9" s="30"/>
      <c r="G9" s="30"/>
      <c r="H9" s="30"/>
      <c r="I9" s="30"/>
      <c r="J9" s="30"/>
      <c r="K9" s="30"/>
      <c r="L9" s="30"/>
      <c r="M9" s="30"/>
      <c r="N9" s="30"/>
      <c r="O9" s="30"/>
      <c r="P9" s="30"/>
      <c r="Q9" s="30"/>
      <c r="R9" s="30"/>
      <c r="S9" s="30"/>
      <c r="T9" s="30"/>
      <c r="U9" s="30"/>
      <c r="V9" s="30"/>
      <c r="W9" s="125"/>
      <c r="X9" s="30"/>
      <c r="Y9" s="125"/>
      <c r="Z9" s="30"/>
    </row>
    <row r="10" spans="1:26">
      <c r="A10" s="35"/>
      <c r="B10" s="30"/>
      <c r="C10" s="125"/>
      <c r="D10" s="30"/>
      <c r="E10" s="125"/>
      <c r="F10" s="30"/>
      <c r="G10" s="30"/>
      <c r="H10" s="30"/>
      <c r="I10" s="30"/>
      <c r="J10" s="30"/>
      <c r="K10" s="30"/>
      <c r="L10" s="30"/>
      <c r="M10" s="30"/>
      <c r="N10" s="30"/>
      <c r="O10" s="30"/>
      <c r="P10" s="30"/>
      <c r="Q10" s="30"/>
      <c r="R10" s="30"/>
      <c r="S10" s="30"/>
      <c r="T10" s="30"/>
      <c r="U10" s="30"/>
      <c r="V10" s="30"/>
      <c r="W10" s="125"/>
      <c r="X10" s="30"/>
      <c r="Y10" s="125"/>
      <c r="Z10" s="30"/>
    </row>
    <row r="11" spans="1:26">
      <c r="C11" s="2062" t="s">
        <v>1452</v>
      </c>
      <c r="D11" s="2062"/>
      <c r="E11" s="2062"/>
      <c r="F11" s="2062"/>
      <c r="G11" s="2062"/>
      <c r="H11" s="2062"/>
      <c r="I11" s="2062"/>
      <c r="J11" s="1219"/>
      <c r="K11" s="1219"/>
      <c r="L11" s="52"/>
      <c r="M11" s="52"/>
      <c r="N11" s="51"/>
      <c r="O11" s="2062" t="s">
        <v>1453</v>
      </c>
      <c r="P11" s="2062"/>
      <c r="Q11" s="2062"/>
      <c r="R11" s="2062"/>
      <c r="S11" s="2062"/>
      <c r="T11" s="2062"/>
      <c r="U11" s="2062"/>
      <c r="V11" s="1008"/>
      <c r="W11" s="1220"/>
      <c r="X11" s="533"/>
      <c r="Y11" s="533"/>
      <c r="Z11" s="533"/>
    </row>
    <row r="12" spans="1:26">
      <c r="C12" s="126"/>
      <c r="D12" s="52"/>
      <c r="E12" s="126"/>
      <c r="F12" s="52"/>
      <c r="G12" s="53"/>
      <c r="H12" s="52"/>
      <c r="I12" s="52" t="s">
        <v>228</v>
      </c>
      <c r="J12" s="52"/>
      <c r="K12" s="52" t="s">
        <v>228</v>
      </c>
      <c r="L12" s="52"/>
      <c r="M12" s="1525"/>
      <c r="N12" s="51"/>
      <c r="O12" s="126"/>
      <c r="P12" s="52"/>
      <c r="Q12" s="126"/>
      <c r="R12" s="52"/>
      <c r="S12" s="53"/>
      <c r="T12" s="52"/>
      <c r="U12" s="52" t="s">
        <v>228</v>
      </c>
      <c r="V12" s="52"/>
      <c r="W12" s="52" t="s">
        <v>228</v>
      </c>
      <c r="X12" s="52"/>
      <c r="Z12" s="52"/>
    </row>
    <row r="13" spans="1:26">
      <c r="B13" s="36"/>
      <c r="C13" s="127"/>
      <c r="D13" s="36"/>
      <c r="E13" s="127"/>
      <c r="F13" s="36"/>
      <c r="G13" s="36"/>
      <c r="H13" s="36"/>
      <c r="I13" s="37" t="s">
        <v>229</v>
      </c>
      <c r="J13" s="36"/>
      <c r="K13" s="37" t="s">
        <v>229</v>
      </c>
      <c r="L13" s="37"/>
      <c r="M13" s="1526"/>
      <c r="N13" s="37"/>
      <c r="O13" s="127"/>
      <c r="P13" s="36"/>
      <c r="Q13" s="127"/>
      <c r="R13" s="36"/>
      <c r="S13" s="36"/>
      <c r="T13" s="36"/>
      <c r="U13" s="37" t="s">
        <v>229</v>
      </c>
      <c r="V13" s="36"/>
      <c r="W13" s="37" t="s">
        <v>229</v>
      </c>
      <c r="X13" s="36"/>
      <c r="Y13" s="127"/>
      <c r="Z13" s="36"/>
    </row>
    <row r="14" spans="1:26">
      <c r="B14" s="54"/>
      <c r="C14" s="38" t="s">
        <v>231</v>
      </c>
      <c r="D14" s="36"/>
      <c r="E14" s="37" t="s">
        <v>232</v>
      </c>
      <c r="F14" s="36"/>
      <c r="G14" s="36"/>
      <c r="H14" s="36"/>
      <c r="I14" s="37" t="s">
        <v>233</v>
      </c>
      <c r="J14" s="36"/>
      <c r="K14" s="37" t="s">
        <v>233</v>
      </c>
      <c r="L14" s="37"/>
      <c r="M14" s="1526"/>
      <c r="N14" s="37"/>
      <c r="O14" s="38" t="s">
        <v>231</v>
      </c>
      <c r="P14" s="36"/>
      <c r="Q14" s="37" t="s">
        <v>232</v>
      </c>
      <c r="R14" s="36"/>
      <c r="S14" s="36"/>
      <c r="T14" s="36"/>
      <c r="U14" s="37" t="s">
        <v>233</v>
      </c>
      <c r="V14" s="36"/>
      <c r="W14" s="37" t="s">
        <v>233</v>
      </c>
      <c r="X14" s="291"/>
      <c r="Y14" s="37"/>
      <c r="Z14" s="36"/>
    </row>
    <row r="15" spans="1:26">
      <c r="B15" s="54"/>
      <c r="C15" s="37" t="s">
        <v>234</v>
      </c>
      <c r="D15" s="36"/>
      <c r="E15" s="37" t="s">
        <v>234</v>
      </c>
      <c r="F15" s="36"/>
      <c r="G15" s="36"/>
      <c r="H15" s="36"/>
      <c r="I15" s="37" t="s">
        <v>231</v>
      </c>
      <c r="J15" s="36"/>
      <c r="K15" s="37" t="s">
        <v>232</v>
      </c>
      <c r="L15" s="37"/>
      <c r="M15" s="1526"/>
      <c r="N15" s="37"/>
      <c r="O15" s="37" t="s">
        <v>234</v>
      </c>
      <c r="P15" s="36"/>
      <c r="Q15" s="37" t="s">
        <v>234</v>
      </c>
      <c r="R15" s="36"/>
      <c r="S15" s="36"/>
      <c r="T15" s="36"/>
      <c r="U15" s="37" t="s">
        <v>231</v>
      </c>
      <c r="V15" s="36"/>
      <c r="W15" s="37" t="s">
        <v>232</v>
      </c>
      <c r="X15" s="36"/>
      <c r="Y15" s="37"/>
      <c r="Z15" s="36"/>
    </row>
    <row r="16" spans="1:26">
      <c r="B16" s="37"/>
      <c r="C16" s="37" t="s">
        <v>1510</v>
      </c>
      <c r="D16" s="36"/>
      <c r="E16" s="37" t="s">
        <v>235</v>
      </c>
      <c r="F16" s="36"/>
      <c r="G16" s="38" t="s">
        <v>228</v>
      </c>
      <c r="H16" s="36"/>
      <c r="I16" s="37" t="s">
        <v>236</v>
      </c>
      <c r="J16" s="36"/>
      <c r="K16" s="37" t="s">
        <v>236</v>
      </c>
      <c r="L16" s="37"/>
      <c r="M16" s="1526"/>
      <c r="N16" s="37"/>
      <c r="O16" s="37" t="s">
        <v>1510</v>
      </c>
      <c r="P16" s="36"/>
      <c r="Q16" s="37" t="s">
        <v>235</v>
      </c>
      <c r="R16" s="36"/>
      <c r="S16" s="38" t="s">
        <v>228</v>
      </c>
      <c r="T16" s="36"/>
      <c r="U16" s="37" t="s">
        <v>236</v>
      </c>
      <c r="V16" s="36"/>
      <c r="W16" s="37" t="s">
        <v>236</v>
      </c>
      <c r="X16" s="36"/>
      <c r="Y16" s="37"/>
      <c r="Z16" s="36"/>
    </row>
    <row r="17" spans="1:26">
      <c r="A17" s="39"/>
      <c r="B17" s="30"/>
      <c r="C17" s="1006"/>
      <c r="D17" s="30"/>
      <c r="E17" s="1006"/>
      <c r="F17" s="30"/>
      <c r="G17" s="1006"/>
      <c r="H17" s="30"/>
      <c r="I17" s="1006"/>
      <c r="J17" s="30"/>
      <c r="K17" s="1006"/>
      <c r="L17" s="30"/>
      <c r="M17" s="1527"/>
      <c r="N17" s="30"/>
      <c r="O17" s="1006"/>
      <c r="P17" s="30"/>
      <c r="Q17" s="1006"/>
      <c r="R17" s="30"/>
      <c r="S17" s="1006"/>
      <c r="T17" s="30"/>
      <c r="U17" s="1006"/>
      <c r="V17" s="30"/>
      <c r="W17" s="1006"/>
      <c r="X17" s="30"/>
      <c r="Y17" s="30"/>
      <c r="Z17" s="30"/>
    </row>
    <row r="18" spans="1:26">
      <c r="A18" s="3" t="s">
        <v>114</v>
      </c>
      <c r="C18" s="256"/>
      <c r="E18" s="256"/>
      <c r="M18" s="1528"/>
      <c r="W18" s="256"/>
      <c r="Y18" s="256"/>
    </row>
    <row r="19" spans="1:26">
      <c r="A19" s="350" t="s">
        <v>237</v>
      </c>
      <c r="B19" s="379"/>
      <c r="C19" s="256"/>
      <c r="D19" s="379"/>
      <c r="E19" s="256"/>
      <c r="F19" s="379"/>
      <c r="H19" s="379"/>
      <c r="J19" s="379"/>
      <c r="M19" s="1528"/>
      <c r="P19" s="379"/>
      <c r="R19" s="379"/>
      <c r="T19" s="379"/>
      <c r="V19" s="379"/>
      <c r="W19" s="256"/>
      <c r="Y19" s="256"/>
    </row>
    <row r="20" spans="1:26">
      <c r="A20" s="350" t="s">
        <v>238</v>
      </c>
      <c r="B20" s="379" t="s">
        <v>103</v>
      </c>
      <c r="C20" s="277">
        <v>0</v>
      </c>
      <c r="D20" s="276"/>
      <c r="E20" s="277">
        <v>0</v>
      </c>
      <c r="F20" s="276"/>
      <c r="G20" s="274">
        <f>'Exhibit G State'!AC17</f>
        <v>0</v>
      </c>
      <c r="H20" s="276"/>
      <c r="I20" s="274">
        <f t="shared" ref="I20" si="0">G20-C20</f>
        <v>0</v>
      </c>
      <c r="J20" s="276"/>
      <c r="K20" s="274">
        <f>G20-E20</f>
        <v>0</v>
      </c>
      <c r="L20" s="274"/>
      <c r="M20" s="1502"/>
      <c r="O20" s="277">
        <v>0</v>
      </c>
      <c r="P20" s="276"/>
      <c r="Q20" s="277">
        <v>0</v>
      </c>
      <c r="R20" s="276"/>
      <c r="S20" s="274">
        <v>0</v>
      </c>
      <c r="T20" s="276"/>
      <c r="U20" s="274">
        <v>0</v>
      </c>
      <c r="V20" s="276"/>
      <c r="W20" s="274">
        <f>S20-Q20</f>
        <v>0</v>
      </c>
      <c r="X20" s="276"/>
      <c r="Y20" s="1529"/>
      <c r="Z20" s="276"/>
    </row>
    <row r="21" spans="1:26">
      <c r="A21" s="350" t="s">
        <v>239</v>
      </c>
      <c r="B21" s="256" t="s">
        <v>103</v>
      </c>
      <c r="C21" s="275">
        <v>0</v>
      </c>
      <c r="D21" s="1796"/>
      <c r="E21" s="275">
        <v>221</v>
      </c>
      <c r="F21" s="264"/>
      <c r="G21" s="264">
        <f>'Exhibit G State'!AC29</f>
        <v>221.9</v>
      </c>
      <c r="H21" s="264"/>
      <c r="I21" s="264">
        <v>0</v>
      </c>
      <c r="J21" s="264"/>
      <c r="K21" s="264">
        <f t="shared" ref="K21:K24" si="1">G21-E21</f>
        <v>0.90000000000000568</v>
      </c>
      <c r="L21" s="264"/>
      <c r="M21" s="991"/>
      <c r="O21" s="275">
        <v>0</v>
      </c>
      <c r="P21" s="1796"/>
      <c r="Q21" s="275">
        <v>0</v>
      </c>
      <c r="R21" s="264"/>
      <c r="S21" s="264">
        <v>0</v>
      </c>
      <c r="T21" s="264"/>
      <c r="U21" s="264">
        <v>0</v>
      </c>
      <c r="V21" s="264"/>
      <c r="W21" s="264">
        <f t="shared" ref="W21:W25" si="2">S21-Q21</f>
        <v>0</v>
      </c>
      <c r="X21" s="264"/>
      <c r="Y21" s="1529"/>
      <c r="Z21" s="264"/>
    </row>
    <row r="22" spans="1:26">
      <c r="A22" s="350" t="s">
        <v>240</v>
      </c>
      <c r="B22" s="379" t="s">
        <v>103</v>
      </c>
      <c r="C22" s="275">
        <v>0</v>
      </c>
      <c r="D22" s="367"/>
      <c r="E22" s="275">
        <v>388</v>
      </c>
      <c r="F22" s="287"/>
      <c r="G22" s="264">
        <f>'Exhibit G State'!AC36</f>
        <v>350.4</v>
      </c>
      <c r="H22" s="287"/>
      <c r="I22" s="264">
        <v>0</v>
      </c>
      <c r="J22" s="287"/>
      <c r="K22" s="264">
        <f t="shared" si="1"/>
        <v>-37.600000000000023</v>
      </c>
      <c r="L22" s="264"/>
      <c r="M22" s="991"/>
      <c r="O22" s="275">
        <v>0</v>
      </c>
      <c r="P22" s="367"/>
      <c r="Q22" s="275">
        <v>0</v>
      </c>
      <c r="R22" s="287"/>
      <c r="S22" s="264">
        <v>0</v>
      </c>
      <c r="T22" s="287"/>
      <c r="U22" s="264">
        <v>0</v>
      </c>
      <c r="V22" s="287"/>
      <c r="W22" s="264">
        <f t="shared" si="2"/>
        <v>0</v>
      </c>
      <c r="X22" s="287"/>
      <c r="Y22" s="1529"/>
      <c r="Z22" s="287"/>
    </row>
    <row r="23" spans="1:26" ht="15" customHeight="1">
      <c r="A23" s="350" t="s">
        <v>119</v>
      </c>
      <c r="B23" s="256" t="s">
        <v>103</v>
      </c>
      <c r="C23" s="275">
        <v>0</v>
      </c>
      <c r="D23" s="1797"/>
      <c r="E23" s="275">
        <v>1923</v>
      </c>
      <c r="F23" s="1199"/>
      <c r="G23" s="264">
        <f>'Exhibit G State'!AC81</f>
        <v>2052.1999999999998</v>
      </c>
      <c r="H23" s="1199"/>
      <c r="I23" s="264">
        <v>0</v>
      </c>
      <c r="J23" s="1199"/>
      <c r="K23" s="264">
        <f t="shared" si="1"/>
        <v>129.19999999999982</v>
      </c>
      <c r="L23" s="264"/>
      <c r="M23" s="991"/>
      <c r="O23" s="275">
        <v>0</v>
      </c>
      <c r="P23" s="1797"/>
      <c r="Q23" s="275">
        <v>46</v>
      </c>
      <c r="R23" s="1199"/>
      <c r="S23" s="288">
        <f>'Exhibit G Federal'!AC52</f>
        <v>52</v>
      </c>
      <c r="T23" s="1199"/>
      <c r="U23" s="264">
        <v>0</v>
      </c>
      <c r="V23" s="1199"/>
      <c r="W23" s="264">
        <f t="shared" si="2"/>
        <v>6</v>
      </c>
      <c r="X23" s="264"/>
      <c r="Y23" s="1529"/>
      <c r="Z23" s="264"/>
    </row>
    <row r="24" spans="1:26" ht="15" customHeight="1">
      <c r="A24" s="350" t="s">
        <v>120</v>
      </c>
      <c r="B24" s="256" t="s">
        <v>103</v>
      </c>
      <c r="C24" s="275">
        <v>0</v>
      </c>
      <c r="D24" s="1796"/>
      <c r="E24" s="275">
        <v>0</v>
      </c>
      <c r="F24" s="264"/>
      <c r="G24" s="288">
        <f>'Exhibit G State'!AC83</f>
        <v>0.1</v>
      </c>
      <c r="H24" s="264"/>
      <c r="I24" s="264">
        <v>0</v>
      </c>
      <c r="J24" s="264"/>
      <c r="K24" s="264">
        <f t="shared" si="1"/>
        <v>0.1</v>
      </c>
      <c r="L24" s="264"/>
      <c r="M24" s="991"/>
      <c r="O24" s="275">
        <v>0</v>
      </c>
      <c r="P24" s="1796"/>
      <c r="Q24" s="275">
        <v>8376</v>
      </c>
      <c r="R24" s="264"/>
      <c r="S24" s="288">
        <f>'Exhibit G Federal'!AC54</f>
        <v>8995.2000000000007</v>
      </c>
      <c r="T24" s="264"/>
      <c r="U24" s="264">
        <v>0</v>
      </c>
      <c r="V24" s="264"/>
      <c r="W24" s="264">
        <f t="shared" si="2"/>
        <v>619.20000000000073</v>
      </c>
      <c r="X24" s="264"/>
      <c r="Y24" s="1529"/>
      <c r="Z24" s="264"/>
    </row>
    <row r="25" spans="1:26">
      <c r="A25" s="350" t="s">
        <v>147</v>
      </c>
      <c r="B25" s="389" t="s">
        <v>103</v>
      </c>
      <c r="C25" s="836">
        <v>0</v>
      </c>
      <c r="D25" s="1796"/>
      <c r="E25" s="836">
        <v>419</v>
      </c>
      <c r="F25" s="264"/>
      <c r="G25" s="288">
        <f>'Exhibit G State'!AC112</f>
        <v>243.1</v>
      </c>
      <c r="H25" s="264"/>
      <c r="I25" s="264">
        <v>0</v>
      </c>
      <c r="J25" s="264"/>
      <c r="K25" s="264">
        <f>G25-E25</f>
        <v>-175.9</v>
      </c>
      <c r="L25" s="264"/>
      <c r="M25" s="991"/>
      <c r="N25" s="389"/>
      <c r="O25" s="836">
        <v>0</v>
      </c>
      <c r="P25" s="1796"/>
      <c r="Q25" s="836">
        <v>0</v>
      </c>
      <c r="R25" s="264"/>
      <c r="S25" s="288">
        <f>'Exhibit G Federal'!AC85</f>
        <v>0</v>
      </c>
      <c r="T25" s="264"/>
      <c r="U25" s="264">
        <v>0</v>
      </c>
      <c r="V25" s="264"/>
      <c r="W25" s="264">
        <f t="shared" si="2"/>
        <v>0</v>
      </c>
      <c r="X25" s="264"/>
      <c r="Y25" s="1529"/>
      <c r="Z25" s="264"/>
    </row>
    <row r="26" spans="1:26" ht="18" customHeight="1">
      <c r="A26" s="1218" t="s">
        <v>261</v>
      </c>
      <c r="B26" s="36" t="s">
        <v>103</v>
      </c>
      <c r="C26" s="618">
        <f>ROUND(SUM(C20:C25),1)</f>
        <v>0</v>
      </c>
      <c r="D26" s="13"/>
      <c r="E26" s="618">
        <f>ROUND(SUM(E20:E25),1)</f>
        <v>2951</v>
      </c>
      <c r="F26" s="13"/>
      <c r="G26" s="618">
        <f>ROUND(SUM(G20:G25),1)</f>
        <v>2867.7</v>
      </c>
      <c r="H26" s="13"/>
      <c r="I26" s="617">
        <f>ROUND(SUM(I20:I25),1)</f>
        <v>0</v>
      </c>
      <c r="J26" s="13"/>
      <c r="K26" s="617">
        <f>ROUND(SUM(K20:K25),1)</f>
        <v>-83.3</v>
      </c>
      <c r="L26" s="13"/>
      <c r="M26" s="1504"/>
      <c r="O26" s="618">
        <f>ROUND(SUM(O20:O25),1)</f>
        <v>0</v>
      </c>
      <c r="P26" s="13"/>
      <c r="Q26" s="618">
        <f>ROUND(SUM(Q20:Q25),1)</f>
        <v>8422</v>
      </c>
      <c r="R26" s="13"/>
      <c r="S26" s="617">
        <f>ROUND(SUM(S20:S25),1)</f>
        <v>9047.2000000000007</v>
      </c>
      <c r="T26" s="13"/>
      <c r="U26" s="617">
        <f>ROUND(SUM(U20:U25),1)</f>
        <v>0</v>
      </c>
      <c r="V26" s="13"/>
      <c r="W26" s="617">
        <f>ROUND(SUM(W20:W25),1)</f>
        <v>625.20000000000005</v>
      </c>
      <c r="X26" s="13"/>
      <c r="Y26" s="13"/>
      <c r="Z26" s="13"/>
    </row>
    <row r="27" spans="1:26">
      <c r="C27" s="616"/>
      <c r="D27" s="264"/>
      <c r="E27" s="616"/>
      <c r="F27" s="264"/>
      <c r="G27" s="616"/>
      <c r="H27" s="264"/>
      <c r="I27" s="264"/>
      <c r="J27" s="264"/>
      <c r="K27" s="264"/>
      <c r="L27" s="264"/>
      <c r="M27" s="991"/>
      <c r="O27" s="616"/>
      <c r="P27" s="264"/>
      <c r="Q27" s="616"/>
      <c r="R27" s="264"/>
      <c r="S27" s="616"/>
      <c r="T27" s="264"/>
      <c r="U27" s="264"/>
      <c r="V27" s="264"/>
      <c r="W27" s="264"/>
      <c r="X27" s="264"/>
      <c r="Y27" s="264"/>
      <c r="Z27" s="264"/>
    </row>
    <row r="28" spans="1:26">
      <c r="A28" s="3" t="s">
        <v>122</v>
      </c>
      <c r="C28" s="264"/>
      <c r="D28" s="264"/>
      <c r="E28" s="264"/>
      <c r="F28" s="264"/>
      <c r="G28" s="264"/>
      <c r="H28" s="264"/>
      <c r="I28" s="264"/>
      <c r="J28" s="264"/>
      <c r="K28" s="264"/>
      <c r="L28" s="264"/>
      <c r="M28" s="991"/>
      <c r="O28" s="264"/>
      <c r="P28" s="264"/>
      <c r="Q28" s="264"/>
      <c r="R28" s="264"/>
      <c r="S28" s="264"/>
      <c r="T28" s="264"/>
      <c r="U28" s="264"/>
      <c r="V28" s="264"/>
      <c r="W28" s="264"/>
      <c r="X28" s="264"/>
      <c r="Y28" s="264"/>
      <c r="Z28" s="264"/>
    </row>
    <row r="29" spans="1:26">
      <c r="A29" s="350" t="s">
        <v>243</v>
      </c>
      <c r="B29" s="379" t="s">
        <v>103</v>
      </c>
      <c r="C29" s="275">
        <v>0</v>
      </c>
      <c r="D29" s="1796"/>
      <c r="E29" s="275">
        <v>747</v>
      </c>
      <c r="F29" s="264"/>
      <c r="G29" s="287">
        <f>'Exhibit G State'!AC99</f>
        <v>674.3</v>
      </c>
      <c r="H29" s="264"/>
      <c r="I29" s="264">
        <v>0</v>
      </c>
      <c r="J29" s="264"/>
      <c r="K29" s="264">
        <f t="shared" ref="K29:K34" si="3">G29-E29</f>
        <v>-72.700000000000045</v>
      </c>
      <c r="L29" s="264"/>
      <c r="M29" s="991"/>
      <c r="O29" s="275">
        <v>0</v>
      </c>
      <c r="P29" s="1796"/>
      <c r="Q29" s="275">
        <v>7972</v>
      </c>
      <c r="R29" s="264"/>
      <c r="S29" s="287">
        <f>'Exhibit G Federal'!AC70</f>
        <v>7483.3</v>
      </c>
      <c r="T29" s="264"/>
      <c r="U29" s="264">
        <v>0</v>
      </c>
      <c r="V29" s="264"/>
      <c r="W29" s="264">
        <f>S29-Q29</f>
        <v>-488.69999999999982</v>
      </c>
      <c r="X29" s="264"/>
      <c r="Y29" s="1529"/>
      <c r="Z29" s="264"/>
    </row>
    <row r="30" spans="1:26">
      <c r="A30" s="350" t="s">
        <v>244</v>
      </c>
      <c r="B30" s="379" t="s">
        <v>103</v>
      </c>
      <c r="C30" s="275">
        <v>0</v>
      </c>
      <c r="D30" s="1796"/>
      <c r="E30" s="275">
        <v>894</v>
      </c>
      <c r="F30" s="264"/>
      <c r="G30" s="287">
        <f>'Exhibit G State'!AC101+'Exhibit G State'!AC102</f>
        <v>880.8</v>
      </c>
      <c r="H30" s="264"/>
      <c r="I30" s="264">
        <v>0</v>
      </c>
      <c r="J30" s="264"/>
      <c r="K30" s="264">
        <f t="shared" si="3"/>
        <v>-13.200000000000045</v>
      </c>
      <c r="L30" s="264"/>
      <c r="M30" s="991"/>
      <c r="O30" s="275">
        <v>0</v>
      </c>
      <c r="P30" s="1796"/>
      <c r="Q30" s="275">
        <v>182</v>
      </c>
      <c r="R30" s="264"/>
      <c r="S30" s="287">
        <f>'Exhibit G Federal'!AC72+'Exhibit G Federal'!AC73</f>
        <v>140.30000000000001</v>
      </c>
      <c r="T30" s="264"/>
      <c r="U30" s="264">
        <v>0</v>
      </c>
      <c r="V30" s="264"/>
      <c r="W30" s="264">
        <f t="shared" ref="W30:W34" si="4">S30-Q30</f>
        <v>-41.699999999999989</v>
      </c>
      <c r="X30" s="264"/>
      <c r="Y30" s="1529"/>
      <c r="Z30" s="264"/>
    </row>
    <row r="31" spans="1:26">
      <c r="A31" s="350" t="s">
        <v>209</v>
      </c>
      <c r="B31" s="379" t="s">
        <v>103</v>
      </c>
      <c r="C31" s="275">
        <v>0</v>
      </c>
      <c r="D31" s="1796"/>
      <c r="E31" s="275">
        <v>90</v>
      </c>
      <c r="F31" s="264"/>
      <c r="G31" s="287">
        <f>'Exhibit G State'!AC103</f>
        <v>34.5</v>
      </c>
      <c r="H31" s="264"/>
      <c r="I31" s="264">
        <v>0</v>
      </c>
      <c r="J31" s="264"/>
      <c r="K31" s="264">
        <f t="shared" si="3"/>
        <v>-55.5</v>
      </c>
      <c r="L31" s="264"/>
      <c r="M31" s="991"/>
      <c r="O31" s="275">
        <v>0</v>
      </c>
      <c r="P31" s="1796"/>
      <c r="Q31" s="275">
        <v>27</v>
      </c>
      <c r="R31" s="264"/>
      <c r="S31" s="287">
        <f>'Exhibit G Federal'!AC74</f>
        <v>0</v>
      </c>
      <c r="T31" s="264"/>
      <c r="U31" s="264">
        <f t="shared" ref="U31:U33" si="5">S31-O31</f>
        <v>0</v>
      </c>
      <c r="V31" s="264"/>
      <c r="W31" s="264">
        <f t="shared" si="4"/>
        <v>-27</v>
      </c>
      <c r="X31" s="264"/>
      <c r="Y31" s="1529"/>
      <c r="Z31" s="264"/>
    </row>
    <row r="32" spans="1:26">
      <c r="A32" s="350" t="s">
        <v>245</v>
      </c>
      <c r="B32" s="379"/>
      <c r="C32" s="275">
        <v>0</v>
      </c>
      <c r="D32" s="379"/>
      <c r="E32" s="275">
        <v>0</v>
      </c>
      <c r="F32" s="264"/>
      <c r="G32" s="287">
        <v>0</v>
      </c>
      <c r="H32" s="264"/>
      <c r="I32" s="264">
        <f t="shared" ref="I32:I33" si="6">G32-C32</f>
        <v>0</v>
      </c>
      <c r="J32" s="264"/>
      <c r="K32" s="264">
        <f t="shared" si="3"/>
        <v>0</v>
      </c>
      <c r="L32" s="264"/>
      <c r="M32" s="991"/>
      <c r="O32" s="275">
        <v>0</v>
      </c>
      <c r="P32" s="379"/>
      <c r="Q32" s="275">
        <v>0</v>
      </c>
      <c r="R32" s="264"/>
      <c r="S32" s="287">
        <f>'Exhibit G Federal'!AC76</f>
        <v>0</v>
      </c>
      <c r="T32" s="264"/>
      <c r="U32" s="264">
        <f t="shared" si="5"/>
        <v>0</v>
      </c>
      <c r="V32" s="264"/>
      <c r="W32" s="264">
        <f t="shared" si="4"/>
        <v>0</v>
      </c>
      <c r="X32" s="264"/>
      <c r="Y32" s="1529"/>
      <c r="Z32" s="264"/>
    </row>
    <row r="33" spans="1:26">
      <c r="A33" s="350" t="s">
        <v>140</v>
      </c>
      <c r="B33" s="389" t="s">
        <v>103</v>
      </c>
      <c r="C33" s="275">
        <v>0</v>
      </c>
      <c r="D33" s="379"/>
      <c r="E33" s="275">
        <v>0</v>
      </c>
      <c r="F33" s="264"/>
      <c r="G33" s="275">
        <f>'Exhibit G State'!AC104</f>
        <v>0</v>
      </c>
      <c r="H33" s="264"/>
      <c r="I33" s="264">
        <f t="shared" si="6"/>
        <v>0</v>
      </c>
      <c r="J33" s="264"/>
      <c r="K33" s="264">
        <f t="shared" si="3"/>
        <v>0</v>
      </c>
      <c r="L33" s="264"/>
      <c r="M33" s="991"/>
      <c r="N33" s="389"/>
      <c r="O33" s="275">
        <v>0</v>
      </c>
      <c r="P33" s="379"/>
      <c r="Q33" s="275">
        <v>0</v>
      </c>
      <c r="R33" s="264"/>
      <c r="S33" s="287">
        <f>'Exhibit G Federal'!AC77</f>
        <v>0</v>
      </c>
      <c r="T33" s="264"/>
      <c r="U33" s="264">
        <f t="shared" si="5"/>
        <v>0</v>
      </c>
      <c r="V33" s="264"/>
      <c r="W33" s="264">
        <f t="shared" si="4"/>
        <v>0</v>
      </c>
      <c r="X33" s="264"/>
      <c r="Y33" s="1529"/>
      <c r="Z33" s="264"/>
    </row>
    <row r="34" spans="1:26">
      <c r="A34" s="350" t="s">
        <v>248</v>
      </c>
      <c r="B34" s="389" t="s">
        <v>103</v>
      </c>
      <c r="C34" s="275">
        <v>0</v>
      </c>
      <c r="D34" s="379"/>
      <c r="E34" s="275">
        <v>0</v>
      </c>
      <c r="F34" s="264"/>
      <c r="G34" s="288">
        <f>-'Exhibit G State'!AC113</f>
        <v>22.4</v>
      </c>
      <c r="H34" s="264"/>
      <c r="I34" s="264">
        <v>0</v>
      </c>
      <c r="J34" s="264"/>
      <c r="K34" s="264">
        <f t="shared" si="3"/>
        <v>22.4</v>
      </c>
      <c r="L34" s="264"/>
      <c r="M34" s="991"/>
      <c r="N34" s="389"/>
      <c r="O34" s="275">
        <v>0</v>
      </c>
      <c r="P34" s="379"/>
      <c r="Q34" s="275">
        <v>208</v>
      </c>
      <c r="R34" s="264"/>
      <c r="S34" s="288">
        <f>-'Exhibit G Federal'!AC86</f>
        <v>253</v>
      </c>
      <c r="T34" s="264"/>
      <c r="U34" s="264">
        <v>0</v>
      </c>
      <c r="V34" s="264"/>
      <c r="W34" s="264">
        <f t="shared" si="4"/>
        <v>45</v>
      </c>
      <c r="X34" s="264"/>
      <c r="Y34" s="1529"/>
      <c r="Z34" s="264"/>
    </row>
    <row r="35" spans="1:26" ht="18" customHeight="1">
      <c r="A35" s="1218" t="s">
        <v>270</v>
      </c>
      <c r="B35" s="36" t="s">
        <v>103</v>
      </c>
      <c r="C35" s="617">
        <f>ROUND(SUM(C29:C34),1)</f>
        <v>0</v>
      </c>
      <c r="D35" s="13"/>
      <c r="E35" s="617">
        <f>ROUND(SUM(E29:E34),1)</f>
        <v>1731</v>
      </c>
      <c r="F35" s="13"/>
      <c r="G35" s="617">
        <f>ROUND(SUM(G29:G34),1)</f>
        <v>1612</v>
      </c>
      <c r="H35" s="13"/>
      <c r="I35" s="617">
        <f>ROUND(SUM(I29:I34),1)</f>
        <v>0</v>
      </c>
      <c r="J35" s="13"/>
      <c r="K35" s="617">
        <f>ROUND(SUM(K29:K34),1)</f>
        <v>-119</v>
      </c>
      <c r="L35" s="13"/>
      <c r="M35" s="1504"/>
      <c r="N35" s="36"/>
      <c r="O35" s="617">
        <f>ROUND(SUM(O29:O34),1)</f>
        <v>0</v>
      </c>
      <c r="P35" s="13"/>
      <c r="Q35" s="617">
        <f>ROUND(SUM(Q29:Q34),1)</f>
        <v>8389</v>
      </c>
      <c r="R35" s="13"/>
      <c r="S35" s="617">
        <f>ROUND(SUM(S29:S34),1)</f>
        <v>7876.6</v>
      </c>
      <c r="T35" s="13"/>
      <c r="U35" s="617">
        <f>ROUND(SUM(U29:U34),1)</f>
        <v>0</v>
      </c>
      <c r="V35" s="13"/>
      <c r="W35" s="617">
        <f>ROUND(SUM(W29:W34),1)</f>
        <v>-512.4</v>
      </c>
      <c r="X35" s="13"/>
      <c r="Y35" s="13"/>
      <c r="Z35" s="13"/>
    </row>
    <row r="36" spans="1:26">
      <c r="C36" s="616"/>
      <c r="D36" s="264"/>
      <c r="E36" s="616"/>
      <c r="F36" s="264"/>
      <c r="G36" s="616"/>
      <c r="H36" s="264"/>
      <c r="I36" s="264"/>
      <c r="J36" s="264"/>
      <c r="K36" s="264"/>
      <c r="L36" s="264"/>
      <c r="M36" s="991"/>
      <c r="O36" s="616"/>
      <c r="P36" s="264"/>
      <c r="Q36" s="616"/>
      <c r="R36" s="264"/>
      <c r="S36" s="616"/>
      <c r="T36" s="264"/>
      <c r="U36" s="264"/>
      <c r="V36" s="264"/>
      <c r="W36" s="264"/>
      <c r="X36" s="264"/>
      <c r="Y36" s="264"/>
      <c r="Z36" s="264"/>
    </row>
    <row r="37" spans="1:26">
      <c r="A37" s="3" t="s">
        <v>271</v>
      </c>
      <c r="C37" s="264"/>
      <c r="D37" s="264"/>
      <c r="E37" s="264"/>
      <c r="F37" s="264"/>
      <c r="G37" s="264"/>
      <c r="H37" s="264"/>
      <c r="I37" s="264"/>
      <c r="J37" s="264"/>
      <c r="K37" s="264"/>
      <c r="L37" s="264"/>
      <c r="M37" s="991"/>
      <c r="O37" s="264"/>
      <c r="P37" s="264"/>
      <c r="Q37" s="264"/>
      <c r="R37" s="264"/>
      <c r="S37" s="264"/>
      <c r="T37" s="264"/>
      <c r="U37" s="264"/>
      <c r="V37" s="264"/>
      <c r="W37" s="264"/>
      <c r="X37" s="264"/>
      <c r="Y37" s="264"/>
      <c r="Z37" s="264"/>
    </row>
    <row r="38" spans="1:26">
      <c r="A38" s="3" t="s">
        <v>272</v>
      </c>
      <c r="C38" s="264"/>
      <c r="D38" s="264"/>
      <c r="E38" s="264"/>
      <c r="F38" s="264"/>
      <c r="G38" s="264"/>
      <c r="H38" s="264"/>
      <c r="I38" s="264"/>
      <c r="J38" s="264"/>
      <c r="K38" s="264"/>
      <c r="L38" s="264"/>
      <c r="M38" s="991"/>
      <c r="O38" s="264"/>
      <c r="P38" s="264"/>
      <c r="Q38" s="264"/>
      <c r="R38" s="264"/>
      <c r="S38" s="264"/>
      <c r="T38" s="264"/>
      <c r="U38" s="264"/>
      <c r="V38" s="264"/>
      <c r="W38" s="264"/>
      <c r="X38" s="264"/>
      <c r="Y38" s="264"/>
      <c r="Z38" s="264"/>
    </row>
    <row r="39" spans="1:26">
      <c r="A39" s="1218" t="s">
        <v>252</v>
      </c>
      <c r="B39" s="1217" t="s">
        <v>103</v>
      </c>
      <c r="C39" s="13">
        <f>ROUND(SUM(C26)-SUM(C35),1)</f>
        <v>0</v>
      </c>
      <c r="D39" s="18"/>
      <c r="E39" s="13">
        <f>ROUND(SUM(E26)-SUM(E35),1)</f>
        <v>1220</v>
      </c>
      <c r="F39" s="18"/>
      <c r="G39" s="13">
        <f>ROUND(SUM(G26)-SUM(G35),1)</f>
        <v>1255.7</v>
      </c>
      <c r="H39" s="18"/>
      <c r="I39" s="13">
        <f>ROUND(SUM(I26)-SUM(I35),1)</f>
        <v>0</v>
      </c>
      <c r="J39" s="18"/>
      <c r="K39" s="13">
        <f>ROUND(SUM(K26)-SUM(K35),1)</f>
        <v>35.700000000000003</v>
      </c>
      <c r="L39" s="13"/>
      <c r="M39" s="1504"/>
      <c r="N39" s="36"/>
      <c r="O39" s="13">
        <f>ROUND(SUM(O26)-SUM(O35),1)</f>
        <v>0</v>
      </c>
      <c r="P39" s="18"/>
      <c r="Q39" s="13">
        <f>ROUND(SUM(Q26)-SUM(Q35),1)</f>
        <v>33</v>
      </c>
      <c r="R39" s="18"/>
      <c r="S39" s="13">
        <f>ROUND(SUM(S26)-SUM(S35),1)</f>
        <v>1170.5999999999999</v>
      </c>
      <c r="T39" s="18"/>
      <c r="U39" s="13">
        <f>ROUND(SUM(U26)-SUM(U35),1)</f>
        <v>0</v>
      </c>
      <c r="V39" s="18"/>
      <c r="W39" s="13">
        <f>ROUND(SUM(W26)-SUM(W35),1)</f>
        <v>1137.5999999999999</v>
      </c>
      <c r="X39" s="18"/>
      <c r="Y39" s="13"/>
      <c r="Z39" s="18"/>
    </row>
    <row r="40" spans="1:26" ht="15" customHeight="1">
      <c r="C40" s="264"/>
      <c r="D40" s="264"/>
      <c r="E40" s="264"/>
      <c r="F40" s="264"/>
      <c r="G40" s="264"/>
      <c r="H40" s="264"/>
      <c r="I40" s="13"/>
      <c r="J40" s="264"/>
      <c r="K40" s="13"/>
      <c r="L40" s="264"/>
      <c r="M40" s="1504"/>
      <c r="N40" s="36"/>
      <c r="O40" s="264"/>
      <c r="P40" s="264"/>
      <c r="Q40" s="264"/>
      <c r="R40" s="264"/>
      <c r="S40" s="264"/>
      <c r="T40" s="264"/>
      <c r="U40" s="13"/>
      <c r="V40" s="264"/>
      <c r="W40" s="13"/>
      <c r="X40" s="264"/>
      <c r="Y40" s="264"/>
      <c r="Z40" s="264"/>
    </row>
    <row r="41" spans="1:26">
      <c r="A41" s="1218" t="str">
        <f>+'Exh D Governmental  '!A49</f>
        <v>Fund Balances (Deficits) at April 1</v>
      </c>
      <c r="B41" s="256" t="s">
        <v>103</v>
      </c>
      <c r="C41" s="13">
        <v>0</v>
      </c>
      <c r="D41" s="264"/>
      <c r="E41" s="13">
        <v>10906</v>
      </c>
      <c r="F41" s="264"/>
      <c r="G41" s="13">
        <v>12731.9</v>
      </c>
      <c r="H41" s="264"/>
      <c r="I41" s="13">
        <v>0</v>
      </c>
      <c r="J41" s="264"/>
      <c r="K41" s="13">
        <f t="shared" ref="K41" si="7">G41-E41</f>
        <v>1825.8999999999996</v>
      </c>
      <c r="L41" s="13"/>
      <c r="M41" s="1800"/>
      <c r="N41" s="36"/>
      <c r="O41" s="13">
        <v>0</v>
      </c>
      <c r="P41" s="264"/>
      <c r="Q41" s="13">
        <v>8283</v>
      </c>
      <c r="R41" s="264"/>
      <c r="S41" s="13">
        <v>8476.7000000000007</v>
      </c>
      <c r="T41" s="264"/>
      <c r="U41" s="13">
        <v>0</v>
      </c>
      <c r="V41" s="264"/>
      <c r="W41" s="13">
        <f t="shared" ref="W41" si="8">S41-Q41</f>
        <v>193.70000000000073</v>
      </c>
      <c r="X41" s="264"/>
      <c r="Y41" s="13"/>
      <c r="Z41" s="264"/>
    </row>
    <row r="42" spans="1:26" ht="18" customHeight="1" thickBot="1">
      <c r="A42" s="1218" t="str">
        <f>+'Exh D Governmental  '!A50</f>
        <v>Fund Balances (Deficits) at April 30, 2026</v>
      </c>
      <c r="B42" s="43" t="s">
        <v>103</v>
      </c>
      <c r="C42" s="675">
        <f>ROUND(SUM(C39:C41),1)</f>
        <v>0</v>
      </c>
      <c r="D42" s="44"/>
      <c r="E42" s="675">
        <f>ROUND(SUM(E39:E41),1)</f>
        <v>12126</v>
      </c>
      <c r="F42" s="44"/>
      <c r="G42" s="675">
        <f>ROUND(SUM(G39:G41),1)</f>
        <v>13987.6</v>
      </c>
      <c r="H42" s="44"/>
      <c r="I42" s="675">
        <f>ROUND(SUM(I39:I41),1)</f>
        <v>0</v>
      </c>
      <c r="J42" s="44"/>
      <c r="K42" s="675">
        <f>ROUND(SUM(K39:K41),1)</f>
        <v>1861.6</v>
      </c>
      <c r="L42" s="20"/>
      <c r="M42" s="340"/>
      <c r="N42" s="36"/>
      <c r="O42" s="675">
        <f>ROUND(SUM(O39:O41),1)</f>
        <v>0</v>
      </c>
      <c r="P42" s="44"/>
      <c r="Q42" s="675">
        <f>ROUND(SUM(Q39:Q41),1)</f>
        <v>8316</v>
      </c>
      <c r="R42" s="44"/>
      <c r="S42" s="675">
        <f>ROUND(SUM(S39:S41),1)</f>
        <v>9647.2999999999993</v>
      </c>
      <c r="T42" s="44"/>
      <c r="U42" s="675">
        <f>ROUND(SUM(U39:U41),1)</f>
        <v>0</v>
      </c>
      <c r="V42" s="44"/>
      <c r="W42" s="675">
        <f>ROUND(SUM(W39:W41),1)</f>
        <v>1331.3</v>
      </c>
      <c r="X42" s="44"/>
      <c r="Y42" s="20"/>
      <c r="Z42" s="44"/>
    </row>
    <row r="43" spans="1:26" ht="15" customHeight="1" thickTop="1">
      <c r="A43" s="39"/>
      <c r="W43" s="256"/>
      <c r="X43" s="274"/>
      <c r="Y43" s="290"/>
      <c r="Z43" s="274"/>
    </row>
    <row r="44" spans="1:26">
      <c r="A44" s="386" t="str">
        <f>'Exh D Governmental  '!A52</f>
        <v>(*)  Source: 2026-27 Executive Budget with 30-day amendments dated February 20, 2026, which made no changes to the Executive Budget Financial Plan.</v>
      </c>
    </row>
    <row r="45" spans="1:26">
      <c r="A45" s="386" t="str">
        <f>'Exh D Governmental  '!A53</f>
        <v>Due to the absence of the 2026-27 Enacted Budget Financial Plan, the "Financial Plan Cashflow" is not available.</v>
      </c>
      <c r="B45" s="291"/>
      <c r="C45" s="274"/>
      <c r="D45" s="291"/>
      <c r="E45" s="291"/>
      <c r="F45" s="291"/>
      <c r="G45" s="291"/>
      <c r="H45" s="291"/>
      <c r="I45" s="291"/>
      <c r="J45" s="291"/>
      <c r="K45" s="291"/>
      <c r="L45" s="291"/>
      <c r="M45" s="291"/>
      <c r="N45" s="291"/>
      <c r="O45" s="291"/>
      <c r="P45" s="291"/>
      <c r="Q45" s="291"/>
      <c r="R45" s="291"/>
      <c r="S45" s="274"/>
      <c r="T45" s="291"/>
      <c r="U45" s="291"/>
      <c r="V45" s="291"/>
      <c r="W45" s="291"/>
      <c r="X45" s="291"/>
      <c r="Y45" s="291"/>
      <c r="Z45" s="291"/>
    </row>
    <row r="46" spans="1:26">
      <c r="A46" s="386"/>
      <c r="B46" s="291"/>
      <c r="C46" s="274"/>
      <c r="D46" s="291"/>
      <c r="E46" s="291"/>
      <c r="F46" s="291"/>
      <c r="G46" s="291"/>
      <c r="H46" s="291"/>
      <c r="I46" s="291"/>
      <c r="J46" s="291"/>
      <c r="K46" s="291"/>
      <c r="L46" s="291"/>
      <c r="M46" s="291"/>
      <c r="N46" s="291"/>
      <c r="O46" s="291"/>
      <c r="P46" s="291"/>
      <c r="Q46" s="291"/>
      <c r="R46" s="291"/>
      <c r="S46" s="274"/>
      <c r="T46" s="291"/>
      <c r="U46" s="291"/>
      <c r="V46" s="291"/>
      <c r="W46" s="291"/>
      <c r="X46" s="291"/>
      <c r="Y46" s="291"/>
      <c r="Z46" s="291"/>
    </row>
    <row r="47" spans="1:26">
      <c r="A47" s="372"/>
    </row>
  </sheetData>
  <mergeCells count="2">
    <mergeCell ref="C11:I11"/>
    <mergeCell ref="O11:U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customProperties>
    <customPr name="SheetOptions" r:id="rId2"/>
  </customProperties>
  <ignoredErrors>
    <ignoredError sqref="AA6:XFD6 B6 N6 Q6 E6 G6 I6 S6 U6 A5:A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L44"/>
  <sheetViews>
    <sheetView showGridLines="0" zoomScale="90" zoomScaleNormal="90" workbookViewId="0"/>
  </sheetViews>
  <sheetFormatPr defaultColWidth="8.84375" defaultRowHeight="15.5"/>
  <cols>
    <col min="1" max="1" width="47.07421875" style="291" customWidth="1"/>
    <col min="2" max="2" width="2" style="256" customWidth="1"/>
    <col min="3" max="3" width="15.07421875" style="128" customWidth="1"/>
    <col min="4" max="4" width="1.07421875" style="256" customWidth="1"/>
    <col min="5" max="5" width="15.07421875" style="128" customWidth="1"/>
    <col min="6" max="6" width="1.07421875" style="256" customWidth="1"/>
    <col min="7" max="7" width="15.07421875" style="256" customWidth="1"/>
    <col min="8" max="8" width="1.07421875" style="256" customWidth="1"/>
    <col min="9" max="9" width="15.07421875" style="256" customWidth="1"/>
    <col min="10" max="10" width="1.07421875" style="256" customWidth="1"/>
    <col min="11" max="11" width="15.07421875" style="256" customWidth="1"/>
    <col min="12" max="12" width="11.4609375" style="256" customWidth="1"/>
    <col min="13" max="16384" width="8.84375" style="291"/>
  </cols>
  <sheetData>
    <row r="1" spans="1:12">
      <c r="A1" s="387" t="s">
        <v>97</v>
      </c>
      <c r="B1" s="48"/>
      <c r="C1" s="124"/>
      <c r="D1" s="48"/>
      <c r="E1" s="124"/>
      <c r="F1" s="48"/>
      <c r="G1" s="48"/>
      <c r="H1" s="48"/>
      <c r="I1" s="48"/>
      <c r="J1" s="48"/>
      <c r="K1" s="48"/>
      <c r="L1" s="48"/>
    </row>
    <row r="2" spans="1:12" ht="17.149999999999999" customHeight="1">
      <c r="A2" s="49"/>
      <c r="B2" s="48"/>
      <c r="C2" s="124"/>
      <c r="D2" s="48"/>
      <c r="E2" s="124"/>
      <c r="F2" s="48"/>
      <c r="G2" s="48"/>
      <c r="H2" s="48"/>
      <c r="I2" s="48"/>
      <c r="J2" s="48"/>
      <c r="K2" s="48"/>
      <c r="L2" s="48"/>
    </row>
    <row r="3" spans="1:12" ht="18">
      <c r="A3" s="50" t="s">
        <v>98</v>
      </c>
      <c r="B3" s="30"/>
      <c r="C3" s="125"/>
      <c r="D3" s="30"/>
      <c r="E3" s="125"/>
      <c r="F3" s="30"/>
      <c r="G3" s="30"/>
      <c r="H3" s="30"/>
      <c r="I3" s="352"/>
      <c r="J3" s="30"/>
      <c r="K3" s="352" t="s">
        <v>224</v>
      </c>
      <c r="L3" s="30"/>
    </row>
    <row r="4" spans="1:12" ht="18">
      <c r="A4" s="50" t="s">
        <v>225</v>
      </c>
      <c r="B4" s="30"/>
      <c r="C4" s="125"/>
      <c r="D4" s="30"/>
      <c r="E4" s="125"/>
      <c r="F4" s="30"/>
      <c r="G4" s="30"/>
      <c r="H4" s="30"/>
      <c r="I4" s="353"/>
      <c r="J4" s="30"/>
      <c r="K4" s="353"/>
      <c r="L4" s="30"/>
    </row>
    <row r="5" spans="1:12" ht="18">
      <c r="A5" s="2005" t="str">
        <f>'Exh D Governmental  '!A5</f>
        <v>FISCAL YEAR 2026-2027</v>
      </c>
      <c r="B5" s="23"/>
      <c r="C5" s="23"/>
      <c r="D5" s="23"/>
      <c r="E5" s="23"/>
      <c r="F5" s="30"/>
      <c r="G5" s="30"/>
      <c r="H5" s="30"/>
      <c r="I5" s="30"/>
      <c r="J5" s="30"/>
      <c r="K5" s="30"/>
      <c r="L5" s="30"/>
    </row>
    <row r="6" spans="1:12" ht="18">
      <c r="A6" s="50" t="str">
        <f>'Exh D Governmental  '!A6</f>
        <v>FOR ONE MONTH ENDED APRIL 30, 2026</v>
      </c>
      <c r="B6" s="30"/>
      <c r="C6" s="125"/>
      <c r="D6" s="30"/>
      <c r="E6" s="125"/>
      <c r="F6" s="30"/>
      <c r="G6" s="30"/>
      <c r="H6" s="30"/>
      <c r="I6" s="30"/>
      <c r="J6" s="30"/>
      <c r="K6" s="30"/>
      <c r="L6" s="30"/>
    </row>
    <row r="7" spans="1:12" ht="18">
      <c r="A7" s="50" t="s">
        <v>226</v>
      </c>
      <c r="B7" s="30"/>
      <c r="C7" s="125"/>
      <c r="D7" s="30"/>
      <c r="E7" s="125"/>
      <c r="F7" s="30"/>
      <c r="G7" s="30"/>
      <c r="H7" s="30"/>
      <c r="I7" s="30"/>
      <c r="J7" s="30"/>
      <c r="K7" s="30"/>
      <c r="L7" s="30"/>
    </row>
    <row r="8" spans="1:12" ht="15" customHeight="1">
      <c r="A8" s="34"/>
      <c r="B8" s="30"/>
      <c r="C8" s="125"/>
      <c r="D8" s="30"/>
      <c r="E8" s="125"/>
      <c r="F8" s="30"/>
      <c r="G8" s="30"/>
      <c r="H8" s="30"/>
      <c r="I8" s="30"/>
      <c r="J8" s="30"/>
      <c r="K8" s="30"/>
      <c r="L8" s="30"/>
    </row>
    <row r="9" spans="1:12">
      <c r="A9" s="35"/>
      <c r="B9" s="30"/>
      <c r="C9" s="125"/>
      <c r="D9" s="30"/>
      <c r="E9" s="125"/>
      <c r="F9" s="30"/>
      <c r="G9" s="30"/>
      <c r="H9" s="30"/>
      <c r="I9" s="30"/>
      <c r="J9" s="30"/>
      <c r="K9" s="30"/>
      <c r="L9" s="30"/>
    </row>
    <row r="10" spans="1:12">
      <c r="A10" s="35"/>
      <c r="B10" s="30"/>
      <c r="C10" s="125"/>
      <c r="D10" s="30"/>
      <c r="E10" s="125"/>
      <c r="F10" s="30"/>
      <c r="G10" s="30"/>
      <c r="H10" s="30"/>
      <c r="I10" s="30"/>
      <c r="J10" s="30"/>
      <c r="K10" s="30"/>
      <c r="L10" s="30"/>
    </row>
    <row r="11" spans="1:12">
      <c r="C11" s="2062" t="s">
        <v>279</v>
      </c>
      <c r="D11" s="2062"/>
      <c r="E11" s="2062"/>
      <c r="F11" s="2062"/>
      <c r="G11" s="2062"/>
      <c r="H11" s="2062"/>
      <c r="I11" s="2062"/>
      <c r="J11" s="427"/>
      <c r="K11" s="428"/>
      <c r="L11" s="51"/>
    </row>
    <row r="12" spans="1:12">
      <c r="D12" s="52"/>
      <c r="F12" s="52"/>
      <c r="G12" s="53"/>
      <c r="H12" s="52"/>
      <c r="I12" s="52" t="s">
        <v>228</v>
      </c>
      <c r="J12" s="52"/>
      <c r="K12" s="52" t="s">
        <v>228</v>
      </c>
      <c r="L12" s="51"/>
    </row>
    <row r="13" spans="1:12">
      <c r="B13" s="36"/>
      <c r="C13" s="127"/>
      <c r="D13" s="36"/>
      <c r="E13" s="127"/>
      <c r="F13" s="36"/>
      <c r="G13" s="36"/>
      <c r="H13" s="36"/>
      <c r="I13" s="37" t="s">
        <v>229</v>
      </c>
      <c r="J13" s="36"/>
      <c r="K13" s="37" t="s">
        <v>229</v>
      </c>
      <c r="L13" s="36"/>
    </row>
    <row r="14" spans="1:12">
      <c r="B14" s="54"/>
      <c r="C14" s="38" t="s">
        <v>231</v>
      </c>
      <c r="D14" s="36"/>
      <c r="E14" s="37" t="s">
        <v>232</v>
      </c>
      <c r="F14" s="36"/>
      <c r="G14" s="36"/>
      <c r="H14" s="36"/>
      <c r="I14" s="37" t="s">
        <v>233</v>
      </c>
      <c r="J14" s="36"/>
      <c r="K14" s="37" t="s">
        <v>233</v>
      </c>
      <c r="L14" s="37"/>
    </row>
    <row r="15" spans="1:12">
      <c r="B15" s="54"/>
      <c r="C15" s="37" t="s">
        <v>234</v>
      </c>
      <c r="D15" s="36"/>
      <c r="E15" s="37" t="s">
        <v>234</v>
      </c>
      <c r="F15" s="36"/>
      <c r="G15" s="36"/>
      <c r="H15" s="36"/>
      <c r="I15" s="37" t="s">
        <v>231</v>
      </c>
      <c r="J15" s="36"/>
      <c r="K15" s="37" t="s">
        <v>232</v>
      </c>
      <c r="L15" s="37"/>
    </row>
    <row r="16" spans="1:12">
      <c r="B16" s="37"/>
      <c r="C16" s="37" t="s">
        <v>1510</v>
      </c>
      <c r="D16" s="36"/>
      <c r="E16" s="37" t="s">
        <v>235</v>
      </c>
      <c r="F16" s="36"/>
      <c r="G16" s="38" t="s">
        <v>228</v>
      </c>
      <c r="H16" s="36"/>
      <c r="I16" s="37" t="s">
        <v>236</v>
      </c>
      <c r="J16" s="36"/>
      <c r="K16" s="37" t="s">
        <v>236</v>
      </c>
      <c r="L16" s="37"/>
    </row>
    <row r="17" spans="1:12">
      <c r="A17" s="39"/>
      <c r="B17" s="30"/>
      <c r="C17" s="1006"/>
      <c r="D17" s="30"/>
      <c r="E17" s="1006"/>
      <c r="F17" s="30"/>
      <c r="G17" s="1006"/>
      <c r="H17" s="30"/>
      <c r="I17" s="1006"/>
      <c r="J17" s="30"/>
      <c r="K17" s="1006"/>
      <c r="L17" s="30"/>
    </row>
    <row r="18" spans="1:12">
      <c r="A18" s="3" t="s">
        <v>114</v>
      </c>
      <c r="C18" s="256"/>
      <c r="E18" s="256"/>
    </row>
    <row r="19" spans="1:12">
      <c r="A19" s="350" t="s">
        <v>237</v>
      </c>
      <c r="B19" s="379"/>
      <c r="C19" s="256"/>
      <c r="D19" s="379"/>
      <c r="E19" s="256"/>
      <c r="F19" s="379"/>
      <c r="H19" s="379"/>
      <c r="J19" s="379"/>
    </row>
    <row r="20" spans="1:12">
      <c r="A20" s="350" t="s">
        <v>238</v>
      </c>
      <c r="B20" s="379" t="s">
        <v>103</v>
      </c>
      <c r="C20" s="277">
        <v>0</v>
      </c>
      <c r="D20" s="276"/>
      <c r="E20" s="277">
        <v>5320</v>
      </c>
      <c r="F20" s="276"/>
      <c r="G20" s="388">
        <f>'Exhibit H'!AA17</f>
        <v>5227.2</v>
      </c>
      <c r="H20" s="276"/>
      <c r="I20" s="274">
        <v>0</v>
      </c>
      <c r="J20" s="276"/>
      <c r="K20" s="274">
        <f>G20-E20</f>
        <v>-92.800000000000182</v>
      </c>
      <c r="L20" s="1524"/>
    </row>
    <row r="21" spans="1:12">
      <c r="A21" s="350" t="s">
        <v>239</v>
      </c>
      <c r="B21" s="256" t="s">
        <v>103</v>
      </c>
      <c r="C21" s="275">
        <v>0</v>
      </c>
      <c r="D21" s="1796"/>
      <c r="E21" s="275">
        <v>769</v>
      </c>
      <c r="F21" s="264"/>
      <c r="G21" s="264">
        <f>'Exhibit H'!AA21</f>
        <v>802.5</v>
      </c>
      <c r="H21" s="264"/>
      <c r="I21" s="264">
        <v>0</v>
      </c>
      <c r="J21" s="264"/>
      <c r="K21" s="264">
        <f t="shared" ref="K21:K26" si="0">G21-E21</f>
        <v>33.5</v>
      </c>
      <c r="L21" s="1524"/>
    </row>
    <row r="22" spans="1:12">
      <c r="A22" s="350" t="s">
        <v>240</v>
      </c>
      <c r="C22" s="275">
        <v>0</v>
      </c>
      <c r="D22" s="367"/>
      <c r="E22" s="275">
        <v>42</v>
      </c>
      <c r="F22" s="287"/>
      <c r="G22" s="264">
        <f>'Exhibit H'!AA24</f>
        <v>24.4</v>
      </c>
      <c r="H22" s="287"/>
      <c r="I22" s="264">
        <v>0</v>
      </c>
      <c r="J22" s="287"/>
      <c r="K22" s="264">
        <f t="shared" si="0"/>
        <v>-17.600000000000001</v>
      </c>
      <c r="L22" s="1524"/>
    </row>
    <row r="23" spans="1:12">
      <c r="A23" s="350" t="s">
        <v>241</v>
      </c>
      <c r="B23" s="256" t="s">
        <v>103</v>
      </c>
      <c r="C23" s="275">
        <v>0</v>
      </c>
      <c r="D23" s="1796"/>
      <c r="E23" s="275">
        <v>120</v>
      </c>
      <c r="F23" s="1199"/>
      <c r="G23" s="264">
        <f>'Exhibit H'!AA28</f>
        <v>118.7</v>
      </c>
      <c r="H23" s="1199"/>
      <c r="I23" s="264">
        <v>0</v>
      </c>
      <c r="J23" s="1199"/>
      <c r="K23" s="264">
        <f t="shared" si="0"/>
        <v>-1.2999999999999972</v>
      </c>
      <c r="L23" s="1524"/>
    </row>
    <row r="24" spans="1:12" ht="15" customHeight="1">
      <c r="A24" s="350" t="s">
        <v>119</v>
      </c>
      <c r="B24" s="256" t="s">
        <v>103</v>
      </c>
      <c r="C24" s="275">
        <v>0</v>
      </c>
      <c r="D24" s="1797"/>
      <c r="E24" s="275">
        <v>34</v>
      </c>
      <c r="F24" s="264"/>
      <c r="G24" s="264">
        <f>'Exhibit H'!AA51</f>
        <v>83.5</v>
      </c>
      <c r="H24" s="264"/>
      <c r="I24" s="264">
        <v>0</v>
      </c>
      <c r="J24" s="264"/>
      <c r="K24" s="264">
        <f t="shared" si="0"/>
        <v>49.5</v>
      </c>
      <c r="L24" s="1524"/>
    </row>
    <row r="25" spans="1:12" ht="15" customHeight="1">
      <c r="A25" s="350" t="s">
        <v>120</v>
      </c>
      <c r="B25" s="256" t="s">
        <v>103</v>
      </c>
      <c r="C25" s="275">
        <v>0</v>
      </c>
      <c r="D25" s="1796"/>
      <c r="E25" s="275">
        <v>0</v>
      </c>
      <c r="F25" s="264"/>
      <c r="G25" s="264">
        <f>'Exhibit H'!AA53</f>
        <v>27.1</v>
      </c>
      <c r="H25" s="264"/>
      <c r="I25" s="264">
        <v>0</v>
      </c>
      <c r="J25" s="264"/>
      <c r="K25" s="264">
        <f t="shared" si="0"/>
        <v>27.1</v>
      </c>
      <c r="L25" s="1524"/>
    </row>
    <row r="26" spans="1:12">
      <c r="A26" s="350" t="s">
        <v>147</v>
      </c>
      <c r="B26" s="389" t="s">
        <v>103</v>
      </c>
      <c r="C26" s="275">
        <v>0</v>
      </c>
      <c r="D26" s="1796"/>
      <c r="E26" s="275">
        <v>205</v>
      </c>
      <c r="F26" s="13"/>
      <c r="G26" s="382">
        <f>'Exhibit H'!AA69</f>
        <v>243.8</v>
      </c>
      <c r="H26" s="13"/>
      <c r="I26" s="264">
        <v>0</v>
      </c>
      <c r="J26" s="13"/>
      <c r="K26" s="264">
        <f t="shared" si="0"/>
        <v>38.800000000000011</v>
      </c>
      <c r="L26" s="1524"/>
    </row>
    <row r="27" spans="1:12" ht="18" customHeight="1">
      <c r="A27" s="1218" t="s">
        <v>261</v>
      </c>
      <c r="B27" s="36" t="s">
        <v>103</v>
      </c>
      <c r="C27" s="618">
        <f>ROUND(SUM(C20:C26),1)</f>
        <v>0</v>
      </c>
      <c r="D27" s="264"/>
      <c r="E27" s="618">
        <f>ROUND(SUM(E20:E26),1)</f>
        <v>6490</v>
      </c>
      <c r="F27" s="264"/>
      <c r="G27" s="618">
        <f>ROUND(SUM(G20:G26),1)</f>
        <v>6527.2</v>
      </c>
      <c r="H27" s="264"/>
      <c r="I27" s="618">
        <f>ROUND(SUM(I20:I26),1)</f>
        <v>0</v>
      </c>
      <c r="J27" s="264"/>
      <c r="K27" s="618">
        <f>ROUND(SUM(K20:K26),1)</f>
        <v>37.200000000000003</v>
      </c>
      <c r="L27" s="1524"/>
    </row>
    <row r="28" spans="1:12">
      <c r="C28" s="616"/>
      <c r="D28" s="264"/>
      <c r="E28" s="616"/>
      <c r="F28" s="264"/>
      <c r="G28" s="616"/>
      <c r="H28" s="264"/>
      <c r="I28" s="616"/>
      <c r="J28" s="264"/>
      <c r="K28" s="616"/>
      <c r="L28" s="1524"/>
    </row>
    <row r="29" spans="1:12">
      <c r="A29" s="3" t="s">
        <v>122</v>
      </c>
      <c r="C29" s="264"/>
      <c r="D29" s="264"/>
      <c r="E29" s="264"/>
      <c r="F29" s="264"/>
      <c r="G29" s="264"/>
      <c r="H29" s="264"/>
      <c r="I29" s="264"/>
      <c r="J29" s="264"/>
      <c r="K29" s="264"/>
      <c r="L29" s="1524"/>
    </row>
    <row r="30" spans="1:12">
      <c r="A30" s="350" t="s">
        <v>244</v>
      </c>
      <c r="B30" s="379" t="s">
        <v>103</v>
      </c>
      <c r="C30" s="275">
        <v>0</v>
      </c>
      <c r="D30" s="1796"/>
      <c r="E30" s="275">
        <v>0</v>
      </c>
      <c r="F30" s="264"/>
      <c r="G30" s="287">
        <f>'Exhibit H'!AA59</f>
        <v>0.1</v>
      </c>
      <c r="H30" s="264"/>
      <c r="I30" s="264">
        <v>0</v>
      </c>
      <c r="J30" s="264"/>
      <c r="K30" s="264">
        <f t="shared" ref="K30:K32" si="1">G30-E30</f>
        <v>0.1</v>
      </c>
      <c r="L30" s="1524"/>
    </row>
    <row r="31" spans="1:12" ht="14.25" customHeight="1">
      <c r="A31" s="350" t="s">
        <v>245</v>
      </c>
      <c r="B31" s="389" t="s">
        <v>103</v>
      </c>
      <c r="C31" s="275">
        <v>0</v>
      </c>
      <c r="D31" s="379"/>
      <c r="E31" s="275">
        <v>0</v>
      </c>
      <c r="F31" s="264"/>
      <c r="G31" s="275">
        <f>'Exhibit H'!AA61</f>
        <v>1.5</v>
      </c>
      <c r="H31" s="264"/>
      <c r="I31" s="264">
        <v>0</v>
      </c>
      <c r="J31" s="264"/>
      <c r="K31" s="264">
        <f t="shared" si="1"/>
        <v>1.5</v>
      </c>
      <c r="L31" s="1524"/>
    </row>
    <row r="32" spans="1:12">
      <c r="A32" s="350" t="s">
        <v>248</v>
      </c>
      <c r="B32" s="389" t="s">
        <v>103</v>
      </c>
      <c r="C32" s="275">
        <v>0</v>
      </c>
      <c r="D32" s="379"/>
      <c r="E32" s="275">
        <v>6462</v>
      </c>
      <c r="F32" s="264"/>
      <c r="G32" s="287">
        <f>-'Exhibit H'!AA70</f>
        <v>6368.0999999999995</v>
      </c>
      <c r="H32" s="264"/>
      <c r="I32" s="264">
        <v>0</v>
      </c>
      <c r="J32" s="264"/>
      <c r="K32" s="264">
        <f t="shared" si="1"/>
        <v>-93.900000000000546</v>
      </c>
      <c r="L32" s="1524"/>
    </row>
    <row r="33" spans="1:12" ht="18" customHeight="1">
      <c r="A33" s="1218" t="s">
        <v>270</v>
      </c>
      <c r="B33" s="36" t="s">
        <v>103</v>
      </c>
      <c r="C33" s="618">
        <f>ROUND(SUM(C30:C32),1)</f>
        <v>0</v>
      </c>
      <c r="D33" s="264"/>
      <c r="E33" s="618">
        <f>ROUND(SUM(E30:E32),1)</f>
        <v>6462</v>
      </c>
      <c r="F33" s="264"/>
      <c r="G33" s="618">
        <f>ROUND(SUM(G30:G32),1)</f>
        <v>6369.7</v>
      </c>
      <c r="H33" s="264"/>
      <c r="I33" s="618">
        <f>ROUND(SUM(I30:I32),1)</f>
        <v>0</v>
      </c>
      <c r="J33" s="264"/>
      <c r="K33" s="618">
        <f>ROUND(SUM(K30:K32),1)</f>
        <v>-92.3</v>
      </c>
      <c r="L33" s="1524"/>
    </row>
    <row r="34" spans="1:12">
      <c r="C34" s="616"/>
      <c r="D34" s="264"/>
      <c r="E34" s="616"/>
      <c r="F34" s="264"/>
      <c r="G34" s="616"/>
      <c r="H34" s="264"/>
      <c r="I34" s="616"/>
      <c r="J34" s="264"/>
      <c r="K34" s="616"/>
      <c r="L34" s="1524"/>
    </row>
    <row r="35" spans="1:12">
      <c r="A35" s="3" t="s">
        <v>271</v>
      </c>
      <c r="C35" s="264"/>
      <c r="D35" s="13"/>
      <c r="E35" s="264"/>
      <c r="F35" s="13"/>
      <c r="G35" s="264"/>
      <c r="H35" s="13"/>
      <c r="I35" s="264"/>
      <c r="J35" s="13"/>
      <c r="K35" s="264"/>
      <c r="L35" s="1524"/>
    </row>
    <row r="36" spans="1:12">
      <c r="A36" s="3" t="s">
        <v>272</v>
      </c>
      <c r="C36" s="264"/>
      <c r="D36" s="264"/>
      <c r="E36" s="264"/>
      <c r="F36" s="264"/>
      <c r="G36" s="264"/>
      <c r="H36" s="264"/>
      <c r="I36" s="264"/>
      <c r="J36" s="264"/>
      <c r="K36" s="264"/>
      <c r="L36" s="1524"/>
    </row>
    <row r="37" spans="1:12">
      <c r="A37" s="1218" t="s">
        <v>252</v>
      </c>
      <c r="B37" s="1217" t="s">
        <v>103</v>
      </c>
      <c r="C37" s="13">
        <f>C27-C33</f>
        <v>0</v>
      </c>
      <c r="D37" s="264"/>
      <c r="E37" s="13">
        <f>E27-E33</f>
        <v>28</v>
      </c>
      <c r="F37" s="264"/>
      <c r="G37" s="13">
        <f>G27-G33</f>
        <v>157.5</v>
      </c>
      <c r="H37" s="264"/>
      <c r="I37" s="13">
        <f>ROUND(SUM(I27)-SUM(I33),1)</f>
        <v>0</v>
      </c>
      <c r="J37" s="264"/>
      <c r="K37" s="13">
        <f>ROUND(SUM(K27)-SUM(K33),1)</f>
        <v>129.5</v>
      </c>
      <c r="L37" s="1524"/>
    </row>
    <row r="38" spans="1:12" ht="15" customHeight="1">
      <c r="C38" s="264"/>
      <c r="D38" s="264"/>
      <c r="E38" s="264"/>
      <c r="F38" s="264"/>
      <c r="G38" s="264"/>
      <c r="H38" s="264"/>
      <c r="I38" s="264"/>
      <c r="J38" s="264"/>
      <c r="K38" s="264"/>
      <c r="L38" s="1524"/>
    </row>
    <row r="39" spans="1:12">
      <c r="A39" s="1218" t="str">
        <f>'Exh D Governmental  '!A49</f>
        <v>Fund Balances (Deficits) at April 1</v>
      </c>
      <c r="B39" s="256" t="s">
        <v>103</v>
      </c>
      <c r="C39" s="13">
        <v>0</v>
      </c>
      <c r="D39" s="18"/>
      <c r="E39" s="13">
        <v>143</v>
      </c>
      <c r="F39" s="18"/>
      <c r="G39" s="13">
        <v>104.7</v>
      </c>
      <c r="H39" s="18"/>
      <c r="I39" s="13">
        <v>0</v>
      </c>
      <c r="J39" s="18"/>
      <c r="K39" s="13">
        <f>G39-E39</f>
        <v>-38.299999999999997</v>
      </c>
      <c r="L39" s="1524"/>
    </row>
    <row r="40" spans="1:12" ht="18" customHeight="1" thickBot="1">
      <c r="A40" s="1218" t="str">
        <f>+'Exh D Governmental  '!A50</f>
        <v>Fund Balances (Deficits) at April 30, 2026</v>
      </c>
      <c r="B40" s="43" t="s">
        <v>103</v>
      </c>
      <c r="C40" s="675">
        <f>ROUND(SUM(C37:C39),1)</f>
        <v>0</v>
      </c>
      <c r="D40" s="264"/>
      <c r="E40" s="675">
        <f>ROUND(SUM(E37:E39),1)</f>
        <v>171</v>
      </c>
      <c r="F40" s="264"/>
      <c r="G40" s="675">
        <f>ROUND(SUM(G37:G39),1)</f>
        <v>262.2</v>
      </c>
      <c r="H40" s="264"/>
      <c r="I40" s="675">
        <f>ROUND(SUM(I37:I39),1)</f>
        <v>0</v>
      </c>
      <c r="J40" s="264"/>
      <c r="K40" s="675">
        <f>ROUND(SUM(K37:K39),1)</f>
        <v>91.2</v>
      </c>
      <c r="L40" s="1524"/>
    </row>
    <row r="41" spans="1:12" ht="15" customHeight="1" thickTop="1">
      <c r="A41" s="39"/>
      <c r="C41" s="290"/>
      <c r="D41" s="264"/>
      <c r="E41" s="290"/>
      <c r="F41" s="264"/>
      <c r="G41" s="274"/>
      <c r="H41" s="264"/>
      <c r="I41" s="274"/>
      <c r="J41" s="264"/>
      <c r="K41" s="274"/>
    </row>
    <row r="42" spans="1:12">
      <c r="A42" s="386" t="str">
        <f>'Exh D Governmental  '!A52</f>
        <v>(*)  Source: 2026-27 Executive Budget with 30-day amendments dated February 20, 2026, which made no changes to the Executive Budget Financial Plan.</v>
      </c>
      <c r="D42" s="44"/>
      <c r="F42" s="44"/>
      <c r="H42" s="44"/>
      <c r="J42" s="44"/>
    </row>
    <row r="43" spans="1:12">
      <c r="A43" s="386" t="str">
        <f>'Exh D Governmental  '!A53</f>
        <v>Due to the absence of the 2026-27 Enacted Budget Financial Plan, the "Financial Plan Cashflow" is not available.</v>
      </c>
    </row>
    <row r="44" spans="1:12">
      <c r="A44" s="350"/>
    </row>
  </sheetData>
  <mergeCells count="1">
    <mergeCell ref="C11:I11"/>
  </mergeCells>
  <printOptions horizontalCentered="1"/>
  <pageMargins left="0.75" right="0.75" top="0.75" bottom="0.75" header="0.5" footer="0.25"/>
  <pageSetup scale="72" firstPageNumber="12" orientation="landscape" useFirstPageNumber="1" r:id="rId1"/>
  <headerFooter scaleWithDoc="0" alignWithMargins="0">
    <oddFooter>&amp;C&amp;8&amp;P</oddFooter>
  </headerFooter>
  <customProperties>
    <customPr name="SheetOptions" r:id="rId2"/>
  </customProperties>
  <ignoredErrors>
    <ignoredError sqref="A5"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P49"/>
  <sheetViews>
    <sheetView showGridLines="0" zoomScale="90" zoomScaleNormal="90" workbookViewId="0"/>
  </sheetViews>
  <sheetFormatPr defaultColWidth="8.84375" defaultRowHeight="15.5"/>
  <cols>
    <col min="1" max="1" width="51.84375" style="291" customWidth="1"/>
    <col min="2" max="2" width="2.07421875" style="256" customWidth="1"/>
    <col min="3" max="3" width="15.84375" style="128" customWidth="1"/>
    <col min="4" max="4" width="1.07421875" style="256" customWidth="1"/>
    <col min="5" max="5" width="15.84375" style="128" customWidth="1"/>
    <col min="6" max="6" width="1.07421875" style="256" customWidth="1"/>
    <col min="7" max="7" width="15.84375" style="256" customWidth="1"/>
    <col min="8" max="8" width="1.07421875" style="256" customWidth="1"/>
    <col min="9" max="9" width="15.84375" style="256" customWidth="1"/>
    <col min="10" max="10" width="1.07421875" style="256" customWidth="1"/>
    <col min="11" max="11" width="15.84375" style="256" customWidth="1"/>
    <col min="12" max="12" width="1.07421875" style="256" customWidth="1"/>
    <col min="13" max="13" width="15.84375" style="256" customWidth="1"/>
    <col min="14" max="14" width="1.07421875" style="256" customWidth="1"/>
    <col min="15" max="15" width="15.84375" style="256" customWidth="1"/>
    <col min="16" max="16" width="9.84375" style="256" bestFit="1" customWidth="1"/>
    <col min="17" max="16384" width="8.84375" style="291"/>
  </cols>
  <sheetData>
    <row r="1" spans="1:16">
      <c r="A1" s="265" t="s">
        <v>97</v>
      </c>
      <c r="D1" s="48"/>
      <c r="F1" s="48"/>
      <c r="H1" s="48"/>
      <c r="J1" s="48"/>
      <c r="L1" s="48"/>
      <c r="N1" s="48"/>
    </row>
    <row r="2" spans="1:16" ht="16.5">
      <c r="A2" s="47"/>
      <c r="B2" s="48"/>
      <c r="C2" s="124"/>
      <c r="D2" s="48"/>
      <c r="E2" s="124"/>
      <c r="F2" s="48"/>
      <c r="G2" s="48"/>
      <c r="H2" s="48"/>
      <c r="I2" s="48"/>
      <c r="J2" s="48"/>
      <c r="K2" s="48"/>
      <c r="L2" s="48"/>
      <c r="M2" s="48"/>
      <c r="N2" s="48"/>
    </row>
    <row r="3" spans="1:16" ht="18">
      <c r="A3" s="50" t="s">
        <v>98</v>
      </c>
      <c r="B3" s="30"/>
      <c r="C3" s="125"/>
      <c r="D3" s="30"/>
      <c r="E3" s="125"/>
      <c r="F3" s="30"/>
      <c r="G3" s="30"/>
      <c r="H3" s="30"/>
      <c r="I3" s="30"/>
      <c r="J3" s="30"/>
      <c r="K3" s="30"/>
      <c r="L3" s="30"/>
      <c r="M3" s="352"/>
      <c r="N3" s="30"/>
      <c r="O3" s="352" t="s">
        <v>224</v>
      </c>
    </row>
    <row r="4" spans="1:16" ht="18">
      <c r="A4" s="50" t="s">
        <v>225</v>
      </c>
      <c r="B4" s="30"/>
      <c r="C4" s="125"/>
      <c r="D4" s="30"/>
      <c r="E4" s="125"/>
      <c r="F4" s="30"/>
      <c r="G4" s="30"/>
      <c r="H4" s="30"/>
      <c r="I4" s="30"/>
      <c r="J4" s="30"/>
      <c r="K4" s="30"/>
      <c r="L4" s="30"/>
      <c r="M4" s="353"/>
      <c r="N4" s="30"/>
      <c r="O4" s="353"/>
    </row>
    <row r="5" spans="1:16" ht="18">
      <c r="A5" s="2005" t="str">
        <f>'Exh D Governmental  '!A5</f>
        <v>FISCAL YEAR 2026-2027</v>
      </c>
      <c r="B5" s="23"/>
      <c r="C5" s="23"/>
      <c r="D5" s="23"/>
      <c r="E5" s="23"/>
      <c r="F5" s="30"/>
      <c r="G5" s="30"/>
      <c r="H5" s="30"/>
      <c r="I5" s="30"/>
      <c r="J5" s="30"/>
      <c r="K5" s="30"/>
      <c r="L5" s="30"/>
      <c r="M5" s="30"/>
      <c r="N5" s="30"/>
    </row>
    <row r="6" spans="1:16" ht="18">
      <c r="A6" s="541" t="str">
        <f>+'Exh D Governmental  '!A6</f>
        <v>FOR ONE MONTH ENDED APRIL 30, 2026</v>
      </c>
      <c r="B6" s="30"/>
      <c r="C6" s="125"/>
      <c r="D6" s="30"/>
      <c r="E6" s="125"/>
      <c r="F6" s="30"/>
      <c r="G6" s="30"/>
      <c r="H6" s="30"/>
      <c r="I6" s="30"/>
      <c r="J6" s="30"/>
      <c r="K6" s="30"/>
      <c r="L6" s="30"/>
      <c r="M6" s="30"/>
      <c r="N6" s="30"/>
      <c r="O6" s="30"/>
      <c r="P6" s="30"/>
    </row>
    <row r="7" spans="1:16" ht="18">
      <c r="A7" s="50" t="s">
        <v>226</v>
      </c>
      <c r="B7" s="30"/>
      <c r="C7" s="125"/>
      <c r="D7" s="30"/>
      <c r="E7" s="125"/>
      <c r="F7" s="30"/>
      <c r="G7" s="30"/>
      <c r="H7" s="30"/>
      <c r="I7" s="30"/>
      <c r="J7" s="30"/>
      <c r="K7" s="30"/>
      <c r="L7" s="30"/>
      <c r="M7" s="30"/>
      <c r="N7" s="30"/>
    </row>
    <row r="8" spans="1:16" ht="17.5">
      <c r="A8" s="34"/>
      <c r="B8" s="30"/>
      <c r="C8" s="125"/>
      <c r="D8" s="30"/>
      <c r="E8" s="125"/>
      <c r="F8" s="30"/>
      <c r="G8" s="30"/>
      <c r="H8" s="30"/>
      <c r="I8" s="30"/>
      <c r="J8" s="30"/>
      <c r="K8" s="30"/>
      <c r="L8" s="30"/>
      <c r="M8" s="30"/>
      <c r="N8" s="30"/>
    </row>
    <row r="9" spans="1:16">
      <c r="A9" s="35"/>
      <c r="B9" s="30"/>
      <c r="C9" s="125"/>
      <c r="D9" s="30"/>
      <c r="E9" s="125"/>
      <c r="F9" s="30"/>
      <c r="G9" s="30"/>
      <c r="H9" s="30"/>
      <c r="I9" s="30"/>
      <c r="J9" s="30"/>
      <c r="K9" s="30"/>
      <c r="L9" s="30"/>
      <c r="M9" s="30"/>
      <c r="N9" s="30"/>
    </row>
    <row r="10" spans="1:16">
      <c r="A10" s="35"/>
      <c r="B10" s="30"/>
      <c r="C10" s="125"/>
      <c r="D10" s="30"/>
      <c r="E10" s="125"/>
      <c r="F10" s="30"/>
      <c r="G10" s="30"/>
      <c r="H10" s="30"/>
      <c r="I10" s="30"/>
      <c r="J10" s="30"/>
      <c r="K10" s="30"/>
      <c r="L10" s="30"/>
      <c r="M10" s="30"/>
      <c r="N10" s="30"/>
    </row>
    <row r="11" spans="1:16">
      <c r="B11" s="36"/>
      <c r="C11" s="1009"/>
      <c r="D11" s="428"/>
      <c r="E11" s="1009"/>
      <c r="F11" s="583"/>
      <c r="G11" s="1219"/>
      <c r="H11" s="583"/>
      <c r="I11" s="1219" t="s">
        <v>280</v>
      </c>
      <c r="J11" s="583"/>
      <c r="K11" s="583"/>
      <c r="L11" s="583"/>
      <c r="M11" s="583"/>
      <c r="N11" s="1007"/>
      <c r="O11" s="1007"/>
    </row>
    <row r="12" spans="1:16">
      <c r="B12" s="36"/>
      <c r="C12" s="36"/>
      <c r="D12" s="52"/>
      <c r="E12" s="36"/>
      <c r="F12" s="52"/>
      <c r="G12" s="36"/>
      <c r="H12" s="52"/>
      <c r="I12" s="36"/>
      <c r="J12" s="52"/>
      <c r="K12" s="36"/>
      <c r="L12" s="52"/>
      <c r="M12" s="37" t="s">
        <v>228</v>
      </c>
      <c r="N12" s="52"/>
      <c r="O12" s="37" t="s">
        <v>228</v>
      </c>
    </row>
    <row r="13" spans="1:16">
      <c r="B13" s="36"/>
      <c r="C13" s="36"/>
      <c r="D13" s="36"/>
      <c r="E13" s="36"/>
      <c r="F13" s="36"/>
      <c r="G13" s="36"/>
      <c r="H13" s="36"/>
      <c r="I13" s="36"/>
      <c r="J13" s="36"/>
      <c r="K13" s="36"/>
      <c r="L13" s="36"/>
      <c r="M13" s="37" t="s">
        <v>229</v>
      </c>
      <c r="N13" s="36"/>
      <c r="O13" s="37" t="s">
        <v>229</v>
      </c>
    </row>
    <row r="14" spans="1:16">
      <c r="B14" s="36"/>
      <c r="C14" s="38" t="s">
        <v>231</v>
      </c>
      <c r="D14" s="36"/>
      <c r="E14" s="37" t="s">
        <v>232</v>
      </c>
      <c r="F14" s="36"/>
      <c r="G14" s="36"/>
      <c r="H14" s="36"/>
      <c r="I14" s="36"/>
      <c r="J14" s="36"/>
      <c r="K14" s="36"/>
      <c r="L14" s="36"/>
      <c r="M14" s="37" t="s">
        <v>233</v>
      </c>
      <c r="N14" s="36"/>
      <c r="O14" s="37" t="s">
        <v>233</v>
      </c>
    </row>
    <row r="15" spans="1:16" ht="15.75" customHeight="1">
      <c r="B15" s="36"/>
      <c r="C15" s="37" t="s">
        <v>234</v>
      </c>
      <c r="D15" s="36"/>
      <c r="E15" s="37" t="s">
        <v>234</v>
      </c>
      <c r="F15" s="36"/>
      <c r="G15" s="36"/>
      <c r="H15" s="36"/>
      <c r="I15" s="36"/>
      <c r="J15" s="36"/>
      <c r="K15" s="36"/>
      <c r="L15" s="36"/>
      <c r="M15" s="37" t="s">
        <v>231</v>
      </c>
      <c r="N15" s="36"/>
      <c r="O15" s="37" t="s">
        <v>232</v>
      </c>
    </row>
    <row r="16" spans="1:16">
      <c r="B16" s="36"/>
      <c r="C16" s="37" t="s">
        <v>1510</v>
      </c>
      <c r="D16" s="36"/>
      <c r="E16" s="37" t="s">
        <v>235</v>
      </c>
      <c r="F16" s="36"/>
      <c r="G16" s="38" t="s">
        <v>228</v>
      </c>
      <c r="H16" s="36"/>
      <c r="I16" s="431" t="s">
        <v>275</v>
      </c>
      <c r="J16" s="36"/>
      <c r="K16" s="431" t="s">
        <v>276</v>
      </c>
      <c r="L16" s="36"/>
      <c r="M16" s="37" t="s">
        <v>236</v>
      </c>
      <c r="N16" s="36"/>
      <c r="O16" s="37" t="s">
        <v>236</v>
      </c>
    </row>
    <row r="17" spans="1:16">
      <c r="A17" s="39"/>
      <c r="B17" s="30"/>
      <c r="C17" s="1006"/>
      <c r="D17" s="30"/>
      <c r="E17" s="1006"/>
      <c r="F17" s="30"/>
      <c r="G17" s="1006"/>
      <c r="H17" s="30"/>
      <c r="I17" s="30"/>
      <c r="J17" s="30"/>
      <c r="K17" s="30"/>
      <c r="L17" s="30"/>
      <c r="M17" s="1006"/>
      <c r="N17" s="30"/>
      <c r="O17" s="1006"/>
    </row>
    <row r="18" spans="1:16">
      <c r="A18" s="3" t="s">
        <v>114</v>
      </c>
      <c r="C18" s="256"/>
      <c r="E18" s="256"/>
      <c r="G18" s="256" t="s">
        <v>103</v>
      </c>
    </row>
    <row r="19" spans="1:16">
      <c r="A19" s="350" t="s">
        <v>237</v>
      </c>
      <c r="B19" s="379" t="s">
        <v>103</v>
      </c>
      <c r="C19" s="274"/>
      <c r="D19" s="379"/>
      <c r="E19" s="274"/>
      <c r="F19" s="379"/>
      <c r="G19" s="390"/>
      <c r="H19" s="379"/>
      <c r="I19" s="276"/>
      <c r="J19" s="379"/>
      <c r="K19" s="276"/>
      <c r="L19" s="379"/>
      <c r="M19" s="274"/>
      <c r="N19" s="379"/>
      <c r="O19" s="274"/>
    </row>
    <row r="20" spans="1:16">
      <c r="A20" s="350" t="s">
        <v>239</v>
      </c>
      <c r="B20" s="256" t="s">
        <v>103</v>
      </c>
      <c r="C20" s="388">
        <v>0</v>
      </c>
      <c r="D20" s="1796"/>
      <c r="E20" s="388">
        <v>45</v>
      </c>
      <c r="F20" s="276"/>
      <c r="G20" s="388">
        <f>+'Exh D Captl Projects State Fed'!G20</f>
        <v>42.2</v>
      </c>
      <c r="H20" s="276"/>
      <c r="I20" s="388">
        <v>0</v>
      </c>
      <c r="J20" s="276"/>
      <c r="K20" s="586">
        <f>+G20+I20</f>
        <v>42.2</v>
      </c>
      <c r="L20" s="276"/>
      <c r="M20" s="274">
        <v>0</v>
      </c>
      <c r="N20" s="276"/>
      <c r="O20" s="274">
        <f>K20-E20</f>
        <v>-2.7999999999999972</v>
      </c>
      <c r="P20" s="1515"/>
    </row>
    <row r="21" spans="1:16">
      <c r="A21" s="350" t="s">
        <v>240</v>
      </c>
      <c r="B21" s="379" t="s">
        <v>103</v>
      </c>
      <c r="C21" s="275">
        <v>0</v>
      </c>
      <c r="D21" s="367"/>
      <c r="E21" s="275">
        <v>42</v>
      </c>
      <c r="F21" s="264"/>
      <c r="G21" s="288">
        <f>+'Exh D Captl Projects State Fed'!G21</f>
        <v>43.9</v>
      </c>
      <c r="H21" s="264"/>
      <c r="I21" s="275">
        <v>0</v>
      </c>
      <c r="J21" s="264"/>
      <c r="K21" s="587">
        <f t="shared" ref="K21:K26" si="0">+G21+I21</f>
        <v>43.9</v>
      </c>
      <c r="L21" s="264"/>
      <c r="M21" s="264">
        <v>0</v>
      </c>
      <c r="N21" s="264"/>
      <c r="O21" s="264">
        <f t="shared" ref="O21:O26" si="1">K21-E21</f>
        <v>1.8999999999999986</v>
      </c>
      <c r="P21" s="1515"/>
    </row>
    <row r="22" spans="1:16">
      <c r="A22" s="350" t="s">
        <v>241</v>
      </c>
      <c r="B22" s="256" t="s">
        <v>103</v>
      </c>
      <c r="C22" s="275">
        <v>0</v>
      </c>
      <c r="D22" s="1796"/>
      <c r="E22" s="275">
        <v>0</v>
      </c>
      <c r="F22" s="287"/>
      <c r="G22" s="288">
        <f>+'Exh D Captl Projects State Fed'!G22</f>
        <v>0</v>
      </c>
      <c r="H22" s="287"/>
      <c r="I22" s="275">
        <v>0</v>
      </c>
      <c r="J22" s="287"/>
      <c r="K22" s="587">
        <f>+G22+I22</f>
        <v>0</v>
      </c>
      <c r="L22" s="287"/>
      <c r="M22" s="264">
        <f t="shared" ref="M22:M25" si="2">K22-C22</f>
        <v>0</v>
      </c>
      <c r="N22" s="287"/>
      <c r="O22" s="264">
        <f t="shared" si="1"/>
        <v>0</v>
      </c>
      <c r="P22" s="1515"/>
    </row>
    <row r="23" spans="1:16">
      <c r="A23" s="350" t="s">
        <v>119</v>
      </c>
      <c r="B23" s="256" t="s">
        <v>103</v>
      </c>
      <c r="C23" s="275">
        <v>0</v>
      </c>
      <c r="D23" s="1797"/>
      <c r="E23" s="275">
        <v>163</v>
      </c>
      <c r="F23" s="1199"/>
      <c r="G23" s="264">
        <f>+'Exh D Captl Projects State Fed'!G23+'Exh D Captl Projects State Fed'!S23</f>
        <v>39.1</v>
      </c>
      <c r="H23" s="1199"/>
      <c r="I23" s="264">
        <v>0</v>
      </c>
      <c r="J23" s="1199"/>
      <c r="K23" s="587">
        <f t="shared" si="0"/>
        <v>39.1</v>
      </c>
      <c r="L23" s="1199"/>
      <c r="M23" s="264">
        <v>0</v>
      </c>
      <c r="N23" s="1199"/>
      <c r="O23" s="264">
        <f t="shared" si="1"/>
        <v>-123.9</v>
      </c>
      <c r="P23" s="1515"/>
    </row>
    <row r="24" spans="1:16">
      <c r="A24" s="350" t="s">
        <v>120</v>
      </c>
      <c r="B24" s="256" t="s">
        <v>103</v>
      </c>
      <c r="C24" s="275">
        <v>0</v>
      </c>
      <c r="D24" s="1796"/>
      <c r="E24" s="275">
        <v>184</v>
      </c>
      <c r="F24" s="264"/>
      <c r="G24" s="264">
        <f>+'Exh D Captl Projects State Fed'!G24+'Exh D Captl Projects State Fed'!S24</f>
        <v>87.6</v>
      </c>
      <c r="H24" s="264"/>
      <c r="I24" s="264">
        <v>0</v>
      </c>
      <c r="J24" s="264"/>
      <c r="K24" s="587">
        <f t="shared" si="0"/>
        <v>87.6</v>
      </c>
      <c r="L24" s="264"/>
      <c r="M24" s="264">
        <v>0</v>
      </c>
      <c r="N24" s="264"/>
      <c r="O24" s="264">
        <f t="shared" si="1"/>
        <v>-96.4</v>
      </c>
      <c r="P24" s="1515"/>
    </row>
    <row r="25" spans="1:16">
      <c r="A25" s="350" t="s">
        <v>247</v>
      </c>
      <c r="B25" s="256" t="s">
        <v>103</v>
      </c>
      <c r="C25" s="275">
        <v>0</v>
      </c>
      <c r="D25" s="1796"/>
      <c r="E25" s="275">
        <v>0</v>
      </c>
      <c r="F25" s="264"/>
      <c r="G25" s="275">
        <f>+'Exh D Captl Projects State Fed'!G25+'Exh D Captl Projects State Fed'!S25</f>
        <v>0</v>
      </c>
      <c r="H25" s="264"/>
      <c r="I25" s="264">
        <v>0</v>
      </c>
      <c r="J25" s="264"/>
      <c r="K25" s="275">
        <f t="shared" si="0"/>
        <v>0</v>
      </c>
      <c r="L25" s="264"/>
      <c r="M25" s="264">
        <f t="shared" si="2"/>
        <v>0</v>
      </c>
      <c r="N25" s="264"/>
      <c r="O25" s="264">
        <f t="shared" si="1"/>
        <v>0</v>
      </c>
      <c r="P25" s="1515"/>
    </row>
    <row r="26" spans="1:16">
      <c r="A26" s="350" t="s">
        <v>147</v>
      </c>
      <c r="B26" s="256" t="s">
        <v>103</v>
      </c>
      <c r="C26" s="275">
        <v>0</v>
      </c>
      <c r="D26" s="1796"/>
      <c r="E26" s="275">
        <v>708</v>
      </c>
      <c r="F26" s="13"/>
      <c r="G26" s="287">
        <f>+'Exh D Captl Projects State Fed'!G26+'Exh D Captl Projects State Fed'!S26</f>
        <v>463.8</v>
      </c>
      <c r="H26" s="13"/>
      <c r="I26" s="264">
        <f>'Exhibit I'!AC91</f>
        <v>0</v>
      </c>
      <c r="J26" s="13"/>
      <c r="K26" s="587">
        <f t="shared" si="0"/>
        <v>463.8</v>
      </c>
      <c r="L26" s="13"/>
      <c r="M26" s="264">
        <v>0</v>
      </c>
      <c r="N26" s="13"/>
      <c r="O26" s="264">
        <f t="shared" si="1"/>
        <v>-244.2</v>
      </c>
      <c r="P26" s="1515"/>
    </row>
    <row r="27" spans="1:16" ht="18" customHeight="1">
      <c r="A27" s="1218" t="s">
        <v>261</v>
      </c>
      <c r="B27" s="36" t="s">
        <v>103</v>
      </c>
      <c r="C27" s="618">
        <f>ROUND(SUM(C20:C26),1)</f>
        <v>0</v>
      </c>
      <c r="D27" s="264"/>
      <c r="E27" s="618">
        <f>ROUND(SUM(E20:E26),1)</f>
        <v>1142</v>
      </c>
      <c r="F27" s="264"/>
      <c r="G27" s="618">
        <f>ROUND(SUM(G20:G26),1)</f>
        <v>676.6</v>
      </c>
      <c r="H27" s="264"/>
      <c r="I27" s="617">
        <f>ROUND(SUM(I20:I26),1)</f>
        <v>0</v>
      </c>
      <c r="J27" s="264"/>
      <c r="K27" s="617">
        <f>ROUND(SUM(K20:K26),1)</f>
        <v>676.6</v>
      </c>
      <c r="L27" s="264"/>
      <c r="M27" s="618">
        <f>ROUND(SUM(M20:M26),1)</f>
        <v>0</v>
      </c>
      <c r="N27" s="264"/>
      <c r="O27" s="618">
        <f>ROUND(SUM(O20:O26),1)</f>
        <v>-465.4</v>
      </c>
      <c r="P27" s="1515"/>
    </row>
    <row r="28" spans="1:16">
      <c r="B28" s="256" t="s">
        <v>103</v>
      </c>
      <c r="C28" s="616"/>
      <c r="D28" s="264"/>
      <c r="E28" s="616"/>
      <c r="F28" s="264"/>
      <c r="G28" s="616"/>
      <c r="H28" s="264"/>
      <c r="I28" s="264"/>
      <c r="J28" s="264"/>
      <c r="K28" s="264"/>
      <c r="L28" s="264"/>
      <c r="M28" s="616" t="s">
        <v>103</v>
      </c>
      <c r="N28" s="264"/>
      <c r="O28" s="616" t="s">
        <v>103</v>
      </c>
      <c r="P28" s="1515"/>
    </row>
    <row r="29" spans="1:16">
      <c r="A29" s="3" t="s">
        <v>122</v>
      </c>
      <c r="B29" s="256" t="s">
        <v>103</v>
      </c>
      <c r="C29" s="264"/>
      <c r="D29" s="264"/>
      <c r="E29" s="264"/>
      <c r="F29" s="264"/>
      <c r="G29" s="264"/>
      <c r="H29" s="264"/>
      <c r="I29" s="264"/>
      <c r="J29" s="264"/>
      <c r="K29" s="264"/>
      <c r="L29" s="264"/>
      <c r="M29" s="264"/>
      <c r="N29" s="264"/>
      <c r="O29" s="264"/>
      <c r="P29" s="1515"/>
    </row>
    <row r="30" spans="1:16">
      <c r="A30" s="350" t="s">
        <v>243</v>
      </c>
      <c r="B30" s="256" t="s">
        <v>103</v>
      </c>
      <c r="C30" s="275">
        <v>0</v>
      </c>
      <c r="D30" s="1796"/>
      <c r="E30" s="275">
        <v>626</v>
      </c>
      <c r="F30" s="264"/>
      <c r="G30" s="264">
        <f>+'Exh D Captl Projects State Fed'!G30+'Exh D Captl Projects State Fed'!S30</f>
        <v>360.7</v>
      </c>
      <c r="H30" s="264"/>
      <c r="I30" s="264">
        <v>0</v>
      </c>
      <c r="J30" s="264"/>
      <c r="K30" s="587">
        <f>+G30+I30</f>
        <v>360.7</v>
      </c>
      <c r="L30" s="264"/>
      <c r="M30" s="264">
        <v>0</v>
      </c>
      <c r="N30" s="264"/>
      <c r="O30" s="264">
        <f t="shared" ref="O30:O32" si="3">K30-E30</f>
        <v>-265.3</v>
      </c>
      <c r="P30" s="1515"/>
    </row>
    <row r="31" spans="1:16">
      <c r="A31" s="350" t="s">
        <v>140</v>
      </c>
      <c r="B31" s="256" t="s">
        <v>103</v>
      </c>
      <c r="C31" s="275">
        <v>0</v>
      </c>
      <c r="D31" s="1796"/>
      <c r="E31" s="275">
        <v>828</v>
      </c>
      <c r="F31" s="264"/>
      <c r="G31" s="264">
        <f>+'Exh D Captl Projects State Fed'!G31+'Exh D Captl Projects State Fed'!S31</f>
        <v>406</v>
      </c>
      <c r="H31" s="264"/>
      <c r="I31" s="264">
        <v>0</v>
      </c>
      <c r="J31" s="264"/>
      <c r="K31" s="587">
        <f>+G31+I31</f>
        <v>406</v>
      </c>
      <c r="L31" s="264"/>
      <c r="M31" s="264">
        <v>0</v>
      </c>
      <c r="N31" s="264"/>
      <c r="O31" s="264">
        <f t="shared" si="3"/>
        <v>-422</v>
      </c>
      <c r="P31" s="1515"/>
    </row>
    <row r="32" spans="1:16">
      <c r="A32" s="350" t="s">
        <v>248</v>
      </c>
      <c r="B32" s="256" t="s">
        <v>103</v>
      </c>
      <c r="C32" s="275">
        <v>0</v>
      </c>
      <c r="D32" s="1796"/>
      <c r="E32" s="275">
        <v>0</v>
      </c>
      <c r="F32" s="264"/>
      <c r="G32" s="264">
        <f>+'Exh D Captl Projects State Fed'!G32+'Exh D Captl Projects State Fed'!S32</f>
        <v>1.3</v>
      </c>
      <c r="H32" s="264"/>
      <c r="I32" s="264">
        <f>-'Exhibit I'!AC92</f>
        <v>0</v>
      </c>
      <c r="J32" s="264"/>
      <c r="K32" s="587">
        <f>+G32+I32</f>
        <v>1.3</v>
      </c>
      <c r="L32" s="264"/>
      <c r="M32" s="264">
        <v>0</v>
      </c>
      <c r="N32" s="264"/>
      <c r="O32" s="264">
        <f t="shared" si="3"/>
        <v>1.3</v>
      </c>
      <c r="P32" s="1515"/>
    </row>
    <row r="33" spans="1:16" ht="18" customHeight="1">
      <c r="A33" s="1218" t="s">
        <v>270</v>
      </c>
      <c r="B33" s="36" t="s">
        <v>103</v>
      </c>
      <c r="C33" s="618">
        <f>ROUND(SUM(C30:C32),1)</f>
        <v>0</v>
      </c>
      <c r="D33" s="264"/>
      <c r="E33" s="618">
        <f>ROUND(SUM(E30:E32),1)</f>
        <v>1454</v>
      </c>
      <c r="F33" s="264"/>
      <c r="G33" s="618">
        <f>ROUND(SUM(G30:G32),1)</f>
        <v>768</v>
      </c>
      <c r="H33" s="264"/>
      <c r="I33" s="617">
        <f>ROUND(SUM(I30:I32),1)</f>
        <v>0</v>
      </c>
      <c r="J33" s="264"/>
      <c r="K33" s="617">
        <f>ROUND(SUM(K30:K32),1)</f>
        <v>768</v>
      </c>
      <c r="L33" s="264"/>
      <c r="M33" s="618">
        <f>ROUND(SUM(M30:M32),1)</f>
        <v>0</v>
      </c>
      <c r="N33" s="264"/>
      <c r="O33" s="618">
        <f>ROUND(SUM(O30:O32),1)</f>
        <v>-686</v>
      </c>
      <c r="P33" s="1515"/>
    </row>
    <row r="34" spans="1:16">
      <c r="B34" s="256" t="s">
        <v>103</v>
      </c>
      <c r="C34" s="616"/>
      <c r="D34" s="264"/>
      <c r="E34" s="616"/>
      <c r="F34" s="264"/>
      <c r="G34" s="616"/>
      <c r="H34" s="264"/>
      <c r="I34" s="264"/>
      <c r="J34" s="264"/>
      <c r="K34" s="264"/>
      <c r="L34" s="264"/>
      <c r="M34" s="616"/>
      <c r="N34" s="264"/>
      <c r="O34" s="616"/>
      <c r="P34" s="1515"/>
    </row>
    <row r="35" spans="1:16">
      <c r="A35" s="3" t="s">
        <v>250</v>
      </c>
      <c r="C35" s="264"/>
      <c r="D35" s="13"/>
      <c r="E35" s="264"/>
      <c r="F35" s="13"/>
      <c r="G35" s="264"/>
      <c r="H35" s="13"/>
      <c r="I35" s="264"/>
      <c r="J35" s="13"/>
      <c r="K35" s="264"/>
      <c r="L35" s="13"/>
      <c r="M35" s="264"/>
      <c r="N35" s="13"/>
      <c r="O35" s="264"/>
      <c r="P35" s="1515"/>
    </row>
    <row r="36" spans="1:16">
      <c r="A36" s="3" t="s">
        <v>251</v>
      </c>
      <c r="C36" s="264"/>
      <c r="D36" s="264"/>
      <c r="E36" s="264"/>
      <c r="F36" s="264"/>
      <c r="G36" s="264"/>
      <c r="H36" s="264"/>
      <c r="I36" s="264"/>
      <c r="J36" s="264"/>
      <c r="K36" s="264"/>
      <c r="L36" s="264"/>
      <c r="M36" s="264"/>
      <c r="N36" s="264"/>
      <c r="O36" s="264"/>
      <c r="P36" s="1515"/>
    </row>
    <row r="37" spans="1:16">
      <c r="A37" s="1218" t="s">
        <v>252</v>
      </c>
      <c r="B37" s="42"/>
      <c r="C37" s="13">
        <f>ROUND(SUM(C27)-SUM(C33),1)</f>
        <v>0</v>
      </c>
      <c r="D37" s="264"/>
      <c r="E37" s="13">
        <f>ROUND(SUM(E27)-SUM(E33),1)</f>
        <v>-312</v>
      </c>
      <c r="F37" s="264"/>
      <c r="G37" s="13">
        <f>ROUND(SUM(G27)-SUM(G33),1)</f>
        <v>-91.4</v>
      </c>
      <c r="H37" s="264"/>
      <c r="I37" s="18">
        <v>0</v>
      </c>
      <c r="J37" s="264"/>
      <c r="K37" s="13">
        <f>ROUND(SUM(K27)-SUM(K33),1)</f>
        <v>-91.4</v>
      </c>
      <c r="L37" s="264"/>
      <c r="M37" s="13">
        <f>ROUND(SUM(M27)-SUM(M33),1)</f>
        <v>0</v>
      </c>
      <c r="N37" s="264"/>
      <c r="O37" s="13">
        <f>ROUND(SUM(O27)-SUM(O33),1)</f>
        <v>220.6</v>
      </c>
      <c r="P37" s="1515"/>
    </row>
    <row r="38" spans="1:16">
      <c r="C38" s="264"/>
      <c r="D38" s="264"/>
      <c r="E38" s="264"/>
      <c r="F38" s="264"/>
      <c r="G38" s="264"/>
      <c r="H38" s="264"/>
      <c r="I38" s="264"/>
      <c r="J38" s="264"/>
      <c r="K38" s="264"/>
      <c r="L38" s="264"/>
      <c r="M38" s="264"/>
      <c r="N38" s="264"/>
      <c r="O38" s="264"/>
      <c r="P38" s="1515"/>
    </row>
    <row r="39" spans="1:16">
      <c r="A39" s="1218" t="str">
        <f>+'Exh D Governmental  '!A49</f>
        <v>Fund Balances (Deficits) at April 1</v>
      </c>
      <c r="B39" s="385" t="s">
        <v>103</v>
      </c>
      <c r="C39" s="26">
        <f>'Exh D Captl Projects State Fed'!C39+'Exh D Captl Projects State Fed'!O39</f>
        <v>0</v>
      </c>
      <c r="D39" s="18"/>
      <c r="E39" s="26">
        <f>'Exh D Captl Projects State Fed'!E39+'Exh D Captl Projects State Fed'!Q39</f>
        <v>-870</v>
      </c>
      <c r="F39" s="18"/>
      <c r="G39" s="13">
        <f>'Exhibit I'!E13</f>
        <v>-2483.1</v>
      </c>
      <c r="H39" s="18"/>
      <c r="I39" s="13">
        <v>0</v>
      </c>
      <c r="J39" s="18"/>
      <c r="K39" s="619">
        <f>+G39+I39</f>
        <v>-2483.1</v>
      </c>
      <c r="L39" s="18"/>
      <c r="M39" s="13">
        <v>0</v>
      </c>
      <c r="N39" s="18"/>
      <c r="O39" s="13">
        <f t="shared" ref="O39" si="4">K39-E39</f>
        <v>-1613.1</v>
      </c>
      <c r="P39" s="1515"/>
    </row>
    <row r="40" spans="1:16" ht="16" thickBot="1">
      <c r="A40" s="1218" t="str">
        <f>+'Exh D Governmental  '!A50</f>
        <v>Fund Balances (Deficits) at April 30, 2026</v>
      </c>
      <c r="B40" s="43" t="s">
        <v>103</v>
      </c>
      <c r="C40" s="675">
        <f>ROUND(SUM(C37:C39),1)</f>
        <v>0</v>
      </c>
      <c r="D40" s="264"/>
      <c r="E40" s="675">
        <f>ROUND(SUM(E37:E39),1)</f>
        <v>-1182</v>
      </c>
      <c r="F40" s="264"/>
      <c r="G40" s="675">
        <f>ROUND(SUM(G37:G39),1)</f>
        <v>-2574.5</v>
      </c>
      <c r="H40" s="264"/>
      <c r="I40" s="675">
        <f>ROUND(SUM(I37:I39),1)</f>
        <v>0</v>
      </c>
      <c r="J40" s="264"/>
      <c r="K40" s="675">
        <f>ROUND(SUM(K37:K39),1)</f>
        <v>-2574.5</v>
      </c>
      <c r="L40" s="264"/>
      <c r="M40" s="675">
        <f>ROUND(SUM(M37:M39),1)</f>
        <v>0</v>
      </c>
      <c r="N40" s="264"/>
      <c r="O40" s="675">
        <f>ROUND(SUM(O37:O39),1)</f>
        <v>-1392.5</v>
      </c>
      <c r="P40" s="1515"/>
    </row>
    <row r="41" spans="1:16" ht="16" thickTop="1">
      <c r="C41" s="256"/>
      <c r="D41" s="264"/>
      <c r="E41" s="256"/>
      <c r="F41" s="264"/>
      <c r="G41" s="268"/>
      <c r="H41" s="264"/>
      <c r="J41" s="264"/>
      <c r="L41" s="264"/>
      <c r="N41" s="264"/>
    </row>
    <row r="42" spans="1:16">
      <c r="A42" s="679" t="str">
        <f>'Exh D Governmental  '!A52</f>
        <v>(*)  Source: 2026-27 Executive Budget with 30-day amendments dated February 20, 2026, which made no changes to the Executive Budget Financial Plan.</v>
      </c>
      <c r="D42" s="44"/>
      <c r="F42" s="44"/>
      <c r="H42" s="44"/>
      <c r="J42" s="44"/>
      <c r="L42" s="44"/>
      <c r="N42" s="44"/>
    </row>
    <row r="43" spans="1:16">
      <c r="A43" s="386" t="str">
        <f>'Exh D Governmental  '!A53</f>
        <v>Due to the absence of the 2026-27 Enacted Budget Financial Plan, the "Financial Plan Cashflow" is not available.</v>
      </c>
      <c r="G43" s="381"/>
      <c r="M43" s="381"/>
      <c r="O43" s="389"/>
    </row>
    <row r="44" spans="1:16">
      <c r="A44" s="350"/>
    </row>
    <row r="45" spans="1:16">
      <c r="A45" s="350"/>
      <c r="D45" s="291"/>
      <c r="F45" s="291"/>
      <c r="H45" s="291"/>
      <c r="J45" s="291"/>
      <c r="L45" s="291"/>
      <c r="N45" s="291"/>
    </row>
    <row r="46" spans="1:16">
      <c r="A46" s="413"/>
      <c r="D46" s="291"/>
      <c r="F46" s="291"/>
      <c r="H46" s="291"/>
      <c r="J46" s="291"/>
      <c r="L46" s="291"/>
      <c r="N46" s="291"/>
    </row>
    <row r="47" spans="1:16">
      <c r="A47" s="46"/>
    </row>
    <row r="48" spans="1:16">
      <c r="D48" s="291"/>
      <c r="F48" s="291"/>
      <c r="H48" s="291"/>
      <c r="J48" s="291"/>
      <c r="L48" s="291"/>
      <c r="N48" s="291"/>
    </row>
    <row r="49" spans="4:14">
      <c r="D49" s="291"/>
      <c r="F49" s="291"/>
      <c r="H49" s="291"/>
      <c r="J49" s="291"/>
      <c r="L49" s="291"/>
      <c r="N49" s="291"/>
    </row>
  </sheetData>
  <printOptions horizontalCentered="1"/>
  <pageMargins left="0.7" right="0.7" top="0.75" bottom="0.75" header="0.3" footer="0.3"/>
  <pageSetup scale="59" firstPageNumber="13" orientation="landscape" useFirstPageNumber="1" r:id="rId1"/>
  <headerFooter scaleWithDoc="0" alignWithMargins="0">
    <oddFooter>&amp;C&amp;8&amp;P</oddFooter>
  </headerFooter>
  <customProperties>
    <customPr name="SheetOptions" r:id="rId2"/>
  </customProperties>
  <ignoredErrors>
    <ignoredError sqref="A5"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Y52"/>
  <sheetViews>
    <sheetView showGridLines="0" zoomScale="90" zoomScaleNormal="90" workbookViewId="0"/>
  </sheetViews>
  <sheetFormatPr defaultColWidth="8.84375" defaultRowHeight="15.5"/>
  <cols>
    <col min="1" max="1" width="51.84375" style="291" customWidth="1"/>
    <col min="2" max="2" width="2.07421875" style="256" customWidth="1"/>
    <col min="3" max="3" width="15.84375" style="128" customWidth="1"/>
    <col min="4" max="4" width="1.07421875" style="256" customWidth="1"/>
    <col min="5" max="5" width="15.84375" style="128" customWidth="1"/>
    <col min="6" max="6" width="1.07421875" style="256" customWidth="1"/>
    <col min="7" max="7" width="15.84375" style="256" customWidth="1"/>
    <col min="8" max="8" width="1.07421875" style="256" customWidth="1"/>
    <col min="9" max="9" width="15.84375" style="256" customWidth="1"/>
    <col min="10" max="10" width="1.07421875" style="256" customWidth="1"/>
    <col min="11" max="11" width="15.84375" style="256" customWidth="1"/>
    <col min="12" max="14" width="1.07421875" style="256" customWidth="1"/>
    <col min="15" max="15" width="15.84375" style="256" customWidth="1"/>
    <col min="16" max="16" width="1.07421875" style="256" customWidth="1"/>
    <col min="17" max="17" width="15.84375" style="256" customWidth="1"/>
    <col min="18" max="18" width="1.07421875" style="256" customWidth="1"/>
    <col min="19" max="19" width="15.84375" style="256" customWidth="1"/>
    <col min="20" max="20" width="1.07421875" style="256" customWidth="1"/>
    <col min="21" max="21" width="15.84375" style="256" customWidth="1"/>
    <col min="22" max="22" width="1.07421875" style="256" customWidth="1"/>
    <col min="23" max="23" width="15.84375" style="128" customWidth="1"/>
    <col min="24" max="24" width="0.84375" style="256" customWidth="1"/>
    <col min="25" max="25" width="15.84375" style="128" customWidth="1"/>
    <col min="26" max="16384" width="8.84375" style="291"/>
  </cols>
  <sheetData>
    <row r="1" spans="1:25">
      <c r="A1" s="387" t="s">
        <v>97</v>
      </c>
      <c r="D1" s="48"/>
      <c r="F1" s="48"/>
      <c r="H1" s="48"/>
      <c r="J1" s="48"/>
      <c r="N1" s="48"/>
      <c r="P1" s="48"/>
      <c r="R1" s="48"/>
      <c r="T1" s="48"/>
      <c r="V1" s="48"/>
    </row>
    <row r="2" spans="1:25" ht="16.5">
      <c r="A2" s="47"/>
      <c r="B2" s="48"/>
      <c r="C2" s="124"/>
      <c r="D2" s="48"/>
      <c r="E2" s="124"/>
      <c r="F2" s="48"/>
      <c r="G2" s="48"/>
      <c r="H2" s="48"/>
      <c r="I2" s="48"/>
      <c r="J2" s="48"/>
      <c r="K2" s="48"/>
      <c r="L2" s="48"/>
      <c r="M2" s="48"/>
      <c r="N2" s="48"/>
      <c r="O2" s="48"/>
      <c r="P2" s="48"/>
      <c r="Q2" s="48"/>
      <c r="R2" s="48"/>
      <c r="S2" s="48"/>
      <c r="T2" s="48"/>
      <c r="U2" s="48"/>
      <c r="V2" s="48"/>
      <c r="W2" s="124"/>
      <c r="X2" s="48"/>
      <c r="Y2" s="124"/>
    </row>
    <row r="3" spans="1:25" ht="18">
      <c r="A3" s="50" t="s">
        <v>98</v>
      </c>
      <c r="B3" s="30"/>
      <c r="C3" s="125"/>
      <c r="D3" s="30"/>
      <c r="E3" s="125"/>
      <c r="F3" s="30"/>
      <c r="G3" s="30"/>
      <c r="H3" s="30"/>
      <c r="I3" s="30"/>
      <c r="J3" s="30"/>
      <c r="K3" s="30"/>
      <c r="L3" s="30"/>
      <c r="M3" s="30"/>
      <c r="N3" s="30"/>
      <c r="O3" s="30"/>
      <c r="P3" s="30"/>
      <c r="Q3" s="30"/>
      <c r="R3" s="30"/>
      <c r="S3" s="30"/>
      <c r="T3" s="30"/>
      <c r="U3" s="352"/>
      <c r="V3" s="30"/>
      <c r="W3" s="352" t="s">
        <v>224</v>
      </c>
      <c r="X3" s="30"/>
      <c r="Y3" s="125"/>
    </row>
    <row r="4" spans="1:25" ht="18">
      <c r="A4" s="50" t="s">
        <v>281</v>
      </c>
      <c r="B4" s="30"/>
      <c r="C4" s="125"/>
      <c r="D4" s="30"/>
      <c r="E4" s="125"/>
      <c r="F4" s="30"/>
      <c r="G4" s="30"/>
      <c r="H4" s="30"/>
      <c r="I4" s="30"/>
      <c r="J4" s="30"/>
      <c r="K4" s="30"/>
      <c r="L4" s="30"/>
      <c r="M4" s="30"/>
      <c r="N4" s="30"/>
      <c r="O4" s="30"/>
      <c r="P4" s="30"/>
      <c r="Q4" s="30"/>
      <c r="R4" s="30"/>
      <c r="S4" s="30"/>
      <c r="T4" s="30"/>
      <c r="U4" s="353"/>
      <c r="V4" s="30"/>
      <c r="W4" s="353"/>
      <c r="X4" s="30"/>
      <c r="Y4" s="125"/>
    </row>
    <row r="5" spans="1:25" ht="18">
      <c r="A5" s="2005" t="str">
        <f>'Exh D Governmental  '!A5</f>
        <v>FISCAL YEAR 2026-2027</v>
      </c>
      <c r="B5" s="23"/>
      <c r="C5" s="23"/>
      <c r="D5" s="23"/>
      <c r="E5" s="23"/>
      <c r="F5" s="30"/>
      <c r="G5" s="30"/>
      <c r="H5" s="30"/>
      <c r="I5" s="30"/>
      <c r="J5" s="30"/>
      <c r="K5" s="30"/>
      <c r="L5" s="30"/>
      <c r="M5" s="30"/>
      <c r="N5" s="30"/>
      <c r="O5" s="30"/>
      <c r="P5" s="30"/>
      <c r="Q5" s="30"/>
      <c r="R5" s="30"/>
      <c r="S5" s="30"/>
      <c r="T5" s="30"/>
      <c r="U5" s="30"/>
      <c r="V5" s="30"/>
      <c r="W5" s="125"/>
      <c r="X5" s="30"/>
      <c r="Y5" s="125"/>
    </row>
    <row r="6" spans="1:25" ht="18">
      <c r="A6" s="541" t="str">
        <f>'Exh D Governmental  '!A6</f>
        <v>FOR ONE MONTH ENDED APRIL 30, 2026</v>
      </c>
      <c r="B6" s="30"/>
      <c r="C6" s="125"/>
      <c r="D6" s="30"/>
      <c r="E6" s="125"/>
      <c r="F6" s="30"/>
      <c r="G6" s="30"/>
      <c r="H6" s="30"/>
      <c r="I6" s="30"/>
      <c r="J6" s="30"/>
      <c r="K6" s="30"/>
      <c r="L6" s="30"/>
      <c r="M6" s="30"/>
      <c r="N6" s="30"/>
      <c r="O6" s="30"/>
      <c r="P6" s="30"/>
      <c r="Q6" s="30"/>
      <c r="R6" s="30"/>
      <c r="S6" s="30"/>
      <c r="T6" s="30"/>
      <c r="U6" s="30"/>
      <c r="V6" s="30"/>
      <c r="W6" s="125"/>
      <c r="X6" s="30"/>
      <c r="Y6" s="125"/>
    </row>
    <row r="7" spans="1:25" ht="18">
      <c r="A7" s="50" t="s">
        <v>226</v>
      </c>
      <c r="B7" s="30"/>
      <c r="C7" s="125"/>
      <c r="D7" s="30"/>
      <c r="E7" s="125"/>
      <c r="F7" s="30"/>
      <c r="G7" s="30"/>
      <c r="H7" s="30"/>
      <c r="I7" s="30"/>
      <c r="J7" s="30"/>
      <c r="K7" s="30"/>
      <c r="L7" s="30"/>
      <c r="M7" s="30"/>
      <c r="N7" s="30"/>
      <c r="O7" s="30"/>
      <c r="P7" s="30"/>
      <c r="Q7" s="30"/>
      <c r="R7" s="30"/>
      <c r="S7" s="30"/>
      <c r="T7" s="30"/>
      <c r="U7" s="30"/>
      <c r="V7" s="30"/>
      <c r="W7" s="125"/>
      <c r="X7" s="30"/>
      <c r="Y7" s="125"/>
    </row>
    <row r="8" spans="1:25" ht="17.5">
      <c r="A8" s="34"/>
      <c r="B8" s="30"/>
      <c r="C8" s="125"/>
      <c r="D8" s="30"/>
      <c r="E8" s="125"/>
      <c r="F8" s="30"/>
      <c r="G8" s="30"/>
      <c r="H8" s="30"/>
      <c r="I8" s="30"/>
      <c r="J8" s="30"/>
      <c r="K8" s="30"/>
      <c r="L8" s="30"/>
      <c r="M8" s="30"/>
      <c r="N8" s="30"/>
      <c r="O8" s="30"/>
      <c r="P8" s="30"/>
      <c r="Q8" s="30"/>
      <c r="R8" s="30"/>
      <c r="S8" s="30"/>
      <c r="T8" s="30"/>
      <c r="U8" s="30"/>
      <c r="V8" s="30"/>
      <c r="W8" s="125"/>
      <c r="X8" s="30"/>
      <c r="Y8" s="125"/>
    </row>
    <row r="9" spans="1:25">
      <c r="A9" s="35"/>
      <c r="B9" s="30"/>
      <c r="C9" s="125"/>
      <c r="D9" s="30"/>
      <c r="E9" s="125"/>
      <c r="F9" s="30"/>
      <c r="G9" s="30"/>
      <c r="H9" s="30"/>
      <c r="I9" s="30"/>
      <c r="J9" s="30"/>
      <c r="K9" s="30"/>
      <c r="L9" s="30"/>
      <c r="M9" s="30"/>
      <c r="N9" s="30"/>
      <c r="O9" s="30"/>
      <c r="P9" s="30"/>
      <c r="Q9" s="30"/>
      <c r="R9" s="30"/>
      <c r="S9" s="30"/>
      <c r="T9" s="30"/>
      <c r="U9" s="30"/>
      <c r="V9" s="30"/>
      <c r="W9" s="125"/>
      <c r="X9" s="30"/>
      <c r="Y9" s="125"/>
    </row>
    <row r="10" spans="1:25">
      <c r="A10" s="35"/>
      <c r="B10" s="30"/>
      <c r="C10" s="125"/>
      <c r="D10" s="30"/>
      <c r="E10" s="125"/>
      <c r="F10" s="30"/>
      <c r="G10" s="30"/>
      <c r="H10" s="30"/>
      <c r="I10" s="30"/>
      <c r="J10" s="30"/>
      <c r="K10" s="30"/>
      <c r="L10" s="30"/>
      <c r="M10" s="30"/>
      <c r="N10" s="30"/>
      <c r="O10" s="125"/>
      <c r="P10" s="30"/>
      <c r="Q10" s="125"/>
      <c r="R10" s="30"/>
      <c r="S10" s="30"/>
      <c r="T10" s="30"/>
      <c r="U10" s="30"/>
      <c r="V10" s="30"/>
      <c r="W10" s="125"/>
      <c r="X10" s="30"/>
      <c r="Y10" s="125"/>
    </row>
    <row r="11" spans="1:25">
      <c r="B11" s="36"/>
      <c r="C11" s="2062" t="s">
        <v>282</v>
      </c>
      <c r="D11" s="2062"/>
      <c r="E11" s="2062"/>
      <c r="F11" s="2062"/>
      <c r="G11" s="2062"/>
      <c r="H11" s="2062"/>
      <c r="I11" s="2062"/>
      <c r="J11" s="1219"/>
      <c r="K11" s="1219"/>
      <c r="L11" s="52"/>
      <c r="M11" s="52"/>
      <c r="N11" s="51"/>
      <c r="O11" s="2062" t="s">
        <v>283</v>
      </c>
      <c r="P11" s="2062"/>
      <c r="Q11" s="2062"/>
      <c r="R11" s="2062"/>
      <c r="S11" s="2062"/>
      <c r="T11" s="2062"/>
      <c r="U11" s="2062"/>
      <c r="V11" s="1007"/>
      <c r="W11" s="1219"/>
      <c r="X11" s="1219"/>
      <c r="Y11" s="52"/>
    </row>
    <row r="12" spans="1:25">
      <c r="B12" s="36"/>
      <c r="C12" s="127"/>
      <c r="D12" s="52"/>
      <c r="E12" s="127"/>
      <c r="F12" s="52"/>
      <c r="G12" s="36"/>
      <c r="H12" s="52"/>
      <c r="I12" s="52" t="s">
        <v>228</v>
      </c>
      <c r="J12" s="52"/>
      <c r="K12" s="52" t="s">
        <v>228</v>
      </c>
      <c r="L12" s="52"/>
      <c r="M12" s="1525"/>
      <c r="N12" s="52"/>
      <c r="O12" s="127"/>
      <c r="P12" s="52"/>
      <c r="Q12" s="127"/>
      <c r="R12" s="52"/>
      <c r="S12" s="36"/>
      <c r="T12" s="52"/>
      <c r="U12" s="52" t="s">
        <v>228</v>
      </c>
      <c r="V12" s="52"/>
      <c r="W12" s="52" t="s">
        <v>228</v>
      </c>
      <c r="X12" s="36"/>
      <c r="Y12" s="127"/>
    </row>
    <row r="13" spans="1:25">
      <c r="B13" s="36"/>
      <c r="C13" s="127"/>
      <c r="D13" s="36"/>
      <c r="E13" s="127"/>
      <c r="F13" s="36"/>
      <c r="G13" s="36"/>
      <c r="H13" s="36"/>
      <c r="I13" s="37" t="s">
        <v>229</v>
      </c>
      <c r="J13" s="36"/>
      <c r="K13" s="37" t="s">
        <v>229</v>
      </c>
      <c r="L13" s="37"/>
      <c r="M13" s="1526"/>
      <c r="N13" s="36"/>
      <c r="O13" s="127"/>
      <c r="P13" s="36"/>
      <c r="Q13" s="127"/>
      <c r="R13" s="36"/>
      <c r="S13" s="36"/>
      <c r="T13" s="36"/>
      <c r="U13" s="37" t="s">
        <v>229</v>
      </c>
      <c r="V13" s="36"/>
      <c r="W13" s="37" t="s">
        <v>229</v>
      </c>
      <c r="X13" s="36"/>
      <c r="Y13" s="127"/>
    </row>
    <row r="14" spans="1:25" ht="15.75" customHeight="1">
      <c r="B14" s="36"/>
      <c r="C14" s="38" t="s">
        <v>231</v>
      </c>
      <c r="D14" s="36"/>
      <c r="E14" s="38" t="s">
        <v>232</v>
      </c>
      <c r="F14" s="36"/>
      <c r="G14" s="36"/>
      <c r="H14" s="36"/>
      <c r="I14" s="37" t="s">
        <v>233</v>
      </c>
      <c r="J14" s="36"/>
      <c r="K14" s="37" t="s">
        <v>233</v>
      </c>
      <c r="L14" s="37"/>
      <c r="M14" s="1526"/>
      <c r="N14" s="36"/>
      <c r="O14" s="38" t="s">
        <v>231</v>
      </c>
      <c r="P14" s="36"/>
      <c r="Q14" s="38" t="s">
        <v>232</v>
      </c>
      <c r="R14" s="36"/>
      <c r="S14" s="36"/>
      <c r="T14" s="36"/>
      <c r="U14" s="37" t="s">
        <v>233</v>
      </c>
      <c r="V14" s="36"/>
      <c r="W14" s="37" t="s">
        <v>233</v>
      </c>
      <c r="X14" s="291"/>
      <c r="Y14" s="38"/>
    </row>
    <row r="15" spans="1:25" ht="15.75" customHeight="1">
      <c r="B15" s="36"/>
      <c r="C15" s="37" t="s">
        <v>234</v>
      </c>
      <c r="D15" s="36"/>
      <c r="E15" s="37" t="s">
        <v>234</v>
      </c>
      <c r="F15" s="36"/>
      <c r="G15" s="36"/>
      <c r="H15" s="36"/>
      <c r="I15" s="37" t="s">
        <v>231</v>
      </c>
      <c r="J15" s="36"/>
      <c r="K15" s="38" t="s">
        <v>232</v>
      </c>
      <c r="L15" s="38"/>
      <c r="M15" s="1530"/>
      <c r="N15" s="36"/>
      <c r="O15" s="37" t="s">
        <v>234</v>
      </c>
      <c r="P15" s="36"/>
      <c r="Q15" s="37" t="s">
        <v>234</v>
      </c>
      <c r="R15" s="36"/>
      <c r="S15" s="36"/>
      <c r="T15" s="36"/>
      <c r="U15" s="37" t="s">
        <v>231</v>
      </c>
      <c r="V15" s="36"/>
      <c r="W15" s="38" t="s">
        <v>232</v>
      </c>
      <c r="X15" s="36"/>
      <c r="Y15" s="37"/>
    </row>
    <row r="16" spans="1:25">
      <c r="B16" s="36"/>
      <c r="C16" s="37" t="s">
        <v>1510</v>
      </c>
      <c r="D16" s="36"/>
      <c r="E16" s="37" t="s">
        <v>235</v>
      </c>
      <c r="F16" s="36"/>
      <c r="G16" s="38" t="s">
        <v>228</v>
      </c>
      <c r="H16" s="36"/>
      <c r="I16" s="37" t="s">
        <v>236</v>
      </c>
      <c r="J16" s="36"/>
      <c r="K16" s="37" t="s">
        <v>236</v>
      </c>
      <c r="L16" s="37"/>
      <c r="M16" s="1526"/>
      <c r="N16" s="36"/>
      <c r="O16" s="37" t="s">
        <v>1510</v>
      </c>
      <c r="P16" s="36"/>
      <c r="Q16" s="37" t="s">
        <v>235</v>
      </c>
      <c r="R16" s="36"/>
      <c r="S16" s="38" t="s">
        <v>228</v>
      </c>
      <c r="T16" s="36"/>
      <c r="U16" s="37" t="s">
        <v>236</v>
      </c>
      <c r="V16" s="36"/>
      <c r="W16" s="37" t="s">
        <v>236</v>
      </c>
      <c r="X16" s="36"/>
      <c r="Y16" s="37"/>
    </row>
    <row r="17" spans="1:25">
      <c r="A17" s="39"/>
      <c r="B17" s="30"/>
      <c r="C17" s="1006"/>
      <c r="D17" s="30"/>
      <c r="E17" s="1006"/>
      <c r="F17" s="30"/>
      <c r="G17" s="1006"/>
      <c r="H17" s="30"/>
      <c r="I17" s="1006"/>
      <c r="J17" s="30"/>
      <c r="K17" s="1006"/>
      <c r="L17" s="30"/>
      <c r="M17" s="1527"/>
      <c r="N17" s="30"/>
      <c r="O17" s="1006"/>
      <c r="P17" s="30"/>
      <c r="Q17" s="1006"/>
      <c r="R17" s="30"/>
      <c r="S17" s="1006"/>
      <c r="T17" s="30"/>
      <c r="U17" s="1006"/>
      <c r="V17" s="30"/>
      <c r="W17" s="1006"/>
      <c r="X17" s="30"/>
      <c r="Y17" s="30"/>
    </row>
    <row r="18" spans="1:25">
      <c r="A18" s="3" t="s">
        <v>114</v>
      </c>
      <c r="C18" s="256"/>
      <c r="E18" s="256"/>
      <c r="G18" s="268" t="s">
        <v>103</v>
      </c>
      <c r="M18" s="1528"/>
      <c r="S18" s="256" t="s">
        <v>103</v>
      </c>
      <c r="W18" s="256"/>
      <c r="Y18" s="256"/>
    </row>
    <row r="19" spans="1:25">
      <c r="A19" s="350" t="s">
        <v>237</v>
      </c>
      <c r="B19" s="379" t="s">
        <v>103</v>
      </c>
      <c r="C19" s="274"/>
      <c r="D19" s="379"/>
      <c r="E19" s="274"/>
      <c r="F19" s="379"/>
      <c r="G19" s="274"/>
      <c r="H19" s="379"/>
      <c r="I19" s="274"/>
      <c r="J19" s="379"/>
      <c r="K19" s="274"/>
      <c r="L19" s="274"/>
      <c r="M19" s="1502"/>
      <c r="N19" s="379"/>
      <c r="O19" s="274"/>
      <c r="P19" s="379"/>
      <c r="Q19" s="274"/>
      <c r="R19" s="379"/>
      <c r="S19" s="390"/>
      <c r="T19" s="379"/>
      <c r="U19" s="274"/>
      <c r="V19" s="379"/>
      <c r="W19" s="274"/>
      <c r="X19" s="274"/>
      <c r="Y19" s="274"/>
    </row>
    <row r="20" spans="1:25">
      <c r="A20" s="350" t="s">
        <v>239</v>
      </c>
      <c r="B20" s="256" t="s">
        <v>103</v>
      </c>
      <c r="C20" s="388">
        <v>0</v>
      </c>
      <c r="D20" s="1796"/>
      <c r="E20" s="388">
        <v>45</v>
      </c>
      <c r="F20" s="276"/>
      <c r="G20" s="388">
        <f>'Exhibit I State'!AD21</f>
        <v>42.2</v>
      </c>
      <c r="H20" s="276"/>
      <c r="I20" s="274">
        <v>0</v>
      </c>
      <c r="J20" s="276"/>
      <c r="K20" s="274">
        <f>G20-E20</f>
        <v>-2.7999999999999972</v>
      </c>
      <c r="L20" s="274"/>
      <c r="M20" s="1502"/>
      <c r="N20" s="276"/>
      <c r="O20" s="388">
        <v>0</v>
      </c>
      <c r="P20" s="1796"/>
      <c r="Q20" s="388">
        <v>0</v>
      </c>
      <c r="R20" s="276"/>
      <c r="S20" s="388">
        <v>0</v>
      </c>
      <c r="T20" s="276"/>
      <c r="U20" s="274">
        <v>0</v>
      </c>
      <c r="V20" s="276"/>
      <c r="W20" s="274">
        <f>S20-Q20</f>
        <v>0</v>
      </c>
      <c r="X20" s="277"/>
      <c r="Y20" s="1521"/>
    </row>
    <row r="21" spans="1:25">
      <c r="A21" s="350" t="s">
        <v>240</v>
      </c>
      <c r="B21" s="379" t="s">
        <v>103</v>
      </c>
      <c r="C21" s="275">
        <v>0</v>
      </c>
      <c r="D21" s="367"/>
      <c r="E21" s="275">
        <v>42</v>
      </c>
      <c r="F21" s="264"/>
      <c r="G21" s="288">
        <f>'Exhibit I State'!AD26</f>
        <v>43.9</v>
      </c>
      <c r="H21" s="264"/>
      <c r="I21" s="264">
        <v>0</v>
      </c>
      <c r="J21" s="264"/>
      <c r="K21" s="264">
        <f t="shared" ref="K21:K26" si="0">G21-E21</f>
        <v>1.8999999999999986</v>
      </c>
      <c r="L21" s="264"/>
      <c r="M21" s="991"/>
      <c r="N21" s="264"/>
      <c r="O21" s="275">
        <v>0</v>
      </c>
      <c r="P21" s="367"/>
      <c r="Q21" s="275">
        <v>0</v>
      </c>
      <c r="R21" s="264"/>
      <c r="S21" s="288">
        <v>0</v>
      </c>
      <c r="T21" s="264"/>
      <c r="U21" s="264">
        <v>0</v>
      </c>
      <c r="V21" s="264"/>
      <c r="W21" s="264">
        <f t="shared" ref="W21:W25" si="1">S21-Q21</f>
        <v>0</v>
      </c>
      <c r="X21" s="275"/>
      <c r="Y21" s="1521"/>
    </row>
    <row r="22" spans="1:25">
      <c r="A22" s="350" t="s">
        <v>241</v>
      </c>
      <c r="B22" s="256" t="s">
        <v>103</v>
      </c>
      <c r="C22" s="275">
        <v>0</v>
      </c>
      <c r="D22" s="1796"/>
      <c r="E22" s="275">
        <v>0</v>
      </c>
      <c r="F22" s="287"/>
      <c r="G22" s="288">
        <f>'Exhibit I State'!AD29</f>
        <v>0</v>
      </c>
      <c r="H22" s="287"/>
      <c r="I22" s="264">
        <f t="shared" ref="I22:I25" si="2">G22-C22</f>
        <v>0</v>
      </c>
      <c r="J22" s="287"/>
      <c r="K22" s="264">
        <f t="shared" si="0"/>
        <v>0</v>
      </c>
      <c r="L22" s="264"/>
      <c r="M22" s="991"/>
      <c r="N22" s="287"/>
      <c r="O22" s="275">
        <v>0</v>
      </c>
      <c r="P22" s="1796"/>
      <c r="Q22" s="275">
        <v>0</v>
      </c>
      <c r="R22" s="287"/>
      <c r="S22" s="288">
        <v>0</v>
      </c>
      <c r="T22" s="287"/>
      <c r="U22" s="264">
        <v>0</v>
      </c>
      <c r="V22" s="287"/>
      <c r="W22" s="264">
        <f t="shared" si="1"/>
        <v>0</v>
      </c>
      <c r="X22" s="275"/>
      <c r="Y22" s="1521"/>
    </row>
    <row r="23" spans="1:25">
      <c r="A23" s="350" t="s">
        <v>119</v>
      </c>
      <c r="B23" s="256" t="s">
        <v>103</v>
      </c>
      <c r="C23" s="275">
        <v>0</v>
      </c>
      <c r="D23" s="1797"/>
      <c r="E23" s="275">
        <v>144</v>
      </c>
      <c r="F23" s="1199"/>
      <c r="G23" s="288">
        <f>'Exhibit I State'!AD60</f>
        <v>39</v>
      </c>
      <c r="H23" s="1199"/>
      <c r="I23" s="264">
        <v>0</v>
      </c>
      <c r="J23" s="1199"/>
      <c r="K23" s="264">
        <f t="shared" si="0"/>
        <v>-105</v>
      </c>
      <c r="L23" s="264"/>
      <c r="M23" s="991"/>
      <c r="N23" s="1529"/>
      <c r="O23" s="275">
        <v>0</v>
      </c>
      <c r="P23" s="1797"/>
      <c r="Q23" s="275">
        <v>19</v>
      </c>
      <c r="R23" s="1199"/>
      <c r="S23" s="264">
        <f>'Exhibit I Federal'!AD42</f>
        <v>0.1</v>
      </c>
      <c r="T23" s="1199"/>
      <c r="U23" s="264">
        <v>0</v>
      </c>
      <c r="V23" s="1199"/>
      <c r="W23" s="264">
        <f t="shared" si="1"/>
        <v>-18.899999999999999</v>
      </c>
      <c r="X23" s="264"/>
      <c r="Y23" s="1521"/>
    </row>
    <row r="24" spans="1:25">
      <c r="A24" s="350" t="s">
        <v>120</v>
      </c>
      <c r="B24" s="256" t="s">
        <v>103</v>
      </c>
      <c r="C24" s="275">
        <v>0</v>
      </c>
      <c r="D24" s="1796"/>
      <c r="E24" s="275">
        <v>0</v>
      </c>
      <c r="F24" s="264"/>
      <c r="G24" s="288">
        <f>'Exhibit I State'!AD62</f>
        <v>0</v>
      </c>
      <c r="H24" s="264"/>
      <c r="I24" s="264">
        <v>0</v>
      </c>
      <c r="J24" s="264"/>
      <c r="K24" s="264">
        <f t="shared" si="0"/>
        <v>0</v>
      </c>
      <c r="L24" s="264"/>
      <c r="M24" s="991"/>
      <c r="N24" s="264"/>
      <c r="O24" s="275">
        <v>0</v>
      </c>
      <c r="P24" s="1796"/>
      <c r="Q24" s="275">
        <v>184</v>
      </c>
      <c r="R24" s="264"/>
      <c r="S24" s="264">
        <f>'Exhibit I Federal'!AD44</f>
        <v>87.6</v>
      </c>
      <c r="T24" s="264"/>
      <c r="U24" s="264">
        <v>0</v>
      </c>
      <c r="V24" s="264"/>
      <c r="W24" s="264">
        <f t="shared" si="1"/>
        <v>-96.4</v>
      </c>
      <c r="X24" s="264"/>
      <c r="Y24" s="1521"/>
    </row>
    <row r="25" spans="1:25">
      <c r="A25" s="350" t="s">
        <v>247</v>
      </c>
      <c r="B25" s="256" t="s">
        <v>103</v>
      </c>
      <c r="C25" s="275">
        <v>0</v>
      </c>
      <c r="D25" s="1796"/>
      <c r="E25" s="275">
        <v>0</v>
      </c>
      <c r="F25" s="264"/>
      <c r="G25" s="288">
        <f>'Exhibit I State'!AD90</f>
        <v>0</v>
      </c>
      <c r="H25" s="264"/>
      <c r="I25" s="264">
        <f t="shared" si="2"/>
        <v>0</v>
      </c>
      <c r="J25" s="264"/>
      <c r="K25" s="264">
        <f t="shared" si="0"/>
        <v>0</v>
      </c>
      <c r="L25" s="264"/>
      <c r="M25" s="991"/>
      <c r="N25" s="264"/>
      <c r="O25" s="275">
        <v>0</v>
      </c>
      <c r="P25" s="1796"/>
      <c r="Q25" s="275">
        <v>0</v>
      </c>
      <c r="R25" s="264"/>
      <c r="S25" s="275">
        <v>0</v>
      </c>
      <c r="T25" s="264"/>
      <c r="U25" s="264">
        <f t="shared" ref="U25" si="3">S25-O25</f>
        <v>0</v>
      </c>
      <c r="V25" s="264"/>
      <c r="W25" s="264">
        <f t="shared" si="1"/>
        <v>0</v>
      </c>
      <c r="X25" s="264"/>
      <c r="Y25" s="1521"/>
    </row>
    <row r="26" spans="1:25">
      <c r="A26" s="350" t="s">
        <v>147</v>
      </c>
      <c r="B26" s="256" t="s">
        <v>103</v>
      </c>
      <c r="C26" s="275">
        <v>0</v>
      </c>
      <c r="D26" s="1796"/>
      <c r="E26" s="275">
        <v>708</v>
      </c>
      <c r="F26" s="13"/>
      <c r="G26" s="287">
        <f>'Exhibit I State'!AD91</f>
        <v>463.8</v>
      </c>
      <c r="H26" s="13"/>
      <c r="I26" s="264">
        <v>0</v>
      </c>
      <c r="J26" s="13"/>
      <c r="K26" s="264">
        <f t="shared" si="0"/>
        <v>-244.2</v>
      </c>
      <c r="L26" s="264"/>
      <c r="M26" s="991"/>
      <c r="N26" s="13"/>
      <c r="O26" s="275">
        <v>0</v>
      </c>
      <c r="P26" s="1796"/>
      <c r="Q26" s="275">
        <v>0</v>
      </c>
      <c r="R26" s="13"/>
      <c r="S26" s="287">
        <f>'Exhibit I Federal'!AD72</f>
        <v>0</v>
      </c>
      <c r="T26" s="13"/>
      <c r="U26" s="264">
        <v>0</v>
      </c>
      <c r="V26" s="13"/>
      <c r="W26" s="264">
        <f>S26-Q26</f>
        <v>0</v>
      </c>
      <c r="X26" s="264"/>
      <c r="Y26" s="1521"/>
    </row>
    <row r="27" spans="1:25" ht="18" customHeight="1">
      <c r="A27" s="1218" t="s">
        <v>261</v>
      </c>
      <c r="B27" s="36" t="s">
        <v>103</v>
      </c>
      <c r="C27" s="618">
        <f>ROUND(SUM(C20:C26),1)</f>
        <v>0</v>
      </c>
      <c r="D27" s="264"/>
      <c r="E27" s="618">
        <f>ROUND(SUM(E20:E26),1)</f>
        <v>939</v>
      </c>
      <c r="F27" s="264"/>
      <c r="G27" s="618">
        <f>ROUND(SUM(G20:G26),1)</f>
        <v>588.9</v>
      </c>
      <c r="H27" s="264"/>
      <c r="I27" s="618">
        <f>ROUND(SUM(I20:I26),1)</f>
        <v>0</v>
      </c>
      <c r="J27" s="264"/>
      <c r="K27" s="618">
        <f>ROUND(SUM(K20:K26),1)</f>
        <v>-350.1</v>
      </c>
      <c r="L27" s="13"/>
      <c r="M27" s="1504"/>
      <c r="N27" s="264"/>
      <c r="O27" s="618">
        <f>ROUND(SUM(O20:O26),1)</f>
        <v>0</v>
      </c>
      <c r="P27" s="264"/>
      <c r="Q27" s="618">
        <f>ROUND(SUM(Q20:Q26),1)</f>
        <v>203</v>
      </c>
      <c r="R27" s="264"/>
      <c r="S27" s="618">
        <f>ROUND(SUM(S20:S26),1)</f>
        <v>87.7</v>
      </c>
      <c r="T27" s="264"/>
      <c r="U27" s="618">
        <f>ROUND(SUM(U20:U26),1)</f>
        <v>0</v>
      </c>
      <c r="V27" s="264"/>
      <c r="W27" s="618">
        <f>ROUND(SUM(W20:W26),1)</f>
        <v>-115.3</v>
      </c>
      <c r="X27" s="13"/>
      <c r="Y27" s="1522"/>
    </row>
    <row r="28" spans="1:25">
      <c r="B28" s="256" t="s">
        <v>103</v>
      </c>
      <c r="C28" s="616"/>
      <c r="D28" s="264"/>
      <c r="E28" s="616"/>
      <c r="F28" s="264"/>
      <c r="G28" s="616"/>
      <c r="H28" s="264"/>
      <c r="I28" s="616"/>
      <c r="J28" s="264"/>
      <c r="K28" s="616"/>
      <c r="L28" s="264"/>
      <c r="M28" s="991"/>
      <c r="N28" s="264"/>
      <c r="O28" s="616"/>
      <c r="P28" s="264"/>
      <c r="Q28" s="616"/>
      <c r="R28" s="264"/>
      <c r="S28" s="616"/>
      <c r="T28" s="264"/>
      <c r="U28" s="616" t="s">
        <v>103</v>
      </c>
      <c r="V28" s="264"/>
      <c r="W28" s="616"/>
      <c r="X28" s="264"/>
      <c r="Y28" s="1497"/>
    </row>
    <row r="29" spans="1:25">
      <c r="A29" s="3" t="s">
        <v>122</v>
      </c>
      <c r="B29" s="256" t="s">
        <v>103</v>
      </c>
      <c r="C29" s="264"/>
      <c r="D29" s="264"/>
      <c r="E29" s="264"/>
      <c r="F29" s="264"/>
      <c r="G29" s="264"/>
      <c r="H29" s="264"/>
      <c r="I29" s="264"/>
      <c r="J29" s="264"/>
      <c r="K29" s="264"/>
      <c r="L29" s="264"/>
      <c r="M29" s="991"/>
      <c r="N29" s="264"/>
      <c r="O29" s="264"/>
      <c r="P29" s="264"/>
      <c r="Q29" s="264"/>
      <c r="R29" s="264"/>
      <c r="S29" s="264"/>
      <c r="T29" s="264"/>
      <c r="U29" s="264"/>
      <c r="V29" s="264"/>
      <c r="W29" s="264"/>
      <c r="X29" s="264"/>
      <c r="Y29" s="1497"/>
    </row>
    <row r="30" spans="1:25">
      <c r="A30" s="350" t="s">
        <v>243</v>
      </c>
      <c r="B30" s="256" t="s">
        <v>103</v>
      </c>
      <c r="C30" s="275">
        <v>0</v>
      </c>
      <c r="D30" s="1796"/>
      <c r="E30" s="275">
        <v>507</v>
      </c>
      <c r="F30" s="264"/>
      <c r="G30" s="275">
        <f>'Exhibit I State'!AD77</f>
        <v>325.89999999999998</v>
      </c>
      <c r="H30" s="264"/>
      <c r="I30" s="264">
        <v>0</v>
      </c>
      <c r="J30" s="264"/>
      <c r="K30" s="264">
        <f t="shared" ref="K30:K32" si="4">G30-E30</f>
        <v>-181.10000000000002</v>
      </c>
      <c r="L30" s="264"/>
      <c r="M30" s="991"/>
      <c r="N30" s="264"/>
      <c r="O30" s="275">
        <v>0</v>
      </c>
      <c r="P30" s="1796"/>
      <c r="Q30" s="275">
        <v>119</v>
      </c>
      <c r="R30" s="264"/>
      <c r="S30" s="264">
        <f>'Exhibit I Federal'!AD59</f>
        <v>34.799999999999997</v>
      </c>
      <c r="T30" s="264"/>
      <c r="U30" s="264">
        <v>0</v>
      </c>
      <c r="V30" s="264"/>
      <c r="W30" s="264">
        <f t="shared" ref="W30:W32" si="5">S30-Q30</f>
        <v>-84.2</v>
      </c>
      <c r="X30" s="264"/>
      <c r="Y30" s="1521"/>
    </row>
    <row r="31" spans="1:25">
      <c r="A31" s="350" t="s">
        <v>140</v>
      </c>
      <c r="B31" s="256" t="s">
        <v>103</v>
      </c>
      <c r="C31" s="275">
        <v>0</v>
      </c>
      <c r="D31" s="1796"/>
      <c r="E31" s="275">
        <v>703</v>
      </c>
      <c r="F31" s="264"/>
      <c r="G31" s="275">
        <f>'Exhibit I State'!AD82</f>
        <v>363.7</v>
      </c>
      <c r="H31" s="264"/>
      <c r="I31" s="264">
        <v>0</v>
      </c>
      <c r="J31" s="264"/>
      <c r="K31" s="264">
        <f t="shared" si="4"/>
        <v>-339.3</v>
      </c>
      <c r="L31" s="264"/>
      <c r="M31" s="991"/>
      <c r="N31" s="264"/>
      <c r="O31" s="275">
        <v>0</v>
      </c>
      <c r="P31" s="1796"/>
      <c r="Q31" s="275">
        <v>125</v>
      </c>
      <c r="R31" s="264"/>
      <c r="S31" s="264">
        <f>'Exhibit I Federal'!AD64</f>
        <v>42.3</v>
      </c>
      <c r="T31" s="264"/>
      <c r="U31" s="264">
        <v>0</v>
      </c>
      <c r="V31" s="264"/>
      <c r="W31" s="264">
        <f t="shared" si="5"/>
        <v>-82.7</v>
      </c>
      <c r="X31" s="264"/>
      <c r="Y31" s="1521"/>
    </row>
    <row r="32" spans="1:25">
      <c r="A32" s="350" t="s">
        <v>248</v>
      </c>
      <c r="B32" s="256" t="s">
        <v>103</v>
      </c>
      <c r="C32" s="275">
        <v>0</v>
      </c>
      <c r="D32" s="1796"/>
      <c r="E32" s="275">
        <v>0</v>
      </c>
      <c r="F32" s="264"/>
      <c r="G32" s="287">
        <f>-'Exhibit I State'!AD92</f>
        <v>1.3</v>
      </c>
      <c r="H32" s="264"/>
      <c r="I32" s="264">
        <v>0</v>
      </c>
      <c r="J32" s="264"/>
      <c r="K32" s="264">
        <f t="shared" si="4"/>
        <v>1.3</v>
      </c>
      <c r="L32" s="264"/>
      <c r="M32" s="991"/>
      <c r="N32" s="264"/>
      <c r="O32" s="275">
        <v>0</v>
      </c>
      <c r="P32" s="1796"/>
      <c r="Q32" s="275">
        <v>0</v>
      </c>
      <c r="R32" s="264"/>
      <c r="S32" s="287">
        <f>-'Exhibit I Federal'!AD73</f>
        <v>0</v>
      </c>
      <c r="T32" s="264"/>
      <c r="U32" s="264">
        <f t="shared" ref="U32" si="6">S32+O32</f>
        <v>0</v>
      </c>
      <c r="V32" s="264"/>
      <c r="W32" s="264">
        <f t="shared" si="5"/>
        <v>0</v>
      </c>
      <c r="X32" s="264"/>
      <c r="Y32" s="1521"/>
    </row>
    <row r="33" spans="1:25" ht="18" customHeight="1">
      <c r="A33" s="1218" t="s">
        <v>270</v>
      </c>
      <c r="B33" s="36" t="s">
        <v>103</v>
      </c>
      <c r="C33" s="618">
        <f>ROUND(SUM(C30:C32),1)</f>
        <v>0</v>
      </c>
      <c r="D33" s="264"/>
      <c r="E33" s="618">
        <f>ROUND(SUM(E30:E32),1)</f>
        <v>1210</v>
      </c>
      <c r="F33" s="264"/>
      <c r="G33" s="618">
        <f>ROUND(SUM(G30:G32),1)</f>
        <v>690.9</v>
      </c>
      <c r="H33" s="264"/>
      <c r="I33" s="618">
        <f>ROUND(SUM(I30:I32),1)</f>
        <v>0</v>
      </c>
      <c r="J33" s="264"/>
      <c r="K33" s="618">
        <f>ROUND(SUM(K30:K32),1)</f>
        <v>-519.1</v>
      </c>
      <c r="L33" s="13"/>
      <c r="M33" s="1504"/>
      <c r="N33" s="264"/>
      <c r="O33" s="618">
        <f>ROUND(SUM(O30:O32),1)</f>
        <v>0</v>
      </c>
      <c r="P33" s="264"/>
      <c r="Q33" s="618">
        <f>ROUND(SUM(Q30:Q32),1)</f>
        <v>244</v>
      </c>
      <c r="R33" s="264"/>
      <c r="S33" s="618">
        <f>ROUND(SUM(S30:S32),1)</f>
        <v>77.099999999999994</v>
      </c>
      <c r="T33" s="264"/>
      <c r="U33" s="618">
        <f>ROUND(SUM(U30:U32),1)</f>
        <v>0</v>
      </c>
      <c r="V33" s="264"/>
      <c r="W33" s="618">
        <f>ROUND(SUM(W30:W32),1)</f>
        <v>-166.9</v>
      </c>
      <c r="X33" s="13"/>
      <c r="Y33" s="1522"/>
    </row>
    <row r="34" spans="1:25">
      <c r="B34" s="256" t="s">
        <v>103</v>
      </c>
      <c r="C34" s="616"/>
      <c r="D34" s="264"/>
      <c r="E34" s="616"/>
      <c r="F34" s="264"/>
      <c r="G34" s="616"/>
      <c r="H34" s="264"/>
      <c r="I34" s="616"/>
      <c r="J34" s="264"/>
      <c r="K34" s="616"/>
      <c r="L34" s="264"/>
      <c r="M34" s="991"/>
      <c r="N34" s="264"/>
      <c r="O34" s="616"/>
      <c r="P34" s="264"/>
      <c r="Q34" s="616"/>
      <c r="R34" s="264"/>
      <c r="S34" s="616"/>
      <c r="T34" s="264"/>
      <c r="U34" s="616"/>
      <c r="V34" s="264"/>
      <c r="W34" s="616"/>
      <c r="X34" s="264"/>
      <c r="Y34" s="1497"/>
    </row>
    <row r="35" spans="1:25">
      <c r="A35" s="3" t="s">
        <v>250</v>
      </c>
      <c r="C35" s="264"/>
      <c r="D35" s="13"/>
      <c r="E35" s="264"/>
      <c r="F35" s="13"/>
      <c r="G35" s="264"/>
      <c r="H35" s="13"/>
      <c r="I35" s="264"/>
      <c r="J35" s="13"/>
      <c r="K35" s="264"/>
      <c r="L35" s="264"/>
      <c r="M35" s="991"/>
      <c r="N35" s="13"/>
      <c r="O35" s="264"/>
      <c r="P35" s="13"/>
      <c r="Q35" s="264"/>
      <c r="R35" s="13"/>
      <c r="S35" s="264"/>
      <c r="T35" s="13"/>
      <c r="U35" s="264"/>
      <c r="V35" s="13"/>
      <c r="W35" s="264"/>
      <c r="X35" s="264"/>
      <c r="Y35" s="1497"/>
    </row>
    <row r="36" spans="1:25">
      <c r="A36" s="3" t="s">
        <v>251</v>
      </c>
      <c r="C36" s="264"/>
      <c r="D36" s="264"/>
      <c r="E36" s="264"/>
      <c r="F36" s="264"/>
      <c r="G36" s="264"/>
      <c r="H36" s="264"/>
      <c r="I36" s="264"/>
      <c r="J36" s="264"/>
      <c r="K36" s="264"/>
      <c r="L36" s="264"/>
      <c r="M36" s="991"/>
      <c r="N36" s="264"/>
      <c r="O36" s="264"/>
      <c r="P36" s="264"/>
      <c r="Q36" s="264"/>
      <c r="R36" s="264"/>
      <c r="S36" s="264"/>
      <c r="T36" s="264"/>
      <c r="U36" s="264"/>
      <c r="V36" s="264"/>
      <c r="W36" s="264"/>
      <c r="X36" s="264"/>
      <c r="Y36" s="1497"/>
    </row>
    <row r="37" spans="1:25">
      <c r="A37" s="1218" t="s">
        <v>252</v>
      </c>
      <c r="B37" s="42" t="s">
        <v>103</v>
      </c>
      <c r="C37" s="13">
        <f>ROUND(SUM(C27)-SUM(C33),1)</f>
        <v>0</v>
      </c>
      <c r="D37" s="264"/>
      <c r="E37" s="13">
        <f>ROUND(SUM(E27)-SUM(E33),1)</f>
        <v>-271</v>
      </c>
      <c r="F37" s="264"/>
      <c r="G37" s="13">
        <f>ROUND(SUM(G27)-SUM(G33),1)</f>
        <v>-102</v>
      </c>
      <c r="H37" s="264"/>
      <c r="I37" s="13">
        <f>ROUND(SUM(I27)-SUM(I33),1)</f>
        <v>0</v>
      </c>
      <c r="J37" s="264"/>
      <c r="K37" s="13">
        <f>ROUND(SUM(K27)-SUM(K33),1)</f>
        <v>169</v>
      </c>
      <c r="L37" s="13"/>
      <c r="M37" s="1504"/>
      <c r="N37" s="264"/>
      <c r="O37" s="13">
        <f>ROUND(SUM(O27)-SUM(O33),1)</f>
        <v>0</v>
      </c>
      <c r="P37" s="264"/>
      <c r="Q37" s="13">
        <f>ROUND(SUM(Q27)-SUM(Q33),1)</f>
        <v>-41</v>
      </c>
      <c r="R37" s="264"/>
      <c r="S37" s="13">
        <f>ROUND(SUM(S27)-SUM(S33),1)</f>
        <v>10.6</v>
      </c>
      <c r="T37" s="264"/>
      <c r="U37" s="13">
        <f>ROUND(SUM(U27)-SUM(U33),1)</f>
        <v>0</v>
      </c>
      <c r="V37" s="264"/>
      <c r="W37" s="13">
        <f>ROUND(SUM(W27)-SUM(W33),1)</f>
        <v>51.6</v>
      </c>
      <c r="X37" s="18"/>
      <c r="Y37" s="1522"/>
    </row>
    <row r="38" spans="1:25">
      <c r="C38" s="264"/>
      <c r="D38" s="264"/>
      <c r="E38" s="264"/>
      <c r="F38" s="264"/>
      <c r="G38" s="264"/>
      <c r="H38" s="264"/>
      <c r="I38" s="264"/>
      <c r="J38" s="264"/>
      <c r="K38" s="264"/>
      <c r="L38" s="13"/>
      <c r="M38" s="1504"/>
      <c r="N38" s="264"/>
      <c r="O38" s="264"/>
      <c r="P38" s="264"/>
      <c r="Q38" s="264"/>
      <c r="R38" s="264"/>
      <c r="S38" s="264"/>
      <c r="T38" s="264"/>
      <c r="U38" s="264"/>
      <c r="V38" s="264"/>
      <c r="W38" s="264"/>
      <c r="X38" s="264"/>
      <c r="Y38" s="1497"/>
    </row>
    <row r="39" spans="1:25">
      <c r="A39" s="1218" t="s">
        <v>253</v>
      </c>
      <c r="B39" s="385" t="s">
        <v>103</v>
      </c>
      <c r="C39" s="13">
        <v>0</v>
      </c>
      <c r="D39" s="18"/>
      <c r="E39" s="13">
        <v>-952</v>
      </c>
      <c r="F39" s="18"/>
      <c r="G39" s="13">
        <v>-2206.4</v>
      </c>
      <c r="H39" s="18"/>
      <c r="I39" s="13">
        <v>0</v>
      </c>
      <c r="J39" s="18"/>
      <c r="K39" s="13">
        <f t="shared" ref="K39" si="7">G39-E39</f>
        <v>-1254.4000000000001</v>
      </c>
      <c r="L39" s="13"/>
      <c r="M39" s="1504"/>
      <c r="N39" s="18"/>
      <c r="O39" s="13">
        <v>0</v>
      </c>
      <c r="P39" s="18"/>
      <c r="Q39" s="13">
        <v>82</v>
      </c>
      <c r="R39" s="18"/>
      <c r="S39" s="13">
        <v>-276.7</v>
      </c>
      <c r="T39" s="18"/>
      <c r="U39" s="13">
        <v>0</v>
      </c>
      <c r="V39" s="18"/>
      <c r="W39" s="13">
        <f t="shared" ref="W39" si="8">S39-Q39</f>
        <v>-358.7</v>
      </c>
      <c r="X39" s="264"/>
      <c r="Y39" s="1522"/>
    </row>
    <row r="40" spans="1:25" ht="16" thickBot="1">
      <c r="A40" s="1218" t="str">
        <f>+'Exh D Governmental  '!A50</f>
        <v>Fund Balances (Deficits) at April 30, 2026</v>
      </c>
      <c r="B40" s="43" t="s">
        <v>103</v>
      </c>
      <c r="C40" s="675">
        <f>ROUND(SUM(C37:C39),1)</f>
        <v>0</v>
      </c>
      <c r="D40" s="264"/>
      <c r="E40" s="675">
        <f>ROUND(SUM(E37:E39),1)</f>
        <v>-1223</v>
      </c>
      <c r="F40" s="264"/>
      <c r="G40" s="675">
        <f>ROUND(SUM(G37:G39),1)</f>
        <v>-2308.4</v>
      </c>
      <c r="H40" s="264"/>
      <c r="I40" s="675">
        <f>ROUND(SUM(I37:I39),1)</f>
        <v>0</v>
      </c>
      <c r="J40" s="264"/>
      <c r="K40" s="675">
        <f>ROUND(SUM(K37:K39),1)</f>
        <v>-1085.4000000000001</v>
      </c>
      <c r="L40" s="20"/>
      <c r="M40" s="340"/>
      <c r="N40" s="264"/>
      <c r="O40" s="675">
        <f>ROUND(SUM(O37:O39),1)</f>
        <v>0</v>
      </c>
      <c r="P40" s="264"/>
      <c r="Q40" s="675">
        <f>ROUND(SUM(Q37:Q39),1)</f>
        <v>41</v>
      </c>
      <c r="R40" s="264"/>
      <c r="S40" s="675">
        <f>ROUND(SUM(S37:S39),1)</f>
        <v>-266.10000000000002</v>
      </c>
      <c r="T40" s="264"/>
      <c r="U40" s="675">
        <f>ROUND(SUM(U37:U39),1)</f>
        <v>0</v>
      </c>
      <c r="V40" s="264"/>
      <c r="W40" s="675">
        <f>ROUND(SUM(W37:W39),1)</f>
        <v>-307.10000000000002</v>
      </c>
      <c r="X40" s="44"/>
      <c r="Y40" s="1516"/>
    </row>
    <row r="41" spans="1:25" ht="16" thickTop="1">
      <c r="D41" s="264"/>
      <c r="F41" s="264"/>
      <c r="H41" s="264"/>
      <c r="J41" s="264"/>
      <c r="N41" s="264"/>
      <c r="P41" s="264"/>
      <c r="R41" s="264"/>
      <c r="S41" s="268"/>
      <c r="T41" s="264"/>
      <c r="V41" s="264"/>
      <c r="W41" s="256"/>
      <c r="Y41" s="256"/>
    </row>
    <row r="42" spans="1:25">
      <c r="A42" s="386" t="str">
        <f>'Exh D Governmental  '!A52</f>
        <v>(*)  Source: 2026-27 Executive Budget with 30-day amendments dated February 20, 2026, which made no changes to the Executive Budget Financial Plan.</v>
      </c>
      <c r="D42" s="44"/>
      <c r="F42" s="44"/>
      <c r="G42" s="1798"/>
      <c r="H42" s="44"/>
      <c r="J42" s="44"/>
      <c r="N42" s="44"/>
      <c r="P42" s="44"/>
      <c r="R42" s="44"/>
      <c r="S42" s="1798"/>
      <c r="T42" s="44"/>
      <c r="U42" s="1799"/>
      <c r="V42" s="44"/>
    </row>
    <row r="43" spans="1:25">
      <c r="A43" s="386" t="str">
        <f>'Exh D Governmental  '!A53</f>
        <v>Due to the absence of the 2026-27 Enacted Budget Financial Plan, the "Financial Plan Cashflow" is not available.</v>
      </c>
      <c r="W43" s="256"/>
      <c r="Y43" s="256"/>
    </row>
    <row r="44" spans="1:25">
      <c r="A44" s="350"/>
    </row>
    <row r="45" spans="1:25">
      <c r="A45" s="350"/>
      <c r="D45" s="291"/>
      <c r="F45" s="291"/>
      <c r="H45" s="291"/>
      <c r="J45" s="291"/>
      <c r="N45" s="291"/>
      <c r="P45" s="291"/>
      <c r="R45" s="291"/>
      <c r="T45" s="291"/>
      <c r="V45" s="291"/>
    </row>
    <row r="46" spans="1:25">
      <c r="A46" s="413"/>
      <c r="D46" s="291"/>
      <c r="F46" s="291"/>
      <c r="H46" s="291"/>
      <c r="J46" s="291"/>
      <c r="N46" s="291"/>
      <c r="P46" s="291"/>
      <c r="R46" s="291"/>
      <c r="T46" s="291"/>
      <c r="V46" s="291"/>
    </row>
    <row r="47" spans="1:25">
      <c r="A47" s="46"/>
    </row>
    <row r="48" spans="1:25">
      <c r="D48" s="291"/>
      <c r="F48" s="291"/>
      <c r="H48" s="291"/>
      <c r="J48" s="291"/>
      <c r="N48" s="291"/>
      <c r="P48" s="291"/>
      <c r="R48" s="291"/>
      <c r="T48" s="291"/>
      <c r="V48" s="291"/>
    </row>
    <row r="49" spans="4:22">
      <c r="D49" s="291"/>
      <c r="F49" s="291"/>
      <c r="H49" s="291"/>
      <c r="J49" s="291"/>
      <c r="N49" s="291"/>
      <c r="P49" s="291"/>
      <c r="R49" s="291"/>
      <c r="T49" s="291"/>
      <c r="V49" s="291"/>
    </row>
    <row r="52" spans="4:22">
      <c r="G52" s="268"/>
    </row>
  </sheetData>
  <mergeCells count="2">
    <mergeCell ref="C11:I11"/>
    <mergeCell ref="O11:U11"/>
  </mergeCells>
  <printOptions horizontalCentered="1"/>
  <pageMargins left="0.2" right="0.2" top="0.75" bottom="0.75" header="0.3" footer="0.3"/>
  <pageSetup scale="50" firstPageNumber="14" orientation="landscape" useFirstPageNumber="1" r:id="rId1"/>
  <headerFooter scaleWithDoc="0" alignWithMargins="0">
    <oddFooter>&amp;C&amp;8&amp;P</oddFooter>
  </headerFooter>
  <customProperties>
    <customPr name="SheetOptions" r:id="rId2"/>
  </customProperties>
  <ignoredErrors>
    <ignoredError sqref="A5"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pageSetUpPr fitToPage="1"/>
  </sheetPr>
  <dimension ref="A1:AM66"/>
  <sheetViews>
    <sheetView showGridLines="0" zoomScale="80" zoomScaleNormal="80" workbookViewId="0"/>
  </sheetViews>
  <sheetFormatPr defaultColWidth="9.84375" defaultRowHeight="12.5"/>
  <cols>
    <col min="1" max="1" width="32.07421875" style="1321" customWidth="1"/>
    <col min="2" max="2" width="10.84375" style="1321" customWidth="1"/>
    <col min="3" max="3" width="3.4609375" style="1321" customWidth="1"/>
    <col min="4" max="4" width="12.84375" style="1321" customWidth="1"/>
    <col min="5" max="5" width="1.84375" style="1321" customWidth="1"/>
    <col min="6" max="6" width="12.84375" style="1321" customWidth="1"/>
    <col min="7" max="7" width="1.84375" style="1321" customWidth="1"/>
    <col min="8" max="8" width="12.84375" style="1321" customWidth="1"/>
    <col min="9" max="9" width="1.84375" style="1321" customWidth="1"/>
    <col min="10" max="10" width="12.84375" style="1321" customWidth="1"/>
    <col min="11" max="11" width="1.84375" style="1321" customWidth="1"/>
    <col min="12" max="12" width="12.84375" style="1321" customWidth="1"/>
    <col min="13" max="13" width="1.84375" style="1321" customWidth="1"/>
    <col min="14" max="14" width="12.84375" style="1321" customWidth="1"/>
    <col min="15" max="15" width="1.84375" style="1321" customWidth="1"/>
    <col min="16" max="16" width="12.84375" style="1321" customWidth="1"/>
    <col min="17" max="17" width="1.84375" style="1321" customWidth="1"/>
    <col min="18" max="18" width="12.84375" style="1321" customWidth="1"/>
    <col min="19" max="19" width="1.84375" style="1321" customWidth="1"/>
    <col min="20" max="20" width="1" style="1321" customWidth="1"/>
    <col min="21" max="21" width="1.84375" style="1321" customWidth="1"/>
    <col min="22" max="22" width="12.84375" style="1321" customWidth="1"/>
    <col min="23" max="23" width="1.84375" style="1321" customWidth="1"/>
    <col min="24" max="24" width="12.84375" style="1321" customWidth="1"/>
    <col min="25" max="25" width="1.84375" style="1321" customWidth="1"/>
    <col min="26" max="26" width="1" style="1321" customWidth="1"/>
    <col min="27" max="27" width="1.84375" style="1321" customWidth="1"/>
    <col min="28" max="28" width="12.84375" style="1321" customWidth="1"/>
    <col min="29" max="29" width="2" style="1321" customWidth="1"/>
    <col min="30" max="30" width="12.84375" style="1321" customWidth="1"/>
    <col min="31" max="31" width="1.53515625" style="1321" customWidth="1"/>
    <col min="32" max="32" width="0.4609375" style="1321" customWidth="1"/>
    <col min="33" max="33" width="1.53515625" style="1321" customWidth="1"/>
    <col min="34" max="34" width="11.84375" style="1321" customWidth="1"/>
    <col min="35" max="35" width="1.84375" style="1321" customWidth="1"/>
    <col min="36" max="36" width="11.84375" style="1321" customWidth="1"/>
    <col min="37" max="37" width="2.07421875" style="1321" customWidth="1"/>
    <col min="38" max="38" width="1.84375" style="1321" customWidth="1"/>
    <col min="39" max="39" width="9.84375" style="1321"/>
    <col min="40" max="40" width="9" style="1321" customWidth="1"/>
    <col min="41" max="16384" width="9.84375" style="1321"/>
  </cols>
  <sheetData>
    <row r="1" spans="1:39" s="1315" customFormat="1" ht="15.5">
      <c r="A1" s="284" t="s">
        <v>97</v>
      </c>
    </row>
    <row r="2" spans="1:39" s="1318" customFormat="1">
      <c r="A2" s="1316"/>
      <c r="B2" s="1317"/>
      <c r="C2" s="1317"/>
      <c r="D2" s="1315"/>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c r="AC2" s="1317"/>
      <c r="AD2" s="1317"/>
      <c r="AE2" s="1317"/>
      <c r="AF2" s="1317"/>
      <c r="AG2" s="1317"/>
      <c r="AH2" s="1317"/>
    </row>
    <row r="3" spans="1:39" ht="18">
      <c r="A3" s="1319" t="s">
        <v>98</v>
      </c>
      <c r="B3" s="1320"/>
      <c r="C3" s="1320"/>
      <c r="D3" s="1315"/>
      <c r="E3" s="1320"/>
      <c r="F3" s="1320"/>
      <c r="G3" s="1320"/>
      <c r="H3" s="1320"/>
      <c r="I3" s="1320"/>
      <c r="J3" s="1320"/>
      <c r="K3" s="1320"/>
      <c r="L3" s="1829"/>
      <c r="M3" s="1829"/>
      <c r="N3" s="1829"/>
      <c r="O3" s="1829"/>
      <c r="P3" s="1320"/>
      <c r="Q3" s="1320"/>
      <c r="R3" s="1320"/>
      <c r="S3" s="1829"/>
      <c r="T3" s="1320"/>
      <c r="U3" s="1829"/>
      <c r="V3" s="1829"/>
      <c r="W3" s="1829"/>
      <c r="X3" s="1829"/>
      <c r="Y3" s="1829"/>
      <c r="Z3" s="1829"/>
      <c r="AA3" s="1829"/>
      <c r="AB3" s="1829"/>
      <c r="AC3" s="1829"/>
      <c r="AD3" s="1829"/>
      <c r="AE3" s="1829"/>
      <c r="AF3" s="1320"/>
      <c r="AG3" s="1320"/>
      <c r="AH3" s="1830"/>
      <c r="AI3" s="1830"/>
    </row>
    <row r="4" spans="1:39" ht="18">
      <c r="A4" s="1322" t="s">
        <v>100</v>
      </c>
      <c r="B4" s="1320"/>
      <c r="C4" s="1320"/>
      <c r="D4" s="1315"/>
      <c r="E4" s="1320"/>
      <c r="F4" s="1320"/>
      <c r="G4" s="1320"/>
      <c r="H4" s="1320"/>
      <c r="I4" s="1320"/>
      <c r="J4" s="1320"/>
      <c r="K4" s="1320"/>
      <c r="L4" s="1829"/>
      <c r="M4" s="1829"/>
      <c r="N4" s="1829"/>
      <c r="O4" s="1829"/>
      <c r="P4" s="1320"/>
      <c r="Q4" s="1320"/>
      <c r="R4" s="1320"/>
      <c r="S4" s="1829"/>
      <c r="T4" s="1320"/>
      <c r="U4" s="1829"/>
      <c r="V4" s="1829"/>
      <c r="W4" s="1829"/>
      <c r="X4" s="1829"/>
      <c r="Y4" s="1829"/>
      <c r="Z4" s="1829"/>
      <c r="AA4" s="1829"/>
      <c r="AB4" s="1829"/>
      <c r="AC4" s="1829"/>
      <c r="AD4" s="1829"/>
      <c r="AE4" s="1829"/>
      <c r="AF4" s="1320"/>
      <c r="AG4" s="1320"/>
      <c r="AH4" s="1830"/>
      <c r="AI4" s="1830"/>
    </row>
    <row r="5" spans="1:39" ht="18">
      <c r="A5" s="1319" t="s">
        <v>284</v>
      </c>
      <c r="B5" s="1320"/>
      <c r="C5" s="1320"/>
      <c r="D5" s="1315"/>
      <c r="E5" s="1320"/>
      <c r="F5" s="1320"/>
      <c r="G5" s="1320"/>
      <c r="H5" s="1829"/>
      <c r="I5" s="1829"/>
      <c r="J5" s="1829"/>
      <c r="K5" s="1320"/>
      <c r="L5" s="1829"/>
      <c r="M5" s="1829"/>
      <c r="N5" s="1829" t="s">
        <v>103</v>
      </c>
      <c r="O5" s="1829"/>
      <c r="P5" s="1320"/>
      <c r="Q5" s="1320"/>
      <c r="R5" s="1320"/>
      <c r="S5" s="1829"/>
      <c r="T5" s="1320"/>
      <c r="U5" s="1829"/>
      <c r="V5" s="1829"/>
      <c r="W5" s="1829"/>
      <c r="X5" s="1829"/>
      <c r="Y5" s="1829"/>
      <c r="Z5" s="1829"/>
      <c r="AA5" s="1829"/>
      <c r="AB5" s="1829"/>
      <c r="AC5" s="1829"/>
      <c r="AD5" s="1829"/>
      <c r="AE5" s="1829"/>
      <c r="AF5" s="1320"/>
      <c r="AG5" s="1320"/>
      <c r="AH5" s="1830"/>
      <c r="AI5" s="1830"/>
    </row>
    <row r="6" spans="1:39" ht="18">
      <c r="A6" s="1319" t="s">
        <v>102</v>
      </c>
      <c r="B6" s="1320"/>
      <c r="C6" s="1320"/>
      <c r="D6" s="1315"/>
      <c r="E6" s="1320"/>
      <c r="F6" s="1320"/>
      <c r="G6" s="1320"/>
      <c r="H6" s="1320"/>
      <c r="I6" s="1320"/>
      <c r="J6" s="1320"/>
      <c r="K6" s="1320"/>
      <c r="L6" s="1829"/>
      <c r="M6" s="1829"/>
      <c r="N6" s="1829"/>
      <c r="O6" s="1829"/>
      <c r="P6" s="1320"/>
      <c r="Q6" s="1320"/>
      <c r="R6" s="1320"/>
      <c r="S6" s="1829"/>
      <c r="T6" s="1320"/>
      <c r="U6" s="1829"/>
      <c r="V6" s="1829"/>
      <c r="W6" s="1829"/>
      <c r="X6" s="1829"/>
      <c r="Y6" s="1829"/>
      <c r="Z6" s="1829"/>
      <c r="AA6" s="1829"/>
      <c r="AB6" s="1829"/>
      <c r="AC6" s="1829"/>
      <c r="AD6" s="1829"/>
      <c r="AE6" s="1829"/>
      <c r="AF6" s="1320"/>
      <c r="AG6" s="1320"/>
      <c r="AH6" s="1830"/>
      <c r="AI6" s="1830"/>
    </row>
    <row r="7" spans="1:39" ht="18">
      <c r="A7" s="1320"/>
      <c r="B7" s="1320"/>
      <c r="C7" s="1320"/>
      <c r="D7" s="1315"/>
      <c r="E7" s="1320"/>
      <c r="F7" s="1320"/>
      <c r="G7" s="1320"/>
      <c r="H7" s="1320"/>
      <c r="I7" s="1320"/>
      <c r="J7" s="1320"/>
      <c r="K7" s="1320"/>
      <c r="L7" s="1829"/>
      <c r="M7" s="1829"/>
      <c r="N7" s="1829"/>
      <c r="O7" s="1829"/>
      <c r="P7" s="1829"/>
      <c r="Q7" s="1829"/>
      <c r="R7" s="1829"/>
      <c r="S7" s="1829"/>
      <c r="T7" s="1829"/>
      <c r="U7" s="1829"/>
      <c r="V7" s="1829"/>
      <c r="W7" s="1829"/>
      <c r="X7" s="1829"/>
      <c r="Y7" s="1829"/>
      <c r="Z7" s="1829"/>
      <c r="AA7" s="1829"/>
      <c r="AB7" s="1831"/>
      <c r="AC7" s="1831"/>
      <c r="AD7" s="1831"/>
      <c r="AE7" s="1831"/>
      <c r="AF7" s="1320"/>
      <c r="AG7" s="1320"/>
      <c r="AH7" s="1830"/>
      <c r="AI7" s="1830"/>
      <c r="AJ7" s="1832" t="s">
        <v>285</v>
      </c>
    </row>
    <row r="8" spans="1:39" ht="15.5">
      <c r="A8" s="284"/>
      <c r="B8" s="284"/>
      <c r="C8" s="284"/>
      <c r="D8" s="1315"/>
      <c r="E8" s="284"/>
      <c r="F8" s="284"/>
      <c r="G8" s="284"/>
      <c r="H8" s="284"/>
      <c r="I8" s="284"/>
      <c r="J8" s="284"/>
      <c r="K8" s="284"/>
      <c r="L8" s="285"/>
      <c r="M8" s="285"/>
      <c r="N8" s="285"/>
      <c r="O8" s="285"/>
      <c r="P8" s="285"/>
      <c r="Q8" s="285"/>
      <c r="R8" s="285"/>
      <c r="S8" s="285"/>
      <c r="T8" s="285"/>
      <c r="U8" s="285"/>
      <c r="V8" s="285"/>
      <c r="W8" s="285"/>
      <c r="X8" s="285"/>
      <c r="Y8" s="285"/>
      <c r="Z8" s="285"/>
      <c r="AA8" s="285"/>
      <c r="AB8" s="285"/>
      <c r="AC8" s="285"/>
      <c r="AD8" s="285"/>
      <c r="AE8" s="285"/>
      <c r="AF8" s="284"/>
      <c r="AG8" s="284"/>
      <c r="AH8" s="1830"/>
      <c r="AI8" s="1830"/>
    </row>
    <row r="9" spans="1:39" ht="15.5">
      <c r="A9" s="284"/>
      <c r="B9" s="284"/>
      <c r="C9" s="284"/>
      <c r="D9" s="1315"/>
      <c r="E9" s="285"/>
      <c r="F9" s="285"/>
      <c r="G9" s="285"/>
      <c r="H9" s="285"/>
      <c r="I9" s="285"/>
      <c r="J9" s="285"/>
      <c r="K9" s="285"/>
      <c r="L9" s="285"/>
      <c r="M9" s="285"/>
      <c r="N9" s="285"/>
      <c r="O9" s="285"/>
      <c r="P9" s="285"/>
      <c r="Q9" s="285"/>
      <c r="R9" s="285"/>
      <c r="S9" s="285"/>
      <c r="T9" s="285"/>
      <c r="U9" s="285"/>
      <c r="V9" s="1829"/>
      <c r="W9" s="1829"/>
      <c r="X9" s="1829"/>
      <c r="Y9" s="1829"/>
      <c r="Z9" s="1829"/>
      <c r="AA9" s="1829"/>
      <c r="AB9" s="1829"/>
      <c r="AC9" s="1829"/>
      <c r="AD9" s="1829"/>
      <c r="AE9" s="1829"/>
      <c r="AF9" s="285"/>
      <c r="AG9" s="285"/>
      <c r="AH9" s="1833"/>
      <c r="AI9" s="1833"/>
    </row>
    <row r="10" spans="1:39" ht="4.4000000000000004" customHeight="1">
      <c r="A10" s="284"/>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1830"/>
      <c r="AI10" s="1830"/>
    </row>
    <row r="11" spans="1:39" ht="15" customHeight="1">
      <c r="A11" s="284"/>
      <c r="B11" s="284"/>
      <c r="C11" s="284"/>
      <c r="D11" s="1323" t="s">
        <v>104</v>
      </c>
      <c r="E11" s="1323"/>
      <c r="F11" s="1323"/>
      <c r="G11" s="284"/>
      <c r="H11" s="1323" t="s">
        <v>286</v>
      </c>
      <c r="I11" s="1323"/>
      <c r="J11" s="1323"/>
      <c r="K11" s="284"/>
      <c r="L11" s="1323" t="s">
        <v>106</v>
      </c>
      <c r="M11" s="1323"/>
      <c r="N11" s="1323"/>
      <c r="O11" s="284"/>
      <c r="P11" s="1323" t="s">
        <v>287</v>
      </c>
      <c r="Q11" s="1323"/>
      <c r="R11" s="1323"/>
      <c r="S11" s="284"/>
      <c r="T11" s="284"/>
      <c r="U11" s="284"/>
      <c r="V11" s="1834" t="s">
        <v>288</v>
      </c>
      <c r="W11" s="1323"/>
      <c r="X11" s="1323"/>
      <c r="Y11" s="1323"/>
      <c r="Z11" s="1835"/>
      <c r="AA11" s="1835"/>
      <c r="AB11" s="1323"/>
      <c r="AC11" s="1323"/>
      <c r="AD11" s="1323"/>
      <c r="AE11" s="1836"/>
      <c r="AF11" s="1837"/>
      <c r="AG11" s="285"/>
      <c r="AH11" s="1834" t="s">
        <v>204</v>
      </c>
      <c r="AI11" s="1323"/>
      <c r="AJ11" s="1323"/>
    </row>
    <row r="12" spans="1:39" ht="15.5">
      <c r="A12" s="284"/>
      <c r="B12" s="284"/>
      <c r="C12" s="284"/>
      <c r="D12" s="1338" t="s">
        <v>109</v>
      </c>
      <c r="E12" s="1338"/>
      <c r="F12" s="1838" t="str">
        <f>'Exhibit A'!F11</f>
        <v>1 MO. ENDED</v>
      </c>
      <c r="G12" s="285"/>
      <c r="H12" s="1338" t="s">
        <v>109</v>
      </c>
      <c r="I12" s="1839"/>
      <c r="J12" s="1338" t="str">
        <f>F12</f>
        <v>1 MO. ENDED</v>
      </c>
      <c r="K12" s="285"/>
      <c r="L12" s="1338" t="s">
        <v>109</v>
      </c>
      <c r="M12" s="1839"/>
      <c r="N12" s="1338" t="str">
        <f>F12</f>
        <v>1 MO. ENDED</v>
      </c>
      <c r="O12" s="285"/>
      <c r="P12" s="1338" t="s">
        <v>109</v>
      </c>
      <c r="Q12" s="1839"/>
      <c r="R12" s="1338" t="str">
        <f>F12</f>
        <v>1 MO. ENDED</v>
      </c>
      <c r="S12" s="285"/>
      <c r="T12" s="285"/>
      <c r="U12" s="285"/>
      <c r="V12" s="1338" t="s">
        <v>109</v>
      </c>
      <c r="W12" s="1338"/>
      <c r="X12" s="1338" t="str">
        <f>F12</f>
        <v>1 MO. ENDED</v>
      </c>
      <c r="Y12" s="1338"/>
      <c r="Z12" s="1840"/>
      <c r="AA12" s="1840"/>
      <c r="AB12" s="1338" t="s">
        <v>109</v>
      </c>
      <c r="AC12" s="1338"/>
      <c r="AD12" s="1338" t="str">
        <f>F12</f>
        <v>1 MO. ENDED</v>
      </c>
      <c r="AE12" s="1840"/>
      <c r="AF12" s="1840"/>
      <c r="AG12" s="1841"/>
      <c r="AH12" s="1838" t="s">
        <v>110</v>
      </c>
      <c r="AI12" s="1839"/>
      <c r="AJ12" s="1838" t="s">
        <v>111</v>
      </c>
      <c r="AK12" s="1842"/>
      <c r="AL12" s="1830"/>
    </row>
    <row r="13" spans="1:39" ht="15.5">
      <c r="A13" s="284"/>
      <c r="B13" s="284"/>
      <c r="C13" s="284"/>
      <c r="D13" s="1324" t="str">
        <f>'Exhibit A'!D12</f>
        <v>APR. 2026</v>
      </c>
      <c r="E13" s="1843"/>
      <c r="F13" s="1324" t="str">
        <f>'Exhibit A'!F12</f>
        <v>APR. 30, 2026</v>
      </c>
      <c r="G13" s="285"/>
      <c r="H13" s="1324" t="str">
        <f>D13</f>
        <v>APR. 2026</v>
      </c>
      <c r="I13" s="1843"/>
      <c r="J13" s="1324" t="str">
        <f>F13</f>
        <v>APR. 30, 2026</v>
      </c>
      <c r="K13" s="285"/>
      <c r="L13" s="1324" t="str">
        <f>D13</f>
        <v>APR. 2026</v>
      </c>
      <c r="M13" s="1843"/>
      <c r="N13" s="1324" t="str">
        <f>F13</f>
        <v>APR. 30, 2026</v>
      </c>
      <c r="O13" s="285"/>
      <c r="P13" s="1324" t="str">
        <f>D13</f>
        <v>APR. 2026</v>
      </c>
      <c r="Q13" s="1843"/>
      <c r="R13" s="1324" t="str">
        <f>F13</f>
        <v>APR. 30, 2026</v>
      </c>
      <c r="S13" s="285"/>
      <c r="T13" s="285"/>
      <c r="U13" s="285"/>
      <c r="V13" s="1844" t="str">
        <f>D13</f>
        <v>APR. 2026</v>
      </c>
      <c r="W13" s="1844"/>
      <c r="X13" s="1844" t="str">
        <f>F13</f>
        <v>APR. 30, 2026</v>
      </c>
      <c r="Y13" s="1844"/>
      <c r="Z13" s="1840"/>
      <c r="AA13" s="1840"/>
      <c r="AB13" s="1843" t="str">
        <f>'Exhibit A'!AB12</f>
        <v>APR. 2025</v>
      </c>
      <c r="AC13" s="1843"/>
      <c r="AD13" s="1843" t="str">
        <f>'Exhibit A'!AD12</f>
        <v>APR. 30, 2025</v>
      </c>
      <c r="AE13" s="1843"/>
      <c r="AF13" s="1840"/>
      <c r="AG13" s="1844"/>
      <c r="AH13" s="1324" t="s">
        <v>112</v>
      </c>
      <c r="AI13" s="1843"/>
      <c r="AJ13" s="1324" t="s">
        <v>113</v>
      </c>
      <c r="AK13" s="1842"/>
      <c r="AL13" s="1830"/>
    </row>
    <row r="14" spans="1:39" ht="15.5">
      <c r="A14" s="284"/>
      <c r="B14" s="284"/>
      <c r="C14" s="284"/>
      <c r="D14" s="284"/>
      <c r="E14" s="284"/>
      <c r="F14" s="284"/>
      <c r="G14" s="284"/>
      <c r="H14" s="284"/>
      <c r="I14" s="284"/>
      <c r="J14" s="284"/>
      <c r="K14" s="284"/>
      <c r="L14" s="284"/>
      <c r="M14" s="284"/>
      <c r="N14" s="284"/>
      <c r="O14" s="284"/>
      <c r="P14" s="284"/>
      <c r="Q14" s="284"/>
      <c r="R14" s="284"/>
      <c r="S14" s="284"/>
      <c r="T14" s="1845"/>
      <c r="U14" s="1845"/>
      <c r="V14" s="1846"/>
      <c r="W14" s="284"/>
      <c r="X14" s="1846"/>
      <c r="Y14" s="284"/>
      <c r="Z14" s="1847"/>
      <c r="AA14" s="284"/>
      <c r="AB14" s="1846"/>
      <c r="AC14" s="284"/>
      <c r="AD14" s="1846"/>
      <c r="AE14" s="284"/>
      <c r="AF14" s="1924"/>
      <c r="AG14" s="284"/>
      <c r="AH14" s="284"/>
      <c r="AI14" s="284"/>
      <c r="AK14" s="1830"/>
      <c r="AL14" s="1830"/>
    </row>
    <row r="15" spans="1:39" ht="18" customHeight="1">
      <c r="A15" s="1325" t="s">
        <v>289</v>
      </c>
      <c r="B15" s="1326"/>
      <c r="C15" s="1326"/>
      <c r="D15" s="284"/>
      <c r="E15" s="284"/>
      <c r="F15" s="284"/>
      <c r="G15" s="284"/>
      <c r="H15" s="284"/>
      <c r="I15" s="284"/>
      <c r="J15" s="284"/>
      <c r="K15" s="284"/>
      <c r="L15" s="284"/>
      <c r="M15" s="284"/>
      <c r="N15" s="284"/>
      <c r="O15" s="284"/>
      <c r="P15" s="284"/>
      <c r="Q15" s="284"/>
      <c r="R15" s="284"/>
      <c r="S15" s="284"/>
      <c r="T15" s="1845"/>
      <c r="U15" s="1845"/>
      <c r="V15" s="284"/>
      <c r="W15" s="284"/>
      <c r="X15" s="284"/>
      <c r="Y15" s="284"/>
      <c r="Z15" s="1847"/>
      <c r="AA15" s="284"/>
      <c r="AB15" s="284"/>
      <c r="AC15" s="284"/>
      <c r="AD15" s="284"/>
      <c r="AE15" s="284"/>
      <c r="AF15" s="1924"/>
      <c r="AG15" s="284"/>
      <c r="AH15" s="284"/>
      <c r="AI15" s="284"/>
      <c r="AK15" s="1830"/>
      <c r="AL15" s="1830"/>
    </row>
    <row r="16" spans="1:39" ht="18" customHeight="1">
      <c r="A16" s="1326" t="s">
        <v>290</v>
      </c>
      <c r="B16" s="1326"/>
      <c r="C16" s="1309"/>
      <c r="D16" s="1339">
        <f>'Exhibit F'!D18</f>
        <v>5407.3</v>
      </c>
      <c r="E16" s="1339"/>
      <c r="F16" s="1339">
        <f>'Exhibit F'!AC18</f>
        <v>5407.3</v>
      </c>
      <c r="G16" s="1339"/>
      <c r="H16" s="1848">
        <v>0</v>
      </c>
      <c r="I16" s="1339"/>
      <c r="J16" s="1848">
        <v>0</v>
      </c>
      <c r="K16" s="1339"/>
      <c r="L16" s="1848">
        <v>0</v>
      </c>
      <c r="M16" s="1339"/>
      <c r="N16" s="1848">
        <v>0</v>
      </c>
      <c r="O16" s="1339"/>
      <c r="P16" s="1848">
        <v>0</v>
      </c>
      <c r="Q16" s="1339"/>
      <c r="R16" s="1848">
        <v>0</v>
      </c>
      <c r="S16" s="1339"/>
      <c r="T16" s="2036"/>
      <c r="U16" s="2037"/>
      <c r="V16" s="1849">
        <f>SUM(D16)+SUM(H16)+SUM(L16)+SUM(P16)</f>
        <v>5407.3</v>
      </c>
      <c r="W16" s="1339"/>
      <c r="X16" s="1849">
        <f>SUM(F16)+SUM(J16)+SUM(N16)+SUM(R16)</f>
        <v>5407.3</v>
      </c>
      <c r="Y16" s="1848"/>
      <c r="Z16" s="1850"/>
      <c r="AA16" s="1339"/>
      <c r="AB16" s="1946">
        <v>4965.8999999999996</v>
      </c>
      <c r="AC16" s="1339"/>
      <c r="AD16" s="1849">
        <f>'Cashflow Governmental'!AE21</f>
        <v>4965.8999999999996</v>
      </c>
      <c r="AE16" s="1849"/>
      <c r="AF16" s="1924"/>
      <c r="AG16" s="1848"/>
      <c r="AH16" s="1849">
        <f>ROUND(SUM(X16)-SUM(AD16),1)</f>
        <v>441.4</v>
      </c>
      <c r="AI16" s="1307"/>
      <c r="AJ16" s="1851">
        <f>ROUND(AH16/AD16,3)</f>
        <v>8.8999999999999996E-2</v>
      </c>
      <c r="AK16" s="1852"/>
      <c r="AL16" s="1830"/>
      <c r="AM16" s="1853"/>
    </row>
    <row r="17" spans="1:39" ht="18" customHeight="1">
      <c r="A17" s="1327" t="s">
        <v>291</v>
      </c>
      <c r="B17" s="1326"/>
      <c r="C17" s="757"/>
      <c r="D17" s="253">
        <f>'Exhibit F'!D19</f>
        <v>7071.9</v>
      </c>
      <c r="E17" s="253"/>
      <c r="F17" s="253">
        <f>'Exhibit F'!AC19</f>
        <v>7071.9</v>
      </c>
      <c r="G17" s="253"/>
      <c r="H17" s="255">
        <v>0</v>
      </c>
      <c r="I17" s="1854"/>
      <c r="J17" s="255">
        <v>0</v>
      </c>
      <c r="K17" s="253"/>
      <c r="L17" s="255">
        <v>0</v>
      </c>
      <c r="M17" s="1854"/>
      <c r="N17" s="255">
        <v>0</v>
      </c>
      <c r="O17" s="253"/>
      <c r="P17" s="255">
        <v>0</v>
      </c>
      <c r="Q17" s="1854"/>
      <c r="R17" s="255">
        <v>0</v>
      </c>
      <c r="S17" s="253"/>
      <c r="T17" s="2038"/>
      <c r="U17" s="2038"/>
      <c r="V17" s="1854">
        <f t="shared" ref="V17:V20" si="0">SUM(D17)+SUM(H17)+SUM(L17)+SUM(P17)</f>
        <v>7071.9</v>
      </c>
      <c r="W17" s="253"/>
      <c r="X17" s="1854">
        <f t="shared" ref="X17:X23" si="1">SUM(F17)+SUM(J17)+SUM(N17)+SUM(R17)</f>
        <v>7071.9</v>
      </c>
      <c r="Y17" s="1855"/>
      <c r="Z17" s="1856"/>
      <c r="AA17" s="253"/>
      <c r="AB17" s="513">
        <v>6505.2</v>
      </c>
      <c r="AC17" s="253"/>
      <c r="AD17" s="1854">
        <f>'Cashflow Governmental'!AE22</f>
        <v>6505.2</v>
      </c>
      <c r="AE17" s="1854"/>
      <c r="AF17" s="1924"/>
      <c r="AG17" s="1855"/>
      <c r="AH17" s="1854">
        <f>ROUND(SUM(X17)-SUM(AD17),1)</f>
        <v>566.70000000000005</v>
      </c>
      <c r="AI17" s="1312"/>
      <c r="AJ17" s="1852">
        <f>ROUND(AH17/AD17,3)</f>
        <v>8.6999999999999994E-2</v>
      </c>
      <c r="AK17" s="1852"/>
      <c r="AL17" s="1830"/>
      <c r="AM17" s="1853"/>
    </row>
    <row r="18" spans="1:39" ht="18" customHeight="1">
      <c r="A18" s="1326" t="s">
        <v>292</v>
      </c>
      <c r="B18" s="1326" t="s">
        <v>103</v>
      </c>
      <c r="C18" s="1326"/>
      <c r="D18" s="253">
        <f>'Exhibit F'!D20</f>
        <v>3100.3</v>
      </c>
      <c r="E18" s="253"/>
      <c r="F18" s="253">
        <f>'Exhibit F'!AC20</f>
        <v>3100.3</v>
      </c>
      <c r="G18" s="253"/>
      <c r="H18" s="255">
        <v>0</v>
      </c>
      <c r="I18" s="1854"/>
      <c r="J18" s="255">
        <v>0</v>
      </c>
      <c r="K18" s="253"/>
      <c r="L18" s="255">
        <v>0</v>
      </c>
      <c r="M18" s="1854"/>
      <c r="N18" s="255">
        <v>0</v>
      </c>
      <c r="O18" s="253"/>
      <c r="P18" s="255">
        <v>0</v>
      </c>
      <c r="Q18" s="1854"/>
      <c r="R18" s="255">
        <v>0</v>
      </c>
      <c r="S18" s="253"/>
      <c r="T18" s="2038"/>
      <c r="U18" s="2038"/>
      <c r="V18" s="1854">
        <f t="shared" si="0"/>
        <v>3100.3</v>
      </c>
      <c r="W18" s="253"/>
      <c r="X18" s="1854">
        <f t="shared" si="1"/>
        <v>3100.3</v>
      </c>
      <c r="Y18" s="1855"/>
      <c r="Z18" s="1856"/>
      <c r="AA18" s="253"/>
      <c r="AB18" s="513">
        <v>2871</v>
      </c>
      <c r="AC18" s="253"/>
      <c r="AD18" s="1854">
        <f>'Cashflow Governmental'!AE23</f>
        <v>2871</v>
      </c>
      <c r="AE18" s="1854"/>
      <c r="AF18" s="1924"/>
      <c r="AG18" s="1855"/>
      <c r="AH18" s="1854">
        <f>ROUND(SUM(X18)-SUM(AD18),1)</f>
        <v>229.3</v>
      </c>
      <c r="AI18" s="1312"/>
      <c r="AJ18" s="1852">
        <f>ROUND(AH18/AD18,3)</f>
        <v>0.08</v>
      </c>
      <c r="AK18" s="1852"/>
      <c r="AL18" s="1830"/>
      <c r="AM18" s="1853"/>
    </row>
    <row r="19" spans="1:39" ht="18" customHeight="1">
      <c r="A19" s="1327" t="s">
        <v>293</v>
      </c>
      <c r="B19" s="1326"/>
      <c r="C19" s="1326"/>
      <c r="D19" s="253">
        <f>'Exhibit F'!D21</f>
        <v>-553.5</v>
      </c>
      <c r="E19" s="253"/>
      <c r="F19" s="253">
        <f>'Exhibit F'!AC21</f>
        <v>-553.5</v>
      </c>
      <c r="G19" s="253"/>
      <c r="H19" s="255">
        <v>0</v>
      </c>
      <c r="I19" s="1854"/>
      <c r="J19" s="255">
        <v>0</v>
      </c>
      <c r="K19" s="253"/>
      <c r="L19" s="255">
        <v>0</v>
      </c>
      <c r="M19" s="1854"/>
      <c r="N19" s="255">
        <v>0</v>
      </c>
      <c r="O19" s="253"/>
      <c r="P19" s="255">
        <v>0</v>
      </c>
      <c r="Q19" s="1854"/>
      <c r="R19" s="255">
        <v>0</v>
      </c>
      <c r="S19" s="253"/>
      <c r="T19" s="2038"/>
      <c r="U19" s="2038"/>
      <c r="V19" s="1854">
        <f t="shared" si="0"/>
        <v>-553.5</v>
      </c>
      <c r="W19" s="253"/>
      <c r="X19" s="1854">
        <f t="shared" si="1"/>
        <v>-553.5</v>
      </c>
      <c r="Y19" s="1855"/>
      <c r="Z19" s="1856"/>
      <c r="AA19" s="253"/>
      <c r="AB19" s="513">
        <v>-541.79999999999995</v>
      </c>
      <c r="AC19" s="253"/>
      <c r="AD19" s="1854">
        <f>'Cashflow Governmental'!AE24</f>
        <v>-541.79999999999995</v>
      </c>
      <c r="AE19" s="1854"/>
      <c r="AF19" s="1924"/>
      <c r="AG19" s="1855"/>
      <c r="AH19" s="1854">
        <f>-ROUND(SUM(X19)-SUM(AD19),1)</f>
        <v>11.7</v>
      </c>
      <c r="AI19" s="1312"/>
      <c r="AJ19" s="1852">
        <f>-ROUND(AH19/AD19,3)</f>
        <v>2.1999999999999999E-2</v>
      </c>
      <c r="AK19" s="1852"/>
      <c r="AL19" s="1830"/>
      <c r="AM19" s="1853"/>
    </row>
    <row r="20" spans="1:39" ht="18" customHeight="1">
      <c r="A20" s="1327" t="s">
        <v>294</v>
      </c>
      <c r="B20" s="1326" t="s">
        <v>103</v>
      </c>
      <c r="C20" s="1326"/>
      <c r="D20" s="253">
        <f>'Exhibit F'!D22</f>
        <v>253.6</v>
      </c>
      <c r="E20" s="253"/>
      <c r="F20" s="253">
        <f>'Exhibit F'!AC22</f>
        <v>253.6</v>
      </c>
      <c r="G20" s="253"/>
      <c r="H20" s="255">
        <v>0</v>
      </c>
      <c r="I20" s="1854"/>
      <c r="J20" s="255">
        <v>0</v>
      </c>
      <c r="K20" s="253"/>
      <c r="L20" s="255">
        <v>0</v>
      </c>
      <c r="M20" s="1854"/>
      <c r="N20" s="255">
        <v>0</v>
      </c>
      <c r="O20" s="253"/>
      <c r="P20" s="255">
        <v>0</v>
      </c>
      <c r="Q20" s="1854"/>
      <c r="R20" s="255">
        <v>0</v>
      </c>
      <c r="S20" s="253"/>
      <c r="T20" s="2038"/>
      <c r="U20" s="2038"/>
      <c r="V20" s="1854">
        <f t="shared" si="0"/>
        <v>253.6</v>
      </c>
      <c r="W20" s="253"/>
      <c r="X20" s="1854">
        <f t="shared" si="1"/>
        <v>253.6</v>
      </c>
      <c r="Y20" s="1855"/>
      <c r="Z20" s="1856"/>
      <c r="AA20" s="253"/>
      <c r="AB20" s="513">
        <v>275.89999999999998</v>
      </c>
      <c r="AC20" s="253"/>
      <c r="AD20" s="1854">
        <f>'Cashflow Governmental'!AE25</f>
        <v>275.89999999999998</v>
      </c>
      <c r="AE20" s="1854"/>
      <c r="AF20" s="1924"/>
      <c r="AG20" s="1855"/>
      <c r="AH20" s="1854">
        <f>ROUND(SUM(X20)-SUM(AD20),1)</f>
        <v>-22.3</v>
      </c>
      <c r="AI20" s="1312"/>
      <c r="AJ20" s="1857">
        <f>ROUND(AH20/AD20,3)</f>
        <v>-8.1000000000000003E-2</v>
      </c>
      <c r="AK20" s="1852"/>
      <c r="AL20" s="1830"/>
      <c r="AM20" s="1853"/>
    </row>
    <row r="21" spans="1:39" s="1328" customFormat="1" ht="18" customHeight="1">
      <c r="A21" s="1325" t="s">
        <v>295</v>
      </c>
      <c r="B21" s="1325"/>
      <c r="C21" s="1325"/>
      <c r="D21" s="2039">
        <f>ROUND(SUM(D16:D20),1)</f>
        <v>15279.6</v>
      </c>
      <c r="E21" s="1"/>
      <c r="F21" s="2039">
        <f>ROUND(SUM(F16:F20),1)</f>
        <v>15279.6</v>
      </c>
      <c r="G21" s="1"/>
      <c r="H21" s="2039">
        <f>ROUND(SUM(H16:H20),1)</f>
        <v>0</v>
      </c>
      <c r="I21" s="1858"/>
      <c r="J21" s="2039">
        <f>ROUND(SUM(J16:J20),1)</f>
        <v>0</v>
      </c>
      <c r="K21" s="1"/>
      <c r="L21" s="2039">
        <f>ROUND(SUM(L16:L20),1)</f>
        <v>0</v>
      </c>
      <c r="M21" s="1858"/>
      <c r="N21" s="2039">
        <f>ROUND(SUM(N16:N20),1)</f>
        <v>0</v>
      </c>
      <c r="O21" s="1"/>
      <c r="P21" s="2039">
        <f>ROUND(SUM(P16:P20),1)</f>
        <v>0</v>
      </c>
      <c r="Q21" s="1858"/>
      <c r="R21" s="2039">
        <f>ROUND(SUM(R16:R20),1)</f>
        <v>0</v>
      </c>
      <c r="S21" s="1"/>
      <c r="T21" s="2040"/>
      <c r="U21" s="2040"/>
      <c r="V21" s="1859">
        <f>ROUND(SUM(V16:V20),1)</f>
        <v>15279.6</v>
      </c>
      <c r="W21" s="1"/>
      <c r="X21" s="1859">
        <f>ROUND(SUM(X16:X20),1)</f>
        <v>15279.6</v>
      </c>
      <c r="Y21" s="1860"/>
      <c r="Z21" s="1861"/>
      <c r="AA21" s="1"/>
      <c r="AB21" s="68">
        <f>ROUND(SUM(AB16:AB20),1)</f>
        <v>14076.2</v>
      </c>
      <c r="AC21" s="1"/>
      <c r="AD21" s="1862">
        <f>ROUND(SUM(AD16:AD20),1)</f>
        <v>14076.2</v>
      </c>
      <c r="AE21" s="1858"/>
      <c r="AF21" s="1924"/>
      <c r="AG21" s="1860"/>
      <c r="AH21" s="1862">
        <f>ROUND(SUM(X21)-SUM(AD21),1)</f>
        <v>1203.4000000000001</v>
      </c>
      <c r="AI21" s="1311"/>
      <c r="AJ21" s="1863">
        <f>ROUND(AH21/AD21,3)</f>
        <v>8.5000000000000006E-2</v>
      </c>
      <c r="AK21" s="1864"/>
      <c r="AL21" s="1865"/>
      <c r="AM21" s="1866"/>
    </row>
    <row r="22" spans="1:39" ht="18" customHeight="1">
      <c r="A22" s="1327" t="s">
        <v>296</v>
      </c>
      <c r="B22" s="1326"/>
      <c r="C22" s="1326"/>
      <c r="D22" s="513">
        <f>'Exhibit F'!D24</f>
        <v>0</v>
      </c>
      <c r="E22" s="1854"/>
      <c r="F22" s="513">
        <f>'Exhibit F'!AC24</f>
        <v>0</v>
      </c>
      <c r="G22" s="253"/>
      <c r="H22" s="253">
        <f>'Exhibit G'!D17</f>
        <v>0</v>
      </c>
      <c r="I22" s="1854"/>
      <c r="J22" s="513">
        <f>'Exhibit G'!AE17</f>
        <v>0</v>
      </c>
      <c r="K22" s="253"/>
      <c r="L22" s="1010">
        <v>0</v>
      </c>
      <c r="M22" s="1854"/>
      <c r="N22" s="1010">
        <v>0</v>
      </c>
      <c r="O22" s="253"/>
      <c r="P22" s="1010">
        <v>0</v>
      </c>
      <c r="Q22" s="1854"/>
      <c r="R22" s="1010">
        <v>0</v>
      </c>
      <c r="S22" s="253"/>
      <c r="T22" s="2038"/>
      <c r="U22" s="2038"/>
      <c r="V22" s="2041">
        <f>SUM(D22)+SUM(H22)+SUM(L22)+SUM(P22)</f>
        <v>0</v>
      </c>
      <c r="W22" s="253"/>
      <c r="X22" s="2041">
        <f t="shared" si="1"/>
        <v>0</v>
      </c>
      <c r="Y22" s="1855"/>
      <c r="Z22" s="1856"/>
      <c r="AA22" s="253"/>
      <c r="AB22" s="513">
        <v>0</v>
      </c>
      <c r="AC22" s="253"/>
      <c r="AD22" s="1854">
        <f>'Cashflow Governmental'!AE27</f>
        <v>0</v>
      </c>
      <c r="AE22" s="255"/>
      <c r="AF22" s="1924"/>
      <c r="AG22" s="1855"/>
      <c r="AH22" s="255">
        <f>ROUND(SUM(X22)-SUM(AD22),1)</f>
        <v>0</v>
      </c>
      <c r="AI22" s="1312"/>
      <c r="AJ22" s="266">
        <f>ROUND(IF(AD22=0,0,AH22/(AD22)),3)</f>
        <v>0</v>
      </c>
      <c r="AK22" s="1867"/>
      <c r="AL22" s="1830"/>
      <c r="AM22" s="1853"/>
    </row>
    <row r="23" spans="1:39" ht="18" customHeight="1">
      <c r="A23" s="1327" t="s">
        <v>297</v>
      </c>
      <c r="B23" s="1326"/>
      <c r="C23" s="1326"/>
      <c r="D23" s="1108">
        <f>'Exhibit F'!D25</f>
        <v>-5227.2</v>
      </c>
      <c r="E23" s="253"/>
      <c r="F23" s="513">
        <f>'Exhibit F'!AC25</f>
        <v>-5227.2</v>
      </c>
      <c r="G23" s="253"/>
      <c r="H23" s="255">
        <v>0</v>
      </c>
      <c r="I23" s="1854"/>
      <c r="J23" s="255">
        <v>0</v>
      </c>
      <c r="K23" s="253"/>
      <c r="L23" s="1854">
        <f>'Exhibit H'!B17</f>
        <v>5227.2</v>
      </c>
      <c r="M23" s="1854"/>
      <c r="N23" s="1854">
        <f>'Exhibit H'!AA17</f>
        <v>5227.2</v>
      </c>
      <c r="O23" s="253"/>
      <c r="P23" s="255">
        <v>0</v>
      </c>
      <c r="Q23" s="1854"/>
      <c r="R23" s="255">
        <v>0</v>
      </c>
      <c r="S23" s="253"/>
      <c r="T23" s="2038"/>
      <c r="U23" s="2038"/>
      <c r="V23" s="1854">
        <f>ROUND(SUM(D23)+SUM(H23)+SUM(L23)+SUM(P23),1)</f>
        <v>0</v>
      </c>
      <c r="W23" s="253"/>
      <c r="X23" s="1854">
        <f t="shared" si="1"/>
        <v>0</v>
      </c>
      <c r="Y23" s="1855"/>
      <c r="Z23" s="1856"/>
      <c r="AA23" s="253"/>
      <c r="AB23" s="513">
        <v>0</v>
      </c>
      <c r="AC23" s="253"/>
      <c r="AD23" s="1854">
        <f>'Cashflow Governmental'!AE28</f>
        <v>0</v>
      </c>
      <c r="AE23" s="255"/>
      <c r="AF23" s="1924"/>
      <c r="AG23" s="1855"/>
      <c r="AH23" s="255">
        <f>ROUND(SUM(X23)-SUM(AD23),1)</f>
        <v>0</v>
      </c>
      <c r="AI23" s="1312"/>
      <c r="AJ23" s="266">
        <f>ROUND(IF(AD23=0,0,AH23/(AD23)),3)</f>
        <v>0</v>
      </c>
      <c r="AK23" s="1867"/>
      <c r="AL23" s="1830"/>
      <c r="AM23" s="1853"/>
    </row>
    <row r="24" spans="1:39" ht="18" customHeight="1">
      <c r="A24" s="1326" t="s">
        <v>298</v>
      </c>
      <c r="B24" s="1326"/>
      <c r="C24" s="1326"/>
      <c r="D24" s="1108">
        <f>'Exhibit F'!D26</f>
        <v>-4825.2</v>
      </c>
      <c r="E24" s="253"/>
      <c r="F24" s="513">
        <f>'Exhibit F'!AC26</f>
        <v>-4825.2</v>
      </c>
      <c r="G24" s="253"/>
      <c r="H24" s="255">
        <v>0</v>
      </c>
      <c r="I24" s="1854"/>
      <c r="J24" s="255">
        <v>0</v>
      </c>
      <c r="K24" s="253"/>
      <c r="L24" s="255">
        <v>0</v>
      </c>
      <c r="M24" s="1854"/>
      <c r="N24" s="255">
        <v>0</v>
      </c>
      <c r="O24" s="253"/>
      <c r="P24" s="255">
        <v>0</v>
      </c>
      <c r="Q24" s="1854"/>
      <c r="R24" s="255">
        <v>0</v>
      </c>
      <c r="S24" s="253"/>
      <c r="T24" s="2038"/>
      <c r="U24" s="2038"/>
      <c r="V24" s="1854">
        <f>SUM(D24)+SUM(H24)+SUM(L24)+SUM(P24)</f>
        <v>-4825.2</v>
      </c>
      <c r="W24" s="253"/>
      <c r="X24" s="1854">
        <f>SUM(F24)+SUM(J24)+SUM(N24)+SUM(R24)</f>
        <v>-4825.2</v>
      </c>
      <c r="Y24" s="1855"/>
      <c r="Z24" s="1856"/>
      <c r="AA24" s="253"/>
      <c r="AB24" s="513">
        <v>-4382.6000000000004</v>
      </c>
      <c r="AC24" s="253"/>
      <c r="AD24" s="1854">
        <f>'Cashflow Governmental'!AE29</f>
        <v>-4382.6000000000004</v>
      </c>
      <c r="AE24" s="1854"/>
      <c r="AF24" s="1924"/>
      <c r="AG24" s="1855"/>
      <c r="AH24" s="1854">
        <f>-ROUND(SUM(X24)-SUM(AD24),1)</f>
        <v>442.6</v>
      </c>
      <c r="AI24" s="1312"/>
      <c r="AJ24" s="1868">
        <f>-ROUND(AH24/AD24,3)</f>
        <v>0.10100000000000001</v>
      </c>
      <c r="AK24" s="1852"/>
      <c r="AL24" s="1830"/>
      <c r="AM24" s="1853"/>
    </row>
    <row r="25" spans="1:39" ht="18" customHeight="1">
      <c r="A25" s="1329" t="s">
        <v>299</v>
      </c>
      <c r="B25" s="1326"/>
      <c r="C25" s="1326"/>
      <c r="D25" s="2042">
        <f>ROUND(SUM(D21:D24),1)</f>
        <v>5227.2</v>
      </c>
      <c r="E25" s="1"/>
      <c r="F25" s="2042">
        <f>ROUND(SUM(F21:F24),1)</f>
        <v>5227.2</v>
      </c>
      <c r="G25" s="1"/>
      <c r="H25" s="1011">
        <f>ROUND(SUM(H21:H24),1)</f>
        <v>0</v>
      </c>
      <c r="I25" s="1858"/>
      <c r="J25" s="1011">
        <f>ROUND(SUM(J21:J24),1)</f>
        <v>0</v>
      </c>
      <c r="K25" s="1"/>
      <c r="L25" s="1011">
        <f>ROUND(SUM(L21:L24),1)</f>
        <v>5227.2</v>
      </c>
      <c r="M25" s="1858"/>
      <c r="N25" s="1011">
        <f>ROUND(SUM(N21:N24),1)</f>
        <v>5227.2</v>
      </c>
      <c r="O25" s="1"/>
      <c r="P25" s="1011">
        <f>ROUND(SUM(P21:P24),1)</f>
        <v>0</v>
      </c>
      <c r="Q25" s="1858"/>
      <c r="R25" s="1011">
        <f>ROUND(SUM(R21:R24),1)</f>
        <v>0</v>
      </c>
      <c r="S25" s="1"/>
      <c r="T25" s="2040"/>
      <c r="U25" s="2040"/>
      <c r="V25" s="1859">
        <f>ROUND(SUM(V21:V24),1)</f>
        <v>10454.4</v>
      </c>
      <c r="W25" s="1"/>
      <c r="X25" s="1859">
        <f>ROUND(SUM(X21:X24),1)</f>
        <v>10454.4</v>
      </c>
      <c r="Y25" s="1869"/>
      <c r="Z25" s="1861"/>
      <c r="AA25" s="1"/>
      <c r="AB25" s="1947">
        <f>ROUND(SUM(AB21:AB24),1)</f>
        <v>9693.6</v>
      </c>
      <c r="AC25" s="1"/>
      <c r="AD25" s="1859">
        <f>ROUND(SUM(AD21:AD24),1)</f>
        <v>9693.6</v>
      </c>
      <c r="AE25" s="1" t="s">
        <v>103</v>
      </c>
      <c r="AF25" s="1924"/>
      <c r="AG25" s="1860"/>
      <c r="AH25" s="1870">
        <f>ROUND(SUM(X25)-SUM(AD25),1)</f>
        <v>760.8</v>
      </c>
      <c r="AI25" s="1311"/>
      <c r="AJ25" s="1871">
        <f>ROUND(AH25/AD25,3)</f>
        <v>7.8E-2</v>
      </c>
      <c r="AK25" s="1864"/>
      <c r="AL25" s="1865"/>
      <c r="AM25" s="1853"/>
    </row>
    <row r="26" spans="1:39" ht="18" customHeight="1">
      <c r="A26" s="1326"/>
      <c r="B26" s="1326"/>
      <c r="C26" s="1326"/>
      <c r="D26" s="1340"/>
      <c r="E26" s="253"/>
      <c r="F26" s="1340" t="s">
        <v>103</v>
      </c>
      <c r="G26" s="253"/>
      <c r="H26" s="1340"/>
      <c r="I26" s="253"/>
      <c r="J26" s="1340" t="s">
        <v>230</v>
      </c>
      <c r="K26" s="253"/>
      <c r="L26" s="1340" t="s">
        <v>103</v>
      </c>
      <c r="M26" s="253"/>
      <c r="N26" s="1340" t="s">
        <v>103</v>
      </c>
      <c r="O26" s="253"/>
      <c r="P26" s="1340"/>
      <c r="Q26" s="253"/>
      <c r="R26" s="1340"/>
      <c r="S26" s="253"/>
      <c r="T26" s="2038"/>
      <c r="U26" s="2038"/>
      <c r="V26" s="1340"/>
      <c r="W26" s="253"/>
      <c r="X26" s="1340"/>
      <c r="Y26" s="253"/>
      <c r="Z26" s="1856"/>
      <c r="AA26" s="253"/>
      <c r="AB26" s="1340"/>
      <c r="AC26" s="253"/>
      <c r="AD26" s="1340"/>
      <c r="AE26" s="253"/>
      <c r="AF26" s="1924"/>
      <c r="AG26" s="253"/>
      <c r="AH26" s="253"/>
      <c r="AI26" s="1307"/>
      <c r="AJ26" s="1872"/>
      <c r="AK26" s="1867"/>
      <c r="AL26" s="1830"/>
      <c r="AM26" s="1853"/>
    </row>
    <row r="27" spans="1:39" ht="18" customHeight="1">
      <c r="A27" s="1329" t="s">
        <v>300</v>
      </c>
      <c r="B27" s="1326"/>
      <c r="C27" s="757"/>
      <c r="D27" s="2043"/>
      <c r="E27" s="253"/>
      <c r="F27" s="253"/>
      <c r="G27" s="253"/>
      <c r="H27" s="253"/>
      <c r="I27" s="253"/>
      <c r="J27" s="253"/>
      <c r="K27" s="253"/>
      <c r="L27" s="253"/>
      <c r="M27" s="253"/>
      <c r="N27" s="253"/>
      <c r="O27" s="253"/>
      <c r="P27" s="253"/>
      <c r="Q27" s="253"/>
      <c r="R27" s="253"/>
      <c r="S27" s="253"/>
      <c r="T27" s="2038"/>
      <c r="U27" s="2038"/>
      <c r="V27" s="253"/>
      <c r="W27" s="253"/>
      <c r="X27" s="253"/>
      <c r="Y27" s="253"/>
      <c r="Z27" s="1856"/>
      <c r="AA27" s="253"/>
      <c r="AB27" s="253"/>
      <c r="AC27" s="253"/>
      <c r="AD27" s="253"/>
      <c r="AE27" s="253"/>
      <c r="AF27" s="1924"/>
      <c r="AG27" s="253"/>
      <c r="AH27" s="253"/>
      <c r="AI27" s="1307"/>
      <c r="AJ27" s="1872"/>
      <c r="AK27" s="1867"/>
      <c r="AL27" s="1830"/>
      <c r="AM27" s="1853"/>
    </row>
    <row r="28" spans="1:39" ht="18" customHeight="1">
      <c r="A28" s="1326" t="s">
        <v>301</v>
      </c>
      <c r="B28" s="1326"/>
      <c r="C28" s="1326"/>
      <c r="D28" s="253">
        <f>'Exhibit F'!D29</f>
        <v>803.8</v>
      </c>
      <c r="E28" s="253"/>
      <c r="F28" s="253">
        <f>'Exhibit F'!AC29</f>
        <v>803.8</v>
      </c>
      <c r="G28" s="253"/>
      <c r="H28" s="253">
        <f>'Exhibit G'!D20</f>
        <v>154.80000000000001</v>
      </c>
      <c r="I28" s="253"/>
      <c r="J28" s="253">
        <f>'Exhibit G'!AE20</f>
        <v>154.80000000000001</v>
      </c>
      <c r="K28" s="253"/>
      <c r="L28" s="1854">
        <f>'Exhibit H'!B20</f>
        <v>802.5</v>
      </c>
      <c r="M28" s="1854"/>
      <c r="N28" s="1854">
        <f>'Exhibit H'!AA20</f>
        <v>802.5</v>
      </c>
      <c r="O28" s="253"/>
      <c r="P28" s="255">
        <v>0</v>
      </c>
      <c r="Q28" s="1854"/>
      <c r="R28" s="255">
        <v>0</v>
      </c>
      <c r="S28" s="253"/>
      <c r="T28" s="2038"/>
      <c r="U28" s="2038"/>
      <c r="V28" s="1854">
        <f t="shared" ref="V28:V34" si="2">SUM(D28)+SUM(H28)+SUM(L28)+SUM(P28)</f>
        <v>1761.1</v>
      </c>
      <c r="W28" s="253"/>
      <c r="X28" s="1854">
        <f t="shared" ref="X28:X35" si="3">SUM(F28)+SUM(J28)+SUM(N28)+SUM(R28)</f>
        <v>1761.1</v>
      </c>
      <c r="Y28" s="253"/>
      <c r="Z28" s="1856"/>
      <c r="AA28" s="253"/>
      <c r="AB28" s="1948">
        <v>1626.3</v>
      </c>
      <c r="AC28" s="253"/>
      <c r="AD28" s="1854">
        <f>'Cashflow Governmental'!AE32</f>
        <v>1626.3000000000002</v>
      </c>
      <c r="AE28" s="1854"/>
      <c r="AF28" s="1924"/>
      <c r="AG28" s="253"/>
      <c r="AH28" s="253">
        <f t="shared" ref="AH28:AH38" si="4">ROUND(SUM(X28)-SUM(AD28),1)</f>
        <v>134.80000000000001</v>
      </c>
      <c r="AI28" s="1312"/>
      <c r="AJ28" s="1852">
        <f t="shared" ref="AJ28:AJ38" si="5">ROUND(AH28/AD28,3)</f>
        <v>8.3000000000000004E-2</v>
      </c>
      <c r="AK28" s="1852"/>
      <c r="AL28" s="1830"/>
      <c r="AM28" s="1853"/>
    </row>
    <row r="29" spans="1:39" ht="18" customHeight="1">
      <c r="A29" s="1327" t="s">
        <v>302</v>
      </c>
      <c r="B29" s="1326"/>
      <c r="C29" s="286"/>
      <c r="D29" s="253">
        <f>'Exhibit F'!D30</f>
        <v>0</v>
      </c>
      <c r="E29" s="1854"/>
      <c r="F29" s="253">
        <f>'Exhibit F'!AC30</f>
        <v>0</v>
      </c>
      <c r="G29" s="253"/>
      <c r="H29" s="253">
        <f>'Exhibit G'!D21</f>
        <v>1.7</v>
      </c>
      <c r="I29" s="1854"/>
      <c r="J29" s="253">
        <f>'Exhibit G'!AE21</f>
        <v>1.7</v>
      </c>
      <c r="K29" s="253"/>
      <c r="L29" s="255">
        <v>0</v>
      </c>
      <c r="M29" s="1854"/>
      <c r="N29" s="255">
        <v>0</v>
      </c>
      <c r="O29" s="253"/>
      <c r="P29" s="513">
        <f>'Exhibit I'!E18</f>
        <v>-0.3</v>
      </c>
      <c r="Q29" s="253"/>
      <c r="R29" s="513">
        <f>'Exhibit I'!AF18</f>
        <v>-0.3</v>
      </c>
      <c r="S29" s="253"/>
      <c r="T29" s="2038"/>
      <c r="U29" s="2038"/>
      <c r="V29" s="1854">
        <f t="shared" si="2"/>
        <v>1.4</v>
      </c>
      <c r="W29" s="253"/>
      <c r="X29" s="1854">
        <f t="shared" si="3"/>
        <v>1.4</v>
      </c>
      <c r="Y29" s="1855"/>
      <c r="Z29" s="1856"/>
      <c r="AA29" s="253"/>
      <c r="AB29" s="513">
        <v>10.1</v>
      </c>
      <c r="AC29" s="253"/>
      <c r="AD29" s="1854">
        <f>'Cashflow Governmental'!AE33</f>
        <v>10.1</v>
      </c>
      <c r="AE29" s="1854"/>
      <c r="AF29" s="1924"/>
      <c r="AG29" s="1855"/>
      <c r="AH29" s="1854">
        <f t="shared" si="4"/>
        <v>-8.6999999999999993</v>
      </c>
      <c r="AI29" s="1313"/>
      <c r="AJ29" s="1852">
        <f t="shared" si="5"/>
        <v>-0.86099999999999999</v>
      </c>
      <c r="AK29" s="1852"/>
      <c r="AL29" s="1830"/>
      <c r="AM29" s="1853"/>
    </row>
    <row r="30" spans="1:39" ht="18" customHeight="1">
      <c r="A30" s="1326" t="s">
        <v>303</v>
      </c>
      <c r="B30" s="1326"/>
      <c r="C30" s="1326"/>
      <c r="D30" s="253">
        <f>'Exhibit F'!D31</f>
        <v>22.99</v>
      </c>
      <c r="E30" s="253"/>
      <c r="F30" s="253">
        <f>'Exhibit F'!AC31</f>
        <v>22.99</v>
      </c>
      <c r="G30" s="253"/>
      <c r="H30" s="253">
        <f>'Exhibit G'!D22</f>
        <v>52.9</v>
      </c>
      <c r="I30" s="1854"/>
      <c r="J30" s="253">
        <f>'Exhibit G'!AE22</f>
        <v>52.9</v>
      </c>
      <c r="K30" s="253"/>
      <c r="L30" s="255">
        <v>0</v>
      </c>
      <c r="M30" s="1854"/>
      <c r="N30" s="255">
        <v>0</v>
      </c>
      <c r="O30" s="253"/>
      <c r="P30" s="255">
        <v>0</v>
      </c>
      <c r="Q30" s="1854"/>
      <c r="R30" s="255">
        <v>0</v>
      </c>
      <c r="S30" s="253"/>
      <c r="T30" s="2038"/>
      <c r="U30" s="2038"/>
      <c r="V30" s="1854">
        <f t="shared" si="2"/>
        <v>75.89</v>
      </c>
      <c r="W30" s="253"/>
      <c r="X30" s="1854">
        <f t="shared" si="3"/>
        <v>75.89</v>
      </c>
      <c r="Y30" s="1855"/>
      <c r="Z30" s="1856"/>
      <c r="AA30" s="253"/>
      <c r="AB30" s="513">
        <v>82</v>
      </c>
      <c r="AC30" s="253"/>
      <c r="AD30" s="1854">
        <f>'Cashflow Governmental'!AE34</f>
        <v>82</v>
      </c>
      <c r="AE30" s="513"/>
      <c r="AF30" s="1925"/>
      <c r="AG30" s="1855"/>
      <c r="AH30" s="1854">
        <f t="shared" si="4"/>
        <v>-6.1</v>
      </c>
      <c r="AI30" s="1312"/>
      <c r="AJ30" s="1852">
        <f t="shared" si="5"/>
        <v>-7.3999999999999996E-2</v>
      </c>
      <c r="AK30" s="1852"/>
      <c r="AL30" s="1830"/>
      <c r="AM30" s="1853"/>
    </row>
    <row r="31" spans="1:39" ht="18" customHeight="1">
      <c r="A31" s="1326" t="s">
        <v>304</v>
      </c>
      <c r="B31" s="253"/>
      <c r="C31" s="1326"/>
      <c r="D31" s="253">
        <v>0</v>
      </c>
      <c r="E31" s="253"/>
      <c r="F31" s="253">
        <v>0</v>
      </c>
      <c r="G31" s="253"/>
      <c r="H31" s="253">
        <f>'Exhibit G'!D23</f>
        <v>4.4000000000000004</v>
      </c>
      <c r="I31" s="1854"/>
      <c r="J31" s="253">
        <f>'Exhibit G'!AE23</f>
        <v>4.4000000000000004</v>
      </c>
      <c r="K31" s="253"/>
      <c r="L31" s="255">
        <v>0</v>
      </c>
      <c r="M31" s="1854"/>
      <c r="N31" s="255">
        <v>0</v>
      </c>
      <c r="O31" s="253"/>
      <c r="P31" s="255">
        <v>0</v>
      </c>
      <c r="Q31" s="1854"/>
      <c r="R31" s="255">
        <v>0</v>
      </c>
      <c r="S31" s="253"/>
      <c r="T31" s="2038"/>
      <c r="U31" s="2038"/>
      <c r="V31" s="1854">
        <f>SUM(D31)+SUM(H31)+SUM(L31)+SUM(P31)</f>
        <v>4.4000000000000004</v>
      </c>
      <c r="W31" s="253"/>
      <c r="X31" s="1854">
        <f>SUM(F31)+SUM(J31)+SUM(N31)+SUM(R31)</f>
        <v>4.4000000000000004</v>
      </c>
      <c r="Y31" s="1855"/>
      <c r="Z31" s="1856"/>
      <c r="AA31" s="253"/>
      <c r="AB31" s="513">
        <v>-3.3</v>
      </c>
      <c r="AC31" s="253"/>
      <c r="AD31" s="1854">
        <f>'Cashflow Governmental'!AE35</f>
        <v>-3.3</v>
      </c>
      <c r="AE31" s="513"/>
      <c r="AF31" s="1925"/>
      <c r="AG31" s="1855"/>
      <c r="AH31" s="1854">
        <f>ROUND(SUM(X31)-SUM(AD31),1)</f>
        <v>7.7</v>
      </c>
      <c r="AI31" s="1312"/>
      <c r="AJ31" s="374">
        <f>ROUND(IF(AD31=0,0,AH31/ABS(AD31)),3)</f>
        <v>2.3330000000000002</v>
      </c>
      <c r="AK31" s="1852"/>
      <c r="AL31" s="1830"/>
      <c r="AM31" s="1853"/>
    </row>
    <row r="32" spans="1:39" ht="18" customHeight="1">
      <c r="A32" s="1326" t="s">
        <v>305</v>
      </c>
      <c r="B32" s="1326"/>
      <c r="C32" s="1326"/>
      <c r="D32" s="253">
        <f>'Exhibit F'!D32</f>
        <v>0</v>
      </c>
      <c r="E32" s="1854"/>
      <c r="F32" s="253">
        <f>'Exhibit F'!AC32</f>
        <v>0</v>
      </c>
      <c r="G32" s="253"/>
      <c r="H32" s="253">
        <f>'Exhibit G'!D24</f>
        <v>7.8</v>
      </c>
      <c r="I32" s="1854"/>
      <c r="J32" s="253">
        <f>'Exhibit G'!AE24</f>
        <v>7.8</v>
      </c>
      <c r="K32" s="253"/>
      <c r="L32" s="255">
        <v>0</v>
      </c>
      <c r="M32" s="1854"/>
      <c r="N32" s="255">
        <v>0</v>
      </c>
      <c r="O32" s="253"/>
      <c r="P32" s="253">
        <f>'Exhibit I'!E19</f>
        <v>29.1</v>
      </c>
      <c r="Q32" s="1854"/>
      <c r="R32" s="253">
        <f>'Exhibit I'!AF19</f>
        <v>29.1</v>
      </c>
      <c r="S32" s="253"/>
      <c r="T32" s="2038"/>
      <c r="U32" s="2038"/>
      <c r="V32" s="1854">
        <f t="shared" si="2"/>
        <v>36.9</v>
      </c>
      <c r="W32" s="253"/>
      <c r="X32" s="1854">
        <f t="shared" si="3"/>
        <v>36.9</v>
      </c>
      <c r="Y32" s="253"/>
      <c r="Z32" s="1856"/>
      <c r="AA32" s="253"/>
      <c r="AB32" s="513">
        <v>35.9</v>
      </c>
      <c r="AC32" s="253"/>
      <c r="AD32" s="1854">
        <f>'Cashflow Governmental'!AE36</f>
        <v>35.9</v>
      </c>
      <c r="AE32" s="1854"/>
      <c r="AF32" s="1925"/>
      <c r="AG32" s="253"/>
      <c r="AH32" s="1854">
        <f t="shared" si="4"/>
        <v>1</v>
      </c>
      <c r="AI32" s="1307"/>
      <c r="AJ32" s="374">
        <f t="shared" ref="AJ32:AJ33" si="6">ROUND(IF(AD32=0,0,AH32/ABS(AD32)),3)</f>
        <v>2.8000000000000001E-2</v>
      </c>
      <c r="AK32" s="1852"/>
      <c r="AL32" s="1830"/>
      <c r="AM32" s="1853"/>
    </row>
    <row r="33" spans="1:39" ht="18" customHeight="1">
      <c r="A33" s="422" t="s">
        <v>306</v>
      </c>
      <c r="B33" s="1326"/>
      <c r="C33" s="1326"/>
      <c r="D33" s="253">
        <f>'Exhibit F'!D33</f>
        <v>-0.4</v>
      </c>
      <c r="E33" s="1854"/>
      <c r="F33" s="253">
        <f>'Exhibit F'!AC33</f>
        <v>-0.4</v>
      </c>
      <c r="G33" s="253"/>
      <c r="H33" s="253">
        <f>'Exhibit G'!D25</f>
        <v>0</v>
      </c>
      <c r="I33" s="1854"/>
      <c r="J33" s="253">
        <f>'Exhibit G'!AE25</f>
        <v>0</v>
      </c>
      <c r="K33" s="253"/>
      <c r="L33" s="255">
        <v>0</v>
      </c>
      <c r="M33" s="1854"/>
      <c r="N33" s="255">
        <v>0</v>
      </c>
      <c r="O33" s="253"/>
      <c r="P33" s="253">
        <v>0</v>
      </c>
      <c r="Q33" s="1854"/>
      <c r="R33" s="253">
        <v>0</v>
      </c>
      <c r="S33" s="253"/>
      <c r="T33" s="2038"/>
      <c r="U33" s="2038"/>
      <c r="V33" s="1854">
        <f t="shared" si="2"/>
        <v>-0.4</v>
      </c>
      <c r="W33" s="253"/>
      <c r="X33" s="1854">
        <f t="shared" si="3"/>
        <v>-0.4</v>
      </c>
      <c r="Y33" s="253"/>
      <c r="Z33" s="1856"/>
      <c r="AA33" s="253"/>
      <c r="AB33" s="513">
        <v>-0.1</v>
      </c>
      <c r="AC33" s="253"/>
      <c r="AD33" s="1854">
        <f>'Cashflow Governmental'!AE37</f>
        <v>-0.1</v>
      </c>
      <c r="AE33" s="1854"/>
      <c r="AF33" s="1925"/>
      <c r="AG33" s="253"/>
      <c r="AH33" s="1854">
        <f t="shared" ref="AH33" si="7">ROUND(SUM(X33)-SUM(AD33),1)</f>
        <v>-0.3</v>
      </c>
      <c r="AI33" s="1307"/>
      <c r="AJ33" s="374">
        <f t="shared" si="6"/>
        <v>-3</v>
      </c>
      <c r="AK33" s="1852"/>
      <c r="AL33" s="1830"/>
      <c r="AM33" s="1853"/>
    </row>
    <row r="34" spans="1:39" ht="18" customHeight="1">
      <c r="A34" s="1326" t="s">
        <v>307</v>
      </c>
      <c r="B34" s="1326"/>
      <c r="C34" s="1326"/>
      <c r="D34" s="253">
        <f>'Exhibit F'!D34</f>
        <v>22.1</v>
      </c>
      <c r="E34" s="253"/>
      <c r="F34" s="253">
        <f>'Exhibit F'!AC34</f>
        <v>22.1</v>
      </c>
      <c r="G34" s="253"/>
      <c r="H34" s="253">
        <f>'Exhibit G'!D26</f>
        <v>0</v>
      </c>
      <c r="I34" s="1854"/>
      <c r="J34" s="253">
        <f>'Exhibit G'!AE26</f>
        <v>0</v>
      </c>
      <c r="K34" s="253"/>
      <c r="L34" s="255">
        <v>0</v>
      </c>
      <c r="M34" s="1854"/>
      <c r="N34" s="255">
        <v>0</v>
      </c>
      <c r="O34" s="253"/>
      <c r="P34" s="255">
        <v>0</v>
      </c>
      <c r="Q34" s="1854"/>
      <c r="R34" s="255">
        <v>0</v>
      </c>
      <c r="S34" s="253"/>
      <c r="T34" s="2038"/>
      <c r="U34" s="2038"/>
      <c r="V34" s="1854">
        <f t="shared" si="2"/>
        <v>22.1</v>
      </c>
      <c r="W34" s="253"/>
      <c r="X34" s="1854">
        <f t="shared" si="3"/>
        <v>22.1</v>
      </c>
      <c r="Y34" s="1855"/>
      <c r="Z34" s="1856"/>
      <c r="AA34" s="253"/>
      <c r="AB34" s="513">
        <v>21.7</v>
      </c>
      <c r="AC34" s="253"/>
      <c r="AD34" s="1854">
        <f>'Cashflow Governmental'!AE38</f>
        <v>21.7</v>
      </c>
      <c r="AE34" s="1854"/>
      <c r="AF34" s="1925"/>
      <c r="AG34" s="1855"/>
      <c r="AH34" s="1854">
        <f t="shared" si="4"/>
        <v>0.4</v>
      </c>
      <c r="AI34" s="1312"/>
      <c r="AJ34" s="266">
        <f t="shared" ref="AJ34:AJ35" si="8">ROUND(IF(AD34=0,1,AH34/(AD34)),3)</f>
        <v>1.7999999999999999E-2</v>
      </c>
      <c r="AK34" s="1852"/>
      <c r="AL34" s="1830"/>
      <c r="AM34" s="1853"/>
    </row>
    <row r="35" spans="1:39" ht="18" customHeight="1">
      <c r="A35" s="1326" t="s">
        <v>308</v>
      </c>
      <c r="B35" s="1326"/>
      <c r="C35" s="1326"/>
      <c r="D35" s="253">
        <f>'Exhibit F'!D35</f>
        <v>0</v>
      </c>
      <c r="E35" s="1854"/>
      <c r="F35" s="253">
        <f>'Exhibit F'!AC35</f>
        <v>0</v>
      </c>
      <c r="G35" s="253"/>
      <c r="H35" s="253">
        <f>'Exhibit G'!D27</f>
        <v>0</v>
      </c>
      <c r="I35" s="1854"/>
      <c r="J35" s="253">
        <f>'Exhibit G'!AE27</f>
        <v>0</v>
      </c>
      <c r="K35" s="253"/>
      <c r="L35" s="255">
        <v>0</v>
      </c>
      <c r="M35" s="1854"/>
      <c r="N35" s="255">
        <v>0</v>
      </c>
      <c r="O35" s="253"/>
      <c r="P35" s="253">
        <f>'Exhibit I'!E20</f>
        <v>13.4</v>
      </c>
      <c r="Q35" s="1854"/>
      <c r="R35" s="253">
        <f>'Exhibit I'!AF20</f>
        <v>13.4</v>
      </c>
      <c r="S35" s="253"/>
      <c r="T35" s="2038"/>
      <c r="U35" s="2038"/>
      <c r="V35" s="1854">
        <f>SUM(D35)+SUM(H35)+SUM(L35)+SUM(P35)</f>
        <v>13.4</v>
      </c>
      <c r="W35" s="253"/>
      <c r="X35" s="1854">
        <f t="shared" si="3"/>
        <v>13.4</v>
      </c>
      <c r="Y35" s="1855"/>
      <c r="Z35" s="1856"/>
      <c r="AA35" s="253"/>
      <c r="AB35" s="513">
        <v>14</v>
      </c>
      <c r="AC35" s="253"/>
      <c r="AD35" s="1854">
        <f>'Cashflow Governmental'!AE39</f>
        <v>14</v>
      </c>
      <c r="AE35" s="513"/>
      <c r="AF35" s="1925"/>
      <c r="AG35" s="1855"/>
      <c r="AH35" s="255">
        <f t="shared" si="4"/>
        <v>-0.6</v>
      </c>
      <c r="AI35" s="1313"/>
      <c r="AJ35" s="266">
        <f t="shared" si="8"/>
        <v>-4.2999999999999997E-2</v>
      </c>
      <c r="AK35" s="1852"/>
      <c r="AL35" s="1830"/>
      <c r="AM35" s="1853"/>
    </row>
    <row r="36" spans="1:39" ht="18" customHeight="1">
      <c r="A36" s="1326" t="s">
        <v>309</v>
      </c>
      <c r="B36" s="1326"/>
      <c r="C36" s="1326"/>
      <c r="D36" s="253">
        <f>'Exhibit F'!D36</f>
        <v>0</v>
      </c>
      <c r="E36" s="1854"/>
      <c r="F36" s="253">
        <f>'Exhibit F'!AC36</f>
        <v>0</v>
      </c>
      <c r="G36" s="253"/>
      <c r="H36" s="253">
        <f>'Exhibit G'!D28</f>
        <v>0.3</v>
      </c>
      <c r="I36" s="1854"/>
      <c r="J36" s="253">
        <f>'Exhibit G'!AE28</f>
        <v>0.3</v>
      </c>
      <c r="K36" s="253"/>
      <c r="L36" s="255">
        <v>0</v>
      </c>
      <c r="M36" s="1854"/>
      <c r="N36" s="255">
        <v>0</v>
      </c>
      <c r="O36" s="253"/>
      <c r="P36" s="253">
        <v>0</v>
      </c>
      <c r="Q36" s="1854"/>
      <c r="R36" s="253">
        <v>0</v>
      </c>
      <c r="S36" s="253"/>
      <c r="T36" s="2038"/>
      <c r="U36" s="2038"/>
      <c r="V36" s="1854">
        <f>SUM(D36)+SUM(H36)+SUM(L36)+SUM(P36)</f>
        <v>0.3</v>
      </c>
      <c r="W36" s="253"/>
      <c r="X36" s="1854">
        <f>SUM(F36)+SUM(J36)+SUM(N36)+SUM(R36)</f>
        <v>0.3</v>
      </c>
      <c r="Y36" s="1855"/>
      <c r="Z36" s="1856"/>
      <c r="AA36" s="253"/>
      <c r="AB36" s="513">
        <v>0.2</v>
      </c>
      <c r="AC36" s="253"/>
      <c r="AD36" s="1854">
        <f>'Cashflow Governmental'!AE40</f>
        <v>0.2</v>
      </c>
      <c r="AE36" s="513"/>
      <c r="AF36" s="1925"/>
      <c r="AG36" s="1855"/>
      <c r="AH36" s="255">
        <f>ROUND(SUM(X36)-SUM(AD36),1)</f>
        <v>0.1</v>
      </c>
      <c r="AI36" s="1313"/>
      <c r="AJ36" s="266">
        <f>ROUND(IF(AD36=0,1,AH36/(AD36)),3)</f>
        <v>0.5</v>
      </c>
      <c r="AK36" s="1852"/>
      <c r="AL36" s="1830"/>
      <c r="AM36" s="1853"/>
    </row>
    <row r="37" spans="1:39" ht="18" customHeight="1">
      <c r="A37" s="1326" t="s">
        <v>310</v>
      </c>
      <c r="B37" s="1326"/>
      <c r="C37" s="1326"/>
      <c r="D37" s="253">
        <f>'Exhibit F'!D37</f>
        <v>4.5999999999999996</v>
      </c>
      <c r="E37" s="1854"/>
      <c r="F37" s="253">
        <f>'Exhibit F'!AC37</f>
        <v>4.5999999999999996</v>
      </c>
      <c r="G37" s="253"/>
      <c r="H37" s="253">
        <v>0</v>
      </c>
      <c r="I37" s="1854"/>
      <c r="J37" s="253">
        <v>0</v>
      </c>
      <c r="K37" s="253"/>
      <c r="L37" s="255">
        <v>0</v>
      </c>
      <c r="M37" s="1854"/>
      <c r="N37" s="255">
        <v>0</v>
      </c>
      <c r="O37" s="253"/>
      <c r="P37" s="253">
        <v>0</v>
      </c>
      <c r="Q37" s="1854"/>
      <c r="R37" s="253">
        <v>0</v>
      </c>
      <c r="S37" s="253"/>
      <c r="T37" s="2038"/>
      <c r="U37" s="2038"/>
      <c r="V37" s="1854">
        <f>SUM(D37)+SUM(H37)+SUM(L37)+SUM(P37)</f>
        <v>4.5999999999999996</v>
      </c>
      <c r="W37" s="253"/>
      <c r="X37" s="1854">
        <f t="shared" ref="X37" si="9">SUM(F37)+SUM(J37)+SUM(N37)+SUM(R37)</f>
        <v>4.5999999999999996</v>
      </c>
      <c r="Y37" s="1855"/>
      <c r="Z37" s="1856"/>
      <c r="AA37" s="253"/>
      <c r="AB37" s="513">
        <v>4.9000000000000004</v>
      </c>
      <c r="AC37" s="253"/>
      <c r="AD37" s="1854">
        <f>'Cashflow Governmental'!AE41</f>
        <v>4.9000000000000004</v>
      </c>
      <c r="AE37" s="513"/>
      <c r="AF37" s="1925"/>
      <c r="AG37" s="1855"/>
      <c r="AH37" s="255">
        <f t="shared" ref="AH37" si="10">ROUND(SUM(X37)-SUM(AD37),1)</f>
        <v>-0.3</v>
      </c>
      <c r="AI37" s="1313"/>
      <c r="AJ37" s="266">
        <f>ROUND(IF(AD37=0,1,AH37/(AD37)),3)</f>
        <v>-6.0999999999999999E-2</v>
      </c>
      <c r="AK37" s="1852"/>
      <c r="AL37" s="1830"/>
      <c r="AM37" s="1853"/>
    </row>
    <row r="38" spans="1:39" ht="18" customHeight="1">
      <c r="A38" s="1325" t="s">
        <v>311</v>
      </c>
      <c r="B38" s="1326"/>
      <c r="C38" s="1326"/>
      <c r="D38" s="1011">
        <f>ROUND(SUM(D28:D37),1)</f>
        <v>853.1</v>
      </c>
      <c r="E38" s="1"/>
      <c r="F38" s="1011">
        <f>ROUND(SUM(F28:F37),1)</f>
        <v>853.1</v>
      </c>
      <c r="G38" s="1"/>
      <c r="H38" s="1011">
        <f>ROUND(SUM(H28:H37),1)</f>
        <v>221.9</v>
      </c>
      <c r="I38" s="1"/>
      <c r="J38" s="1011">
        <f>ROUND(SUM(J28:J37),1)</f>
        <v>221.9</v>
      </c>
      <c r="K38" s="1"/>
      <c r="L38" s="1011">
        <f>ROUND(SUM(L28:L37),1)</f>
        <v>802.5</v>
      </c>
      <c r="M38" s="1"/>
      <c r="N38" s="1011">
        <f>ROUND(SUM(N28:N37),1)</f>
        <v>802.5</v>
      </c>
      <c r="O38" s="1"/>
      <c r="P38" s="1011">
        <f>ROUND(SUM(P28:P37),1)</f>
        <v>42.2</v>
      </c>
      <c r="Q38" s="1"/>
      <c r="R38" s="1011">
        <f>ROUND(SUM(R28:R37),1)</f>
        <v>42.2</v>
      </c>
      <c r="S38" s="1"/>
      <c r="T38" s="2040"/>
      <c r="U38" s="2040"/>
      <c r="V38" s="1011">
        <f>ROUND(SUM(V28:V37),1)</f>
        <v>1919.7</v>
      </c>
      <c r="W38" s="1"/>
      <c r="X38" s="1011">
        <f>ROUND(SUM(X28:X37),1)</f>
        <v>1919.7</v>
      </c>
      <c r="Y38" s="1873"/>
      <c r="Z38" s="1861"/>
      <c r="AA38" s="1"/>
      <c r="AB38" s="1011">
        <f>ROUND(SUM(AB28:AB37),1)</f>
        <v>1791.7</v>
      </c>
      <c r="AC38" s="1"/>
      <c r="AD38" s="1011">
        <f>ROUND(SUM(AD28:AD37),1)</f>
        <v>1791.7</v>
      </c>
      <c r="AE38" s="1"/>
      <c r="AF38" s="1926"/>
      <c r="AG38" s="1"/>
      <c r="AH38" s="1870">
        <f t="shared" si="4"/>
        <v>128</v>
      </c>
      <c r="AI38" s="1308"/>
      <c r="AJ38" s="1871">
        <f t="shared" si="5"/>
        <v>7.0999999999999994E-2</v>
      </c>
      <c r="AK38" s="1864"/>
      <c r="AL38" s="1865"/>
      <c r="AM38" s="1853"/>
    </row>
    <row r="39" spans="1:39" ht="18" customHeight="1">
      <c r="A39" s="1326"/>
      <c r="B39" s="1326"/>
      <c r="C39" s="1326"/>
      <c r="D39" s="1340"/>
      <c r="E39" s="253"/>
      <c r="F39" s="1340"/>
      <c r="G39" s="253"/>
      <c r="H39" s="1340"/>
      <c r="I39" s="253"/>
      <c r="J39" s="1340"/>
      <c r="K39" s="253"/>
      <c r="L39" s="1340"/>
      <c r="M39" s="253"/>
      <c r="N39" s="1340"/>
      <c r="O39" s="253"/>
      <c r="P39" s="1340"/>
      <c r="Q39" s="253"/>
      <c r="R39" s="1340"/>
      <c r="S39" s="253"/>
      <c r="T39" s="2038"/>
      <c r="U39" s="2038"/>
      <c r="V39" s="1340"/>
      <c r="W39" s="253"/>
      <c r="X39" s="1340"/>
      <c r="Y39" s="253"/>
      <c r="Z39" s="1856"/>
      <c r="AA39" s="253"/>
      <c r="AB39" s="1340"/>
      <c r="AC39" s="253"/>
      <c r="AD39" s="1340"/>
      <c r="AE39" s="253"/>
      <c r="AF39" s="1925"/>
      <c r="AG39" s="253"/>
      <c r="AH39" s="253"/>
      <c r="AI39" s="1307"/>
      <c r="AJ39" s="1872"/>
      <c r="AK39" s="1867"/>
      <c r="AL39" s="1830"/>
      <c r="AM39" s="1853"/>
    </row>
    <row r="40" spans="1:39" ht="18" customHeight="1">
      <c r="A40" s="1325" t="s">
        <v>312</v>
      </c>
      <c r="B40" s="1326"/>
      <c r="C40" s="1326"/>
      <c r="D40" s="253"/>
      <c r="E40" s="253"/>
      <c r="F40" s="253"/>
      <c r="G40" s="253"/>
      <c r="H40" s="253"/>
      <c r="I40" s="253"/>
      <c r="J40" s="253"/>
      <c r="K40" s="253"/>
      <c r="L40" s="253"/>
      <c r="M40" s="253"/>
      <c r="N40" s="253"/>
      <c r="O40" s="253"/>
      <c r="P40" s="253"/>
      <c r="Q40" s="253"/>
      <c r="R40" s="253"/>
      <c r="S40" s="253"/>
      <c r="T40" s="2038"/>
      <c r="U40" s="2038"/>
      <c r="V40" s="253"/>
      <c r="W40" s="253"/>
      <c r="X40" s="253"/>
      <c r="Y40" s="253"/>
      <c r="Z40" s="1856"/>
      <c r="AA40" s="253"/>
      <c r="AB40" s="532"/>
      <c r="AC40" s="253"/>
      <c r="AD40" s="532"/>
      <c r="AE40" s="253"/>
      <c r="AF40" s="1925"/>
      <c r="AG40" s="253"/>
      <c r="AH40" s="253"/>
      <c r="AI40" s="1307"/>
      <c r="AJ40" s="1852"/>
      <c r="AK40" s="1867"/>
      <c r="AL40" s="1830"/>
      <c r="AM40" s="1853"/>
    </row>
    <row r="41" spans="1:39" ht="18" customHeight="1">
      <c r="A41" s="1326" t="s">
        <v>313</v>
      </c>
      <c r="B41" s="1326"/>
      <c r="C41" s="1326"/>
      <c r="D41" s="253">
        <f>'Exhibit F'!D40</f>
        <v>755.1</v>
      </c>
      <c r="E41" s="253"/>
      <c r="F41" s="253">
        <f>'Exhibit F'!AC40</f>
        <v>755.1</v>
      </c>
      <c r="G41" s="253"/>
      <c r="H41" s="253">
        <f>'Exhibit G'!D31</f>
        <v>299.2</v>
      </c>
      <c r="I41" s="253"/>
      <c r="J41" s="253">
        <f>'Exhibit G'!AE31</f>
        <v>299.2</v>
      </c>
      <c r="K41" s="253"/>
      <c r="L41" s="255">
        <v>0</v>
      </c>
      <c r="M41" s="1854"/>
      <c r="N41" s="255">
        <v>0</v>
      </c>
      <c r="O41" s="253"/>
      <c r="P41" s="255">
        <f>'Exhibit I'!E23</f>
        <v>0</v>
      </c>
      <c r="Q41" s="1854"/>
      <c r="R41" s="255">
        <f>'Exhibit I'!AF23</f>
        <v>0</v>
      </c>
      <c r="S41" s="253"/>
      <c r="T41" s="2038"/>
      <c r="U41" s="2038"/>
      <c r="V41" s="1854">
        <f t="shared" ref="V41:V46" si="11">SUM(D41)+SUM(H41)+SUM(L41)+SUM(P41)</f>
        <v>1054.3</v>
      </c>
      <c r="W41" s="253"/>
      <c r="X41" s="1854">
        <f t="shared" ref="X41:X46" si="12">SUM(F41)+SUM(J41)+SUM(N41)+SUM(R41)</f>
        <v>1054.3</v>
      </c>
      <c r="Y41" s="253"/>
      <c r="Z41" s="1856"/>
      <c r="AA41" s="253"/>
      <c r="AB41" s="513">
        <v>1086.0999999999999</v>
      </c>
      <c r="AC41" s="253"/>
      <c r="AD41" s="513">
        <f>'Cashflow Governmental'!AE44</f>
        <v>1086.0999999999999</v>
      </c>
      <c r="AE41" s="1854"/>
      <c r="AF41" s="1925"/>
      <c r="AG41" s="253"/>
      <c r="AH41" s="1854">
        <f t="shared" ref="AH41:AH47" si="13">ROUND(SUM(X41)-SUM(AD41),1)</f>
        <v>-31.8</v>
      </c>
      <c r="AI41" s="1312"/>
      <c r="AJ41" s="1852">
        <f t="shared" ref="AJ41:AJ47" si="14">ROUND(AH41/AD41,3)</f>
        <v>-2.9000000000000001E-2</v>
      </c>
      <c r="AK41" s="1852"/>
      <c r="AL41" s="1830"/>
      <c r="AM41" s="1853"/>
    </row>
    <row r="42" spans="1:39" ht="18" customHeight="1">
      <c r="A42" s="1326" t="s">
        <v>314</v>
      </c>
      <c r="B42" s="1326"/>
      <c r="C42" s="1326"/>
      <c r="D42" s="253">
        <f>'Exhibit F'!D41</f>
        <v>27.8</v>
      </c>
      <c r="E42" s="253"/>
      <c r="F42" s="253">
        <f>'Exhibit F'!AC41</f>
        <v>27.8</v>
      </c>
      <c r="G42" s="253"/>
      <c r="H42" s="253">
        <f>'Exhibit G'!D32</f>
        <v>15.4</v>
      </c>
      <c r="I42" s="253"/>
      <c r="J42" s="1854">
        <f>'Exhibit G'!AE32</f>
        <v>15.4</v>
      </c>
      <c r="K42" s="253"/>
      <c r="L42" s="255">
        <v>0</v>
      </c>
      <c r="M42" s="1854"/>
      <c r="N42" s="255">
        <v>0</v>
      </c>
      <c r="O42" s="253"/>
      <c r="P42" s="253">
        <f>'Exhibit I'!E24</f>
        <v>2</v>
      </c>
      <c r="Q42" s="1854"/>
      <c r="R42" s="253">
        <f>'Exhibit I'!AF24</f>
        <v>2</v>
      </c>
      <c r="S42" s="253"/>
      <c r="T42" s="2038"/>
      <c r="U42" s="2038"/>
      <c r="V42" s="1854">
        <f t="shared" si="11"/>
        <v>45.2</v>
      </c>
      <c r="W42" s="253"/>
      <c r="X42" s="1854">
        <f t="shared" si="12"/>
        <v>45.2</v>
      </c>
      <c r="Y42" s="253"/>
      <c r="Z42" s="1856"/>
      <c r="AA42" s="253"/>
      <c r="AB42" s="513">
        <v>41.9</v>
      </c>
      <c r="AC42" s="253"/>
      <c r="AD42" s="513">
        <f>'Cashflow Governmental'!AE45</f>
        <v>41.899999999999991</v>
      </c>
      <c r="AE42" s="1854"/>
      <c r="AF42" s="1925"/>
      <c r="AG42" s="253"/>
      <c r="AH42" s="1854">
        <f t="shared" si="13"/>
        <v>3.3</v>
      </c>
      <c r="AI42" s="1312"/>
      <c r="AJ42" s="1874">
        <f t="shared" si="14"/>
        <v>7.9000000000000001E-2</v>
      </c>
      <c r="AK42" s="1852"/>
      <c r="AL42" s="1830"/>
      <c r="AM42" s="1853"/>
    </row>
    <row r="43" spans="1:39" ht="18" customHeight="1">
      <c r="A43" s="1326" t="s">
        <v>315</v>
      </c>
      <c r="B43" s="1326"/>
      <c r="C43" s="1326"/>
      <c r="D43" s="253">
        <f>'Exhibit F'!D42</f>
        <v>81.8</v>
      </c>
      <c r="E43" s="253"/>
      <c r="F43" s="253">
        <f>'Exhibit F'!AC42</f>
        <v>81.8</v>
      </c>
      <c r="G43" s="253"/>
      <c r="H43" s="253">
        <f>'Exhibit G'!D33</f>
        <v>3.9</v>
      </c>
      <c r="I43" s="253"/>
      <c r="J43" s="253">
        <f>'Exhibit G'!AE33</f>
        <v>3.9</v>
      </c>
      <c r="K43" s="253"/>
      <c r="L43" s="255">
        <v>0</v>
      </c>
      <c r="M43" s="1854"/>
      <c r="N43" s="255">
        <v>0</v>
      </c>
      <c r="O43" s="253"/>
      <c r="P43" s="255">
        <v>0</v>
      </c>
      <c r="Q43" s="1854"/>
      <c r="R43" s="255">
        <v>0</v>
      </c>
      <c r="S43" s="253"/>
      <c r="T43" s="2038"/>
      <c r="U43" s="2038"/>
      <c r="V43" s="1854">
        <f t="shared" si="11"/>
        <v>85.7</v>
      </c>
      <c r="W43" s="253"/>
      <c r="X43" s="1854">
        <f t="shared" si="12"/>
        <v>85.7</v>
      </c>
      <c r="Y43" s="253"/>
      <c r="Z43" s="1856"/>
      <c r="AA43" s="253"/>
      <c r="AB43" s="513">
        <v>84.8</v>
      </c>
      <c r="AC43" s="253"/>
      <c r="AD43" s="513">
        <f>'Cashflow Governmental'!AE46</f>
        <v>84.8</v>
      </c>
      <c r="AE43" s="1854"/>
      <c r="AF43" s="1925"/>
      <c r="AG43" s="253"/>
      <c r="AH43" s="1854">
        <f t="shared" si="13"/>
        <v>0.9</v>
      </c>
      <c r="AI43" s="1312"/>
      <c r="AJ43" s="1852">
        <f>ROUND(AH43/AD43,3)</f>
        <v>1.0999999999999999E-2</v>
      </c>
      <c r="AK43" s="1852"/>
      <c r="AL43" s="1830"/>
      <c r="AM43" s="1853"/>
    </row>
    <row r="44" spans="1:39" ht="18" customHeight="1">
      <c r="A44" s="1326" t="s">
        <v>316</v>
      </c>
      <c r="B44" s="1326"/>
      <c r="C44" s="1326"/>
      <c r="D44" s="253">
        <f>'Exhibit F'!D43</f>
        <v>22.7</v>
      </c>
      <c r="E44" s="253"/>
      <c r="F44" s="253">
        <f>'Exhibit F'!AC43</f>
        <v>22.7</v>
      </c>
      <c r="G44" s="253"/>
      <c r="H44" s="253">
        <f>'Exhibit G'!D34</f>
        <v>-0.8</v>
      </c>
      <c r="I44" s="253"/>
      <c r="J44" s="253">
        <f>'Exhibit G'!AE34</f>
        <v>-0.8</v>
      </c>
      <c r="K44" s="253"/>
      <c r="L44" s="255">
        <v>0</v>
      </c>
      <c r="M44" s="1854"/>
      <c r="N44" s="255">
        <v>0</v>
      </c>
      <c r="O44" s="253"/>
      <c r="P44" s="255">
        <v>0</v>
      </c>
      <c r="Q44" s="1854"/>
      <c r="R44" s="255">
        <v>0</v>
      </c>
      <c r="S44" s="253"/>
      <c r="T44" s="2038"/>
      <c r="U44" s="2038"/>
      <c r="V44" s="1854">
        <f>ROUND(SUM(D44)+SUM(H44)+SUM(L44)+SUM(P44),1)</f>
        <v>21.9</v>
      </c>
      <c r="W44" s="253"/>
      <c r="X44" s="1854">
        <f t="shared" si="12"/>
        <v>21.9</v>
      </c>
      <c r="Y44" s="253"/>
      <c r="Z44" s="1856"/>
      <c r="AA44" s="253"/>
      <c r="AB44" s="513">
        <v>-4.2</v>
      </c>
      <c r="AC44" s="253"/>
      <c r="AD44" s="513">
        <f>'Cashflow Governmental'!AE47</f>
        <v>-4.2</v>
      </c>
      <c r="AE44" s="1854"/>
      <c r="AF44" s="1925"/>
      <c r="AG44" s="253"/>
      <c r="AH44" s="1854">
        <f>ROUND(SUM(X44)-SUM(AD44),1)</f>
        <v>26.1</v>
      </c>
      <c r="AI44" s="1312"/>
      <c r="AJ44" s="1990">
        <f>ROUND(IF(AD44=0,1,AH44/ABS(AD44)),3)</f>
        <v>6.2140000000000004</v>
      </c>
      <c r="AK44" s="1852"/>
      <c r="AL44" s="1830"/>
      <c r="AM44" s="1853"/>
    </row>
    <row r="45" spans="1:39" ht="18" customHeight="1">
      <c r="A45" s="1326" t="s">
        <v>317</v>
      </c>
      <c r="B45" s="1326"/>
      <c r="C45" s="1326"/>
      <c r="D45" s="253">
        <f>'Exhibit F'!D44</f>
        <v>24.4</v>
      </c>
      <c r="E45" s="253"/>
      <c r="F45" s="253">
        <f>'Exhibit F'!AC44</f>
        <v>24.4</v>
      </c>
      <c r="G45" s="253"/>
      <c r="H45" s="253">
        <v>0</v>
      </c>
      <c r="I45" s="253"/>
      <c r="J45" s="253">
        <v>0</v>
      </c>
      <c r="K45" s="253"/>
      <c r="L45" s="255">
        <f>'Exhibit H'!B23</f>
        <v>24.4</v>
      </c>
      <c r="M45" s="1854"/>
      <c r="N45" s="255">
        <f>'Exhibit H'!AA23</f>
        <v>24.4</v>
      </c>
      <c r="O45" s="253"/>
      <c r="P45" s="255">
        <v>0</v>
      </c>
      <c r="Q45" s="1854"/>
      <c r="R45" s="255">
        <v>0</v>
      </c>
      <c r="S45" s="253"/>
      <c r="T45" s="2038"/>
      <c r="U45" s="2038"/>
      <c r="V45" s="1854">
        <f t="shared" si="11"/>
        <v>48.8</v>
      </c>
      <c r="W45" s="253"/>
      <c r="X45" s="1854">
        <f t="shared" si="12"/>
        <v>48.8</v>
      </c>
      <c r="Y45" s="253"/>
      <c r="Z45" s="1856"/>
      <c r="AA45" s="253"/>
      <c r="AB45" s="513">
        <v>80.400000000000006</v>
      </c>
      <c r="AC45" s="253"/>
      <c r="AD45" s="513">
        <f>'Cashflow Governmental'!AE48</f>
        <v>80.400000000000006</v>
      </c>
      <c r="AE45" s="1854"/>
      <c r="AF45" s="1925"/>
      <c r="AG45" s="253"/>
      <c r="AH45" s="1854">
        <f>ROUND(SUM(X45)-SUM(AD45),1)</f>
        <v>-31.6</v>
      </c>
      <c r="AI45" s="1312"/>
      <c r="AJ45" s="266">
        <f>ROUND(IF(AD45=0,1,AH45/(AD45)),3)</f>
        <v>-0.39300000000000002</v>
      </c>
      <c r="AK45" s="1852"/>
      <c r="AL45" s="1830"/>
      <c r="AM45" s="1853"/>
    </row>
    <row r="46" spans="1:39" ht="18" customHeight="1">
      <c r="A46" s="1326" t="s">
        <v>318</v>
      </c>
      <c r="B46" s="1326"/>
      <c r="C46" s="1326"/>
      <c r="D46" s="253">
        <f>'Exhibit F'!D45</f>
        <v>0</v>
      </c>
      <c r="E46" s="1854"/>
      <c r="F46" s="253">
        <f>'Exhibit F'!AC45</f>
        <v>0</v>
      </c>
      <c r="G46" s="253"/>
      <c r="H46" s="253">
        <f>'Exhibit G'!D35</f>
        <v>32.700000000000003</v>
      </c>
      <c r="I46" s="1854"/>
      <c r="J46" s="253">
        <f>'Exhibit G'!AE35</f>
        <v>32.700000000000003</v>
      </c>
      <c r="K46" s="253"/>
      <c r="L46" s="255">
        <v>0</v>
      </c>
      <c r="M46" s="1854"/>
      <c r="N46" s="255">
        <v>0</v>
      </c>
      <c r="O46" s="253"/>
      <c r="P46" s="253">
        <f>'Exhibit I'!E25</f>
        <v>41.9</v>
      </c>
      <c r="Q46" s="1854"/>
      <c r="R46" s="253">
        <f>'Exhibit I'!AF25</f>
        <v>41.9</v>
      </c>
      <c r="S46" s="253"/>
      <c r="T46" s="2038"/>
      <c r="U46" s="2038"/>
      <c r="V46" s="1854">
        <f t="shared" si="11"/>
        <v>74.599999999999994</v>
      </c>
      <c r="W46" s="253"/>
      <c r="X46" s="1854">
        <f t="shared" si="12"/>
        <v>74.599999999999994</v>
      </c>
      <c r="Y46" s="253"/>
      <c r="Z46" s="1856"/>
      <c r="AA46" s="253"/>
      <c r="AB46" s="513">
        <v>78.3</v>
      </c>
      <c r="AC46" s="253"/>
      <c r="AD46" s="513">
        <f>'Cashflow Governmental'!AE49</f>
        <v>78.3</v>
      </c>
      <c r="AE46" s="1854"/>
      <c r="AF46" s="1925"/>
      <c r="AG46" s="253"/>
      <c r="AH46" s="1854">
        <f t="shared" si="13"/>
        <v>-3.7</v>
      </c>
      <c r="AI46" s="1313"/>
      <c r="AJ46" s="1852">
        <f t="shared" si="14"/>
        <v>-4.7E-2</v>
      </c>
      <c r="AK46" s="1852"/>
      <c r="AL46" s="1830"/>
      <c r="AM46" s="1853"/>
    </row>
    <row r="47" spans="1:39" ht="18" customHeight="1">
      <c r="A47" s="1325" t="s">
        <v>311</v>
      </c>
      <c r="B47" s="1326"/>
      <c r="C47" s="1326"/>
      <c r="D47" s="1011">
        <f>ROUND(SUM(D41:D46),1)</f>
        <v>911.8</v>
      </c>
      <c r="E47" s="1"/>
      <c r="F47" s="1011">
        <f>ROUND(SUM(F41:F46),1)</f>
        <v>911.8</v>
      </c>
      <c r="G47" s="1"/>
      <c r="H47" s="1011">
        <f>ROUND(SUM(H41:H46),1)</f>
        <v>350.4</v>
      </c>
      <c r="I47" s="1"/>
      <c r="J47" s="1011">
        <f>ROUND(SUM(J41:J46),1)</f>
        <v>350.4</v>
      </c>
      <c r="K47" s="1"/>
      <c r="L47" s="2044">
        <f>ROUND(SUM(L41:L46),1)</f>
        <v>24.4</v>
      </c>
      <c r="M47" s="1858"/>
      <c r="N47" s="2044">
        <f>ROUND(SUM(N41:N46),1)</f>
        <v>24.4</v>
      </c>
      <c r="O47" s="1"/>
      <c r="P47" s="1011">
        <f>ROUND(SUM(P41:P46),1)</f>
        <v>43.9</v>
      </c>
      <c r="Q47" s="1"/>
      <c r="R47" s="1011">
        <f>ROUND(SUM(R41:R46),1)</f>
        <v>43.9</v>
      </c>
      <c r="S47" s="1"/>
      <c r="T47" s="2040"/>
      <c r="U47" s="2040"/>
      <c r="V47" s="1011">
        <f>ROUND(SUM(V41:V46),1)</f>
        <v>1330.5</v>
      </c>
      <c r="W47" s="1"/>
      <c r="X47" s="1011">
        <f>ROUND(SUM(X41:X46),1)</f>
        <v>1330.5</v>
      </c>
      <c r="Y47" s="1873"/>
      <c r="Z47" s="1861"/>
      <c r="AA47" s="1"/>
      <c r="AB47" s="1011">
        <f>ROUND(SUM(AB41:AB46),1)</f>
        <v>1367.3</v>
      </c>
      <c r="AC47" s="1"/>
      <c r="AD47" s="1011">
        <f>ROUND(SUM(AD41:AD46),1)</f>
        <v>1367.3</v>
      </c>
      <c r="AE47" s="1"/>
      <c r="AF47" s="1926"/>
      <c r="AG47" s="1"/>
      <c r="AH47" s="1875">
        <f t="shared" si="13"/>
        <v>-36.799999999999997</v>
      </c>
      <c r="AI47" s="1308"/>
      <c r="AJ47" s="1871">
        <f t="shared" si="14"/>
        <v>-2.7E-2</v>
      </c>
      <c r="AK47" s="1864"/>
      <c r="AL47" s="1865"/>
      <c r="AM47" s="1853"/>
    </row>
    <row r="48" spans="1:39" ht="18" customHeight="1">
      <c r="A48" s="1326"/>
      <c r="B48" s="1326"/>
      <c r="C48" s="1326"/>
      <c r="D48" s="1340"/>
      <c r="E48" s="253"/>
      <c r="F48" s="1340"/>
      <c r="G48" s="253"/>
      <c r="H48" s="1340"/>
      <c r="I48" s="253"/>
      <c r="J48" s="1340" t="s">
        <v>103</v>
      </c>
      <c r="K48" s="253"/>
      <c r="L48" s="1340"/>
      <c r="M48" s="253"/>
      <c r="N48" s="1340"/>
      <c r="O48" s="253"/>
      <c r="P48" s="1340"/>
      <c r="Q48" s="253"/>
      <c r="R48" s="1340"/>
      <c r="S48" s="253"/>
      <c r="T48" s="2038"/>
      <c r="U48" s="2038"/>
      <c r="V48" s="1340"/>
      <c r="W48" s="253"/>
      <c r="X48" s="1340" t="s">
        <v>103</v>
      </c>
      <c r="Y48" s="253"/>
      <c r="Z48" s="1856"/>
      <c r="AA48" s="253"/>
      <c r="AB48" s="1340"/>
      <c r="AC48" s="253"/>
      <c r="AD48" s="1340"/>
      <c r="AE48" s="253"/>
      <c r="AF48" s="1925"/>
      <c r="AG48" s="253"/>
      <c r="AH48" s="253"/>
      <c r="AI48" s="1307"/>
      <c r="AJ48" s="1872"/>
      <c r="AK48" s="1867"/>
      <c r="AL48" s="1830"/>
      <c r="AM48" s="1853"/>
    </row>
    <row r="49" spans="1:39" ht="18" customHeight="1">
      <c r="A49" s="1329" t="s">
        <v>319</v>
      </c>
      <c r="B49" s="1326"/>
      <c r="C49" s="1326"/>
      <c r="D49" s="253"/>
      <c r="E49" s="253"/>
      <c r="F49" s="253"/>
      <c r="G49" s="253"/>
      <c r="H49" s="253" t="s">
        <v>103</v>
      </c>
      <c r="I49" s="253"/>
      <c r="J49" s="253"/>
      <c r="K49" s="253"/>
      <c r="L49" s="253"/>
      <c r="M49" s="253"/>
      <c r="N49" s="253"/>
      <c r="O49" s="253"/>
      <c r="P49" s="253"/>
      <c r="Q49" s="253"/>
      <c r="R49" s="253"/>
      <c r="S49" s="253"/>
      <c r="T49" s="2038"/>
      <c r="U49" s="2038"/>
      <c r="V49" s="253"/>
      <c r="W49" s="253"/>
      <c r="X49" s="253"/>
      <c r="Y49" s="253"/>
      <c r="Z49" s="1856"/>
      <c r="AA49" s="253"/>
      <c r="AB49" s="253"/>
      <c r="AC49" s="253"/>
      <c r="AD49" s="253"/>
      <c r="AE49" s="253"/>
      <c r="AF49" s="1925"/>
      <c r="AG49" s="253"/>
      <c r="AH49" s="253"/>
      <c r="AI49" s="1307"/>
      <c r="AJ49" s="1852"/>
      <c r="AK49" s="1867"/>
      <c r="AL49" s="1830"/>
      <c r="AM49" s="1853"/>
    </row>
    <row r="50" spans="1:39" ht="18" customHeight="1">
      <c r="A50" s="1326" t="s">
        <v>320</v>
      </c>
      <c r="B50" s="1326"/>
      <c r="C50" s="1326"/>
      <c r="D50" s="255">
        <f>'Exhibit F'!D48</f>
        <v>0</v>
      </c>
      <c r="E50" s="253"/>
      <c r="F50" s="253">
        <f>'Exhibit F'!AC48</f>
        <v>0</v>
      </c>
      <c r="G50" s="253"/>
      <c r="H50" s="255">
        <v>0</v>
      </c>
      <c r="I50" s="1854"/>
      <c r="J50" s="255">
        <v>0</v>
      </c>
      <c r="K50" s="253"/>
      <c r="L50" s="255">
        <v>0</v>
      </c>
      <c r="M50" s="255"/>
      <c r="N50" s="255">
        <v>0</v>
      </c>
      <c r="O50" s="253"/>
      <c r="P50" s="255">
        <v>0</v>
      </c>
      <c r="Q50" s="1854"/>
      <c r="R50" s="255">
        <v>0</v>
      </c>
      <c r="S50" s="253"/>
      <c r="T50" s="2038"/>
      <c r="U50" s="2038"/>
      <c r="V50" s="255">
        <f t="shared" ref="V50:V54" si="15">SUM(D50)+SUM(H50)+SUM(L50)+SUM(P50)</f>
        <v>0</v>
      </c>
      <c r="W50" s="253"/>
      <c r="X50" s="1854">
        <f t="shared" ref="X50:X54" si="16">SUM(F50)+SUM(J50)+SUM(N50)+SUM(R50)</f>
        <v>0</v>
      </c>
      <c r="Y50" s="1855"/>
      <c r="Z50" s="1856"/>
      <c r="AA50" s="253"/>
      <c r="AB50" s="513">
        <v>0</v>
      </c>
      <c r="AC50" s="253"/>
      <c r="AD50" s="513">
        <f>'Cashflow Governmental'!AE52</f>
        <v>0</v>
      </c>
      <c r="AE50" s="1854"/>
      <c r="AF50" s="1925"/>
      <c r="AG50" s="1855"/>
      <c r="AH50" s="1854">
        <f t="shared" ref="AH50:AH56" si="17">ROUND(SUM(X50)-SUM(AD50),1)</f>
        <v>0</v>
      </c>
      <c r="AI50" s="1312"/>
      <c r="AJ50" s="266">
        <f>ROUND(IF(AD50=0,0,-AH50/(AD50)),3)</f>
        <v>0</v>
      </c>
      <c r="AK50" s="1852"/>
      <c r="AL50" s="1830"/>
      <c r="AM50" s="1853"/>
    </row>
    <row r="51" spans="1:39" ht="18" customHeight="1">
      <c r="A51" s="1326" t="s">
        <v>321</v>
      </c>
      <c r="B51" s="1326"/>
      <c r="C51" s="1326"/>
      <c r="D51" s="255">
        <f>'Exhibit F'!D49</f>
        <v>165.8</v>
      </c>
      <c r="E51" s="253"/>
      <c r="F51" s="253">
        <f>'Exhibit F'!AC49</f>
        <v>165.8</v>
      </c>
      <c r="G51" s="253"/>
      <c r="H51" s="255">
        <v>0</v>
      </c>
      <c r="I51" s="1854"/>
      <c r="J51" s="255">
        <v>0</v>
      </c>
      <c r="K51" s="253"/>
      <c r="L51" s="255">
        <v>0</v>
      </c>
      <c r="M51" s="255"/>
      <c r="N51" s="255">
        <v>0</v>
      </c>
      <c r="O51" s="253"/>
      <c r="P51" s="255">
        <v>0</v>
      </c>
      <c r="Q51" s="1854"/>
      <c r="R51" s="255">
        <v>0</v>
      </c>
      <c r="S51" s="253"/>
      <c r="T51" s="2038"/>
      <c r="U51" s="2038"/>
      <c r="V51" s="1854">
        <f t="shared" si="15"/>
        <v>165.8</v>
      </c>
      <c r="W51" s="253"/>
      <c r="X51" s="1854">
        <f t="shared" si="16"/>
        <v>165.8</v>
      </c>
      <c r="Y51" s="1855"/>
      <c r="Z51" s="1856"/>
      <c r="AA51" s="253"/>
      <c r="AB51" s="513">
        <v>167.2</v>
      </c>
      <c r="AC51" s="253"/>
      <c r="AD51" s="513">
        <f>'Cashflow Governmental'!AE53</f>
        <v>167.2</v>
      </c>
      <c r="AE51" s="513"/>
      <c r="AF51" s="1925"/>
      <c r="AG51" s="1855"/>
      <c r="AH51" s="1854">
        <f t="shared" si="17"/>
        <v>-1.4</v>
      </c>
      <c r="AI51" s="1312"/>
      <c r="AJ51" s="1852">
        <f>ROUND(AH51/AD51,3)</f>
        <v>-8.0000000000000002E-3</v>
      </c>
      <c r="AK51" s="1852"/>
      <c r="AL51" s="1830"/>
      <c r="AM51" s="1853"/>
    </row>
    <row r="52" spans="1:39" ht="18" customHeight="1">
      <c r="A52" s="1326" t="s">
        <v>322</v>
      </c>
      <c r="B52" s="1326"/>
      <c r="C52" s="1326"/>
      <c r="D52" s="255">
        <f>'Exhibit F'!D50</f>
        <v>1</v>
      </c>
      <c r="E52" s="253"/>
      <c r="F52" s="253">
        <f>'Exhibit F'!AC50</f>
        <v>1</v>
      </c>
      <c r="G52" s="253"/>
      <c r="H52" s="255">
        <v>0</v>
      </c>
      <c r="I52" s="1854"/>
      <c r="J52" s="255">
        <v>0</v>
      </c>
      <c r="K52" s="253"/>
      <c r="L52" s="255">
        <v>0</v>
      </c>
      <c r="M52" s="255"/>
      <c r="N52" s="255">
        <v>0</v>
      </c>
      <c r="O52" s="253"/>
      <c r="P52" s="255">
        <v>0</v>
      </c>
      <c r="Q52" s="1854"/>
      <c r="R52" s="255">
        <v>0</v>
      </c>
      <c r="S52" s="253"/>
      <c r="T52" s="2038"/>
      <c r="U52" s="2038"/>
      <c r="V52" s="1854">
        <f t="shared" si="15"/>
        <v>1</v>
      </c>
      <c r="W52" s="253"/>
      <c r="X52" s="1854">
        <f t="shared" si="16"/>
        <v>1</v>
      </c>
      <c r="Y52" s="1855"/>
      <c r="Z52" s="1856"/>
      <c r="AA52" s="253"/>
      <c r="AB52" s="513">
        <v>1.2</v>
      </c>
      <c r="AC52" s="253"/>
      <c r="AD52" s="513">
        <f>'Cashflow Governmental'!AE54</f>
        <v>1.2</v>
      </c>
      <c r="AE52" s="513"/>
      <c r="AF52" s="1925"/>
      <c r="AG52" s="1855"/>
      <c r="AH52" s="1854">
        <f t="shared" si="17"/>
        <v>-0.2</v>
      </c>
      <c r="AI52" s="1312"/>
      <c r="AJ52" s="1852">
        <f>ROUND(AH52/AD52,3)</f>
        <v>-0.16700000000000001</v>
      </c>
      <c r="AK52" s="1852"/>
      <c r="AL52" s="1830"/>
      <c r="AM52" s="1853"/>
    </row>
    <row r="53" spans="1:39" ht="18" customHeight="1">
      <c r="A53" s="1326" t="s">
        <v>323</v>
      </c>
      <c r="B53" s="1326"/>
      <c r="C53" s="1326"/>
      <c r="D53" s="255">
        <f>'Exhibit F'!D51</f>
        <v>0</v>
      </c>
      <c r="E53" s="1854"/>
      <c r="F53" s="253">
        <f>'Exhibit F'!AC51</f>
        <v>0</v>
      </c>
      <c r="G53" s="253"/>
      <c r="H53" s="255">
        <v>0</v>
      </c>
      <c r="I53" s="1854"/>
      <c r="J53" s="255">
        <v>0</v>
      </c>
      <c r="K53" s="253"/>
      <c r="L53" s="1854">
        <f>'Exhibit H'!B26</f>
        <v>118.6</v>
      </c>
      <c r="M53" s="1854"/>
      <c r="N53" s="1854">
        <f>'Exhibit H'!AA26</f>
        <v>118.6</v>
      </c>
      <c r="O53" s="253"/>
      <c r="P53" s="513">
        <f>'Exhibit I'!E28</f>
        <v>0</v>
      </c>
      <c r="Q53" s="1854"/>
      <c r="R53" s="513">
        <f>'Exhibit I'!AF28</f>
        <v>0</v>
      </c>
      <c r="S53" s="253"/>
      <c r="T53" s="2038"/>
      <c r="U53" s="2038"/>
      <c r="V53" s="1854">
        <f t="shared" si="15"/>
        <v>118.6</v>
      </c>
      <c r="W53" s="253"/>
      <c r="X53" s="1854">
        <f t="shared" si="16"/>
        <v>118.6</v>
      </c>
      <c r="Y53" s="1855"/>
      <c r="Z53" s="1856"/>
      <c r="AA53" s="253"/>
      <c r="AB53" s="513">
        <v>94.5</v>
      </c>
      <c r="AC53" s="253"/>
      <c r="AD53" s="513">
        <f>'Cashflow Governmental'!AE55</f>
        <v>94.5</v>
      </c>
      <c r="AE53" s="1854"/>
      <c r="AF53" s="1925"/>
      <c r="AG53" s="1855"/>
      <c r="AH53" s="1854">
        <f t="shared" si="17"/>
        <v>24.1</v>
      </c>
      <c r="AI53" s="1876"/>
      <c r="AJ53" s="1852">
        <f>ROUND(AH53/AD53,3)</f>
        <v>0.255</v>
      </c>
      <c r="AK53" s="1852"/>
      <c r="AL53" s="1830"/>
      <c r="AM53" s="1853"/>
    </row>
    <row r="54" spans="1:39" ht="18" customHeight="1">
      <c r="A54" s="1326" t="s">
        <v>324</v>
      </c>
      <c r="B54" s="1326"/>
      <c r="C54" s="1326"/>
      <c r="D54" s="255">
        <f>'Exhibit F'!D52</f>
        <v>0.1</v>
      </c>
      <c r="E54" s="253"/>
      <c r="F54" s="253">
        <f>'Exhibit F'!AC52</f>
        <v>0.1</v>
      </c>
      <c r="G54" s="253"/>
      <c r="H54" s="255">
        <v>0</v>
      </c>
      <c r="I54" s="1854"/>
      <c r="J54" s="255">
        <v>0</v>
      </c>
      <c r="K54" s="253"/>
      <c r="L54" s="255">
        <v>0</v>
      </c>
      <c r="M54" s="255"/>
      <c r="N54" s="255">
        <v>0</v>
      </c>
      <c r="O54" s="253"/>
      <c r="P54" s="255">
        <v>0</v>
      </c>
      <c r="Q54" s="1854"/>
      <c r="R54" s="255">
        <v>0</v>
      </c>
      <c r="S54" s="253"/>
      <c r="T54" s="2038"/>
      <c r="U54" s="2038"/>
      <c r="V54" s="1854">
        <f t="shared" si="15"/>
        <v>0.1</v>
      </c>
      <c r="W54" s="253"/>
      <c r="X54" s="1854">
        <f t="shared" si="16"/>
        <v>0.1</v>
      </c>
      <c r="Y54" s="1855"/>
      <c r="Z54" s="1856"/>
      <c r="AA54" s="253"/>
      <c r="AB54" s="513">
        <v>0.1</v>
      </c>
      <c r="AC54" s="253"/>
      <c r="AD54" s="513">
        <f>'Cashflow Governmental'!AE56</f>
        <v>0.1</v>
      </c>
      <c r="AE54" s="1854"/>
      <c r="AF54" s="1925"/>
      <c r="AG54" s="1855"/>
      <c r="AH54" s="1854">
        <f t="shared" si="17"/>
        <v>0</v>
      </c>
      <c r="AI54" s="1876"/>
      <c r="AJ54" s="266">
        <f>ROUND(IF(AD54=0,1,AH54/(AD54)),3)</f>
        <v>0</v>
      </c>
      <c r="AK54" s="1852"/>
      <c r="AL54" s="1830"/>
      <c r="AM54" s="1853"/>
    </row>
    <row r="55" spans="1:39" ht="18" customHeight="1">
      <c r="A55" s="421" t="s">
        <v>325</v>
      </c>
      <c r="B55" s="1326"/>
      <c r="C55" s="1326"/>
      <c r="D55" s="255">
        <f>'Exhibit F'!D53</f>
        <v>0.1</v>
      </c>
      <c r="E55" s="253"/>
      <c r="F55" s="253">
        <f>'Exhibit F'!AC53</f>
        <v>0.1</v>
      </c>
      <c r="G55" s="253"/>
      <c r="H55" s="253">
        <v>0</v>
      </c>
      <c r="I55" s="1854"/>
      <c r="J55" s="1854">
        <v>0</v>
      </c>
      <c r="K55" s="253"/>
      <c r="L55" s="255">
        <f>'Exhibit H'!B27</f>
        <v>0.1</v>
      </c>
      <c r="M55" s="1854"/>
      <c r="N55" s="255">
        <f>'Exhibit H'!AA27</f>
        <v>0.1</v>
      </c>
      <c r="O55" s="253"/>
      <c r="P55" s="255">
        <v>0</v>
      </c>
      <c r="Q55" s="1854"/>
      <c r="R55" s="255">
        <v>0</v>
      </c>
      <c r="S55" s="253"/>
      <c r="T55" s="2038"/>
      <c r="U55" s="2038"/>
      <c r="V55" s="1854">
        <f t="shared" ref="V55" si="18">SUM(D55)+SUM(H55)+SUM(L55)+SUM(P55)</f>
        <v>0.2</v>
      </c>
      <c r="W55" s="253"/>
      <c r="X55" s="1854">
        <f t="shared" ref="X55" si="19">SUM(F55)+SUM(J55)+SUM(N55)+SUM(R55)</f>
        <v>0.2</v>
      </c>
      <c r="Y55" s="1855"/>
      <c r="Z55" s="1856"/>
      <c r="AA55" s="253"/>
      <c r="AB55" s="513">
        <v>0.4</v>
      </c>
      <c r="AC55" s="253"/>
      <c r="AD55" s="513">
        <f>'Cashflow Governmental'!AE57</f>
        <v>0.4</v>
      </c>
      <c r="AE55" s="1854"/>
      <c r="AF55" s="1925"/>
      <c r="AG55" s="1855"/>
      <c r="AH55" s="255">
        <f t="shared" ref="AH55" si="20">ROUND(SUM(X55)-SUM(AD55),1)</f>
        <v>-0.2</v>
      </c>
      <c r="AI55" s="1876"/>
      <c r="AJ55" s="266">
        <f>ROUND(IF(AD55=0,1,AH55/(AD55)),3)</f>
        <v>-0.5</v>
      </c>
      <c r="AK55" s="1852"/>
      <c r="AL55" s="1830"/>
      <c r="AM55" s="1853"/>
    </row>
    <row r="56" spans="1:39" ht="18" customHeight="1">
      <c r="A56" s="1325" t="s">
        <v>311</v>
      </c>
      <c r="B56" s="1326"/>
      <c r="C56" s="1326"/>
      <c r="D56" s="1011">
        <f>ROUND(SUM(D50:D55),1)</f>
        <v>167</v>
      </c>
      <c r="E56" s="1"/>
      <c r="F56" s="1011">
        <f>ROUND(SUM(F50:F55),1)</f>
        <v>167</v>
      </c>
      <c r="G56" s="1"/>
      <c r="H56" s="1859">
        <f>ROUND(SUM(H50:H55),1)</f>
        <v>0</v>
      </c>
      <c r="I56" s="1858"/>
      <c r="J56" s="1859">
        <f>ROUND(SUM(J50:J55),1)</f>
        <v>0</v>
      </c>
      <c r="K56" s="1"/>
      <c r="L56" s="1011">
        <f>ROUND(SUM(L50:L55),1)</f>
        <v>118.7</v>
      </c>
      <c r="M56" s="1"/>
      <c r="N56" s="1011">
        <f>ROUND(SUM(N50:N55),1)</f>
        <v>118.7</v>
      </c>
      <c r="O56" s="1" t="s">
        <v>103</v>
      </c>
      <c r="P56" s="1011">
        <f>ROUND(SUM(P50:P55),1)</f>
        <v>0</v>
      </c>
      <c r="Q56" s="1"/>
      <c r="R56" s="1011">
        <f>ROUND(SUM(R50:R55),1)</f>
        <v>0</v>
      </c>
      <c r="S56" s="1"/>
      <c r="T56" s="2040"/>
      <c r="U56" s="2040"/>
      <c r="V56" s="1859">
        <f>ROUND(SUM(V50:V55),1)</f>
        <v>285.7</v>
      </c>
      <c r="W56" s="1"/>
      <c r="X56" s="1859">
        <f>ROUND(SUM(X50:X55),1)</f>
        <v>285.7</v>
      </c>
      <c r="Y56" s="1869"/>
      <c r="Z56" s="1861"/>
      <c r="AA56" s="1"/>
      <c r="AB56" s="1859">
        <f>ROUND(SUM(AB50:AB55),1)</f>
        <v>263.39999999999998</v>
      </c>
      <c r="AC56" s="1"/>
      <c r="AD56" s="1859">
        <f>ROUND(SUM(AD50:AD55),1)</f>
        <v>263.39999999999998</v>
      </c>
      <c r="AE56" s="1858"/>
      <c r="AF56" s="1926"/>
      <c r="AG56" s="1860"/>
      <c r="AH56" s="1870">
        <f t="shared" si="17"/>
        <v>22.3</v>
      </c>
      <c r="AI56" s="1308"/>
      <c r="AJ56" s="1871">
        <f>ROUND(AH56/AD56,3)</f>
        <v>8.5000000000000006E-2</v>
      </c>
      <c r="AK56" s="1864"/>
      <c r="AL56" s="1865"/>
      <c r="AM56" s="1853"/>
    </row>
    <row r="57" spans="1:39" ht="18" customHeight="1">
      <c r="A57" s="1326"/>
      <c r="B57" s="1326"/>
      <c r="C57" s="1326"/>
      <c r="D57" s="1341"/>
      <c r="E57" s="1308"/>
      <c r="F57" s="1341"/>
      <c r="G57" s="285"/>
      <c r="H57" s="1341"/>
      <c r="I57" s="1308"/>
      <c r="J57" s="1341"/>
      <c r="K57" s="285"/>
      <c r="L57" s="1341"/>
      <c r="M57" s="1308"/>
      <c r="N57" s="1341"/>
      <c r="O57" s="285"/>
      <c r="P57" s="1341"/>
      <c r="Q57" s="1308"/>
      <c r="R57" s="1341"/>
      <c r="S57" s="285"/>
      <c r="T57" s="2045"/>
      <c r="U57" s="2045"/>
      <c r="V57" s="1341"/>
      <c r="W57" s="285"/>
      <c r="X57" s="1341"/>
      <c r="Y57" s="1308"/>
      <c r="Z57" s="1877"/>
      <c r="AA57" s="285"/>
      <c r="AB57" s="1341"/>
      <c r="AC57" s="285"/>
      <c r="AD57" s="1341"/>
      <c r="AE57" s="1308"/>
      <c r="AF57" s="1927"/>
      <c r="AG57" s="1308"/>
      <c r="AH57" s="1878"/>
      <c r="AI57" s="1308"/>
      <c r="AJ57" s="1879"/>
      <c r="AK57" s="1865"/>
      <c r="AL57" s="1865"/>
      <c r="AM57" s="1853"/>
    </row>
    <row r="58" spans="1:39" ht="18" customHeight="1" thickBot="1">
      <c r="A58" s="1325" t="s">
        <v>326</v>
      </c>
      <c r="B58" s="1326"/>
      <c r="C58" s="1326"/>
      <c r="D58" s="1310">
        <f>ROUND(SUM(D25)+SUM(D38)+SUM(D47)+SUM(D56),1)</f>
        <v>7159.1</v>
      </c>
      <c r="E58" s="1314"/>
      <c r="F58" s="1310">
        <f>ROUND(SUM(F25)+SUM(F38)+SUM(F47)+SUM(F56),1)</f>
        <v>7159.1</v>
      </c>
      <c r="G58" s="2046"/>
      <c r="H58" s="1310">
        <f>ROUND(SUM(H25)+SUM(H38)+SUM(H47)+SUM(H56),1)</f>
        <v>572.29999999999995</v>
      </c>
      <c r="I58" s="1314"/>
      <c r="J58" s="1310">
        <f>ROUND(SUM(J25)+SUM(J38)+SUM(J47)+SUM(J56),1)</f>
        <v>572.29999999999995</v>
      </c>
      <c r="K58" s="1314"/>
      <c r="L58" s="1310">
        <f>ROUND(SUM(L25)+SUM(L38)+SUM(L47)+SUM(L56),1)</f>
        <v>6172.8</v>
      </c>
      <c r="M58" s="1314"/>
      <c r="N58" s="1310">
        <f>ROUND(SUM(N25)+SUM(N38)+SUM(N47)+SUM(N56),1)</f>
        <v>6172.8</v>
      </c>
      <c r="O58" s="1314"/>
      <c r="P58" s="1310">
        <f>ROUND(SUM(P25)+SUM(P38)+SUM(P47)+SUM(P56),1)</f>
        <v>86.1</v>
      </c>
      <c r="Q58" s="1314"/>
      <c r="R58" s="1310">
        <f>ROUND(SUM(R25)+SUM(R38)+SUM(R47)+SUM(R56),1)</f>
        <v>86.1</v>
      </c>
      <c r="S58" s="1314"/>
      <c r="T58" s="2047"/>
      <c r="U58" s="1314"/>
      <c r="V58" s="1880">
        <f>ROUND(SUM(V25)+SUM(V38)+SUM(V47)+SUM(V56),1)</f>
        <v>13990.3</v>
      </c>
      <c r="W58" s="1314"/>
      <c r="X58" s="1880">
        <f>ROUND(SUM(X25)+SUM(X38)+SUM(X47)+SUM(X56),1)</f>
        <v>13990.3</v>
      </c>
      <c r="Y58" s="1881"/>
      <c r="Z58" s="1882"/>
      <c r="AA58" s="1314"/>
      <c r="AB58" s="1880">
        <f>ROUND(SUM(AB25)+SUM(AB38)+SUM(AB47)+SUM(AB56),1)</f>
        <v>13116</v>
      </c>
      <c r="AC58" s="1314"/>
      <c r="AD58" s="1880">
        <f>ROUND(SUM(AD25)+SUM(AD38)+SUM(AD47)+SUM(AD56),1)</f>
        <v>13116</v>
      </c>
      <c r="AE58" s="1314"/>
      <c r="AF58" s="1928"/>
      <c r="AG58" s="1314"/>
      <c r="AH58" s="1310">
        <f>ROUND(SUM(X58)-SUM(AD58),1)</f>
        <v>874.3</v>
      </c>
      <c r="AI58" s="1308"/>
      <c r="AJ58" s="1883">
        <f>ROUND(AH58/AD58,3)</f>
        <v>6.7000000000000004E-2</v>
      </c>
      <c r="AK58" s="1864"/>
      <c r="AL58" s="1865"/>
      <c r="AM58" s="1853"/>
    </row>
    <row r="59" spans="1:39" ht="15" customHeight="1" thickTop="1">
      <c r="F59" s="1321" t="s">
        <v>103</v>
      </c>
      <c r="J59" s="1321" t="s">
        <v>103</v>
      </c>
      <c r="M59" s="1321" t="s">
        <v>103</v>
      </c>
      <c r="N59" s="1321" t="s">
        <v>103</v>
      </c>
      <c r="R59" s="1321" t="s">
        <v>103</v>
      </c>
      <c r="X59" s="1321" t="s">
        <v>103</v>
      </c>
    </row>
    <row r="60" spans="1:39" ht="15" customHeight="1">
      <c r="F60" s="1321" t="s">
        <v>103</v>
      </c>
    </row>
    <row r="61" spans="1:39">
      <c r="H61" s="1321" t="s">
        <v>103</v>
      </c>
      <c r="N61" s="1321" t="s">
        <v>103</v>
      </c>
      <c r="V61" s="1321" t="s">
        <v>103</v>
      </c>
    </row>
    <row r="62" spans="1:39">
      <c r="H62" s="1321" t="s">
        <v>103</v>
      </c>
      <c r="N62" s="1321" t="s">
        <v>103</v>
      </c>
    </row>
    <row r="63" spans="1:39">
      <c r="H63" s="1321" t="s">
        <v>103</v>
      </c>
      <c r="N63" s="1321" t="s">
        <v>103</v>
      </c>
    </row>
    <row r="64" spans="1:39">
      <c r="N64" s="1321" t="s">
        <v>103</v>
      </c>
    </row>
    <row r="66" ht="15" customHeight="1"/>
  </sheetData>
  <printOptions horizontalCentered="1"/>
  <pageMargins left="0.4" right="0.25" top="0.5" bottom="0.40277777777777801" header="0" footer="0.25"/>
  <pageSetup scale="43" firstPageNumber="15" orientation="landscape" useFirstPageNumber="1" r:id="rId1"/>
  <headerFooter scaleWithDoc="0" alignWithMargins="0">
    <oddFooter>&amp;C&amp;8&amp;P</oddFooter>
  </headerFooter>
  <customProperties>
    <customPr name="SheetOptions" r:id="rId2"/>
  </customProperties>
  <ignoredErrors>
    <ignoredError sqref="F38 R38 F47 AJ50 AJ22 AJ31:AJ33" unlockedFormula="1"/>
    <ignoredError sqref="AH24 AJ19 AH19 V31 V21:X22 AJ21 V23 V44 AJ55"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AK162"/>
  <sheetViews>
    <sheetView showGridLines="0" zoomScale="70" zoomScaleNormal="70" workbookViewId="0"/>
  </sheetViews>
  <sheetFormatPr defaultColWidth="8.84375" defaultRowHeight="16.5" customHeight="1"/>
  <cols>
    <col min="1" max="1" width="43.84375" style="58" customWidth="1"/>
    <col min="2" max="2" width="1.84375" style="58" customWidth="1"/>
    <col min="3" max="3" width="13.4609375" style="58" customWidth="1"/>
    <col min="4" max="4" width="1.84375" style="58" customWidth="1"/>
    <col min="5" max="5" width="13.07421875" style="58" customWidth="1"/>
    <col min="6" max="6" width="1.84375" style="58" customWidth="1"/>
    <col min="7" max="7" width="15.07421875" style="58" customWidth="1"/>
    <col min="8" max="8" width="1.84375" style="58" customWidth="1"/>
    <col min="9" max="9" width="14.84375" style="58" customWidth="1"/>
    <col min="10" max="10" width="1.84375" style="58" customWidth="1"/>
    <col min="11" max="11" width="13.07421875" style="58" customWidth="1"/>
    <col min="12" max="12" width="1.84375" style="58" customWidth="1"/>
    <col min="13" max="13" width="13.07421875" style="58" customWidth="1"/>
    <col min="14" max="14" width="1.84375" style="58" customWidth="1"/>
    <col min="15" max="15" width="13.07421875" style="58" customWidth="1"/>
    <col min="16" max="16" width="1.84375" style="58" customWidth="1"/>
    <col min="17" max="17" width="13.4609375" style="58" customWidth="1"/>
    <col min="18" max="18" width="1.84375" style="58" customWidth="1"/>
    <col min="19" max="19" width="13.07421875" style="58" customWidth="1"/>
    <col min="20" max="20" width="1.84375" style="58" customWidth="1"/>
    <col min="21" max="21" width="13" style="58" customWidth="1"/>
    <col min="22" max="22" width="1.84375" style="58" customWidth="1"/>
    <col min="23" max="23" width="13.84375" style="58" customWidth="1"/>
    <col min="24" max="24" width="1.84375" style="58" customWidth="1"/>
    <col min="25" max="25" width="12.84375" style="58" customWidth="1"/>
    <col min="26" max="27" width="0.84375" style="58" customWidth="1"/>
    <col min="28" max="28" width="15.07421875" style="58" customWidth="1"/>
    <col min="29" max="30" width="0.84375" style="58" customWidth="1"/>
    <col min="31" max="31" width="15.07421875" style="58" customWidth="1"/>
    <col min="32" max="33" width="0.84375" style="58" customWidth="1"/>
    <col min="34" max="34" width="12.84375" style="58" bestFit="1" customWidth="1"/>
    <col min="35" max="35" width="1.07421875" style="58" customWidth="1"/>
    <col min="36" max="36" width="12.4609375" style="58" customWidth="1"/>
    <col min="37" max="16384" width="8.84375" style="58"/>
  </cols>
  <sheetData>
    <row r="1" spans="1:37" ht="16.5" customHeight="1">
      <c r="A1" s="265" t="s">
        <v>97</v>
      </c>
    </row>
    <row r="2" spans="1:37" ht="16.5" customHeight="1">
      <c r="A2" s="354"/>
    </row>
    <row r="3" spans="1:37" ht="23.15" customHeight="1">
      <c r="A3" s="60" t="s">
        <v>98</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I3" s="62"/>
    </row>
    <row r="4" spans="1:37" ht="23.25" customHeight="1">
      <c r="A4" s="60" t="s">
        <v>327</v>
      </c>
      <c r="B4" s="62"/>
      <c r="C4" s="62"/>
      <c r="D4" s="62"/>
      <c r="E4" s="62"/>
      <c r="F4" s="62"/>
      <c r="G4" s="62"/>
      <c r="H4" s="62"/>
      <c r="I4" s="62" t="s">
        <v>103</v>
      </c>
      <c r="J4" s="62"/>
      <c r="K4" s="62"/>
      <c r="L4" s="62"/>
      <c r="M4" s="62"/>
      <c r="N4" s="62"/>
      <c r="O4" s="62"/>
      <c r="P4" s="62"/>
      <c r="Q4" s="62"/>
      <c r="R4" s="62"/>
      <c r="S4" s="62"/>
      <c r="T4" s="62"/>
      <c r="U4" s="62"/>
      <c r="V4" s="62"/>
      <c r="W4" s="62"/>
      <c r="X4" s="62"/>
      <c r="Y4" s="62" t="s">
        <v>103</v>
      </c>
      <c r="Z4" s="62"/>
      <c r="AA4" s="62"/>
      <c r="AB4" s="62"/>
      <c r="AC4" s="62"/>
      <c r="AD4" s="62"/>
      <c r="AE4" s="62"/>
      <c r="AF4" s="62"/>
      <c r="AG4" s="62"/>
      <c r="AI4" s="62"/>
    </row>
    <row r="5" spans="1:37" ht="23.25" customHeight="1">
      <c r="A5" s="61" t="s">
        <v>328</v>
      </c>
      <c r="B5" s="62"/>
      <c r="C5" s="62"/>
      <c r="D5" s="62"/>
      <c r="E5" s="62"/>
      <c r="F5" s="62"/>
      <c r="G5" s="62"/>
      <c r="H5" s="62"/>
      <c r="I5" s="62"/>
      <c r="J5" s="62"/>
      <c r="K5" s="62"/>
      <c r="L5" s="62"/>
      <c r="M5" s="62"/>
      <c r="N5" s="62"/>
      <c r="O5" s="62"/>
      <c r="P5" s="62"/>
      <c r="Q5" s="62"/>
      <c r="R5" s="62"/>
      <c r="S5" s="62"/>
      <c r="T5" s="62"/>
      <c r="U5" s="62"/>
      <c r="V5" s="62"/>
      <c r="W5" s="62"/>
      <c r="X5" s="62"/>
      <c r="Y5" s="62"/>
      <c r="Z5" s="62"/>
      <c r="AA5" s="62"/>
      <c r="AC5" s="2064"/>
      <c r="AD5" s="2065"/>
      <c r="AE5" s="2065"/>
      <c r="AF5" s="2065"/>
      <c r="AG5" s="2065"/>
      <c r="AH5" s="2065"/>
      <c r="AI5" s="2065"/>
      <c r="AJ5" s="2065"/>
    </row>
    <row r="6" spans="1:37" ht="23.25" customHeight="1">
      <c r="A6" s="61" t="str">
        <f>'Exh D Governmental  '!A5</f>
        <v>FISCAL YEAR 2026-2027</v>
      </c>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I6" s="62"/>
    </row>
    <row r="7" spans="1:37" ht="23.25" customHeight="1">
      <c r="A7" s="60" t="s">
        <v>102</v>
      </c>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I7" s="62"/>
    </row>
    <row r="8" spans="1:37" ht="16.5" customHeight="1">
      <c r="A8" s="62"/>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I8" s="62"/>
    </row>
    <row r="9" spans="1:37" ht="16.5" customHeight="1">
      <c r="A9" s="62"/>
      <c r="B9" s="62"/>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I9" s="62"/>
    </row>
    <row r="10" spans="1:37" ht="16.5" customHeight="1">
      <c r="A10" s="62"/>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I10" s="62"/>
    </row>
    <row r="11" spans="1:37" ht="16.5" customHeight="1">
      <c r="A11" s="6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C11" s="62"/>
      <c r="AD11" s="62"/>
      <c r="AE11" s="62"/>
      <c r="AF11" s="62"/>
      <c r="AG11" s="62"/>
      <c r="AI11" s="62"/>
    </row>
    <row r="12" spans="1:37" ht="16.5" customHeight="1">
      <c r="A12" s="62"/>
      <c r="B12" s="62"/>
      <c r="C12" s="62" t="s">
        <v>103</v>
      </c>
      <c r="D12" s="62" t="s">
        <v>103</v>
      </c>
      <c r="E12" s="62"/>
      <c r="F12" s="62"/>
      <c r="G12" s="62"/>
      <c r="H12" s="62"/>
      <c r="I12" s="62"/>
      <c r="J12" s="62"/>
      <c r="K12" s="62"/>
      <c r="L12" s="62"/>
      <c r="M12" s="62"/>
      <c r="N12" s="62"/>
      <c r="O12" s="62"/>
      <c r="P12" s="62"/>
      <c r="Q12" s="62"/>
      <c r="R12" s="62"/>
      <c r="S12" s="62"/>
      <c r="T12" s="62"/>
      <c r="U12" s="62"/>
      <c r="V12" s="62"/>
      <c r="W12" s="62"/>
      <c r="X12" s="62"/>
      <c r="Z12" s="62"/>
      <c r="AA12" s="189"/>
      <c r="AB12" s="2066" t="str">
        <f>_xlfn.CONCAT(_xlfn.TEXTBEFORE('Exhibit A'!F11," ")," Month Ended ",PROPER(LEFT(_xlfn.TEXTAFTER('Exh D Governmental  '!A6," ",4),FIND(",",_xlfn.TEXTAFTER('Exh D Governmental  '!A6," ",4))-1)))</f>
        <v>1 Month Ended April 30</v>
      </c>
      <c r="AC12" s="2062"/>
      <c r="AD12" s="2062"/>
      <c r="AE12" s="2062"/>
      <c r="AF12" s="2062"/>
      <c r="AG12" s="2062"/>
      <c r="AH12" s="2062"/>
      <c r="AI12" s="2062"/>
      <c r="AJ12" s="2062"/>
    </row>
    <row r="13" spans="1:37" ht="16.5" customHeight="1">
      <c r="A13" s="62"/>
      <c r="B13" s="62"/>
      <c r="C13" s="559" t="str">
        <f>RIGHT(_xlfn.TEXTBEFORE(A6,"-"),4)</f>
        <v>2026</v>
      </c>
      <c r="D13" s="187"/>
      <c r="E13" s="187"/>
      <c r="F13" s="187"/>
      <c r="G13" s="187"/>
      <c r="H13" s="187"/>
      <c r="I13" s="187"/>
      <c r="J13" s="187"/>
      <c r="K13" s="187"/>
      <c r="L13" s="187"/>
      <c r="M13" s="187"/>
      <c r="N13" s="187"/>
      <c r="O13" s="187"/>
      <c r="P13" s="187"/>
      <c r="Q13" s="187"/>
      <c r="R13" s="187"/>
      <c r="S13" s="187"/>
      <c r="T13" s="187"/>
      <c r="U13" s="559">
        <f>C13+1</f>
        <v>2027</v>
      </c>
      <c r="V13" s="187"/>
      <c r="W13" s="187"/>
      <c r="X13" s="187"/>
      <c r="Y13" s="187"/>
      <c r="Z13" s="187"/>
      <c r="AA13" s="187"/>
      <c r="AB13" s="187"/>
      <c r="AC13" s="187"/>
      <c r="AD13" s="187"/>
      <c r="AE13" s="187"/>
      <c r="AF13" s="187"/>
      <c r="AG13" s="187"/>
      <c r="AH13" s="317" t="s">
        <v>110</v>
      </c>
      <c r="AI13" s="857"/>
      <c r="AJ13" s="317" t="s">
        <v>111</v>
      </c>
    </row>
    <row r="14" spans="1:37" ht="16.5" customHeight="1">
      <c r="A14" s="62"/>
      <c r="B14" s="62"/>
      <c r="C14" s="317" t="s">
        <v>329</v>
      </c>
      <c r="D14" s="187"/>
      <c r="E14" s="317" t="s">
        <v>330</v>
      </c>
      <c r="F14" s="187"/>
      <c r="G14" s="317" t="s">
        <v>331</v>
      </c>
      <c r="H14" s="187"/>
      <c r="I14" s="317" t="s">
        <v>332</v>
      </c>
      <c r="J14" s="187"/>
      <c r="K14" s="317" t="s">
        <v>333</v>
      </c>
      <c r="L14" s="187"/>
      <c r="M14" s="317" t="s">
        <v>334</v>
      </c>
      <c r="N14" s="187"/>
      <c r="O14" s="317" t="s">
        <v>335</v>
      </c>
      <c r="P14" s="187"/>
      <c r="Q14" s="317" t="s">
        <v>336</v>
      </c>
      <c r="R14" s="187"/>
      <c r="S14" s="317" t="s">
        <v>337</v>
      </c>
      <c r="T14" s="187"/>
      <c r="U14" s="317" t="s">
        <v>338</v>
      </c>
      <c r="V14" s="187"/>
      <c r="W14" s="317" t="s">
        <v>339</v>
      </c>
      <c r="X14" s="187"/>
      <c r="Y14" s="317" t="s">
        <v>340</v>
      </c>
      <c r="Z14" s="187"/>
      <c r="AA14" s="187"/>
      <c r="AB14" s="853" t="str">
        <f>RIGHT('Exhibit A'!D12,4)</f>
        <v>2026</v>
      </c>
      <c r="AC14" s="187"/>
      <c r="AD14" s="187"/>
      <c r="AE14" s="853" t="str">
        <f>RIGHT('Exhibit A'!AB12,4)</f>
        <v>2025</v>
      </c>
      <c r="AF14" s="187"/>
      <c r="AG14" s="187"/>
      <c r="AH14" s="869" t="s">
        <v>112</v>
      </c>
      <c r="AI14" s="857"/>
      <c r="AJ14" s="869" t="s">
        <v>113</v>
      </c>
    </row>
    <row r="15" spans="1:37" ht="6" customHeight="1">
      <c r="A15" s="62"/>
      <c r="B15" s="62"/>
      <c r="C15" s="1012"/>
      <c r="D15" s="62"/>
      <c r="E15" s="1012"/>
      <c r="F15" s="62"/>
      <c r="G15" s="1012"/>
      <c r="H15" s="62"/>
      <c r="I15" s="1012"/>
      <c r="J15" s="62"/>
      <c r="K15" s="1012"/>
      <c r="L15" s="62"/>
      <c r="M15" s="1012"/>
      <c r="N15" s="62"/>
      <c r="O15" s="1012" t="s">
        <v>103</v>
      </c>
      <c r="P15" s="62"/>
      <c r="Q15" s="1012"/>
      <c r="R15" s="62"/>
      <c r="S15" s="1012"/>
      <c r="T15" s="62"/>
      <c r="U15" s="1012" t="s">
        <v>103</v>
      </c>
      <c r="V15" s="62"/>
      <c r="W15" s="1012"/>
      <c r="X15" s="62"/>
      <c r="Y15" s="1012"/>
      <c r="Z15" s="62"/>
      <c r="AA15" s="62"/>
      <c r="AB15" s="1012"/>
      <c r="AC15" s="62"/>
      <c r="AD15" s="62"/>
      <c r="AE15" s="1012"/>
      <c r="AF15" s="62"/>
      <c r="AG15" s="190"/>
      <c r="AI15" s="62"/>
    </row>
    <row r="16" spans="1:37" ht="16.5" customHeight="1">
      <c r="A16" s="188" t="s">
        <v>341</v>
      </c>
      <c r="B16" s="62"/>
      <c r="C16" s="190">
        <f>'Exhibit F'!D13+'Exhibit G'!D13+'Exhibit H'!B13+'Exhibit I'!E13</f>
        <v>75007.799999999988</v>
      </c>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1"/>
      <c r="AB16" s="190">
        <f>C16</f>
        <v>75007.799999999988</v>
      </c>
      <c r="AC16" s="190"/>
      <c r="AD16" s="858"/>
      <c r="AE16" s="190">
        <f>'Exhibit F'!AF13+'Exhibit G'!AH13+'Exhibit H'!AD13+'Exhibit I'!AI13</f>
        <v>73696.399999999994</v>
      </c>
      <c r="AF16" s="1549"/>
      <c r="AH16" s="190">
        <f>ROUND(SUM(AB16-AE16),1)</f>
        <v>1311.4</v>
      </c>
      <c r="AI16" s="187"/>
      <c r="AJ16" s="74">
        <f>ROUND(SUM(AH16/AE16),3)</f>
        <v>1.7999999999999999E-2</v>
      </c>
      <c r="AK16" s="129"/>
    </row>
    <row r="17" spans="1:37" ht="16.5" customHeight="1">
      <c r="A17" s="62"/>
      <c r="B17" s="62"/>
      <c r="C17" s="62" t="s">
        <v>103</v>
      </c>
      <c r="D17" s="62"/>
      <c r="E17" s="192"/>
      <c r="F17" s="192"/>
      <c r="G17" s="192"/>
      <c r="H17" s="62"/>
      <c r="I17" s="192"/>
      <c r="J17" s="62"/>
      <c r="K17" s="192"/>
      <c r="L17" s="62"/>
      <c r="M17" s="192"/>
      <c r="N17" s="62"/>
      <c r="O17" s="192"/>
      <c r="P17" s="62"/>
      <c r="Q17" s="192"/>
      <c r="R17" s="62"/>
      <c r="S17" s="192"/>
      <c r="T17" s="62"/>
      <c r="U17" s="192"/>
      <c r="V17" s="62"/>
      <c r="W17" s="192"/>
      <c r="X17" s="62"/>
      <c r="Y17" s="192"/>
      <c r="Z17" s="62"/>
      <c r="AA17" s="193"/>
      <c r="AB17" s="62" t="s">
        <v>103</v>
      </c>
      <c r="AC17" s="62"/>
      <c r="AD17" s="859"/>
      <c r="AE17" s="62" t="s">
        <v>103</v>
      </c>
      <c r="AF17" s="1548"/>
      <c r="AG17" s="62"/>
      <c r="AH17" s="268"/>
      <c r="AI17" s="62"/>
      <c r="AJ17" s="268"/>
    </row>
    <row r="18" spans="1:37" ht="16.5" customHeight="1">
      <c r="A18" s="40" t="s">
        <v>114</v>
      </c>
      <c r="B18" s="62"/>
      <c r="C18" s="62"/>
      <c r="D18" s="62"/>
      <c r="E18" s="192"/>
      <c r="F18" s="192"/>
      <c r="G18" s="192"/>
      <c r="H18" s="62"/>
      <c r="I18" s="192"/>
      <c r="J18" s="62"/>
      <c r="K18" s="192"/>
      <c r="L18" s="62"/>
      <c r="M18" s="192"/>
      <c r="N18" s="62"/>
      <c r="O18" s="192"/>
      <c r="P18" s="62"/>
      <c r="Q18" s="192"/>
      <c r="R18" s="62"/>
      <c r="S18" s="192"/>
      <c r="T18" s="62"/>
      <c r="U18" s="192"/>
      <c r="V18" s="62"/>
      <c r="W18" s="192"/>
      <c r="X18" s="62"/>
      <c r="Y18" s="192"/>
      <c r="Z18" s="62"/>
      <c r="AA18" s="193"/>
      <c r="AB18" s="62"/>
      <c r="AC18" s="62"/>
      <c r="AD18" s="859"/>
      <c r="AE18" s="62"/>
      <c r="AF18" s="1548"/>
      <c r="AG18" s="62"/>
      <c r="AH18" s="268"/>
      <c r="AI18" s="62"/>
      <c r="AJ18" s="268"/>
    </row>
    <row r="19" spans="1:37" ht="16.5" customHeight="1">
      <c r="A19" s="1218" t="s">
        <v>342</v>
      </c>
      <c r="B19" s="62"/>
      <c r="C19" s="62"/>
      <c r="D19" s="62"/>
      <c r="E19" s="192"/>
      <c r="F19" s="192"/>
      <c r="G19" s="192"/>
      <c r="H19" s="62"/>
      <c r="I19" s="192"/>
      <c r="J19" s="62"/>
      <c r="K19" s="192"/>
      <c r="L19" s="62"/>
      <c r="M19" s="192"/>
      <c r="N19" s="62"/>
      <c r="O19" s="192"/>
      <c r="P19" s="62"/>
      <c r="Q19" s="192"/>
      <c r="R19" s="62"/>
      <c r="S19" s="192"/>
      <c r="T19" s="62"/>
      <c r="U19" s="192"/>
      <c r="V19" s="62"/>
      <c r="W19" s="192"/>
      <c r="X19" s="62"/>
      <c r="Y19" s="192"/>
      <c r="Z19" s="62"/>
      <c r="AA19" s="193"/>
      <c r="AB19" s="62"/>
      <c r="AC19" s="62"/>
      <c r="AD19" s="859"/>
      <c r="AE19" s="62"/>
      <c r="AF19" s="1548"/>
      <c r="AG19" s="62"/>
      <c r="AH19" s="268"/>
      <c r="AI19" s="62"/>
      <c r="AJ19" s="268"/>
    </row>
    <row r="20" spans="1:37" ht="16.5" customHeight="1">
      <c r="A20" s="413" t="s">
        <v>343</v>
      </c>
      <c r="B20" s="284"/>
      <c r="C20" s="254"/>
      <c r="D20" s="254"/>
      <c r="E20" s="254"/>
      <c r="F20" s="254"/>
      <c r="G20" s="254"/>
      <c r="H20" s="62"/>
      <c r="I20" s="254"/>
      <c r="J20" s="62"/>
      <c r="K20" s="192"/>
      <c r="L20" s="62"/>
      <c r="M20" s="192"/>
      <c r="N20" s="62"/>
      <c r="O20" s="192"/>
      <c r="P20" s="62"/>
      <c r="Q20" s="192"/>
      <c r="R20" s="62"/>
      <c r="S20" s="192"/>
      <c r="T20" s="62"/>
      <c r="U20" s="192"/>
      <c r="V20" s="62"/>
      <c r="W20" s="192"/>
      <c r="X20" s="62"/>
      <c r="Y20" s="192"/>
      <c r="Z20" s="62"/>
      <c r="AA20" s="391"/>
      <c r="AB20" s="62"/>
      <c r="AC20" s="62"/>
      <c r="AD20" s="859"/>
      <c r="AE20" s="62"/>
      <c r="AF20" s="1548"/>
      <c r="AG20" s="62"/>
      <c r="AH20" s="268"/>
      <c r="AI20" s="62"/>
      <c r="AJ20" s="268"/>
    </row>
    <row r="21" spans="1:37" ht="16.5" customHeight="1">
      <c r="A21" s="284" t="s">
        <v>344</v>
      </c>
      <c r="B21" s="284"/>
      <c r="C21" s="105">
        <f>+'Exhibit F'!D18</f>
        <v>5407.3</v>
      </c>
      <c r="D21" s="105"/>
      <c r="E21" s="105"/>
      <c r="F21" s="105"/>
      <c r="G21" s="105"/>
      <c r="H21" s="194"/>
      <c r="I21" s="105"/>
      <c r="J21" s="194"/>
      <c r="K21" s="105"/>
      <c r="L21" s="62"/>
      <c r="M21" s="105"/>
      <c r="N21" s="62"/>
      <c r="O21" s="105"/>
      <c r="P21" s="62"/>
      <c r="Q21" s="105"/>
      <c r="R21" s="105"/>
      <c r="S21" s="105"/>
      <c r="T21" s="105"/>
      <c r="U21" s="105"/>
      <c r="V21" s="105"/>
      <c r="W21" s="105"/>
      <c r="X21" s="105"/>
      <c r="Y21" s="105"/>
      <c r="Z21" s="62"/>
      <c r="AA21" s="391"/>
      <c r="AB21" s="194">
        <f>ROUND(SUM(C21:Y21),1)</f>
        <v>5407.3</v>
      </c>
      <c r="AC21" s="62"/>
      <c r="AD21" s="859"/>
      <c r="AE21" s="105">
        <f>+'Exhibit F'!AF18</f>
        <v>4965.8999999999996</v>
      </c>
      <c r="AF21" s="1548"/>
      <c r="AG21" s="62"/>
      <c r="AH21" s="264">
        <f>ROUND(SUM(+AB21-AE21),1)</f>
        <v>441.4</v>
      </c>
      <c r="AI21" s="63"/>
      <c r="AJ21" s="374">
        <f>ROUND(IF(AE21=0,0,AH21/ABS(AE21)),3)</f>
        <v>8.8999999999999996E-2</v>
      </c>
    </row>
    <row r="22" spans="1:37" ht="16.5" customHeight="1">
      <c r="A22" s="284" t="s">
        <v>345</v>
      </c>
      <c r="B22" s="286"/>
      <c r="C22" s="105">
        <f>+'Exhibit F'!D19</f>
        <v>7071.9</v>
      </c>
      <c r="D22" s="105"/>
      <c r="E22" s="105"/>
      <c r="F22" s="105"/>
      <c r="G22" s="105"/>
      <c r="H22" s="194"/>
      <c r="I22" s="105"/>
      <c r="J22" s="194"/>
      <c r="K22" s="105"/>
      <c r="L22" s="62"/>
      <c r="M22" s="105"/>
      <c r="N22" s="62"/>
      <c r="O22" s="105"/>
      <c r="P22" s="62"/>
      <c r="Q22" s="105"/>
      <c r="R22" s="62"/>
      <c r="S22" s="105"/>
      <c r="T22" s="62"/>
      <c r="U22" s="105"/>
      <c r="V22" s="105"/>
      <c r="W22" s="105"/>
      <c r="X22" s="105"/>
      <c r="Y22" s="105"/>
      <c r="Z22" s="62"/>
      <c r="AA22" s="391"/>
      <c r="AB22" s="194">
        <f>ROUND(SUM(C22:Y22),1)</f>
        <v>7071.9</v>
      </c>
      <c r="AC22" s="62"/>
      <c r="AD22" s="859"/>
      <c r="AE22" s="105">
        <f>+'Exhibit F'!AF19</f>
        <v>6505.2</v>
      </c>
      <c r="AF22" s="1548"/>
      <c r="AG22" s="62"/>
      <c r="AH22" s="264">
        <f>ROUND(SUM(+AB22-AE22),1)</f>
        <v>566.70000000000005</v>
      </c>
      <c r="AI22" s="63"/>
      <c r="AJ22" s="860">
        <f>ROUND(IF(AE22=0,0,AH22/ABS(AE22)),3)</f>
        <v>8.6999999999999994E-2</v>
      </c>
    </row>
    <row r="23" spans="1:37" ht="16.5" customHeight="1">
      <c r="A23" s="284" t="s">
        <v>346</v>
      </c>
      <c r="B23" s="284"/>
      <c r="C23" s="105">
        <f>+'Exhibit F'!D20</f>
        <v>3100.3</v>
      </c>
      <c r="D23" s="105"/>
      <c r="E23" s="105"/>
      <c r="F23" s="105"/>
      <c r="G23" s="105"/>
      <c r="H23" s="194"/>
      <c r="I23" s="105"/>
      <c r="J23" s="194"/>
      <c r="K23" s="105"/>
      <c r="L23" s="62"/>
      <c r="M23" s="105"/>
      <c r="N23" s="62"/>
      <c r="O23" s="105"/>
      <c r="P23" s="62"/>
      <c r="Q23" s="105"/>
      <c r="R23" s="62"/>
      <c r="S23" s="105"/>
      <c r="T23" s="62"/>
      <c r="U23" s="105"/>
      <c r="V23" s="105"/>
      <c r="W23" s="105"/>
      <c r="X23" s="105"/>
      <c r="Y23" s="105"/>
      <c r="Z23" s="62"/>
      <c r="AA23" s="391"/>
      <c r="AB23" s="194">
        <f>ROUND(SUM(C23:Y23),1)</f>
        <v>3100.3</v>
      </c>
      <c r="AC23" s="62"/>
      <c r="AD23" s="859"/>
      <c r="AE23" s="105">
        <f>+'Exhibit F'!AF20</f>
        <v>2871</v>
      </c>
      <c r="AF23" s="1548"/>
      <c r="AG23" s="62"/>
      <c r="AH23" s="264">
        <f>ROUND(SUM(+AB23-AE23),1)</f>
        <v>229.3</v>
      </c>
      <c r="AI23" s="63"/>
      <c r="AJ23" s="374">
        <f>ROUND(IF(AE23=0,0,AH23/ABS(AE23)),3)</f>
        <v>0.08</v>
      </c>
    </row>
    <row r="24" spans="1:37" ht="16.5" customHeight="1">
      <c r="A24" s="421" t="s">
        <v>347</v>
      </c>
      <c r="B24" s="284"/>
      <c r="C24" s="105">
        <f>+'Exhibit F'!D21</f>
        <v>-553.5</v>
      </c>
      <c r="D24" s="105"/>
      <c r="E24" s="105"/>
      <c r="F24" s="105"/>
      <c r="G24" s="105"/>
      <c r="H24" s="194"/>
      <c r="I24" s="105"/>
      <c r="J24" s="194"/>
      <c r="K24" s="105"/>
      <c r="L24" s="62"/>
      <c r="M24" s="105"/>
      <c r="N24" s="62"/>
      <c r="O24" s="105"/>
      <c r="P24" s="62"/>
      <c r="Q24" s="105"/>
      <c r="R24" s="62"/>
      <c r="S24" s="105"/>
      <c r="T24" s="62"/>
      <c r="U24" s="105"/>
      <c r="V24" s="105"/>
      <c r="W24" s="105"/>
      <c r="X24" s="105"/>
      <c r="Y24" s="105"/>
      <c r="Z24" s="62"/>
      <c r="AA24" s="391"/>
      <c r="AB24" s="194">
        <f t="shared" ref="AB24:AB29" si="0">ROUND(SUM(C24:Y24),1)</f>
        <v>-553.5</v>
      </c>
      <c r="AC24" s="62"/>
      <c r="AD24" s="859"/>
      <c r="AE24" s="105">
        <f>+'Exhibit F'!AF21</f>
        <v>-541.79999999999995</v>
      </c>
      <c r="AF24" s="1548"/>
      <c r="AG24" s="62"/>
      <c r="AH24" s="264">
        <f>-ROUND(SUM(+AB24-AE24),1)</f>
        <v>11.7</v>
      </c>
      <c r="AI24" s="63"/>
      <c r="AJ24" s="266">
        <f>ROUND(IF(AE24=0,0,AH24/ABS(AE24)),3)</f>
        <v>2.1999999999999999E-2</v>
      </c>
    </row>
    <row r="25" spans="1:37" ht="16.5" customHeight="1">
      <c r="A25" s="421" t="s">
        <v>348</v>
      </c>
      <c r="B25" s="284"/>
      <c r="C25" s="105">
        <f>+'Exhibit F'!D22</f>
        <v>253.6</v>
      </c>
      <c r="D25" s="105"/>
      <c r="E25" s="105"/>
      <c r="F25" s="105"/>
      <c r="G25" s="105"/>
      <c r="H25" s="194"/>
      <c r="I25" s="105"/>
      <c r="J25" s="194"/>
      <c r="K25" s="105"/>
      <c r="L25" s="62"/>
      <c r="M25" s="105"/>
      <c r="N25" s="62"/>
      <c r="O25" s="105"/>
      <c r="P25" s="62"/>
      <c r="Q25" s="105"/>
      <c r="R25" s="62"/>
      <c r="S25" s="105"/>
      <c r="T25" s="62"/>
      <c r="U25" s="105"/>
      <c r="V25" s="105"/>
      <c r="W25" s="105"/>
      <c r="X25" s="105"/>
      <c r="Y25" s="105"/>
      <c r="Z25" s="62"/>
      <c r="AA25" s="391"/>
      <c r="AB25" s="194">
        <f t="shared" si="0"/>
        <v>253.6</v>
      </c>
      <c r="AC25" s="62"/>
      <c r="AD25" s="859"/>
      <c r="AE25" s="105">
        <f>+'Exhibit F'!AF22</f>
        <v>275.89999999999998</v>
      </c>
      <c r="AF25" s="1548"/>
      <c r="AG25" s="62"/>
      <c r="AH25" s="264">
        <f>ROUND(SUM(+AB25-AE25),1)</f>
        <v>-22.3</v>
      </c>
      <c r="AI25" s="63"/>
      <c r="AJ25" s="266">
        <f t="shared" ref="AJ25:AJ30" si="1">ROUND(IF(AE25=0,0,AH25/ABS(AE25)),3)</f>
        <v>-8.1000000000000003E-2</v>
      </c>
    </row>
    <row r="26" spans="1:37" ht="16.5" customHeight="1">
      <c r="A26" s="285" t="s">
        <v>349</v>
      </c>
      <c r="B26" s="285"/>
      <c r="C26" s="1011">
        <f>ROUND(SUM(C21:C25),1)</f>
        <v>15279.6</v>
      </c>
      <c r="D26" s="1"/>
      <c r="E26" s="1011">
        <f>ROUND(SUM(E21:E25),1)</f>
        <v>0</v>
      </c>
      <c r="F26" s="1"/>
      <c r="G26" s="1011">
        <f>ROUND(SUM(G21:G25),1)</f>
        <v>0</v>
      </c>
      <c r="H26" s="62"/>
      <c r="I26" s="1013">
        <f>ROUND(SUM(I21:I25),1)</f>
        <v>0</v>
      </c>
      <c r="J26" s="62"/>
      <c r="K26" s="1013">
        <f>ROUND(SUM(K21:K25),1)</f>
        <v>0</v>
      </c>
      <c r="L26" s="62"/>
      <c r="M26" s="1013">
        <f>ROUND(SUM(M21:M25),1)</f>
        <v>0</v>
      </c>
      <c r="N26" s="62"/>
      <c r="O26" s="1013">
        <f>ROUND(SUM(O21:O25),1)</f>
        <v>0</v>
      </c>
      <c r="P26" s="62"/>
      <c r="Q26" s="1013">
        <f>ROUND(SUM(Q21:Q25),1)</f>
        <v>0</v>
      </c>
      <c r="R26" s="62"/>
      <c r="S26" s="1013">
        <f>ROUND(SUM(S21:S25),1)</f>
        <v>0</v>
      </c>
      <c r="T26" s="62"/>
      <c r="U26" s="1013">
        <f>ROUND(SUM(U21:U25),1)</f>
        <v>0</v>
      </c>
      <c r="V26" s="62"/>
      <c r="W26" s="1013">
        <f>ROUND(SUM(W21:W25),1)</f>
        <v>0</v>
      </c>
      <c r="X26" s="62"/>
      <c r="Y26" s="1013">
        <f>ROUND(SUM(Y21:Y25),1)</f>
        <v>0</v>
      </c>
      <c r="Z26" s="62"/>
      <c r="AA26" s="391"/>
      <c r="AB26" s="1014">
        <f>ROUND(SUM(C26:Y26),1)</f>
        <v>15279.6</v>
      </c>
      <c r="AC26" s="62"/>
      <c r="AD26" s="859"/>
      <c r="AE26" s="1013">
        <f>ROUND(SUM(AE21:AE25),1)</f>
        <v>14076.2</v>
      </c>
      <c r="AF26" s="1548"/>
      <c r="AG26" s="62"/>
      <c r="AH26" s="674">
        <f>ROUND(SUM(AB26-AE26),1)</f>
        <v>1203.4000000000001</v>
      </c>
      <c r="AI26" s="63"/>
      <c r="AJ26" s="983">
        <f t="shared" si="1"/>
        <v>8.5000000000000006E-2</v>
      </c>
      <c r="AK26" s="58" t="s">
        <v>103</v>
      </c>
    </row>
    <row r="27" spans="1:37" ht="16.5" customHeight="1">
      <c r="A27" s="421" t="s">
        <v>350</v>
      </c>
      <c r="B27" s="284"/>
      <c r="C27" s="1010">
        <v>0</v>
      </c>
      <c r="D27" s="1010"/>
      <c r="E27" s="1010"/>
      <c r="F27" s="1010"/>
      <c r="G27" s="1010"/>
      <c r="H27" s="194"/>
      <c r="I27" s="1010"/>
      <c r="J27" s="194"/>
      <c r="K27" s="1010"/>
      <c r="L27" s="62"/>
      <c r="M27" s="1010"/>
      <c r="N27" s="62"/>
      <c r="O27" s="1010"/>
      <c r="P27" s="62"/>
      <c r="Q27" s="1010"/>
      <c r="R27" s="255"/>
      <c r="S27" s="1010"/>
      <c r="T27" s="255"/>
      <c r="U27" s="1010"/>
      <c r="V27" s="255"/>
      <c r="W27" s="1010"/>
      <c r="X27" s="255"/>
      <c r="Y27" s="1010"/>
      <c r="Z27" s="62"/>
      <c r="AA27" s="391"/>
      <c r="AB27" s="194">
        <f t="shared" si="0"/>
        <v>0</v>
      </c>
      <c r="AC27" s="62"/>
      <c r="AD27" s="859"/>
      <c r="AE27" s="1010">
        <f>+'Exhibit F'!AF24+'Exhibit G'!AH17</f>
        <v>0</v>
      </c>
      <c r="AF27" s="1548"/>
      <c r="AG27" s="62"/>
      <c r="AH27" s="264">
        <f>ROUND(SUM(+AB27-AE27),1)</f>
        <v>0</v>
      </c>
      <c r="AI27" s="63"/>
      <c r="AJ27" s="266">
        <f t="shared" si="1"/>
        <v>0</v>
      </c>
    </row>
    <row r="28" spans="1:37" ht="16.5" customHeight="1">
      <c r="A28" s="421" t="s">
        <v>351</v>
      </c>
      <c r="B28" s="284"/>
      <c r="C28" s="255">
        <f>'Exhibit F'!D25+'Exhibit H'!B17</f>
        <v>0</v>
      </c>
      <c r="D28" s="255"/>
      <c r="E28" s="255"/>
      <c r="F28" s="255"/>
      <c r="G28" s="255"/>
      <c r="H28" s="194"/>
      <c r="I28" s="255"/>
      <c r="J28" s="194"/>
      <c r="K28" s="255"/>
      <c r="L28" s="62"/>
      <c r="M28" s="255"/>
      <c r="N28" s="62"/>
      <c r="O28" s="255"/>
      <c r="P28" s="62"/>
      <c r="Q28" s="255"/>
      <c r="R28" s="255"/>
      <c r="S28" s="255"/>
      <c r="T28" s="255"/>
      <c r="U28" s="255"/>
      <c r="V28" s="255"/>
      <c r="W28" s="255"/>
      <c r="X28" s="255"/>
      <c r="Y28" s="255"/>
      <c r="Z28" s="62"/>
      <c r="AA28" s="391"/>
      <c r="AB28" s="194">
        <f>ROUND(SUM(C28:Y28),1)</f>
        <v>0</v>
      </c>
      <c r="AC28" s="62"/>
      <c r="AD28" s="859"/>
      <c r="AE28" s="255">
        <f>+'Exhibit F'!AF25+'Exhibit H'!AD17</f>
        <v>0</v>
      </c>
      <c r="AF28" s="1548"/>
      <c r="AG28" s="62"/>
      <c r="AH28" s="264">
        <f>ROUND(SUM(+AB28-AE28),1)</f>
        <v>0</v>
      </c>
      <c r="AI28" s="63"/>
      <c r="AJ28" s="266">
        <f>ROUND(IF(AE28=0,0,AH28/ABS(AE28)),3)</f>
        <v>0</v>
      </c>
    </row>
    <row r="29" spans="1:37" ht="16.5" customHeight="1">
      <c r="A29" s="284" t="s">
        <v>352</v>
      </c>
      <c r="B29" s="284"/>
      <c r="C29" s="105">
        <f>+'Exhibit F'!D26</f>
        <v>-4825.2</v>
      </c>
      <c r="D29" s="105"/>
      <c r="E29" s="105"/>
      <c r="F29" s="105"/>
      <c r="G29" s="105"/>
      <c r="H29" s="194"/>
      <c r="I29" s="105"/>
      <c r="J29" s="194"/>
      <c r="K29" s="105"/>
      <c r="L29" s="62"/>
      <c r="M29" s="105"/>
      <c r="N29" s="62"/>
      <c r="O29" s="105"/>
      <c r="P29" s="62"/>
      <c r="Q29" s="105"/>
      <c r="R29" s="105"/>
      <c r="S29" s="105"/>
      <c r="T29" s="105"/>
      <c r="U29" s="105"/>
      <c r="V29" s="62"/>
      <c r="W29" s="105"/>
      <c r="X29" s="105"/>
      <c r="Y29" s="105"/>
      <c r="Z29" s="62"/>
      <c r="AA29" s="391"/>
      <c r="AB29" s="194">
        <f t="shared" si="0"/>
        <v>-4825.2</v>
      </c>
      <c r="AC29" s="62"/>
      <c r="AD29" s="859"/>
      <c r="AE29" s="105">
        <f>+'Exhibit F'!AF26</f>
        <v>-4382.6000000000004</v>
      </c>
      <c r="AF29" s="1548"/>
      <c r="AG29" s="62"/>
      <c r="AH29" s="264">
        <f>-ROUND(SUM(+AB29-AE29),1)</f>
        <v>442.6</v>
      </c>
      <c r="AI29" s="63"/>
      <c r="AJ29" s="266">
        <f t="shared" si="1"/>
        <v>0.10100000000000001</v>
      </c>
    </row>
    <row r="30" spans="1:37" ht="16.5" customHeight="1">
      <c r="A30" s="83" t="s">
        <v>353</v>
      </c>
      <c r="B30" s="284"/>
      <c r="C30" s="1013">
        <f>ROUND(SUM(C26)+SUM(C27)+SUM(C28)+SUM(C29),1)</f>
        <v>10454.4</v>
      </c>
      <c r="D30" s="1"/>
      <c r="E30" s="1013">
        <f>ROUND(SUM(E26)+SUM(E27)+SUM(E28)+SUM(E29),1)</f>
        <v>0</v>
      </c>
      <c r="F30" s="1"/>
      <c r="G30" s="1013">
        <f>ROUND(SUM(G26)+SUM(G27)+SUM(G28)+SUM(G29),1)</f>
        <v>0</v>
      </c>
      <c r="H30" s="62"/>
      <c r="I30" s="1013">
        <f>ROUND(SUM(I26)+SUM(I27)+SUM(I28)+SUM(I29),1)</f>
        <v>0</v>
      </c>
      <c r="J30" s="62"/>
      <c r="K30" s="1013">
        <f>ROUND(SUM(K26)+SUM(K27)+SUM(K28)+SUM(K29),1)</f>
        <v>0</v>
      </c>
      <c r="L30" s="62"/>
      <c r="M30" s="1013">
        <f>ROUND(SUM(M26)+SUM(M27)+SUM(M28)+SUM(M29),1)</f>
        <v>0</v>
      </c>
      <c r="N30" s="62"/>
      <c r="O30" s="1013">
        <f>ROUND(SUM(O26)+SUM(O27)+SUM(O28)+SUM(O29),1)</f>
        <v>0</v>
      </c>
      <c r="P30" s="62"/>
      <c r="Q30" s="1013">
        <f>ROUND(SUM(Q26)+SUM(Q27)+SUM(Q28)+SUM(Q29),1)</f>
        <v>0</v>
      </c>
      <c r="R30" s="62"/>
      <c r="S30" s="1013">
        <f>ROUND(SUM(S26)+SUM(S27)+SUM(S28)+SUM(S29),1)</f>
        <v>0</v>
      </c>
      <c r="T30" s="62"/>
      <c r="U30" s="1013">
        <f>ROUND(SUM(U26)+SUM(U27)+SUM(U28)+SUM(U29),1)</f>
        <v>0</v>
      </c>
      <c r="V30" s="62"/>
      <c r="W30" s="1013">
        <f>ROUND(SUM(W26)+SUM(W27)+SUM(W28)+SUM(W29),1)</f>
        <v>0</v>
      </c>
      <c r="X30" s="62"/>
      <c r="Y30" s="1013">
        <f>ROUND(SUM(Y26)+SUM(Y27)+SUM(Y28)+SUM(Y29),1)</f>
        <v>0</v>
      </c>
      <c r="Z30" s="62"/>
      <c r="AA30" s="391"/>
      <c r="AB30" s="1014">
        <f>ROUND(SUM(C30:Y30),1)</f>
        <v>10454.4</v>
      </c>
      <c r="AC30" s="62"/>
      <c r="AD30" s="859"/>
      <c r="AE30" s="1013">
        <f>ROUND(SUM(AE26)+SUM(AE27)+SUM(AE28)+SUM(AE29),1)</f>
        <v>9693.6</v>
      </c>
      <c r="AF30" s="1548"/>
      <c r="AG30" s="62"/>
      <c r="AH30" s="674">
        <f>ROUND(SUM(AH26+AH27+AH28-AH29),1)</f>
        <v>760.8</v>
      </c>
      <c r="AI30" s="264"/>
      <c r="AJ30" s="983">
        <f t="shared" si="1"/>
        <v>7.8E-2</v>
      </c>
      <c r="AK30" s="58" t="s">
        <v>103</v>
      </c>
    </row>
    <row r="31" spans="1:37" ht="16.5" customHeight="1">
      <c r="A31" s="413" t="s">
        <v>354</v>
      </c>
      <c r="B31" s="286"/>
      <c r="C31" s="253"/>
      <c r="D31" s="253"/>
      <c r="E31" s="253"/>
      <c r="F31" s="253"/>
      <c r="G31" s="253"/>
      <c r="H31" s="62"/>
      <c r="I31" s="253"/>
      <c r="J31" s="62"/>
      <c r="K31" s="253"/>
      <c r="L31" s="62"/>
      <c r="M31" s="253"/>
      <c r="N31" s="62"/>
      <c r="O31" s="253"/>
      <c r="P31" s="62"/>
      <c r="Q31" s="253"/>
      <c r="R31" s="62"/>
      <c r="S31" s="253"/>
      <c r="T31" s="62"/>
      <c r="U31" s="253"/>
      <c r="V31" s="62"/>
      <c r="W31" s="253"/>
      <c r="X31" s="62"/>
      <c r="Y31" s="253"/>
      <c r="Z31" s="62"/>
      <c r="AA31" s="391"/>
      <c r="AB31" s="62"/>
      <c r="AC31" s="62"/>
      <c r="AD31" s="859"/>
      <c r="AE31" s="192"/>
      <c r="AF31" s="1548"/>
      <c r="AG31" s="62"/>
      <c r="AH31" s="13"/>
      <c r="AI31" s="264"/>
      <c r="AJ31" s="74"/>
    </row>
    <row r="32" spans="1:37" ht="16.5" customHeight="1">
      <c r="A32" s="284" t="s">
        <v>355</v>
      </c>
      <c r="B32" s="286"/>
      <c r="C32" s="105">
        <f>+'Exhibit F'!D29+'Exhibit G'!D20+'Exhibit H'!B20</f>
        <v>1761.1</v>
      </c>
      <c r="D32" s="105"/>
      <c r="E32" s="105"/>
      <c r="F32" s="105"/>
      <c r="G32" s="105"/>
      <c r="H32" s="194"/>
      <c r="I32" s="105"/>
      <c r="J32" s="194"/>
      <c r="K32" s="105"/>
      <c r="L32" s="62"/>
      <c r="M32" s="105"/>
      <c r="N32" s="62"/>
      <c r="O32" s="105"/>
      <c r="P32" s="62"/>
      <c r="Q32" s="105"/>
      <c r="R32" s="105"/>
      <c r="S32" s="105"/>
      <c r="T32" s="105"/>
      <c r="U32" s="105"/>
      <c r="V32" s="105"/>
      <c r="W32" s="105"/>
      <c r="X32" s="105"/>
      <c r="Y32" s="105"/>
      <c r="Z32" s="62"/>
      <c r="AA32" s="391"/>
      <c r="AB32" s="194">
        <f t="shared" ref="AB32:AB41" si="2">ROUND(SUM(C32:Y32),1)</f>
        <v>1761.1</v>
      </c>
      <c r="AC32" s="62"/>
      <c r="AD32" s="859"/>
      <c r="AE32" s="105">
        <f>+'Exhibit F'!AF29+'Exhibit G'!AH20+'Exhibit H'!AD20</f>
        <v>1626.3000000000002</v>
      </c>
      <c r="AF32" s="1548"/>
      <c r="AG32" s="62"/>
      <c r="AH32" s="264">
        <f t="shared" ref="AH32:AH39" si="3">ROUND(SUM(+AB32-AE32),1)</f>
        <v>134.80000000000001</v>
      </c>
      <c r="AI32" s="264"/>
      <c r="AJ32" s="374">
        <f t="shared" ref="AJ32:AJ42" si="4">ROUND(IF(AE32=0,0,AH32/ABS(AE32)),3)</f>
        <v>8.3000000000000004E-2</v>
      </c>
    </row>
    <row r="33" spans="1:36" ht="16.5" customHeight="1">
      <c r="A33" s="284" t="s">
        <v>356</v>
      </c>
      <c r="B33" s="286"/>
      <c r="C33" s="105">
        <f>+'Exhibit F'!D30+'Exhibit G'!D21+'Exhibit I'!E18</f>
        <v>1.4</v>
      </c>
      <c r="D33" s="105"/>
      <c r="E33" s="105"/>
      <c r="F33" s="105"/>
      <c r="G33" s="105"/>
      <c r="H33" s="194"/>
      <c r="I33" s="105"/>
      <c r="J33" s="194"/>
      <c r="K33" s="105"/>
      <c r="L33" s="62"/>
      <c r="M33" s="105"/>
      <c r="N33" s="62"/>
      <c r="O33" s="105"/>
      <c r="P33" s="62"/>
      <c r="Q33" s="105"/>
      <c r="R33" s="105"/>
      <c r="S33" s="105"/>
      <c r="T33" s="105"/>
      <c r="U33" s="105"/>
      <c r="V33" s="105"/>
      <c r="W33" s="105"/>
      <c r="X33" s="105"/>
      <c r="Y33" s="105"/>
      <c r="Z33" s="62"/>
      <c r="AA33" s="391"/>
      <c r="AB33" s="194">
        <f>ROUND(SUM(C33:Y33),1)</f>
        <v>1.4</v>
      </c>
      <c r="AC33" s="62"/>
      <c r="AD33" s="859"/>
      <c r="AE33" s="105">
        <f>+'Exhibit F'!AF30+'Exhibit G'!AH21+'Exhibit I'!AI18</f>
        <v>10.1</v>
      </c>
      <c r="AF33" s="1548"/>
      <c r="AG33" s="62"/>
      <c r="AH33" s="264">
        <f t="shared" si="3"/>
        <v>-8.6999999999999993</v>
      </c>
      <c r="AI33" s="264"/>
      <c r="AJ33" s="374">
        <f t="shared" si="4"/>
        <v>-0.86099999999999999</v>
      </c>
    </row>
    <row r="34" spans="1:36" ht="16.5" customHeight="1">
      <c r="A34" s="284" t="s">
        <v>357</v>
      </c>
      <c r="B34" s="284"/>
      <c r="C34" s="105">
        <f>+'Exhibit F'!D31+'Exhibit G'!D22</f>
        <v>75.89</v>
      </c>
      <c r="D34" s="105"/>
      <c r="E34" s="105"/>
      <c r="F34" s="105"/>
      <c r="G34" s="105"/>
      <c r="H34" s="194"/>
      <c r="I34" s="105"/>
      <c r="J34" s="194"/>
      <c r="K34" s="105"/>
      <c r="L34" s="62"/>
      <c r="M34" s="105"/>
      <c r="N34" s="62"/>
      <c r="O34" s="105"/>
      <c r="P34" s="62"/>
      <c r="Q34" s="105"/>
      <c r="R34" s="105"/>
      <c r="S34" s="105"/>
      <c r="T34" s="105"/>
      <c r="U34" s="105"/>
      <c r="V34" s="105"/>
      <c r="W34" s="105"/>
      <c r="X34" s="105"/>
      <c r="Y34" s="105"/>
      <c r="Z34" s="62"/>
      <c r="AA34" s="391"/>
      <c r="AB34" s="194">
        <f t="shared" si="2"/>
        <v>75.900000000000006</v>
      </c>
      <c r="AC34" s="62"/>
      <c r="AD34" s="859"/>
      <c r="AE34" s="105">
        <f>+'Exhibit F'!AF31+'Exhibit G'!AH22</f>
        <v>82</v>
      </c>
      <c r="AF34" s="1548"/>
      <c r="AG34" s="62"/>
      <c r="AH34" s="264">
        <f t="shared" si="3"/>
        <v>-6.1</v>
      </c>
      <c r="AI34" s="264"/>
      <c r="AJ34" s="374">
        <f t="shared" si="4"/>
        <v>-7.3999999999999996E-2</v>
      </c>
    </row>
    <row r="35" spans="1:36" ht="16.5" customHeight="1">
      <c r="A35" s="284" t="s">
        <v>358</v>
      </c>
      <c r="B35" s="284"/>
      <c r="C35" s="105">
        <f>+'Exhibit G'!D23</f>
        <v>4.4000000000000004</v>
      </c>
      <c r="D35" s="105"/>
      <c r="E35" s="105"/>
      <c r="F35" s="105"/>
      <c r="G35" s="105"/>
      <c r="H35" s="194"/>
      <c r="I35" s="105"/>
      <c r="J35" s="194"/>
      <c r="K35" s="105"/>
      <c r="L35" s="62"/>
      <c r="M35" s="105"/>
      <c r="N35" s="62"/>
      <c r="O35" s="105"/>
      <c r="P35" s="62"/>
      <c r="Q35" s="105"/>
      <c r="R35" s="105"/>
      <c r="S35" s="105"/>
      <c r="T35" s="105"/>
      <c r="U35" s="105"/>
      <c r="V35" s="105"/>
      <c r="W35" s="105"/>
      <c r="X35" s="105"/>
      <c r="Y35" s="105"/>
      <c r="Z35" s="62"/>
      <c r="AA35" s="391"/>
      <c r="AB35" s="194">
        <f>ROUND(SUM(C35:Y35),1)</f>
        <v>4.4000000000000004</v>
      </c>
      <c r="AC35" s="62"/>
      <c r="AD35" s="859"/>
      <c r="AE35" s="105">
        <f>'Exhibit G'!AH23</f>
        <v>-3.3</v>
      </c>
      <c r="AF35" s="1548"/>
      <c r="AG35" s="62"/>
      <c r="AH35" s="264">
        <f>ROUND(SUM(+AB35-AE35),1)</f>
        <v>7.7</v>
      </c>
      <c r="AI35" s="264"/>
      <c r="AJ35" s="374">
        <f>ROUND(IF(AE35=0,0,AH35/ABS(AE35)),3)</f>
        <v>2.3330000000000002</v>
      </c>
    </row>
    <row r="36" spans="1:36" ht="16.5" customHeight="1">
      <c r="A36" s="284" t="s">
        <v>359</v>
      </c>
      <c r="B36" s="284"/>
      <c r="C36" s="105">
        <f>+'Exhibit F'!D32+'Exhibit G'!D24+'Exhibit I'!E19</f>
        <v>36.9</v>
      </c>
      <c r="D36" s="105"/>
      <c r="E36" s="105"/>
      <c r="F36" s="105"/>
      <c r="G36" s="105"/>
      <c r="H36" s="194"/>
      <c r="I36" s="105"/>
      <c r="J36" s="194"/>
      <c r="K36" s="105"/>
      <c r="L36" s="62"/>
      <c r="M36" s="105"/>
      <c r="N36" s="62"/>
      <c r="O36" s="105"/>
      <c r="P36" s="62"/>
      <c r="Q36" s="105"/>
      <c r="R36" s="105"/>
      <c r="S36" s="105"/>
      <c r="T36" s="105"/>
      <c r="U36" s="105"/>
      <c r="V36" s="105"/>
      <c r="W36" s="105"/>
      <c r="X36" s="105"/>
      <c r="Y36" s="105"/>
      <c r="Z36" s="62"/>
      <c r="AA36" s="391"/>
      <c r="AB36" s="194">
        <f t="shared" si="2"/>
        <v>36.9</v>
      </c>
      <c r="AC36" s="62"/>
      <c r="AD36" s="859"/>
      <c r="AE36" s="105">
        <f>+'Exhibit F'!AF32+'Exhibit G'!AH24+'Exhibit I'!AI19</f>
        <v>35.9</v>
      </c>
      <c r="AF36" s="1548"/>
      <c r="AG36" s="62"/>
      <c r="AH36" s="264">
        <f t="shared" si="3"/>
        <v>1</v>
      </c>
      <c r="AI36" s="264"/>
      <c r="AJ36" s="374">
        <f t="shared" si="4"/>
        <v>2.8000000000000001E-2</v>
      </c>
    </row>
    <row r="37" spans="1:36" ht="16.5" customHeight="1">
      <c r="A37" s="422" t="s">
        <v>360</v>
      </c>
      <c r="B37" s="284"/>
      <c r="C37" s="105">
        <f>+'Exhibit F'!D33+'Exhibit G'!D25</f>
        <v>-0.4</v>
      </c>
      <c r="D37" s="105"/>
      <c r="E37" s="105"/>
      <c r="F37" s="105"/>
      <c r="G37" s="105"/>
      <c r="H37" s="194"/>
      <c r="I37" s="105"/>
      <c r="J37" s="194"/>
      <c r="K37" s="105"/>
      <c r="L37" s="62"/>
      <c r="M37" s="105"/>
      <c r="N37" s="62"/>
      <c r="O37" s="105"/>
      <c r="P37" s="62"/>
      <c r="Q37" s="105"/>
      <c r="R37" s="105"/>
      <c r="S37" s="105"/>
      <c r="T37" s="105"/>
      <c r="U37" s="105"/>
      <c r="V37" s="105"/>
      <c r="W37" s="105"/>
      <c r="X37" s="105"/>
      <c r="Y37" s="105"/>
      <c r="Z37" s="62"/>
      <c r="AA37" s="391"/>
      <c r="AB37" s="194">
        <f t="shared" ref="AB37" si="5">ROUND(SUM(C37:Y37),1)</f>
        <v>-0.4</v>
      </c>
      <c r="AC37" s="62"/>
      <c r="AD37" s="859"/>
      <c r="AE37" s="105">
        <f>+'Exhibit F'!AF33+'Exhibit G'!AH25</f>
        <v>-0.1</v>
      </c>
      <c r="AF37" s="1548"/>
      <c r="AG37" s="62"/>
      <c r="AH37" s="264">
        <f t="shared" si="3"/>
        <v>-0.3</v>
      </c>
      <c r="AI37" s="264"/>
      <c r="AJ37" s="374">
        <f t="shared" si="4"/>
        <v>-3</v>
      </c>
    </row>
    <row r="38" spans="1:36" ht="16.5" customHeight="1">
      <c r="A38" s="284" t="s">
        <v>361</v>
      </c>
      <c r="B38" s="284"/>
      <c r="C38" s="105">
        <f>+'Exhibit F'!D34+'Exhibit G'!D26</f>
        <v>22.1</v>
      </c>
      <c r="D38" s="105"/>
      <c r="E38" s="105"/>
      <c r="F38" s="105"/>
      <c r="G38" s="105"/>
      <c r="H38" s="194"/>
      <c r="I38" s="105"/>
      <c r="J38" s="194"/>
      <c r="K38" s="105"/>
      <c r="L38" s="62"/>
      <c r="M38" s="105"/>
      <c r="N38" s="62"/>
      <c r="O38" s="105"/>
      <c r="P38" s="62"/>
      <c r="Q38" s="105"/>
      <c r="R38" s="105"/>
      <c r="S38" s="105"/>
      <c r="T38" s="105"/>
      <c r="U38" s="105"/>
      <c r="V38" s="105"/>
      <c r="W38" s="105"/>
      <c r="X38" s="105"/>
      <c r="Y38" s="105"/>
      <c r="Z38" s="62"/>
      <c r="AA38" s="391"/>
      <c r="AB38" s="194">
        <f t="shared" si="2"/>
        <v>22.1</v>
      </c>
      <c r="AC38" s="62"/>
      <c r="AD38" s="859"/>
      <c r="AE38" s="105">
        <f>+'Exhibit F'!AF34+'Exhibit G'!AH26</f>
        <v>21.7</v>
      </c>
      <c r="AF38" s="1548"/>
      <c r="AG38" s="62"/>
      <c r="AH38" s="264">
        <f t="shared" si="3"/>
        <v>0.4</v>
      </c>
      <c r="AI38" s="264"/>
      <c r="AJ38" s="374">
        <f t="shared" si="4"/>
        <v>1.7999999999999999E-2</v>
      </c>
    </row>
    <row r="39" spans="1:36" ht="16.5" customHeight="1">
      <c r="A39" s="284" t="s">
        <v>362</v>
      </c>
      <c r="B39" s="284"/>
      <c r="C39" s="105">
        <f>+'Exhibit F'!D35+'Exhibit G'!D27+'Exhibit I'!E20</f>
        <v>13.4</v>
      </c>
      <c r="D39" s="105"/>
      <c r="E39" s="105"/>
      <c r="F39" s="105"/>
      <c r="G39" s="105"/>
      <c r="H39" s="194"/>
      <c r="I39" s="105"/>
      <c r="J39" s="194"/>
      <c r="K39" s="105"/>
      <c r="L39" s="62"/>
      <c r="M39" s="105"/>
      <c r="N39" s="62"/>
      <c r="O39" s="105"/>
      <c r="P39" s="62"/>
      <c r="Q39" s="105"/>
      <c r="R39" s="105"/>
      <c r="S39" s="105"/>
      <c r="T39" s="105"/>
      <c r="U39" s="105"/>
      <c r="V39" s="105"/>
      <c r="W39" s="105"/>
      <c r="X39" s="105"/>
      <c r="Y39" s="105"/>
      <c r="Z39" s="62"/>
      <c r="AA39" s="391"/>
      <c r="AB39" s="194">
        <f t="shared" si="2"/>
        <v>13.4</v>
      </c>
      <c r="AC39" s="62"/>
      <c r="AD39" s="859"/>
      <c r="AE39" s="105">
        <f>+'Exhibit F'!AF35+'Exhibit G'!AH27+'Exhibit I'!AI20</f>
        <v>14</v>
      </c>
      <c r="AF39" s="1548"/>
      <c r="AG39" s="62"/>
      <c r="AH39" s="264">
        <f t="shared" si="3"/>
        <v>-0.6</v>
      </c>
      <c r="AI39" s="264"/>
      <c r="AJ39" s="860">
        <f t="shared" si="4"/>
        <v>-4.2999999999999997E-2</v>
      </c>
    </row>
    <row r="40" spans="1:36" ht="16.5" customHeight="1">
      <c r="A40" s="284" t="s">
        <v>363</v>
      </c>
      <c r="B40" s="284"/>
      <c r="C40" s="105">
        <f>'Exhibit F'!D36+'Exhibit G'!D28</f>
        <v>0.3</v>
      </c>
      <c r="D40" s="105"/>
      <c r="E40" s="105"/>
      <c r="F40" s="105"/>
      <c r="G40" s="105"/>
      <c r="H40" s="194"/>
      <c r="I40" s="105"/>
      <c r="J40" s="194"/>
      <c r="K40" s="105"/>
      <c r="L40" s="62"/>
      <c r="M40" s="105"/>
      <c r="N40" s="62"/>
      <c r="O40" s="105"/>
      <c r="P40" s="62"/>
      <c r="Q40" s="105"/>
      <c r="R40" s="105"/>
      <c r="S40" s="105"/>
      <c r="T40" s="105"/>
      <c r="U40" s="105"/>
      <c r="V40" s="105"/>
      <c r="W40" s="105"/>
      <c r="X40" s="105"/>
      <c r="Y40" s="105"/>
      <c r="Z40" s="62"/>
      <c r="AA40" s="391"/>
      <c r="AB40" s="194">
        <f>ROUND(SUM(C40:Y40),1)</f>
        <v>0.3</v>
      </c>
      <c r="AC40" s="62"/>
      <c r="AD40" s="859"/>
      <c r="AE40" s="105">
        <f>+'Exhibit F'!AF36+'Exhibit G'!AH28</f>
        <v>0.2</v>
      </c>
      <c r="AF40" s="1548"/>
      <c r="AG40" s="62"/>
      <c r="AH40" s="264">
        <f>ROUND(SUM(+AB40-AE40),1)</f>
        <v>0.1</v>
      </c>
      <c r="AI40" s="264"/>
      <c r="AJ40" s="860">
        <f>ROUND(IF(AE40=0,1,AH40/ABS(AE40)),3)</f>
        <v>0.5</v>
      </c>
    </row>
    <row r="41" spans="1:36" ht="16.5" customHeight="1">
      <c r="A41" s="284" t="s">
        <v>364</v>
      </c>
      <c r="B41" s="284"/>
      <c r="C41" s="105">
        <f>'Exhibit F'!D37</f>
        <v>4.5999999999999996</v>
      </c>
      <c r="D41" s="105"/>
      <c r="E41" s="105"/>
      <c r="F41" s="105"/>
      <c r="G41" s="105"/>
      <c r="H41" s="194"/>
      <c r="I41" s="105"/>
      <c r="J41" s="194"/>
      <c r="K41" s="105"/>
      <c r="L41" s="62"/>
      <c r="M41" s="105"/>
      <c r="N41" s="62"/>
      <c r="O41" s="105"/>
      <c r="P41" s="62"/>
      <c r="Q41" s="105"/>
      <c r="R41" s="105"/>
      <c r="S41" s="105"/>
      <c r="T41" s="105"/>
      <c r="U41" s="105"/>
      <c r="V41" s="105"/>
      <c r="W41" s="105"/>
      <c r="X41" s="105"/>
      <c r="Y41" s="105"/>
      <c r="Z41" s="62"/>
      <c r="AA41" s="193"/>
      <c r="AB41" s="194">
        <f t="shared" si="2"/>
        <v>4.5999999999999996</v>
      </c>
      <c r="AC41" s="62"/>
      <c r="AD41" s="859"/>
      <c r="AE41" s="105">
        <f>+'Exhibit F'!AF37</f>
        <v>4.9000000000000004</v>
      </c>
      <c r="AF41" s="1548"/>
      <c r="AG41" s="62"/>
      <c r="AH41" s="264">
        <f t="shared" ref="AH41" si="6">ROUND(SUM(+AB41-AE41),1)</f>
        <v>-0.3</v>
      </c>
      <c r="AI41" s="264"/>
      <c r="AJ41" s="860">
        <f>ROUND(IF(AE41=0,1,AH41/ABS(AE41)),3)</f>
        <v>-6.0999999999999999E-2</v>
      </c>
    </row>
    <row r="42" spans="1:36" ht="16.5" customHeight="1">
      <c r="A42" s="83" t="s">
        <v>365</v>
      </c>
      <c r="B42" s="284"/>
      <c r="C42" s="1013">
        <f>ROUND(SUM(C32:C41),1)</f>
        <v>1919.7</v>
      </c>
      <c r="D42" s="1"/>
      <c r="E42" s="1013">
        <f>ROUND(SUM(E32:E41),1)</f>
        <v>0</v>
      </c>
      <c r="F42" s="1"/>
      <c r="G42" s="1013">
        <f>ROUND(SUM(G32:G41),1)</f>
        <v>0</v>
      </c>
      <c r="H42" s="62"/>
      <c r="I42" s="1013">
        <f>ROUND(SUM(I32:I41),1)</f>
        <v>0</v>
      </c>
      <c r="J42" s="62"/>
      <c r="K42" s="1013">
        <f>ROUND(SUM(K32:K41),1)</f>
        <v>0</v>
      </c>
      <c r="L42" s="62"/>
      <c r="M42" s="1013">
        <f>ROUND(SUM(M32:M41),1)</f>
        <v>0</v>
      </c>
      <c r="N42" s="62"/>
      <c r="O42" s="1013">
        <f>ROUND(SUM(O32:O41),1)</f>
        <v>0</v>
      </c>
      <c r="P42" s="62"/>
      <c r="Q42" s="1013">
        <f>ROUND(SUM(Q32:Q41),1)</f>
        <v>0</v>
      </c>
      <c r="R42" s="62"/>
      <c r="S42" s="1013">
        <f>ROUND(SUM(S32:S41),1)</f>
        <v>0</v>
      </c>
      <c r="T42" s="62"/>
      <c r="U42" s="1013">
        <f>ROUND(SUM(U32:U41),1)</f>
        <v>0</v>
      </c>
      <c r="V42" s="62"/>
      <c r="W42" s="1013">
        <f>ROUND(SUM(W32:W41),1)</f>
        <v>0</v>
      </c>
      <c r="X42" s="62"/>
      <c r="Y42" s="1013">
        <f>ROUND(SUM(Y32:Y41),1)</f>
        <v>0</v>
      </c>
      <c r="Z42" s="62"/>
      <c r="AA42" s="391"/>
      <c r="AB42" s="1013">
        <f>ROUND(SUM(AB32:AB41),1)</f>
        <v>1919.7</v>
      </c>
      <c r="AC42" s="62"/>
      <c r="AD42" s="859"/>
      <c r="AE42" s="1013">
        <f>ROUND(SUM(AE32:AE41),1)</f>
        <v>1791.7</v>
      </c>
      <c r="AF42" s="1548"/>
      <c r="AG42" s="62"/>
      <c r="AH42" s="674">
        <f>ROUND(SUM(AH32:AH41),1)</f>
        <v>128</v>
      </c>
      <c r="AI42" s="13"/>
      <c r="AJ42" s="1015">
        <f t="shared" si="4"/>
        <v>7.0999999999999994E-2</v>
      </c>
    </row>
    <row r="43" spans="1:36" ht="16.5" customHeight="1">
      <c r="A43" s="413" t="s">
        <v>366</v>
      </c>
      <c r="B43" s="284"/>
      <c r="C43" s="253"/>
      <c r="D43" s="253"/>
      <c r="E43" s="253"/>
      <c r="F43" s="253"/>
      <c r="G43" s="253"/>
      <c r="H43" s="62"/>
      <c r="I43" s="253"/>
      <c r="J43" s="62"/>
      <c r="K43" s="253"/>
      <c r="L43" s="62"/>
      <c r="M43" s="253"/>
      <c r="N43" s="62"/>
      <c r="O43" s="253"/>
      <c r="P43" s="62"/>
      <c r="Q43" s="253"/>
      <c r="R43" s="62"/>
      <c r="S43" s="253"/>
      <c r="T43" s="62"/>
      <c r="U43" s="253"/>
      <c r="V43" s="62"/>
      <c r="W43" s="253"/>
      <c r="X43" s="62"/>
      <c r="Y43" s="253"/>
      <c r="Z43" s="62"/>
      <c r="AA43" s="391"/>
      <c r="AB43" s="62"/>
      <c r="AC43" s="62"/>
      <c r="AD43" s="859"/>
      <c r="AE43" s="192"/>
      <c r="AF43" s="1548"/>
      <c r="AG43" s="62"/>
      <c r="AH43" s="13"/>
      <c r="AI43" s="13"/>
      <c r="AJ43" s="74"/>
    </row>
    <row r="44" spans="1:36" ht="16.5" customHeight="1">
      <c r="A44" s="284" t="s">
        <v>367</v>
      </c>
      <c r="B44" s="284"/>
      <c r="C44" s="105">
        <f>+'Exhibit F'!D40+'Exhibit G'!D31+'Exhibit I'!E23</f>
        <v>1054.3</v>
      </c>
      <c r="D44" s="105"/>
      <c r="E44" s="105"/>
      <c r="F44" s="105"/>
      <c r="G44" s="105"/>
      <c r="H44" s="194"/>
      <c r="I44" s="105"/>
      <c r="J44" s="194"/>
      <c r="K44" s="105"/>
      <c r="L44" s="62"/>
      <c r="M44" s="105"/>
      <c r="N44" s="62"/>
      <c r="O44" s="105"/>
      <c r="P44" s="62"/>
      <c r="Q44" s="105"/>
      <c r="R44" s="105"/>
      <c r="S44" s="105"/>
      <c r="T44" s="105"/>
      <c r="U44" s="105"/>
      <c r="V44" s="105"/>
      <c r="W44" s="105"/>
      <c r="X44" s="105"/>
      <c r="Y44" s="105"/>
      <c r="Z44" s="62"/>
      <c r="AA44" s="391"/>
      <c r="AB44" s="194">
        <f t="shared" ref="AB44:AB49" si="7">ROUND(SUM(C44:Y44),1)</f>
        <v>1054.3</v>
      </c>
      <c r="AC44" s="62"/>
      <c r="AD44" s="859"/>
      <c r="AE44" s="105">
        <f>+'Exhibit F'!AF40+'Exhibit G'!AH31+'Exhibit I'!AI23</f>
        <v>1086.0999999999999</v>
      </c>
      <c r="AF44" s="1548"/>
      <c r="AG44" s="62"/>
      <c r="AH44" s="264">
        <f t="shared" ref="AH44:AH49" si="8">ROUND(SUM(+AB44-AE44),1)</f>
        <v>-31.8</v>
      </c>
      <c r="AI44" s="13"/>
      <c r="AJ44" s="374">
        <f t="shared" ref="AJ44:AJ50" si="9">ROUND(IF(AE44=0,0,AH44/ABS(AE44)),3)</f>
        <v>-2.9000000000000001E-2</v>
      </c>
    </row>
    <row r="45" spans="1:36" ht="16.5" customHeight="1">
      <c r="A45" s="284" t="s">
        <v>368</v>
      </c>
      <c r="B45" s="284"/>
      <c r="C45" s="105">
        <f>+'Exhibit F'!D41+'Exhibit G'!D32+'Exhibit I'!E24</f>
        <v>45.2</v>
      </c>
      <c r="D45" s="105"/>
      <c r="E45" s="105"/>
      <c r="F45" s="105"/>
      <c r="G45" s="105"/>
      <c r="H45" s="194"/>
      <c r="I45" s="105"/>
      <c r="J45" s="194"/>
      <c r="K45" s="105"/>
      <c r="L45" s="62"/>
      <c r="M45" s="105"/>
      <c r="N45" s="62"/>
      <c r="O45" s="105"/>
      <c r="P45" s="62"/>
      <c r="Q45" s="105"/>
      <c r="R45" s="105"/>
      <c r="S45" s="105"/>
      <c r="T45" s="105"/>
      <c r="U45" s="105"/>
      <c r="V45" s="105"/>
      <c r="W45" s="105"/>
      <c r="X45" s="105"/>
      <c r="Y45" s="105"/>
      <c r="Z45" s="62"/>
      <c r="AA45" s="391"/>
      <c r="AB45" s="194">
        <f t="shared" si="7"/>
        <v>45.2</v>
      </c>
      <c r="AC45" s="62"/>
      <c r="AD45" s="859"/>
      <c r="AE45" s="105">
        <f>+'Exhibit F'!AF41+'Exhibit G'!AH32+'Exhibit I'!AI24</f>
        <v>41.899999999999991</v>
      </c>
      <c r="AF45" s="1548"/>
      <c r="AG45" s="62"/>
      <c r="AH45" s="264">
        <f t="shared" si="8"/>
        <v>3.3</v>
      </c>
      <c r="AI45" s="13"/>
      <c r="AJ45" s="860">
        <f t="shared" si="9"/>
        <v>7.9000000000000001E-2</v>
      </c>
    </row>
    <row r="46" spans="1:36" ht="16.5" customHeight="1">
      <c r="A46" s="284" t="s">
        <v>369</v>
      </c>
      <c r="B46" s="284"/>
      <c r="C46" s="105">
        <f>+'Exhibit F'!D42+'Exhibit G'!D33</f>
        <v>85.7</v>
      </c>
      <c r="D46" s="105"/>
      <c r="E46" s="105"/>
      <c r="F46" s="105"/>
      <c r="G46" s="105"/>
      <c r="H46" s="194"/>
      <c r="I46" s="105"/>
      <c r="J46" s="194"/>
      <c r="K46" s="105"/>
      <c r="L46" s="62"/>
      <c r="M46" s="105"/>
      <c r="N46" s="62"/>
      <c r="O46" s="105"/>
      <c r="P46" s="62"/>
      <c r="Q46" s="105"/>
      <c r="R46" s="105"/>
      <c r="S46" s="105"/>
      <c r="T46" s="105"/>
      <c r="U46" s="105"/>
      <c r="V46" s="105"/>
      <c r="W46" s="105"/>
      <c r="X46" s="105"/>
      <c r="Y46" s="105"/>
      <c r="Z46" s="62"/>
      <c r="AA46" s="391"/>
      <c r="AB46" s="194">
        <f t="shared" si="7"/>
        <v>85.7</v>
      </c>
      <c r="AC46" s="62"/>
      <c r="AD46" s="859"/>
      <c r="AE46" s="105">
        <f>+'Exhibit F'!AF42+'Exhibit G'!AH33</f>
        <v>84.8</v>
      </c>
      <c r="AF46" s="1548"/>
      <c r="AG46" s="62"/>
      <c r="AH46" s="264">
        <f t="shared" si="8"/>
        <v>0.9</v>
      </c>
      <c r="AI46" s="13"/>
      <c r="AJ46" s="374">
        <f t="shared" si="9"/>
        <v>1.0999999999999999E-2</v>
      </c>
    </row>
    <row r="47" spans="1:36" ht="16.5" customHeight="1">
      <c r="A47" s="284" t="s">
        <v>370</v>
      </c>
      <c r="B47" s="284"/>
      <c r="C47" s="105">
        <f>+'Exhibit F'!D43+'Exhibit G'!D34</f>
        <v>21.9</v>
      </c>
      <c r="D47" s="105"/>
      <c r="E47" s="105"/>
      <c r="F47" s="105"/>
      <c r="G47" s="105"/>
      <c r="H47" s="194"/>
      <c r="I47" s="105"/>
      <c r="J47" s="194"/>
      <c r="K47" s="105"/>
      <c r="L47" s="62"/>
      <c r="M47" s="105"/>
      <c r="N47" s="62"/>
      <c r="O47" s="105"/>
      <c r="P47" s="62"/>
      <c r="Q47" s="105"/>
      <c r="R47" s="105"/>
      <c r="S47" s="105"/>
      <c r="T47" s="105"/>
      <c r="U47" s="105"/>
      <c r="V47" s="105"/>
      <c r="W47" s="105"/>
      <c r="X47" s="105"/>
      <c r="Y47" s="105"/>
      <c r="Z47" s="62"/>
      <c r="AA47" s="391"/>
      <c r="AB47" s="194">
        <f t="shared" si="7"/>
        <v>21.9</v>
      </c>
      <c r="AC47" s="62"/>
      <c r="AD47" s="859"/>
      <c r="AE47" s="105">
        <f>+'Exhibit F'!AF43+'Exhibit G'!AH34</f>
        <v>-4.2</v>
      </c>
      <c r="AF47" s="1548"/>
      <c r="AG47" s="62"/>
      <c r="AH47" s="264">
        <f t="shared" si="8"/>
        <v>26.1</v>
      </c>
      <c r="AI47" s="13"/>
      <c r="AJ47" s="543">
        <f>ROUND(IF(AE47=0,1,AH47/ABS(AE47)),3)</f>
        <v>6.2140000000000004</v>
      </c>
    </row>
    <row r="48" spans="1:36" ht="16.5" customHeight="1">
      <c r="A48" s="284" t="s">
        <v>371</v>
      </c>
      <c r="B48" s="284"/>
      <c r="C48" s="105">
        <f>+'Exhibit F'!D44+'Exhibit H'!B23</f>
        <v>48.8</v>
      </c>
      <c r="D48" s="105"/>
      <c r="E48" s="105"/>
      <c r="F48" s="105"/>
      <c r="G48" s="105"/>
      <c r="H48" s="194"/>
      <c r="I48" s="105"/>
      <c r="J48" s="194"/>
      <c r="K48" s="105"/>
      <c r="L48" s="62"/>
      <c r="M48" s="105"/>
      <c r="N48" s="62"/>
      <c r="O48" s="105"/>
      <c r="P48" s="62"/>
      <c r="Q48" s="105"/>
      <c r="R48" s="105"/>
      <c r="S48" s="105"/>
      <c r="T48" s="105"/>
      <c r="U48" s="105"/>
      <c r="V48" s="105"/>
      <c r="W48" s="105"/>
      <c r="X48" s="105"/>
      <c r="Y48" s="105"/>
      <c r="Z48" s="62"/>
      <c r="AA48" s="391"/>
      <c r="AB48" s="194">
        <f t="shared" si="7"/>
        <v>48.8</v>
      </c>
      <c r="AC48" s="62"/>
      <c r="AD48" s="859"/>
      <c r="AE48" s="105">
        <f>+'Exhibit F'!AF44+'Exhibit H'!AD23</f>
        <v>80.400000000000006</v>
      </c>
      <c r="AF48" s="1548"/>
      <c r="AG48" s="62"/>
      <c r="AH48" s="264">
        <f t="shared" si="8"/>
        <v>-31.6</v>
      </c>
      <c r="AI48" s="13"/>
      <c r="AJ48" s="543">
        <f>ROUND(IF(AE48=0,1,AH48/ABS(AE48)),3)</f>
        <v>-0.39300000000000002</v>
      </c>
    </row>
    <row r="49" spans="1:36" ht="16.5" customHeight="1">
      <c r="A49" s="284" t="s">
        <v>372</v>
      </c>
      <c r="B49" s="284"/>
      <c r="C49" s="105">
        <f>+'Exhibit F'!D45+'Exhibit G'!D35+'Exhibit I'!E25</f>
        <v>74.599999999999994</v>
      </c>
      <c r="D49" s="105"/>
      <c r="E49" s="105"/>
      <c r="F49" s="105"/>
      <c r="G49" s="105"/>
      <c r="H49" s="194"/>
      <c r="I49" s="105"/>
      <c r="J49" s="194"/>
      <c r="K49" s="105"/>
      <c r="L49" s="62"/>
      <c r="M49" s="105"/>
      <c r="N49" s="62"/>
      <c r="O49" s="105"/>
      <c r="P49" s="62"/>
      <c r="Q49" s="105"/>
      <c r="R49" s="105"/>
      <c r="S49" s="105"/>
      <c r="T49" s="105"/>
      <c r="U49" s="105"/>
      <c r="V49" s="105"/>
      <c r="W49" s="105"/>
      <c r="X49" s="105"/>
      <c r="Y49" s="105"/>
      <c r="Z49" s="62"/>
      <c r="AA49" s="391"/>
      <c r="AB49" s="194">
        <f t="shared" si="7"/>
        <v>74.599999999999994</v>
      </c>
      <c r="AC49" s="62"/>
      <c r="AD49" s="859"/>
      <c r="AE49" s="105">
        <f>+'Exhibit F'!AF45+'Exhibit G'!AH35+'Exhibit I'!AI25</f>
        <v>78.3</v>
      </c>
      <c r="AF49" s="1548"/>
      <c r="AG49" s="62"/>
      <c r="AH49" s="264">
        <f t="shared" si="8"/>
        <v>-3.7</v>
      </c>
      <c r="AI49" s="13"/>
      <c r="AJ49" s="374">
        <f t="shared" si="9"/>
        <v>-4.7E-2</v>
      </c>
    </row>
    <row r="50" spans="1:36" ht="16.5" customHeight="1">
      <c r="A50" s="83" t="s">
        <v>373</v>
      </c>
      <c r="B50" s="284"/>
      <c r="C50" s="1013">
        <f>ROUND(SUM(C44:C49),1)</f>
        <v>1330.5</v>
      </c>
      <c r="D50" s="1"/>
      <c r="E50" s="1013">
        <f>ROUND(SUM(E44:E49),1)</f>
        <v>0</v>
      </c>
      <c r="F50" s="1"/>
      <c r="G50" s="1013">
        <f>ROUND(SUM(G44:G49),1)</f>
        <v>0</v>
      </c>
      <c r="H50" s="62"/>
      <c r="I50" s="1013">
        <f>ROUND(SUM(I44:I49),1)</f>
        <v>0</v>
      </c>
      <c r="J50" s="62"/>
      <c r="K50" s="1013">
        <f>ROUND(SUM(K44:K49),1)</f>
        <v>0</v>
      </c>
      <c r="L50" s="62"/>
      <c r="M50" s="1013">
        <f>ROUND(SUM(M44:M49),1)</f>
        <v>0</v>
      </c>
      <c r="N50" s="62"/>
      <c r="O50" s="1013">
        <f>ROUND(SUM(O44:O49),1)</f>
        <v>0</v>
      </c>
      <c r="P50" s="62"/>
      <c r="Q50" s="1013">
        <f>ROUND(SUM(Q44:Q49),1)</f>
        <v>0</v>
      </c>
      <c r="R50" s="62"/>
      <c r="S50" s="1013">
        <f>ROUND(SUM(S44:S49),1)</f>
        <v>0</v>
      </c>
      <c r="T50" s="62"/>
      <c r="U50" s="1013">
        <f>ROUND(SUM(U44:U49),1)</f>
        <v>0</v>
      </c>
      <c r="V50" s="62"/>
      <c r="W50" s="1013">
        <f>ROUND(SUM(W44:W49),1)</f>
        <v>0</v>
      </c>
      <c r="X50" s="62"/>
      <c r="Y50" s="1013">
        <f>ROUND(SUM(Y44:Y49),1)</f>
        <v>0</v>
      </c>
      <c r="Z50" s="62"/>
      <c r="AA50" s="391"/>
      <c r="AB50" s="1013">
        <f>ROUND(SUM(AB44:AB49),1)</f>
        <v>1330.5</v>
      </c>
      <c r="AC50" s="62"/>
      <c r="AD50" s="859"/>
      <c r="AE50" s="1013">
        <f>ROUND(SUM(AE44:AE49),1)</f>
        <v>1367.3</v>
      </c>
      <c r="AF50" s="1548"/>
      <c r="AG50" s="62"/>
      <c r="AH50" s="1013">
        <f>ROUND(SUM(AH44:AH49),1)</f>
        <v>-36.799999999999997</v>
      </c>
      <c r="AI50" s="13"/>
      <c r="AJ50" s="1015">
        <f t="shared" si="9"/>
        <v>-2.7E-2</v>
      </c>
    </row>
    <row r="51" spans="1:36" ht="16.5" customHeight="1">
      <c r="A51" s="413" t="s">
        <v>374</v>
      </c>
      <c r="B51" s="284"/>
      <c r="C51" s="253"/>
      <c r="D51" s="253"/>
      <c r="E51" s="253"/>
      <c r="F51" s="253"/>
      <c r="G51" s="253"/>
      <c r="H51" s="62"/>
      <c r="I51" s="253"/>
      <c r="J51" s="62"/>
      <c r="K51" s="253"/>
      <c r="L51" s="62"/>
      <c r="M51" s="253"/>
      <c r="N51" s="62"/>
      <c r="O51" s="253"/>
      <c r="P51" s="62"/>
      <c r="Q51" s="253"/>
      <c r="R51" s="62"/>
      <c r="S51" s="253"/>
      <c r="T51" s="62"/>
      <c r="U51" s="253"/>
      <c r="V51" s="62"/>
      <c r="W51" s="253"/>
      <c r="X51" s="62"/>
      <c r="Y51" s="253"/>
      <c r="Z51" s="62"/>
      <c r="AA51" s="391"/>
      <c r="AB51" s="62"/>
      <c r="AC51" s="62"/>
      <c r="AD51" s="859"/>
      <c r="AE51" s="192"/>
      <c r="AF51" s="1548"/>
      <c r="AG51" s="62"/>
      <c r="AH51" s="13"/>
      <c r="AI51" s="13"/>
      <c r="AJ51" s="74"/>
    </row>
    <row r="52" spans="1:36" ht="16.5" customHeight="1">
      <c r="A52" s="284" t="s">
        <v>375</v>
      </c>
      <c r="B52" s="284"/>
      <c r="C52" s="513">
        <f>+'Exhibit F'!D48</f>
        <v>0</v>
      </c>
      <c r="D52" s="513"/>
      <c r="E52" s="513"/>
      <c r="F52" s="513"/>
      <c r="G52" s="513"/>
      <c r="H52" s="194"/>
      <c r="I52" s="513"/>
      <c r="J52" s="194"/>
      <c r="K52" s="513"/>
      <c r="L52" s="62"/>
      <c r="M52" s="513"/>
      <c r="N52" s="62"/>
      <c r="O52" s="513"/>
      <c r="P52" s="62"/>
      <c r="Q52" s="513"/>
      <c r="R52" s="513"/>
      <c r="S52" s="513"/>
      <c r="T52" s="513"/>
      <c r="U52" s="513"/>
      <c r="V52" s="513"/>
      <c r="W52" s="513"/>
      <c r="X52" s="513"/>
      <c r="Y52" s="513"/>
      <c r="Z52" s="62"/>
      <c r="AA52" s="391"/>
      <c r="AB52" s="194">
        <f t="shared" ref="AB52:AB56" si="10">ROUND(SUM(C52:Y52),1)</f>
        <v>0</v>
      </c>
      <c r="AC52" s="62"/>
      <c r="AD52" s="859"/>
      <c r="AE52" s="513">
        <f>+'Exhibit F'!AF48</f>
        <v>0</v>
      </c>
      <c r="AF52" s="1548"/>
      <c r="AG52" s="62"/>
      <c r="AH52" s="264">
        <f t="shared" ref="AH52:AH56" si="11">ROUND(SUM(+AB52-AE52),1)</f>
        <v>0</v>
      </c>
      <c r="AI52" s="13"/>
      <c r="AJ52" s="266">
        <f>-ROUND(IF(AE52=0,0,AH52/ABS(AE52)),3)</f>
        <v>0</v>
      </c>
    </row>
    <row r="53" spans="1:36" ht="16.5" customHeight="1">
      <c r="A53" s="284" t="s">
        <v>376</v>
      </c>
      <c r="B53" s="284"/>
      <c r="C53" s="105">
        <f>+'Exhibit F'!D49</f>
        <v>165.8</v>
      </c>
      <c r="D53" s="105"/>
      <c r="E53" s="105"/>
      <c r="F53" s="105"/>
      <c r="G53" s="105"/>
      <c r="H53" s="194"/>
      <c r="I53" s="105"/>
      <c r="J53" s="194"/>
      <c r="K53" s="105"/>
      <c r="L53" s="194"/>
      <c r="M53" s="105"/>
      <c r="N53" s="62"/>
      <c r="O53" s="105"/>
      <c r="P53" s="62"/>
      <c r="Q53" s="105"/>
      <c r="R53" s="105"/>
      <c r="S53" s="105"/>
      <c r="T53" s="105"/>
      <c r="U53" s="105"/>
      <c r="V53" s="105"/>
      <c r="W53" s="105"/>
      <c r="X53" s="105"/>
      <c r="Y53" s="105"/>
      <c r="Z53" s="62"/>
      <c r="AA53" s="391"/>
      <c r="AB53" s="194">
        <f t="shared" si="10"/>
        <v>165.8</v>
      </c>
      <c r="AC53" s="62"/>
      <c r="AD53" s="859"/>
      <c r="AE53" s="105">
        <f>+'Exhibit F'!AF49</f>
        <v>167.2</v>
      </c>
      <c r="AF53" s="1548"/>
      <c r="AG53" s="62"/>
      <c r="AH53" s="264">
        <f t="shared" si="11"/>
        <v>-1.4</v>
      </c>
      <c r="AI53" s="13"/>
      <c r="AJ53" s="374">
        <f t="shared" ref="AJ53:AJ58" si="12">ROUND(IF(AE53=0,0,AH53/ABS(AE53)),3)</f>
        <v>-8.0000000000000002E-3</v>
      </c>
    </row>
    <row r="54" spans="1:36" ht="16.5" customHeight="1">
      <c r="A54" s="284" t="s">
        <v>377</v>
      </c>
      <c r="B54" s="284"/>
      <c r="C54" s="105">
        <f>+'Exhibit F'!D50</f>
        <v>1</v>
      </c>
      <c r="D54" s="105"/>
      <c r="E54" s="105"/>
      <c r="F54" s="105"/>
      <c r="G54" s="105"/>
      <c r="H54" s="194"/>
      <c r="I54" s="105"/>
      <c r="J54" s="194"/>
      <c r="K54" s="105"/>
      <c r="L54" s="194"/>
      <c r="M54" s="105"/>
      <c r="N54" s="62"/>
      <c r="O54" s="105"/>
      <c r="P54" s="62"/>
      <c r="Q54" s="105"/>
      <c r="R54" s="105"/>
      <c r="S54" s="105"/>
      <c r="T54" s="105"/>
      <c r="U54" s="105"/>
      <c r="V54" s="105"/>
      <c r="W54" s="105"/>
      <c r="X54" s="105"/>
      <c r="Y54" s="105"/>
      <c r="Z54" s="62"/>
      <c r="AA54" s="391"/>
      <c r="AB54" s="194">
        <f t="shared" si="10"/>
        <v>1</v>
      </c>
      <c r="AC54" s="62"/>
      <c r="AD54" s="859"/>
      <c r="AE54" s="105">
        <f>+'Exhibit F'!AF50</f>
        <v>1.2</v>
      </c>
      <c r="AF54" s="1548"/>
      <c r="AG54" s="62"/>
      <c r="AH54" s="264">
        <f t="shared" si="11"/>
        <v>-0.2</v>
      </c>
      <c r="AI54" s="13"/>
      <c r="AJ54" s="374">
        <f t="shared" si="12"/>
        <v>-0.16700000000000001</v>
      </c>
    </row>
    <row r="55" spans="1:36" ht="16.5" customHeight="1">
      <c r="A55" s="284" t="s">
        <v>378</v>
      </c>
      <c r="B55" s="284"/>
      <c r="C55" s="105">
        <f>+'Exhibit F'!D51+'Exhibit H'!B26+'Exhibit I'!E28</f>
        <v>118.6</v>
      </c>
      <c r="D55" s="105"/>
      <c r="E55" s="105"/>
      <c r="F55" s="105"/>
      <c r="G55" s="105"/>
      <c r="H55" s="194"/>
      <c r="I55" s="105"/>
      <c r="J55" s="194"/>
      <c r="K55" s="105"/>
      <c r="L55" s="194"/>
      <c r="M55" s="105"/>
      <c r="N55" s="62"/>
      <c r="O55" s="105"/>
      <c r="P55" s="62"/>
      <c r="Q55" s="105"/>
      <c r="R55" s="105"/>
      <c r="S55" s="105"/>
      <c r="T55" s="105"/>
      <c r="U55" s="105"/>
      <c r="V55" s="105"/>
      <c r="W55" s="105"/>
      <c r="X55" s="105"/>
      <c r="Y55" s="105"/>
      <c r="Z55" s="62"/>
      <c r="AA55" s="391"/>
      <c r="AB55" s="194">
        <f t="shared" si="10"/>
        <v>118.6</v>
      </c>
      <c r="AC55" s="62"/>
      <c r="AD55" s="859"/>
      <c r="AE55" s="105">
        <f>+'Exhibit F'!AF51+'Exhibit H'!AD26+'Exhibit I'!AI28</f>
        <v>94.5</v>
      </c>
      <c r="AF55" s="1548"/>
      <c r="AG55" s="62"/>
      <c r="AH55" s="264">
        <f t="shared" si="11"/>
        <v>24.1</v>
      </c>
      <c r="AI55" s="13"/>
      <c r="AJ55" s="374">
        <f t="shared" si="12"/>
        <v>0.255</v>
      </c>
    </row>
    <row r="56" spans="1:36" ht="16.5" customHeight="1">
      <c r="A56" s="284" t="s">
        <v>379</v>
      </c>
      <c r="B56" s="284"/>
      <c r="C56" s="105">
        <f>+'Exhibit F'!D52</f>
        <v>0.1</v>
      </c>
      <c r="D56" s="105"/>
      <c r="E56" s="105"/>
      <c r="F56" s="105"/>
      <c r="G56" s="105"/>
      <c r="H56" s="194"/>
      <c r="I56" s="105"/>
      <c r="J56" s="194"/>
      <c r="K56" s="105"/>
      <c r="L56" s="194"/>
      <c r="M56" s="105"/>
      <c r="N56" s="62"/>
      <c r="O56" s="105"/>
      <c r="P56" s="62"/>
      <c r="Q56" s="105"/>
      <c r="R56" s="105"/>
      <c r="S56" s="105"/>
      <c r="T56" s="105"/>
      <c r="U56" s="105"/>
      <c r="V56" s="105"/>
      <c r="W56" s="105"/>
      <c r="X56" s="105"/>
      <c r="Y56" s="105"/>
      <c r="Z56" s="62"/>
      <c r="AA56" s="391"/>
      <c r="AB56" s="194">
        <f t="shared" si="10"/>
        <v>0.1</v>
      </c>
      <c r="AC56" s="62"/>
      <c r="AD56" s="859"/>
      <c r="AE56" s="105">
        <f>+'Exhibit F'!AF52</f>
        <v>0.1</v>
      </c>
      <c r="AF56" s="1548"/>
      <c r="AG56" s="62"/>
      <c r="AH56" s="264">
        <f t="shared" si="11"/>
        <v>0</v>
      </c>
      <c r="AI56" s="13"/>
      <c r="AJ56" s="266">
        <f>ROUND(IF(AE56=0,1,AH56/ABS(AE56)),3)</f>
        <v>0</v>
      </c>
    </row>
    <row r="57" spans="1:36" ht="16.5" customHeight="1">
      <c r="A57" s="421" t="s">
        <v>380</v>
      </c>
      <c r="B57" s="284"/>
      <c r="C57" s="105">
        <f>+'Exhibit F'!D53+'Exhibit H'!B27</f>
        <v>0.2</v>
      </c>
      <c r="D57" s="105"/>
      <c r="E57" s="105"/>
      <c r="F57" s="105"/>
      <c r="G57" s="105"/>
      <c r="H57" s="194"/>
      <c r="I57" s="105"/>
      <c r="J57" s="194"/>
      <c r="K57" s="105"/>
      <c r="L57" s="62"/>
      <c r="M57" s="105"/>
      <c r="N57" s="62"/>
      <c r="O57" s="105"/>
      <c r="P57" s="62"/>
      <c r="Q57" s="105"/>
      <c r="R57" s="105"/>
      <c r="S57" s="105"/>
      <c r="T57" s="105"/>
      <c r="U57" s="105"/>
      <c r="V57" s="105"/>
      <c r="W57" s="105"/>
      <c r="X57" s="105"/>
      <c r="Y57" s="105"/>
      <c r="Z57" s="62"/>
      <c r="AA57" s="391"/>
      <c r="AB57" s="194">
        <f t="shared" ref="AB57" si="13">ROUND(SUM(C57:Y57),1)</f>
        <v>0.2</v>
      </c>
      <c r="AC57" s="62"/>
      <c r="AD57" s="859"/>
      <c r="AE57" s="105">
        <f>+'Exhibit F'!AF53+'Exhibit H'!AD27</f>
        <v>0.4</v>
      </c>
      <c r="AF57" s="1548"/>
      <c r="AG57" s="62"/>
      <c r="AH57" s="264">
        <f>ROUND(SUM(+AB57-AE57),1)</f>
        <v>-0.2</v>
      </c>
      <c r="AI57" s="63"/>
      <c r="AJ57" s="534">
        <f>ROUND(IF(AE57=0,1,AH57/ABS(AE57)),3)</f>
        <v>-0.5</v>
      </c>
    </row>
    <row r="58" spans="1:36" ht="16.5" customHeight="1">
      <c r="A58" s="83" t="s">
        <v>381</v>
      </c>
      <c r="B58" s="284"/>
      <c r="C58" s="1013">
        <f>ROUND(SUM(C52:C57),1)</f>
        <v>285.7</v>
      </c>
      <c r="D58" s="1"/>
      <c r="E58" s="1013">
        <f>ROUND(SUM(E52:E57),1)</f>
        <v>0</v>
      </c>
      <c r="F58" s="1"/>
      <c r="G58" s="1013">
        <f>ROUND(SUM(G52:G57),1)</f>
        <v>0</v>
      </c>
      <c r="H58" s="62"/>
      <c r="I58" s="1013">
        <f>ROUND(SUM(I52:I57),1)</f>
        <v>0</v>
      </c>
      <c r="J58" s="62"/>
      <c r="K58" s="1013">
        <f>ROUND(SUM(K52:K57),1)</f>
        <v>0</v>
      </c>
      <c r="L58" s="62"/>
      <c r="M58" s="1013">
        <f>ROUND(SUM(M52:M57),1)</f>
        <v>0</v>
      </c>
      <c r="N58" s="62"/>
      <c r="O58" s="1013">
        <f>ROUND(SUM(O52:O57),1)</f>
        <v>0</v>
      </c>
      <c r="P58" s="62"/>
      <c r="Q58" s="1013">
        <f>ROUND(SUM(Q52:Q57),1)</f>
        <v>0</v>
      </c>
      <c r="R58" s="62"/>
      <c r="S58" s="1013">
        <f>ROUND(SUM(S52:S57),1)</f>
        <v>0</v>
      </c>
      <c r="T58" s="62"/>
      <c r="U58" s="1013">
        <f>ROUND(SUM(U52:U57),1)</f>
        <v>0</v>
      </c>
      <c r="V58" s="62"/>
      <c r="W58" s="1013">
        <f>ROUND(SUM(W52:W57),1)</f>
        <v>0</v>
      </c>
      <c r="X58" s="62"/>
      <c r="Y58" s="1013">
        <f>ROUND(SUM(Y52:Y57),1)</f>
        <v>0</v>
      </c>
      <c r="Z58" s="62"/>
      <c r="AA58" s="391"/>
      <c r="AB58" s="1013">
        <f>ROUND(SUM(AB52:AB57),1)</f>
        <v>285.7</v>
      </c>
      <c r="AC58" s="62"/>
      <c r="AD58" s="859"/>
      <c r="AE58" s="1013">
        <f>ROUND(SUM(AE52:AE57),1)</f>
        <v>263.39999999999998</v>
      </c>
      <c r="AF58" s="1548"/>
      <c r="AG58" s="62"/>
      <c r="AH58" s="1013">
        <f>ROUND(SUM(AH52:AH57),1)</f>
        <v>22.3</v>
      </c>
      <c r="AI58" s="13"/>
      <c r="AJ58" s="1015">
        <f t="shared" si="12"/>
        <v>8.5000000000000006E-2</v>
      </c>
    </row>
    <row r="59" spans="1:36" ht="16.5" customHeight="1">
      <c r="A59" s="83"/>
      <c r="B59" s="284"/>
      <c r="C59" s="1"/>
      <c r="D59" s="1"/>
      <c r="E59" s="1"/>
      <c r="F59" s="1"/>
      <c r="G59" s="1"/>
      <c r="H59" s="62"/>
      <c r="I59" s="1"/>
      <c r="J59" s="62"/>
      <c r="K59" s="1"/>
      <c r="L59" s="62"/>
      <c r="M59" s="1"/>
      <c r="N59" s="62"/>
      <c r="O59" s="1"/>
      <c r="P59" s="62"/>
      <c r="Q59" s="1"/>
      <c r="R59" s="62"/>
      <c r="S59" s="1"/>
      <c r="T59" s="62"/>
      <c r="U59" s="1"/>
      <c r="V59" s="62"/>
      <c r="W59" s="1"/>
      <c r="X59" s="62"/>
      <c r="Y59" s="1"/>
      <c r="Z59" s="62"/>
      <c r="AA59" s="193"/>
      <c r="AB59" s="62"/>
      <c r="AC59" s="62"/>
      <c r="AD59" s="859"/>
      <c r="AE59" s="62"/>
      <c r="AF59" s="1548"/>
      <c r="AG59" s="62"/>
      <c r="AH59" s="268"/>
      <c r="AI59" s="62"/>
      <c r="AJ59" s="268"/>
    </row>
    <row r="60" spans="1:36" ht="16.5" customHeight="1">
      <c r="A60" s="83" t="s">
        <v>382</v>
      </c>
      <c r="B60" s="364"/>
      <c r="C60" s="984">
        <f>ROUND(SUM(C58+C50+C42+C30),1)</f>
        <v>13990.3</v>
      </c>
      <c r="D60" s="264"/>
      <c r="E60" s="984">
        <f>ROUND(SUM(E58+E50+E42+E30),1)</f>
        <v>0</v>
      </c>
      <c r="F60" s="264"/>
      <c r="G60" s="984">
        <f>ROUND(SUM(G58+G50+G42+G30),1)</f>
        <v>0</v>
      </c>
      <c r="H60" s="264"/>
      <c r="I60" s="984">
        <f>ROUND(SUM(I58+I50+I42+I30),1)</f>
        <v>0</v>
      </c>
      <c r="J60" s="264"/>
      <c r="K60" s="984">
        <f>ROUND(SUM(K58+K50+K42+K30),1)</f>
        <v>0</v>
      </c>
      <c r="L60" s="264"/>
      <c r="M60" s="984">
        <f>ROUND(SUM(M58+M50+M42+M30),1)</f>
        <v>0</v>
      </c>
      <c r="N60" s="264"/>
      <c r="O60" s="984">
        <f>ROUND(SUM(O58+O50+O42+O30),1)</f>
        <v>0</v>
      </c>
      <c r="P60" s="264"/>
      <c r="Q60" s="984">
        <f>ROUND(SUM(Q58+Q50+Q42+Q30),1)</f>
        <v>0</v>
      </c>
      <c r="R60" s="264"/>
      <c r="S60" s="984">
        <f>ROUND(SUM(S58+S50+S42+S30),1)</f>
        <v>0</v>
      </c>
      <c r="T60" s="264"/>
      <c r="U60" s="984">
        <f>ROUND(SUM(U58+U50+U42+U30),1)</f>
        <v>0</v>
      </c>
      <c r="V60" s="264"/>
      <c r="W60" s="984">
        <f>ROUND(SUM(W58+W50+W42+W30),1)</f>
        <v>0</v>
      </c>
      <c r="X60" s="268"/>
      <c r="Y60" s="984">
        <f>ROUND(SUM(Y58+Y50+Y42+Y30),1)</f>
        <v>0</v>
      </c>
      <c r="Z60" s="268"/>
      <c r="AA60" s="855"/>
      <c r="AB60" s="1016">
        <f>ROUND(+AB58+AB50+AB42+AB30,1)</f>
        <v>13990.3</v>
      </c>
      <c r="AC60" s="264"/>
      <c r="AD60" s="524"/>
      <c r="AE60" s="1016">
        <f>ROUND(+AE58+AE50+AE42+AE30,1)</f>
        <v>13116</v>
      </c>
      <c r="AF60" s="520"/>
      <c r="AG60" s="699"/>
      <c r="AH60" s="1016">
        <f>ROUND(+AH58+AH50+AH42+AH30,1)</f>
        <v>874.3</v>
      </c>
      <c r="AI60" s="264"/>
      <c r="AJ60" s="861">
        <f>ROUND(IF(AE60=0,0,AH60/ABS(AE60)),3)</f>
        <v>6.7000000000000004E-2</v>
      </c>
    </row>
    <row r="61" spans="1:36" ht="16.5" customHeight="1">
      <c r="A61" s="62"/>
      <c r="B61" s="62"/>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5"/>
      <c r="AB61" s="194"/>
      <c r="AC61" s="194"/>
      <c r="AD61" s="862"/>
      <c r="AE61" s="194"/>
      <c r="AF61" s="1550"/>
      <c r="AG61" s="194"/>
      <c r="AH61" s="194"/>
      <c r="AI61" s="62"/>
      <c r="AJ61" s="283"/>
    </row>
    <row r="62" spans="1:36" ht="16.5" customHeight="1">
      <c r="A62" s="1218" t="s">
        <v>383</v>
      </c>
      <c r="B62" s="366"/>
      <c r="C62" s="194"/>
      <c r="D62" s="194"/>
      <c r="E62" s="194"/>
      <c r="F62" s="194"/>
      <c r="G62" s="194"/>
      <c r="H62" s="194"/>
      <c r="I62" s="194" t="s">
        <v>103</v>
      </c>
      <c r="J62" s="194"/>
      <c r="K62" s="194" t="s">
        <v>103</v>
      </c>
      <c r="L62" s="194"/>
      <c r="M62" s="194" t="s">
        <v>103</v>
      </c>
      <c r="N62" s="194"/>
      <c r="O62" s="194" t="s">
        <v>103</v>
      </c>
      <c r="P62" s="194"/>
      <c r="Q62" s="194"/>
      <c r="R62" s="194"/>
      <c r="S62" s="194"/>
      <c r="T62" s="194"/>
      <c r="U62" s="194"/>
      <c r="V62" s="194"/>
      <c r="W62" s="194"/>
      <c r="X62" s="194"/>
      <c r="Y62" s="194"/>
      <c r="Z62" s="194"/>
      <c r="AA62" s="195"/>
      <c r="AB62" s="194"/>
      <c r="AC62" s="194"/>
      <c r="AD62" s="862"/>
      <c r="AE62" s="194"/>
      <c r="AF62" s="1550"/>
      <c r="AG62" s="194"/>
      <c r="AH62" s="194"/>
      <c r="AI62" s="62"/>
      <c r="AJ62" s="283"/>
    </row>
    <row r="63" spans="1:36" ht="16.5" customHeight="1">
      <c r="A63" s="350" t="s">
        <v>384</v>
      </c>
      <c r="B63" s="366"/>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5"/>
      <c r="AB63" s="194"/>
      <c r="AC63" s="194"/>
      <c r="AD63" s="862"/>
      <c r="AE63" s="194"/>
      <c r="AF63" s="1550"/>
      <c r="AG63" s="194"/>
      <c r="AH63" s="194"/>
      <c r="AI63" s="62"/>
      <c r="AJ63" s="283"/>
    </row>
    <row r="64" spans="1:36" ht="16.5" customHeight="1">
      <c r="A64" s="350" t="s">
        <v>385</v>
      </c>
      <c r="B64" s="350"/>
      <c r="C64" s="194">
        <f>+'Exhibit F'!D60+'Exhibit G'!D42+'Exhibit I'!E35</f>
        <v>2.2999999999999998</v>
      </c>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5"/>
      <c r="AB64" s="194">
        <f t="shared" ref="AB64:AB104" si="14">ROUND(SUM(C64:Y64),1)</f>
        <v>2.2999999999999998</v>
      </c>
      <c r="AC64" s="194"/>
      <c r="AD64" s="862"/>
      <c r="AE64" s="194">
        <f>+'Exhibit F'!AF60+'Exhibit G'!AH42+'Exhibit I'!AI35</f>
        <v>1.9</v>
      </c>
      <c r="AF64" s="1550"/>
      <c r="AG64" s="194"/>
      <c r="AH64" s="194">
        <f t="shared" ref="AH64:AH104" si="15">ROUND(SUM(AB64-AE64),1)</f>
        <v>0.4</v>
      </c>
      <c r="AI64" s="62"/>
      <c r="AJ64" s="374">
        <f>ROUND(IF(AE64=0,0,AH64/ABS(AE64)),3)</f>
        <v>0.21099999999999999</v>
      </c>
    </row>
    <row r="65" spans="1:36" ht="16.5" customHeight="1">
      <c r="A65" s="350" t="s">
        <v>386</v>
      </c>
      <c r="B65" s="350"/>
      <c r="C65" s="194">
        <f>+'Exhibit F'!D61+'Exhibit I'!E36</f>
        <v>2.8</v>
      </c>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5"/>
      <c r="AB65" s="194">
        <f t="shared" si="14"/>
        <v>2.8</v>
      </c>
      <c r="AC65" s="194"/>
      <c r="AD65" s="862"/>
      <c r="AE65" s="194">
        <f>+'Exhibit F'!AF61+'Exhibit I'!AI36</f>
        <v>4.7</v>
      </c>
      <c r="AF65" s="1550"/>
      <c r="AG65" s="194"/>
      <c r="AH65" s="194">
        <f t="shared" si="15"/>
        <v>-1.9</v>
      </c>
      <c r="AI65" s="62"/>
      <c r="AJ65" s="860">
        <f>ROUND(IF(AE65=0,0,AH65/ABS(AE65)),3)</f>
        <v>-0.40400000000000003</v>
      </c>
    </row>
    <row r="66" spans="1:36" ht="16.5" customHeight="1">
      <c r="A66" s="350" t="s">
        <v>387</v>
      </c>
      <c r="B66" s="350"/>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5"/>
      <c r="AB66" s="194"/>
      <c r="AC66" s="194"/>
      <c r="AD66" s="862"/>
      <c r="AE66" s="194"/>
      <c r="AF66" s="1550"/>
      <c r="AG66" s="194"/>
      <c r="AH66" s="194"/>
      <c r="AI66" s="62"/>
      <c r="AJ66" s="374"/>
    </row>
    <row r="67" spans="1:36" ht="16.5" customHeight="1">
      <c r="A67" s="350" t="s">
        <v>388</v>
      </c>
      <c r="B67" s="350"/>
      <c r="C67" s="194">
        <f>+'Exhibit F'!D63+'Exhibit G'!D44+'Exhibit I'!E38</f>
        <v>133.5</v>
      </c>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5"/>
      <c r="AB67" s="194">
        <f>ROUND(SUM(C67:Y67),1)</f>
        <v>133.5</v>
      </c>
      <c r="AC67" s="194"/>
      <c r="AD67" s="862"/>
      <c r="AE67" s="194">
        <f>+'Exhibit F'!AF63+'Exhibit G'!AH44+'Exhibit I'!AI38</f>
        <v>70.7</v>
      </c>
      <c r="AF67" s="1550"/>
      <c r="AG67" s="194"/>
      <c r="AH67" s="194">
        <f t="shared" si="15"/>
        <v>62.8</v>
      </c>
      <c r="AI67" s="62"/>
      <c r="AJ67" s="374">
        <f>ROUND(IF(AE67=0,0,AH67/ABS(AE67)),3)</f>
        <v>0.88800000000000001</v>
      </c>
    </row>
    <row r="68" spans="1:36" ht="16.5" customHeight="1">
      <c r="A68" s="350" t="s">
        <v>389</v>
      </c>
      <c r="B68" s="350"/>
      <c r="C68" s="194">
        <f>+'Exhibit F'!D64+'Exhibit G'!D45</f>
        <v>656.1</v>
      </c>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5"/>
      <c r="AB68" s="194">
        <f t="shared" si="14"/>
        <v>656.1</v>
      </c>
      <c r="AC68" s="194"/>
      <c r="AD68" s="862"/>
      <c r="AE68" s="194">
        <f>+'Exhibit F'!AF64+'Exhibit G'!AH45+'Exhibit H'!AD34</f>
        <v>668.5</v>
      </c>
      <c r="AF68" s="1550"/>
      <c r="AG68" s="194"/>
      <c r="AH68" s="194">
        <f t="shared" si="15"/>
        <v>-12.4</v>
      </c>
      <c r="AI68" s="62"/>
      <c r="AJ68" s="374">
        <f>ROUND(IF(AE68=0,0,AH68/ABS(AE68)),3)</f>
        <v>-1.9E-2</v>
      </c>
    </row>
    <row r="69" spans="1:36" ht="16.5" customHeight="1">
      <c r="A69" s="350" t="s">
        <v>390</v>
      </c>
      <c r="B69" s="350"/>
      <c r="C69" s="194">
        <f>+'Exhibit F'!D65+'Exhibit G'!D46</f>
        <v>2.9</v>
      </c>
      <c r="D69" s="194"/>
      <c r="E69" s="194"/>
      <c r="F69" s="194"/>
      <c r="G69" s="194"/>
      <c r="H69" s="194"/>
      <c r="I69" s="194"/>
      <c r="J69" s="194"/>
      <c r="K69" s="194"/>
      <c r="L69" s="194"/>
      <c r="M69" s="194"/>
      <c r="N69" s="194"/>
      <c r="O69" s="194"/>
      <c r="P69" s="194"/>
      <c r="Q69" s="194"/>
      <c r="R69" s="194"/>
      <c r="S69" s="194"/>
      <c r="T69" s="194"/>
      <c r="U69" s="194"/>
      <c r="V69" s="194"/>
      <c r="W69" s="194"/>
      <c r="X69" s="194"/>
      <c r="Y69" s="194"/>
      <c r="Z69" s="194"/>
      <c r="AA69" s="195"/>
      <c r="AB69" s="194">
        <f t="shared" si="14"/>
        <v>2.9</v>
      </c>
      <c r="AC69" s="194"/>
      <c r="AD69" s="862"/>
      <c r="AE69" s="194">
        <f>+'Exhibit F'!AF65+'Exhibit G'!AH46</f>
        <v>0.6</v>
      </c>
      <c r="AF69" s="1550"/>
      <c r="AG69" s="194"/>
      <c r="AH69" s="194">
        <f t="shared" si="15"/>
        <v>2.2999999999999998</v>
      </c>
      <c r="AI69" s="62"/>
      <c r="AJ69" s="860">
        <f>ROUND(IF(AE69=0,0,AH69/ABS(AE69)),3)</f>
        <v>3.8330000000000002</v>
      </c>
    </row>
    <row r="70" spans="1:36" ht="16.5" customHeight="1">
      <c r="A70" s="350" t="s">
        <v>391</v>
      </c>
      <c r="B70" s="350"/>
      <c r="C70" s="194">
        <f>+'Exhibit F'!D66+'Exhibit G'!D47</f>
        <v>0</v>
      </c>
      <c r="D70" s="194"/>
      <c r="E70" s="194"/>
      <c r="F70" s="194"/>
      <c r="G70" s="194"/>
      <c r="H70" s="194"/>
      <c r="I70" s="194"/>
      <c r="J70" s="194"/>
      <c r="K70" s="194"/>
      <c r="L70" s="194"/>
      <c r="M70" s="194"/>
      <c r="N70" s="194"/>
      <c r="O70" s="194"/>
      <c r="P70" s="194"/>
      <c r="Q70" s="194"/>
      <c r="R70" s="194"/>
      <c r="S70" s="194"/>
      <c r="T70" s="194"/>
      <c r="U70" s="194"/>
      <c r="V70" s="194"/>
      <c r="W70" s="194"/>
      <c r="X70" s="194"/>
      <c r="Y70" s="194"/>
      <c r="Z70" s="194"/>
      <c r="AA70" s="195"/>
      <c r="AB70" s="194">
        <f t="shared" si="14"/>
        <v>0</v>
      </c>
      <c r="AC70" s="194"/>
      <c r="AD70" s="862"/>
      <c r="AE70" s="194">
        <f>+'Exhibit F'!AF66+'Exhibit G'!AH47</f>
        <v>0</v>
      </c>
      <c r="AF70" s="1550"/>
      <c r="AG70" s="194"/>
      <c r="AH70" s="194">
        <f t="shared" si="15"/>
        <v>0</v>
      </c>
      <c r="AI70" s="62"/>
      <c r="AJ70" s="543">
        <f>ROUND(IF(AE70=0,0,AH70/ABS(AE70)),3)</f>
        <v>0</v>
      </c>
    </row>
    <row r="71" spans="1:36" ht="16.5" customHeight="1">
      <c r="A71" s="350" t="s">
        <v>392</v>
      </c>
      <c r="B71" s="350"/>
      <c r="C71" s="194"/>
      <c r="D71" s="194"/>
      <c r="E71" s="194"/>
      <c r="F71" s="194"/>
      <c r="G71" s="194"/>
      <c r="H71" s="194"/>
      <c r="I71" s="194"/>
      <c r="J71" s="194"/>
      <c r="K71" s="194"/>
      <c r="L71" s="194"/>
      <c r="M71" s="194"/>
      <c r="N71" s="194"/>
      <c r="O71" s="194"/>
      <c r="P71" s="194"/>
      <c r="Q71" s="194"/>
      <c r="R71" s="194"/>
      <c r="S71" s="194"/>
      <c r="T71" s="194"/>
      <c r="U71" s="194"/>
      <c r="V71" s="194"/>
      <c r="W71" s="194"/>
      <c r="X71" s="194"/>
      <c r="Y71" s="194"/>
      <c r="Z71" s="194"/>
      <c r="AA71" s="195"/>
      <c r="AB71" s="194"/>
      <c r="AC71" s="194"/>
      <c r="AD71" s="862"/>
      <c r="AE71" s="194"/>
      <c r="AF71" s="1550"/>
      <c r="AG71" s="194"/>
      <c r="AH71" s="194"/>
      <c r="AI71" s="62"/>
      <c r="AJ71" s="266"/>
    </row>
    <row r="72" spans="1:36" ht="16.5" customHeight="1">
      <c r="A72" s="350" t="s">
        <v>393</v>
      </c>
      <c r="B72" s="350"/>
      <c r="C72" s="194">
        <f>+'Exhibit F'!D68+'Exhibit H'!B36</f>
        <v>5.4</v>
      </c>
      <c r="D72" s="194"/>
      <c r="E72" s="194"/>
      <c r="F72" s="194"/>
      <c r="G72" s="194"/>
      <c r="H72" s="194"/>
      <c r="I72" s="194"/>
      <c r="J72" s="194"/>
      <c r="K72" s="194"/>
      <c r="L72" s="194"/>
      <c r="M72" s="194"/>
      <c r="N72" s="194"/>
      <c r="O72" s="194"/>
      <c r="P72" s="194"/>
      <c r="Q72" s="194"/>
      <c r="R72" s="194"/>
      <c r="S72" s="194"/>
      <c r="T72" s="194"/>
      <c r="U72" s="194"/>
      <c r="V72" s="194"/>
      <c r="W72" s="194"/>
      <c r="X72" s="194"/>
      <c r="Y72" s="194"/>
      <c r="Z72" s="194"/>
      <c r="AA72" s="195"/>
      <c r="AB72" s="194">
        <f t="shared" si="14"/>
        <v>5.4</v>
      </c>
      <c r="AC72" s="194"/>
      <c r="AD72" s="862"/>
      <c r="AE72" s="194">
        <f>+'Exhibit F'!AF68+'Exhibit H'!AD36</f>
        <v>4.7</v>
      </c>
      <c r="AF72" s="1550"/>
      <c r="AG72" s="194"/>
      <c r="AH72" s="194">
        <f t="shared" si="15"/>
        <v>0.7</v>
      </c>
      <c r="AI72" s="62"/>
      <c r="AJ72" s="266">
        <f t="shared" ref="AJ72:AJ79" si="16">ROUND(IF(AE72=0,0,AH72/ABS(AE72)),3)</f>
        <v>0.14899999999999999</v>
      </c>
    </row>
    <row r="73" spans="1:36" ht="16.5" customHeight="1">
      <c r="A73" s="350" t="s">
        <v>394</v>
      </c>
      <c r="B73" s="350"/>
      <c r="C73" s="194">
        <f>'Exhibit G'!D49</f>
        <v>0</v>
      </c>
      <c r="D73" s="194"/>
      <c r="E73" s="194"/>
      <c r="F73" s="194"/>
      <c r="G73" s="194"/>
      <c r="H73" s="194"/>
      <c r="I73" s="194"/>
      <c r="J73" s="194"/>
      <c r="K73" s="194"/>
      <c r="L73" s="194"/>
      <c r="M73" s="194"/>
      <c r="N73" s="194"/>
      <c r="O73" s="194"/>
      <c r="P73" s="194"/>
      <c r="Q73" s="194"/>
      <c r="R73" s="194"/>
      <c r="S73" s="194"/>
      <c r="T73" s="194"/>
      <c r="U73" s="194"/>
      <c r="V73" s="194"/>
      <c r="W73" s="194"/>
      <c r="X73" s="194"/>
      <c r="Y73" s="194"/>
      <c r="Z73" s="194"/>
      <c r="AA73" s="392"/>
      <c r="AB73" s="194">
        <f t="shared" si="14"/>
        <v>0</v>
      </c>
      <c r="AC73" s="194"/>
      <c r="AD73" s="862"/>
      <c r="AE73" s="194">
        <f>'Exhibit G'!AH49</f>
        <v>0</v>
      </c>
      <c r="AF73" s="1550"/>
      <c r="AG73" s="194"/>
      <c r="AH73" s="194">
        <f>ROUND(SUM(AB73-AE73),1)</f>
        <v>0</v>
      </c>
      <c r="AI73" s="62"/>
      <c r="AJ73" s="266">
        <f>ROUND(IF(AE73=0,0,AH73/ABS(AE73)),3)</f>
        <v>0</v>
      </c>
    </row>
    <row r="74" spans="1:36" ht="16.5" customHeight="1">
      <c r="A74" s="350" t="s">
        <v>395</v>
      </c>
      <c r="B74" s="350"/>
      <c r="C74" s="194">
        <f>+'Exhibit F'!D70+'Exhibit G'!D50+'Exhibit I'!E40+'Exhibit H'!B37</f>
        <v>86.9</v>
      </c>
      <c r="D74" s="194"/>
      <c r="E74" s="194"/>
      <c r="F74" s="194"/>
      <c r="G74" s="194"/>
      <c r="H74" s="194"/>
      <c r="I74" s="194"/>
      <c r="J74" s="194"/>
      <c r="K74" s="194"/>
      <c r="L74" s="194"/>
      <c r="M74" s="194"/>
      <c r="N74" s="194"/>
      <c r="O74" s="194"/>
      <c r="P74" s="194"/>
      <c r="Q74" s="194"/>
      <c r="R74" s="194"/>
      <c r="S74" s="194"/>
      <c r="T74" s="194"/>
      <c r="U74" s="194"/>
      <c r="V74" s="194"/>
      <c r="W74" s="194"/>
      <c r="X74" s="194"/>
      <c r="Y74" s="194"/>
      <c r="Z74" s="194"/>
      <c r="AA74" s="195"/>
      <c r="AB74" s="194">
        <f t="shared" si="14"/>
        <v>86.9</v>
      </c>
      <c r="AC74" s="194"/>
      <c r="AD74" s="862"/>
      <c r="AE74" s="264">
        <f>+'Exhibit F'!AF70+'Exhibit G'!AH50+'Exhibit I'!AI40+'Exhibit H'!AD37</f>
        <v>74.899999999999991</v>
      </c>
      <c r="AF74" s="1550"/>
      <c r="AG74" s="194"/>
      <c r="AH74" s="194">
        <f>ROUND(SUM(AB74-AE74),1)</f>
        <v>12</v>
      </c>
      <c r="AI74" s="62"/>
      <c r="AJ74" s="266">
        <f>ROUND(IF(AE74=0,1,AH74/ABS(AE74)),3)</f>
        <v>0.16</v>
      </c>
    </row>
    <row r="75" spans="1:36" ht="16.5" customHeight="1">
      <c r="A75" s="350" t="s">
        <v>396</v>
      </c>
      <c r="B75" s="350"/>
      <c r="C75" s="194">
        <f>+'Exhibit F'!D71+'Exhibit G'!D51+'Exhibit H'!B38</f>
        <v>33.6</v>
      </c>
      <c r="D75" s="194"/>
      <c r="E75" s="194"/>
      <c r="F75" s="194"/>
      <c r="G75" s="194"/>
      <c r="H75" s="194"/>
      <c r="I75" s="194"/>
      <c r="J75" s="194"/>
      <c r="K75" s="194"/>
      <c r="L75" s="194"/>
      <c r="M75" s="194"/>
      <c r="N75" s="194"/>
      <c r="O75" s="194"/>
      <c r="P75" s="194"/>
      <c r="Q75" s="194"/>
      <c r="R75" s="194"/>
      <c r="S75" s="194"/>
      <c r="T75" s="194"/>
      <c r="U75" s="194"/>
      <c r="V75" s="194"/>
      <c r="W75" s="194"/>
      <c r="X75" s="194"/>
      <c r="Y75" s="194"/>
      <c r="Z75" s="194"/>
      <c r="AA75" s="195"/>
      <c r="AB75" s="194">
        <f t="shared" si="14"/>
        <v>33.6</v>
      </c>
      <c r="AC75" s="194"/>
      <c r="AD75" s="862"/>
      <c r="AE75" s="194">
        <f>+'Exhibit F'!AF71+'Exhibit G'!AH51+'Exhibit H'!AD38+'Exhibit I'!AI41</f>
        <v>24.200000000000003</v>
      </c>
      <c r="AF75" s="1550"/>
      <c r="AG75" s="194"/>
      <c r="AH75" s="194">
        <f t="shared" si="15"/>
        <v>9.4</v>
      </c>
      <c r="AI75" s="62"/>
      <c r="AJ75" s="266">
        <f t="shared" si="16"/>
        <v>0.38800000000000001</v>
      </c>
    </row>
    <row r="76" spans="1:36" ht="16.5" customHeight="1">
      <c r="A76" s="350" t="s">
        <v>397</v>
      </c>
      <c r="B76" s="350"/>
      <c r="C76" s="194">
        <f>+'Exhibit F'!D72+'Exhibit G'!D52+'Exhibit H'!B39</f>
        <v>0.1</v>
      </c>
      <c r="D76" s="194"/>
      <c r="E76" s="194"/>
      <c r="F76" s="194"/>
      <c r="G76" s="194"/>
      <c r="H76" s="194"/>
      <c r="I76" s="194"/>
      <c r="J76" s="194"/>
      <c r="K76" s="194"/>
      <c r="L76" s="194"/>
      <c r="M76" s="194"/>
      <c r="N76" s="194"/>
      <c r="O76" s="194"/>
      <c r="P76" s="194"/>
      <c r="Q76" s="194"/>
      <c r="R76" s="194"/>
      <c r="S76" s="194"/>
      <c r="T76" s="194"/>
      <c r="U76" s="194"/>
      <c r="V76" s="194"/>
      <c r="W76" s="194"/>
      <c r="X76" s="194"/>
      <c r="Y76" s="194"/>
      <c r="Z76" s="194"/>
      <c r="AA76" s="195"/>
      <c r="AB76" s="194">
        <f t="shared" si="14"/>
        <v>0.1</v>
      </c>
      <c r="AC76" s="194"/>
      <c r="AD76" s="862"/>
      <c r="AE76" s="194">
        <f>+'Exhibit F'!AF72+'Exhibit G'!AH52+'Exhibit H'!AD39</f>
        <v>0.1</v>
      </c>
      <c r="AF76" s="1550"/>
      <c r="AG76" s="194"/>
      <c r="AH76" s="194">
        <f t="shared" si="15"/>
        <v>0</v>
      </c>
      <c r="AI76" s="62"/>
      <c r="AJ76" s="266">
        <f>ROUND(IF(AE76=0,0,AH76/ABS(AE76)),3)</f>
        <v>0</v>
      </c>
    </row>
    <row r="77" spans="1:36" ht="16.5" customHeight="1">
      <c r="A77" s="350" t="s">
        <v>398</v>
      </c>
      <c r="B77" s="350"/>
      <c r="C77" s="194">
        <f>+'Exhibit F'!D73+'Exhibit G'!D53+'Exhibit I'!E42+'Exhibit H'!B40</f>
        <v>210.6</v>
      </c>
      <c r="D77" s="194"/>
      <c r="E77" s="194"/>
      <c r="F77" s="194"/>
      <c r="G77" s="194"/>
      <c r="H77" s="194"/>
      <c r="I77" s="194"/>
      <c r="J77" s="194"/>
      <c r="K77" s="194"/>
      <c r="L77" s="194"/>
      <c r="M77" s="194"/>
      <c r="N77" s="194"/>
      <c r="O77" s="194"/>
      <c r="P77" s="194"/>
      <c r="Q77" s="194"/>
      <c r="R77" s="194"/>
      <c r="S77" s="194"/>
      <c r="T77" s="194"/>
      <c r="U77" s="194"/>
      <c r="V77" s="194"/>
      <c r="W77" s="194"/>
      <c r="X77" s="194"/>
      <c r="Y77" s="194"/>
      <c r="Z77" s="194"/>
      <c r="AA77" s="195"/>
      <c r="AB77" s="194">
        <f t="shared" si="14"/>
        <v>210.6</v>
      </c>
      <c r="AC77" s="194"/>
      <c r="AD77" s="862"/>
      <c r="AE77" s="194">
        <f>+'Exhibit F'!AF73+'Exhibit G'!AH53+'Exhibit I'!AI42+'Exhibit H'!AD40</f>
        <v>132.9</v>
      </c>
      <c r="AF77" s="1550"/>
      <c r="AG77" s="194"/>
      <c r="AH77" s="194">
        <f t="shared" si="15"/>
        <v>77.7</v>
      </c>
      <c r="AI77" s="62"/>
      <c r="AJ77" s="266">
        <f t="shared" si="16"/>
        <v>0.58499999999999996</v>
      </c>
    </row>
    <row r="78" spans="1:36" ht="16.5" customHeight="1">
      <c r="A78" s="350" t="s">
        <v>399</v>
      </c>
      <c r="B78" s="350"/>
      <c r="C78" s="194">
        <f>+'Exhibit F'!D74+'Exhibit G'!D54+'Exhibit I'!E43+'Exhibit H'!B41</f>
        <v>94</v>
      </c>
      <c r="D78" s="194"/>
      <c r="E78" s="194"/>
      <c r="F78" s="194"/>
      <c r="G78" s="194"/>
      <c r="H78" s="194"/>
      <c r="I78" s="194"/>
      <c r="J78" s="194"/>
      <c r="K78" s="194"/>
      <c r="L78" s="194"/>
      <c r="M78" s="194"/>
      <c r="N78" s="194"/>
      <c r="O78" s="194"/>
      <c r="P78" s="194"/>
      <c r="Q78" s="194"/>
      <c r="R78" s="194"/>
      <c r="S78" s="194"/>
      <c r="T78" s="194"/>
      <c r="U78" s="194"/>
      <c r="V78" s="194"/>
      <c r="W78" s="194"/>
      <c r="X78" s="194"/>
      <c r="Y78" s="194"/>
      <c r="Z78" s="194"/>
      <c r="AA78" s="195"/>
      <c r="AB78" s="194">
        <f t="shared" si="14"/>
        <v>94</v>
      </c>
      <c r="AC78" s="194"/>
      <c r="AD78" s="862"/>
      <c r="AE78" s="194">
        <f>+'Exhibit F'!AF74+'Exhibit G'!AH54+'Exhibit I'!AI43+'Exhibit H'!AD41</f>
        <v>88.4</v>
      </c>
      <c r="AF78" s="1550"/>
      <c r="AG78" s="194"/>
      <c r="AH78" s="194">
        <f t="shared" si="15"/>
        <v>5.6</v>
      </c>
      <c r="AI78" s="62"/>
      <c r="AJ78" s="266">
        <f t="shared" si="16"/>
        <v>6.3E-2</v>
      </c>
    </row>
    <row r="79" spans="1:36" ht="16.5" customHeight="1">
      <c r="A79" s="350" t="s">
        <v>400</v>
      </c>
      <c r="B79" s="350"/>
      <c r="C79" s="194">
        <f>+'Exhibit F'!D75+'Exhibit G'!D55+'Exhibit I'!E44</f>
        <v>73.099999999999994</v>
      </c>
      <c r="D79" s="194"/>
      <c r="E79" s="194"/>
      <c r="F79" s="194"/>
      <c r="G79" s="194"/>
      <c r="H79" s="194"/>
      <c r="I79" s="194"/>
      <c r="J79" s="194"/>
      <c r="K79" s="194"/>
      <c r="L79" s="194"/>
      <c r="M79" s="194"/>
      <c r="N79" s="194"/>
      <c r="O79" s="194"/>
      <c r="P79" s="194"/>
      <c r="Q79" s="194"/>
      <c r="R79" s="194"/>
      <c r="S79" s="194"/>
      <c r="T79" s="194"/>
      <c r="U79" s="194"/>
      <c r="V79" s="194"/>
      <c r="W79" s="194"/>
      <c r="X79" s="194"/>
      <c r="Y79" s="194"/>
      <c r="Z79" s="194"/>
      <c r="AA79" s="195"/>
      <c r="AB79" s="194">
        <f t="shared" si="14"/>
        <v>73.099999999999994</v>
      </c>
      <c r="AC79" s="194"/>
      <c r="AD79" s="862"/>
      <c r="AE79" s="194">
        <f>+'Exhibit F'!AF75+'Exhibit G'!AH55+'Exhibit I'!AI44</f>
        <v>62.199999999999996</v>
      </c>
      <c r="AF79" s="1550"/>
      <c r="AG79" s="194"/>
      <c r="AH79" s="194">
        <f t="shared" si="15"/>
        <v>10.9</v>
      </c>
      <c r="AI79" s="62"/>
      <c r="AJ79" s="266">
        <f t="shared" si="16"/>
        <v>0.17499999999999999</v>
      </c>
    </row>
    <row r="80" spans="1:36" ht="16.5" customHeight="1">
      <c r="A80" s="350" t="s">
        <v>401</v>
      </c>
      <c r="B80" s="350"/>
      <c r="C80" s="194"/>
      <c r="D80" s="194"/>
      <c r="E80" s="194"/>
      <c r="F80" s="194"/>
      <c r="G80" s="194"/>
      <c r="H80" s="194"/>
      <c r="I80" s="194"/>
      <c r="J80" s="194"/>
      <c r="K80" s="194"/>
      <c r="L80" s="194"/>
      <c r="M80" s="194"/>
      <c r="N80" s="194"/>
      <c r="O80" s="194"/>
      <c r="P80" s="194"/>
      <c r="Q80" s="194"/>
      <c r="R80" s="194"/>
      <c r="S80" s="194"/>
      <c r="T80" s="194"/>
      <c r="U80" s="194"/>
      <c r="V80" s="194"/>
      <c r="W80" s="194"/>
      <c r="X80" s="194"/>
      <c r="Y80" s="194"/>
      <c r="Z80" s="194"/>
      <c r="AA80" s="195"/>
      <c r="AB80" s="194"/>
      <c r="AC80" s="194"/>
      <c r="AD80" s="862"/>
      <c r="AE80" s="194"/>
      <c r="AF80" s="1550"/>
      <c r="AG80" s="194"/>
      <c r="AH80" s="194"/>
      <c r="AI80" s="62"/>
      <c r="AJ80" s="266"/>
    </row>
    <row r="81" spans="1:37" ht="16.5" customHeight="1">
      <c r="A81" s="350" t="s">
        <v>402</v>
      </c>
      <c r="B81" s="350"/>
      <c r="C81" s="194">
        <f>+'Exhibit G'!D57</f>
        <v>57.6</v>
      </c>
      <c r="D81" s="194"/>
      <c r="E81" s="194"/>
      <c r="F81" s="194"/>
      <c r="G81" s="194"/>
      <c r="H81" s="194"/>
      <c r="I81" s="194"/>
      <c r="J81" s="194"/>
      <c r="K81" s="194"/>
      <c r="L81" s="194"/>
      <c r="M81" s="194"/>
      <c r="N81" s="194"/>
      <c r="O81" s="194"/>
      <c r="P81" s="194"/>
      <c r="Q81" s="194"/>
      <c r="R81" s="194"/>
      <c r="S81" s="194"/>
      <c r="T81" s="194"/>
      <c r="U81" s="194"/>
      <c r="V81" s="194"/>
      <c r="W81" s="194"/>
      <c r="X81" s="194"/>
      <c r="Y81" s="194"/>
      <c r="Z81" s="194"/>
      <c r="AA81" s="195"/>
      <c r="AB81" s="194">
        <f t="shared" ref="AB81:AB86" si="17">ROUND(SUM(C81:Y81),1)</f>
        <v>57.6</v>
      </c>
      <c r="AC81" s="194"/>
      <c r="AD81" s="862"/>
      <c r="AE81" s="194">
        <f>+'Exhibit G'!AH57</f>
        <v>46.8</v>
      </c>
      <c r="AF81" s="1550"/>
      <c r="AG81" s="194"/>
      <c r="AH81" s="194">
        <f t="shared" ref="AH81:AH86" si="18">ROUND(SUM(AB81-AE81),1)</f>
        <v>10.8</v>
      </c>
      <c r="AI81" s="62"/>
      <c r="AJ81" s="543">
        <f>ROUND(IF(AE81=0,1,AH81/ABS(AE81)),3)</f>
        <v>0.23100000000000001</v>
      </c>
    </row>
    <row r="82" spans="1:37" ht="16.5" customHeight="1">
      <c r="A82" s="350" t="s">
        <v>403</v>
      </c>
      <c r="B82" s="350"/>
      <c r="C82" s="194">
        <f>+'Exhibit G'!D58</f>
        <v>218.6</v>
      </c>
      <c r="D82" s="194"/>
      <c r="E82" s="194"/>
      <c r="F82" s="194"/>
      <c r="G82" s="194"/>
      <c r="H82" s="194"/>
      <c r="I82" s="194"/>
      <c r="J82" s="194"/>
      <c r="K82" s="194"/>
      <c r="L82" s="194"/>
      <c r="M82" s="194"/>
      <c r="N82" s="194"/>
      <c r="O82" s="194"/>
      <c r="P82" s="194"/>
      <c r="Q82" s="194"/>
      <c r="R82" s="194"/>
      <c r="S82" s="194"/>
      <c r="T82" s="194"/>
      <c r="U82" s="194"/>
      <c r="V82" s="194"/>
      <c r="W82" s="194"/>
      <c r="X82" s="194"/>
      <c r="Y82" s="194"/>
      <c r="Z82" s="194"/>
      <c r="AA82" s="195"/>
      <c r="AB82" s="194">
        <f t="shared" si="17"/>
        <v>218.6</v>
      </c>
      <c r="AC82" s="194"/>
      <c r="AD82" s="862"/>
      <c r="AE82" s="194">
        <f>+'Exhibit G'!AH58</f>
        <v>232</v>
      </c>
      <c r="AF82" s="1550"/>
      <c r="AG82" s="194"/>
      <c r="AH82" s="194">
        <f t="shared" si="18"/>
        <v>-13.4</v>
      </c>
      <c r="AI82" s="62"/>
      <c r="AJ82" s="543">
        <f>ROUND(IF(AE82=0,1,AH82/ABS(AE82)),3)</f>
        <v>-5.8000000000000003E-2</v>
      </c>
      <c r="AK82" s="58" t="s">
        <v>103</v>
      </c>
    </row>
    <row r="83" spans="1:37" ht="16.5" customHeight="1">
      <c r="A83" s="350" t="s">
        <v>404</v>
      </c>
      <c r="B83" s="350"/>
      <c r="C83" s="194">
        <f>+'Exhibit G'!D59+'Exhibit F'!D77</f>
        <v>122.4</v>
      </c>
      <c r="D83" s="194"/>
      <c r="E83" s="194"/>
      <c r="F83" s="194"/>
      <c r="G83" s="194"/>
      <c r="H83" s="194"/>
      <c r="I83" s="194"/>
      <c r="J83" s="194"/>
      <c r="K83" s="194"/>
      <c r="L83" s="194"/>
      <c r="M83" s="194"/>
      <c r="N83" s="194"/>
      <c r="O83" s="194"/>
      <c r="P83" s="194"/>
      <c r="Q83" s="194"/>
      <c r="R83" s="194"/>
      <c r="S83" s="194"/>
      <c r="T83" s="194"/>
      <c r="U83" s="194"/>
      <c r="V83" s="194"/>
      <c r="W83" s="194"/>
      <c r="X83" s="194"/>
      <c r="Y83" s="194"/>
      <c r="Z83" s="194"/>
      <c r="AA83" s="195"/>
      <c r="AB83" s="194">
        <f t="shared" si="17"/>
        <v>122.4</v>
      </c>
      <c r="AC83" s="194"/>
      <c r="AD83" s="862"/>
      <c r="AE83" s="194">
        <f>+'Exhibit G'!AH59+'Exhibit F'!AF77</f>
        <v>87.2</v>
      </c>
      <c r="AF83" s="1550"/>
      <c r="AG83" s="194"/>
      <c r="AH83" s="194">
        <f t="shared" si="18"/>
        <v>35.200000000000003</v>
      </c>
      <c r="AI83" s="62"/>
      <c r="AJ83" s="543">
        <f>ROUND(IF(AE83=0,1,AH83/ABS(AE83)),3)</f>
        <v>0.40400000000000003</v>
      </c>
    </row>
    <row r="84" spans="1:37" ht="16.5" customHeight="1">
      <c r="A84" s="350" t="s">
        <v>405</v>
      </c>
      <c r="B84" s="350"/>
      <c r="C84" s="194">
        <f>+'Exhibit G'!D60</f>
        <v>103</v>
      </c>
      <c r="D84" s="194"/>
      <c r="E84" s="194"/>
      <c r="F84" s="194"/>
      <c r="G84" s="194"/>
      <c r="H84" s="194"/>
      <c r="I84" s="194"/>
      <c r="J84" s="194"/>
      <c r="K84" s="194"/>
      <c r="L84" s="194"/>
      <c r="M84" s="194"/>
      <c r="N84" s="194"/>
      <c r="O84" s="194"/>
      <c r="P84" s="194"/>
      <c r="Q84" s="194"/>
      <c r="R84" s="194"/>
      <c r="S84" s="194"/>
      <c r="T84" s="194"/>
      <c r="U84" s="194"/>
      <c r="V84" s="194"/>
      <c r="W84" s="194"/>
      <c r="X84" s="194"/>
      <c r="Y84" s="194"/>
      <c r="Z84" s="194"/>
      <c r="AA84" s="195"/>
      <c r="AB84" s="194">
        <f t="shared" si="17"/>
        <v>103</v>
      </c>
      <c r="AC84" s="194"/>
      <c r="AD84" s="862"/>
      <c r="AE84" s="194">
        <f>+'Exhibit G'!AH60</f>
        <v>101.9</v>
      </c>
      <c r="AF84" s="1550"/>
      <c r="AG84" s="194"/>
      <c r="AH84" s="194">
        <f t="shared" si="18"/>
        <v>1.1000000000000001</v>
      </c>
      <c r="AI84" s="62"/>
      <c r="AJ84" s="543">
        <f>ROUND(IF(AE84=0,1,AH84/ABS(AE84)),3)</f>
        <v>1.0999999999999999E-2</v>
      </c>
    </row>
    <row r="85" spans="1:37" ht="16.5" customHeight="1">
      <c r="A85" s="350" t="s">
        <v>406</v>
      </c>
      <c r="B85" s="350"/>
      <c r="C85" s="194">
        <f>+'Exhibit F'!D78+'Exhibit G'!D61+'Exhibit H'!B42+'Exhibit I'!E45</f>
        <v>284.7</v>
      </c>
      <c r="D85" s="194"/>
      <c r="E85" s="194"/>
      <c r="F85" s="194"/>
      <c r="G85" s="194"/>
      <c r="H85" s="194"/>
      <c r="I85" s="194"/>
      <c r="J85" s="194"/>
      <c r="K85" s="194"/>
      <c r="L85" s="194"/>
      <c r="M85" s="194"/>
      <c r="N85" s="194"/>
      <c r="O85" s="194"/>
      <c r="P85" s="194"/>
      <c r="Q85" s="194"/>
      <c r="R85" s="194"/>
      <c r="S85" s="194"/>
      <c r="T85" s="194"/>
      <c r="U85" s="194"/>
      <c r="V85" s="194"/>
      <c r="W85" s="194"/>
      <c r="X85" s="194"/>
      <c r="Y85" s="194"/>
      <c r="Z85" s="194"/>
      <c r="AA85" s="195"/>
      <c r="AB85" s="194">
        <f t="shared" si="17"/>
        <v>284.7</v>
      </c>
      <c r="AC85" s="194"/>
      <c r="AD85" s="862"/>
      <c r="AE85" s="194">
        <f>+'Exhibit F'!AF78+'Exhibit G'!AH61+'Exhibit H'!AD42+'Exhibit I'!AI45</f>
        <v>322.90000000000003</v>
      </c>
      <c r="AF85" s="1550"/>
      <c r="AG85" s="194"/>
      <c r="AH85" s="194">
        <f t="shared" si="18"/>
        <v>-38.200000000000003</v>
      </c>
      <c r="AI85" s="62"/>
      <c r="AJ85" s="860">
        <f>ROUND(IF(AE85=0,0,AH85/ABS(AE85)),3)</f>
        <v>-0.11799999999999999</v>
      </c>
    </row>
    <row r="86" spans="1:37" ht="16.5" customHeight="1">
      <c r="A86" s="350" t="s">
        <v>407</v>
      </c>
      <c r="B86" s="350"/>
      <c r="C86" s="194">
        <f>+'Exhibit F'!D79+'Exhibit G'!D62+'Exhibit H'!B43+'Exhibit I'!E46</f>
        <v>7.3</v>
      </c>
      <c r="D86" s="194"/>
      <c r="E86" s="194"/>
      <c r="F86" s="194"/>
      <c r="G86" s="194"/>
      <c r="H86" s="194"/>
      <c r="I86" s="194"/>
      <c r="J86" s="194"/>
      <c r="K86" s="194"/>
      <c r="L86" s="194"/>
      <c r="M86" s="194"/>
      <c r="N86" s="194"/>
      <c r="O86" s="194"/>
      <c r="P86" s="194"/>
      <c r="Q86" s="194"/>
      <c r="R86" s="194"/>
      <c r="S86" s="194"/>
      <c r="T86" s="194"/>
      <c r="U86" s="194"/>
      <c r="V86" s="194"/>
      <c r="W86" s="194"/>
      <c r="X86" s="194"/>
      <c r="Y86" s="194"/>
      <c r="Z86" s="194"/>
      <c r="AA86" s="195"/>
      <c r="AB86" s="194">
        <f t="shared" si="17"/>
        <v>7.3</v>
      </c>
      <c r="AC86" s="194"/>
      <c r="AD86" s="862"/>
      <c r="AE86" s="194">
        <f>+'Exhibit F'!AF79+'Exhibit G'!AH62+'Exhibit H'!AD43+'Exhibit I'!AI46</f>
        <v>7.7</v>
      </c>
      <c r="AF86" s="1550"/>
      <c r="AG86" s="194"/>
      <c r="AH86" s="194">
        <f t="shared" si="18"/>
        <v>-0.4</v>
      </c>
      <c r="AI86" s="62"/>
      <c r="AJ86" s="266">
        <f>ROUND(IF(AE86=0,0,AH86/ABS(AE86)),3)</f>
        <v>-5.1999999999999998E-2</v>
      </c>
    </row>
    <row r="87" spans="1:37" ht="16.5" customHeight="1">
      <c r="A87" s="350" t="s">
        <v>408</v>
      </c>
      <c r="B87" s="350"/>
      <c r="C87" s="194"/>
      <c r="D87" s="194"/>
      <c r="E87" s="194"/>
      <c r="F87" s="194"/>
      <c r="G87" s="194"/>
      <c r="H87" s="194"/>
      <c r="I87" s="194"/>
      <c r="J87" s="194"/>
      <c r="K87" s="194"/>
      <c r="L87" s="194"/>
      <c r="M87" s="194"/>
      <c r="N87" s="194"/>
      <c r="O87" s="194"/>
      <c r="P87" s="194"/>
      <c r="Q87" s="194"/>
      <c r="R87" s="194"/>
      <c r="S87" s="194"/>
      <c r="T87" s="194"/>
      <c r="U87" s="194"/>
      <c r="V87" s="194"/>
      <c r="W87" s="194"/>
      <c r="X87" s="194"/>
      <c r="Y87" s="194"/>
      <c r="Z87" s="194"/>
      <c r="AA87" s="195"/>
      <c r="AB87" s="194"/>
      <c r="AC87" s="194"/>
      <c r="AD87" s="862"/>
      <c r="AE87" s="194"/>
      <c r="AF87" s="1550"/>
      <c r="AG87" s="194"/>
      <c r="AH87" s="194"/>
      <c r="AI87" s="62"/>
      <c r="AJ87" s="374"/>
    </row>
    <row r="88" spans="1:37" ht="16.5" customHeight="1">
      <c r="A88" s="350" t="s">
        <v>409</v>
      </c>
      <c r="B88" s="350"/>
      <c r="C88" s="194">
        <f>+'Exhibit G'!D64+'Exhibit I'!E48</f>
        <v>3.8000000000000003</v>
      </c>
      <c r="D88" s="194"/>
      <c r="E88" s="194"/>
      <c r="F88" s="194"/>
      <c r="G88" s="194"/>
      <c r="H88" s="194"/>
      <c r="I88" s="194"/>
      <c r="J88" s="194"/>
      <c r="K88" s="194"/>
      <c r="L88" s="194"/>
      <c r="M88" s="194"/>
      <c r="N88" s="194"/>
      <c r="O88" s="194"/>
      <c r="P88" s="194"/>
      <c r="Q88" s="194"/>
      <c r="R88" s="194"/>
      <c r="S88" s="194"/>
      <c r="T88" s="194"/>
      <c r="U88" s="194"/>
      <c r="V88" s="194"/>
      <c r="W88" s="194"/>
      <c r="X88" s="194"/>
      <c r="Y88" s="194"/>
      <c r="Z88" s="194"/>
      <c r="AA88" s="195"/>
      <c r="AB88" s="194">
        <f t="shared" si="14"/>
        <v>3.8</v>
      </c>
      <c r="AC88" s="194"/>
      <c r="AD88" s="862"/>
      <c r="AE88" s="194">
        <f>+'Exhibit G'!AH64+'Exhibit I'!AI48+'Exhibit H'!AD45+'Exhibit F'!AF81</f>
        <v>0</v>
      </c>
      <c r="AF88" s="1550"/>
      <c r="AG88" s="194"/>
      <c r="AH88" s="194">
        <f t="shared" si="15"/>
        <v>3.8</v>
      </c>
      <c r="AI88" s="62"/>
      <c r="AJ88" s="543">
        <f>ROUND(IF(AE88=0,1,AH88/ABS(AE88)),3)</f>
        <v>1</v>
      </c>
    </row>
    <row r="89" spans="1:37" ht="16.5" customHeight="1">
      <c r="A89" s="350" t="s">
        <v>410</v>
      </c>
      <c r="B89" s="350"/>
      <c r="C89" s="194">
        <f>+'Exhibit F'!D82+'Exhibit G'!D65</f>
        <v>0.4</v>
      </c>
      <c r="D89" s="194"/>
      <c r="E89" s="194"/>
      <c r="F89" s="194"/>
      <c r="G89" s="194"/>
      <c r="H89" s="194"/>
      <c r="I89" s="194"/>
      <c r="J89" s="194"/>
      <c r="K89" s="194"/>
      <c r="L89" s="194"/>
      <c r="M89" s="194"/>
      <c r="N89" s="194"/>
      <c r="O89" s="194"/>
      <c r="P89" s="194"/>
      <c r="Q89" s="194"/>
      <c r="R89" s="194"/>
      <c r="S89" s="194"/>
      <c r="T89" s="194"/>
      <c r="U89" s="194"/>
      <c r="V89" s="194"/>
      <c r="W89" s="194"/>
      <c r="X89" s="194"/>
      <c r="Y89" s="194"/>
      <c r="Z89" s="194"/>
      <c r="AA89" s="195"/>
      <c r="AB89" s="194">
        <f t="shared" si="14"/>
        <v>0.4</v>
      </c>
      <c r="AC89" s="194"/>
      <c r="AD89" s="862"/>
      <c r="AE89" s="194">
        <f>+'Exhibit F'!AF82+'Exhibit G'!AH65</f>
        <v>0.4</v>
      </c>
      <c r="AF89" s="1550"/>
      <c r="AG89" s="194"/>
      <c r="AH89" s="194">
        <f t="shared" si="15"/>
        <v>0</v>
      </c>
      <c r="AI89" s="62"/>
      <c r="AJ89" s="543">
        <f>ROUND(IF(AE89=0,1,AH89/ABS(AE89)),3)</f>
        <v>0</v>
      </c>
    </row>
    <row r="90" spans="1:37" ht="16.5" customHeight="1">
      <c r="A90" s="350" t="s">
        <v>411</v>
      </c>
      <c r="B90" s="350"/>
      <c r="C90" s="194">
        <f>+'Exhibit F'!D83+'Exhibit G'!D66</f>
        <v>0.8</v>
      </c>
      <c r="D90" s="194"/>
      <c r="E90" s="194"/>
      <c r="F90" s="194"/>
      <c r="G90" s="194"/>
      <c r="H90" s="194"/>
      <c r="I90" s="194"/>
      <c r="J90" s="194"/>
      <c r="K90" s="194"/>
      <c r="L90" s="194"/>
      <c r="M90" s="194"/>
      <c r="N90" s="194"/>
      <c r="O90" s="194"/>
      <c r="P90" s="194"/>
      <c r="Q90" s="194"/>
      <c r="R90" s="194"/>
      <c r="S90" s="194"/>
      <c r="T90" s="194"/>
      <c r="U90" s="194"/>
      <c r="V90" s="194"/>
      <c r="W90" s="194"/>
      <c r="X90" s="194"/>
      <c r="Y90" s="194"/>
      <c r="Z90" s="194"/>
      <c r="AA90" s="195"/>
      <c r="AB90" s="194">
        <f t="shared" si="14"/>
        <v>0.8</v>
      </c>
      <c r="AC90" s="194"/>
      <c r="AD90" s="862"/>
      <c r="AE90" s="194">
        <f>+'Exhibit F'!AF83+'Exhibit G'!AH66</f>
        <v>0.5</v>
      </c>
      <c r="AF90" s="1550"/>
      <c r="AG90" s="194"/>
      <c r="AH90" s="194">
        <f t="shared" si="15"/>
        <v>0.3</v>
      </c>
      <c r="AI90" s="62"/>
      <c r="AJ90" s="543">
        <f t="shared" ref="AJ90:AJ92" si="19">ROUND(IF(AE90=0,0,AH90/ABS(AE90)),3)</f>
        <v>0.6</v>
      </c>
    </row>
    <row r="91" spans="1:37" ht="16.5" customHeight="1">
      <c r="A91" s="350" t="s">
        <v>412</v>
      </c>
      <c r="B91" s="350"/>
      <c r="C91" s="194">
        <f>+'Exhibit F'!D84+'Exhibit G'!D67+'Exhibit I'!E50</f>
        <v>4.9000000000000004</v>
      </c>
      <c r="D91" s="194"/>
      <c r="E91" s="194"/>
      <c r="F91" s="194"/>
      <c r="G91" s="194"/>
      <c r="H91" s="194"/>
      <c r="I91" s="194"/>
      <c r="J91" s="194"/>
      <c r="K91" s="194"/>
      <c r="L91" s="194"/>
      <c r="M91" s="194"/>
      <c r="N91" s="194"/>
      <c r="O91" s="194"/>
      <c r="P91" s="194"/>
      <c r="Q91" s="194"/>
      <c r="R91" s="194"/>
      <c r="S91" s="194"/>
      <c r="T91" s="194"/>
      <c r="U91" s="194"/>
      <c r="V91" s="194"/>
      <c r="W91" s="194"/>
      <c r="X91" s="194"/>
      <c r="Y91" s="194"/>
      <c r="Z91" s="194"/>
      <c r="AA91" s="195"/>
      <c r="AB91" s="194">
        <f t="shared" si="14"/>
        <v>4.9000000000000004</v>
      </c>
      <c r="AC91" s="194"/>
      <c r="AD91" s="862"/>
      <c r="AE91" s="194">
        <f>+'Exhibit F'!AF84+'Exhibit G'!AH67+'Exhibit I'!AI50</f>
        <v>7</v>
      </c>
      <c r="AF91" s="1550"/>
      <c r="AG91" s="194"/>
      <c r="AH91" s="194">
        <f t="shared" si="15"/>
        <v>-2.1</v>
      </c>
      <c r="AI91" s="62"/>
      <c r="AJ91" s="266">
        <f t="shared" si="19"/>
        <v>-0.3</v>
      </c>
    </row>
    <row r="92" spans="1:37" ht="16.5" customHeight="1">
      <c r="A92" s="350" t="s">
        <v>413</v>
      </c>
      <c r="B92" s="350"/>
      <c r="C92" s="194">
        <f>+'Exhibit F'!D85+'Exhibit G'!D68+'Exhibit H'!B46+'Exhibit I'!E51</f>
        <v>60.6</v>
      </c>
      <c r="D92" s="194"/>
      <c r="E92" s="194"/>
      <c r="F92" s="194"/>
      <c r="G92" s="194"/>
      <c r="H92" s="194"/>
      <c r="I92" s="194"/>
      <c r="J92" s="194"/>
      <c r="K92" s="194"/>
      <c r="L92" s="194"/>
      <c r="M92" s="194"/>
      <c r="N92" s="194"/>
      <c r="O92" s="194"/>
      <c r="P92" s="194"/>
      <c r="Q92" s="194"/>
      <c r="R92" s="194"/>
      <c r="S92" s="194"/>
      <c r="T92" s="194"/>
      <c r="U92" s="194"/>
      <c r="V92" s="194"/>
      <c r="W92" s="194"/>
      <c r="X92" s="194"/>
      <c r="Y92" s="194"/>
      <c r="Z92" s="194"/>
      <c r="AA92" s="195"/>
      <c r="AB92" s="194">
        <f t="shared" si="14"/>
        <v>60.6</v>
      </c>
      <c r="AC92" s="194"/>
      <c r="AD92" s="862"/>
      <c r="AE92" s="194">
        <f>+'Exhibit F'!AF85+'Exhibit G'!AH68+'Exhibit H'!AD46+'Exhibit I'!AI51</f>
        <v>69.899999999999991</v>
      </c>
      <c r="AF92" s="1550"/>
      <c r="AG92" s="194"/>
      <c r="AH92" s="194">
        <f t="shared" si="15"/>
        <v>-9.3000000000000007</v>
      </c>
      <c r="AI92" s="62"/>
      <c r="AJ92" s="543">
        <f t="shared" si="19"/>
        <v>-0.13300000000000001</v>
      </c>
    </row>
    <row r="93" spans="1:37" ht="16.5" customHeight="1">
      <c r="A93" s="350" t="s">
        <v>414</v>
      </c>
      <c r="B93" s="350"/>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5"/>
      <c r="AB93" s="194"/>
      <c r="AC93" s="194"/>
      <c r="AD93" s="862"/>
      <c r="AE93" s="194"/>
      <c r="AF93" s="1550"/>
      <c r="AG93" s="194"/>
      <c r="AH93" s="194"/>
      <c r="AI93" s="62"/>
      <c r="AJ93" s="266"/>
    </row>
    <row r="94" spans="1:37" ht="16.5" customHeight="1">
      <c r="A94" s="350" t="s">
        <v>415</v>
      </c>
      <c r="B94" s="350"/>
      <c r="C94" s="194">
        <f>+'Exhibit F'!D87+'Exhibit G'!D70+'Exhibit I'!E53</f>
        <v>0.4</v>
      </c>
      <c r="D94" s="194"/>
      <c r="E94" s="194"/>
      <c r="F94" s="194"/>
      <c r="G94" s="194"/>
      <c r="H94" s="194"/>
      <c r="I94" s="194"/>
      <c r="J94" s="194"/>
      <c r="K94" s="194"/>
      <c r="L94" s="194"/>
      <c r="M94" s="194"/>
      <c r="N94" s="194"/>
      <c r="O94" s="194"/>
      <c r="P94" s="194"/>
      <c r="Q94" s="194"/>
      <c r="R94" s="194"/>
      <c r="S94" s="194"/>
      <c r="T94" s="194"/>
      <c r="U94" s="194"/>
      <c r="V94" s="194"/>
      <c r="W94" s="194"/>
      <c r="X94" s="194"/>
      <c r="Y94" s="194"/>
      <c r="Z94" s="194"/>
      <c r="AA94" s="195"/>
      <c r="AB94" s="194">
        <f t="shared" si="14"/>
        <v>0.4</v>
      </c>
      <c r="AC94" s="194"/>
      <c r="AD94" s="862"/>
      <c r="AE94" s="194">
        <f>+'Exhibit F'!AF87+'Exhibit G'!AH70+'Exhibit I'!AI53</f>
        <v>0.5</v>
      </c>
      <c r="AF94" s="1550"/>
      <c r="AG94" s="194"/>
      <c r="AH94" s="194">
        <f t="shared" si="15"/>
        <v>-0.1</v>
      </c>
      <c r="AI94" s="62"/>
      <c r="AJ94" s="543">
        <f>ROUND(IF(AE94=0,0,AH94/ABS(AE94)),3)</f>
        <v>-0.2</v>
      </c>
    </row>
    <row r="95" spans="1:37" ht="16.5" customHeight="1">
      <c r="A95" s="350" t="s">
        <v>416</v>
      </c>
      <c r="B95" s="350"/>
      <c r="C95" s="194">
        <f>+'Exhibit G'!D71+'Exhibit F'!D88</f>
        <v>1.1000000000000001</v>
      </c>
      <c r="D95" s="194"/>
      <c r="E95" s="194"/>
      <c r="F95" s="194"/>
      <c r="G95" s="194"/>
      <c r="H95" s="194"/>
      <c r="I95" s="194"/>
      <c r="J95" s="194"/>
      <c r="K95" s="194"/>
      <c r="L95" s="194"/>
      <c r="M95" s="194"/>
      <c r="N95" s="194"/>
      <c r="O95" s="194"/>
      <c r="P95" s="194"/>
      <c r="Q95" s="194"/>
      <c r="R95" s="194"/>
      <c r="S95" s="194"/>
      <c r="T95" s="194"/>
      <c r="U95" s="194"/>
      <c r="V95" s="194"/>
      <c r="W95" s="194"/>
      <c r="X95" s="194"/>
      <c r="Y95" s="194"/>
      <c r="Z95" s="194"/>
      <c r="AA95" s="195"/>
      <c r="AB95" s="194">
        <f t="shared" si="14"/>
        <v>1.1000000000000001</v>
      </c>
      <c r="AC95" s="194"/>
      <c r="AD95" s="862"/>
      <c r="AE95" s="194">
        <f>+'Exhibit G'!AH71+'Exhibit F'!AF88</f>
        <v>0.1</v>
      </c>
      <c r="AF95" s="1550"/>
      <c r="AG95" s="194"/>
      <c r="AH95" s="194">
        <f t="shared" si="15"/>
        <v>1</v>
      </c>
      <c r="AI95" s="62"/>
      <c r="AJ95" s="543">
        <f>ROUND(IF(AE95=0,0,AH95/ABS(AE95)),3)</f>
        <v>10</v>
      </c>
    </row>
    <row r="96" spans="1:37" ht="16.5" customHeight="1">
      <c r="A96" s="350" t="s">
        <v>417</v>
      </c>
      <c r="B96" s="350"/>
      <c r="C96" s="194">
        <f>+'Exhibit F'!D89+'Exhibit G'!D72+'Exhibit I'!E54</f>
        <v>6.6</v>
      </c>
      <c r="D96" s="194"/>
      <c r="E96" s="194"/>
      <c r="F96" s="194"/>
      <c r="G96" s="194"/>
      <c r="H96" s="194"/>
      <c r="I96" s="194"/>
      <c r="J96" s="194"/>
      <c r="K96" s="194"/>
      <c r="L96" s="194"/>
      <c r="M96" s="194"/>
      <c r="N96" s="194"/>
      <c r="O96" s="194"/>
      <c r="P96" s="194"/>
      <c r="Q96" s="194"/>
      <c r="R96" s="194"/>
      <c r="S96" s="194"/>
      <c r="T96" s="194"/>
      <c r="U96" s="194"/>
      <c r="V96" s="194"/>
      <c r="W96" s="194"/>
      <c r="X96" s="194"/>
      <c r="Y96" s="194"/>
      <c r="Z96" s="194"/>
      <c r="AA96" s="195"/>
      <c r="AB96" s="194">
        <f t="shared" si="14"/>
        <v>6.6</v>
      </c>
      <c r="AC96" s="194"/>
      <c r="AD96" s="862"/>
      <c r="AE96" s="194">
        <f>+'Exhibit F'!AF89+'Exhibit G'!AH72+'Exhibit I'!AI54</f>
        <v>5</v>
      </c>
      <c r="AF96" s="1550"/>
      <c r="AG96" s="194"/>
      <c r="AH96" s="194">
        <f t="shared" si="15"/>
        <v>1.6</v>
      </c>
      <c r="AI96" s="62"/>
      <c r="AJ96" s="374">
        <f t="shared" ref="AJ96:AJ103" si="20">ROUND(IF(AE96=0,0,AH96/ABS(AE96)),3)</f>
        <v>0.32</v>
      </c>
    </row>
    <row r="97" spans="1:37" ht="16.5" customHeight="1">
      <c r="A97" s="350" t="s">
        <v>418</v>
      </c>
      <c r="B97" s="350"/>
      <c r="C97" s="194">
        <f>+'Exhibit F'!D90+'Exhibit G'!D73+'Exhibit I'!E55</f>
        <v>9.3000000000000007</v>
      </c>
      <c r="D97" s="194"/>
      <c r="E97" s="194"/>
      <c r="F97" s="194"/>
      <c r="G97" s="194"/>
      <c r="H97" s="194"/>
      <c r="I97" s="194"/>
      <c r="J97" s="194"/>
      <c r="K97" s="194"/>
      <c r="L97" s="194"/>
      <c r="M97" s="194"/>
      <c r="N97" s="194"/>
      <c r="O97" s="194"/>
      <c r="P97" s="194"/>
      <c r="Q97" s="194"/>
      <c r="R97" s="194"/>
      <c r="S97" s="194"/>
      <c r="T97" s="194"/>
      <c r="U97" s="194"/>
      <c r="V97" s="194"/>
      <c r="W97" s="194"/>
      <c r="X97" s="194"/>
      <c r="Y97" s="194"/>
      <c r="Z97" s="194"/>
      <c r="AA97" s="195"/>
      <c r="AB97" s="194">
        <f>ROUND(SUM(C97:Y97),1)</f>
        <v>9.3000000000000007</v>
      </c>
      <c r="AC97" s="194"/>
      <c r="AD97" s="862"/>
      <c r="AE97" s="194">
        <f>+'Exhibit F'!AF90+'Exhibit G'!AH73+'Exhibit I'!AI55</f>
        <v>1.8</v>
      </c>
      <c r="AF97" s="1550"/>
      <c r="AG97" s="194"/>
      <c r="AH97" s="194">
        <f t="shared" si="15"/>
        <v>7.5</v>
      </c>
      <c r="AI97" s="62"/>
      <c r="AJ97" s="374">
        <f t="shared" si="20"/>
        <v>4.1669999999999998</v>
      </c>
    </row>
    <row r="98" spans="1:37" ht="16.5" customHeight="1">
      <c r="A98" s="350" t="s">
        <v>419</v>
      </c>
      <c r="B98" s="350"/>
      <c r="C98" s="194">
        <f>+'Exhibit F'!D91+'Exhibit G'!D74+'Exhibit H'!B48</f>
        <v>438.3</v>
      </c>
      <c r="D98" s="194"/>
      <c r="E98" s="194"/>
      <c r="F98" s="194"/>
      <c r="G98" s="194"/>
      <c r="H98" s="194"/>
      <c r="I98" s="194"/>
      <c r="J98" s="194"/>
      <c r="K98" s="194"/>
      <c r="L98" s="194"/>
      <c r="M98" s="194"/>
      <c r="N98" s="194"/>
      <c r="O98" s="194"/>
      <c r="P98" s="194"/>
      <c r="Q98" s="194"/>
      <c r="R98" s="194"/>
      <c r="S98" s="194"/>
      <c r="T98" s="194"/>
      <c r="U98" s="194"/>
      <c r="V98" s="194"/>
      <c r="W98" s="194"/>
      <c r="X98" s="194"/>
      <c r="Y98" s="194"/>
      <c r="Z98" s="194"/>
      <c r="AA98" s="195"/>
      <c r="AB98" s="194">
        <f t="shared" si="14"/>
        <v>438.3</v>
      </c>
      <c r="AC98" s="194"/>
      <c r="AD98" s="862"/>
      <c r="AE98" s="194">
        <f>+'Exhibit F'!AF91+'Exhibit G'!AH74+'Exhibit H'!AD48</f>
        <v>398.8</v>
      </c>
      <c r="AF98" s="1550"/>
      <c r="AG98" s="194"/>
      <c r="AH98" s="194">
        <f t="shared" si="15"/>
        <v>39.5</v>
      </c>
      <c r="AI98" s="62"/>
      <c r="AJ98" s="860">
        <f t="shared" si="20"/>
        <v>9.9000000000000005E-2</v>
      </c>
    </row>
    <row r="99" spans="1:37" ht="16.5" customHeight="1">
      <c r="A99" s="350" t="s">
        <v>420</v>
      </c>
      <c r="B99" s="350"/>
      <c r="C99" s="194">
        <f>+'Exhibit G'!D75+'Exhibit F'!D92+'Exhibit I'!E56</f>
        <v>13</v>
      </c>
      <c r="D99" s="194"/>
      <c r="E99" s="194"/>
      <c r="F99" s="194"/>
      <c r="G99" s="194"/>
      <c r="H99" s="194"/>
      <c r="I99" s="194"/>
      <c r="J99" s="194"/>
      <c r="K99" s="194"/>
      <c r="L99" s="194"/>
      <c r="M99" s="194"/>
      <c r="N99" s="194"/>
      <c r="O99" s="194"/>
      <c r="P99" s="194"/>
      <c r="Q99" s="194"/>
      <c r="R99" s="194"/>
      <c r="S99" s="194"/>
      <c r="T99" s="194"/>
      <c r="U99" s="194"/>
      <c r="V99" s="194"/>
      <c r="W99" s="194"/>
      <c r="X99" s="194"/>
      <c r="Y99" s="194"/>
      <c r="Z99" s="194"/>
      <c r="AA99" s="195"/>
      <c r="AB99" s="194">
        <f t="shared" si="14"/>
        <v>13</v>
      </c>
      <c r="AC99" s="194"/>
      <c r="AD99" s="862"/>
      <c r="AE99" s="194">
        <f>+'Exhibit G'!AH75+'Exhibit F'!AF92+'Exhibit I'!AI56</f>
        <v>9.9</v>
      </c>
      <c r="AF99" s="1550"/>
      <c r="AG99" s="194"/>
      <c r="AH99" s="194">
        <f t="shared" si="15"/>
        <v>3.1</v>
      </c>
      <c r="AI99" s="62"/>
      <c r="AJ99" s="374">
        <f t="shared" si="20"/>
        <v>0.313</v>
      </c>
    </row>
    <row r="100" spans="1:37" ht="16.5" customHeight="1">
      <c r="A100" s="350" t="s">
        <v>421</v>
      </c>
      <c r="B100" s="350"/>
      <c r="C100" s="194">
        <f>+'Exhibit F'!D93+'Exhibit G'!D76+'Exhibit I'!E57</f>
        <v>22.6</v>
      </c>
      <c r="D100" s="194"/>
      <c r="E100" s="194"/>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5"/>
      <c r="AB100" s="194">
        <f t="shared" si="14"/>
        <v>22.6</v>
      </c>
      <c r="AC100" s="194"/>
      <c r="AD100" s="862"/>
      <c r="AE100" s="194">
        <f>+'Exhibit F'!AF93+'Exhibit G'!AH76+'Exhibit I'!AI57</f>
        <v>13.8</v>
      </c>
      <c r="AF100" s="1550"/>
      <c r="AG100" s="194"/>
      <c r="AH100" s="194">
        <f t="shared" si="15"/>
        <v>8.8000000000000007</v>
      </c>
      <c r="AI100" s="62"/>
      <c r="AJ100" s="860">
        <f t="shared" si="20"/>
        <v>0.63800000000000001</v>
      </c>
    </row>
    <row r="101" spans="1:37" ht="16.5" customHeight="1">
      <c r="A101" s="350" t="s">
        <v>422</v>
      </c>
      <c r="B101" s="350"/>
      <c r="C101" s="194">
        <f>+'Exhibit F'!D94+'Exhibit G'!D77</f>
        <v>1</v>
      </c>
      <c r="D101" s="194"/>
      <c r="E101" s="194"/>
      <c r="F101" s="194"/>
      <c r="G101" s="194"/>
      <c r="H101" s="194"/>
      <c r="I101" s="194"/>
      <c r="J101" s="194"/>
      <c r="K101" s="194"/>
      <c r="L101" s="194"/>
      <c r="M101" s="194"/>
      <c r="N101" s="194"/>
      <c r="O101" s="194"/>
      <c r="P101" s="194"/>
      <c r="Q101" s="194"/>
      <c r="R101" s="194"/>
      <c r="S101" s="194"/>
      <c r="T101" s="194"/>
      <c r="U101" s="194"/>
      <c r="V101" s="194"/>
      <c r="W101" s="194"/>
      <c r="X101" s="194"/>
      <c r="Y101" s="194"/>
      <c r="Z101" s="194"/>
      <c r="AA101" s="195"/>
      <c r="AB101" s="194">
        <f t="shared" si="14"/>
        <v>1</v>
      </c>
      <c r="AC101" s="194"/>
      <c r="AD101" s="862"/>
      <c r="AE101" s="194">
        <f>+'Exhibit F'!AF94+'Exhibit G'!AH77</f>
        <v>0.8</v>
      </c>
      <c r="AF101" s="1550"/>
      <c r="AG101" s="194"/>
      <c r="AH101" s="194">
        <f t="shared" si="15"/>
        <v>0.2</v>
      </c>
      <c r="AI101" s="62"/>
      <c r="AJ101" s="374">
        <f t="shared" si="20"/>
        <v>0.25</v>
      </c>
    </row>
    <row r="102" spans="1:37" ht="16.5" customHeight="1">
      <c r="A102" s="350" t="s">
        <v>423</v>
      </c>
      <c r="B102" s="350"/>
      <c r="C102" s="194">
        <f>+'Exhibit F'!D95+'Exhibit G'!D78+'Exhibit I'!E58+'Exhibit H'!B49</f>
        <v>21.7</v>
      </c>
      <c r="D102" s="194"/>
      <c r="E102" s="194"/>
      <c r="F102" s="194"/>
      <c r="G102" s="194"/>
      <c r="H102" s="194"/>
      <c r="I102" s="194"/>
      <c r="J102" s="194"/>
      <c r="K102" s="194"/>
      <c r="L102" s="194"/>
      <c r="M102" s="194"/>
      <c r="N102" s="194"/>
      <c r="O102" s="194"/>
      <c r="P102" s="194"/>
      <c r="Q102" s="194"/>
      <c r="R102" s="194"/>
      <c r="S102" s="194"/>
      <c r="T102" s="194"/>
      <c r="U102" s="194"/>
      <c r="V102" s="194"/>
      <c r="W102" s="194"/>
      <c r="X102" s="194"/>
      <c r="Y102" s="194"/>
      <c r="Z102" s="194"/>
      <c r="AA102" s="195"/>
      <c r="AB102" s="194">
        <f t="shared" si="14"/>
        <v>21.7</v>
      </c>
      <c r="AC102" s="194"/>
      <c r="AD102" s="862"/>
      <c r="AE102" s="194">
        <f>+'Exhibit F'!AF95+'Exhibit G'!AH78+'Exhibit I'!AI58+'Exhibit H'!AD49</f>
        <v>65.899999999999991</v>
      </c>
      <c r="AF102" s="1550"/>
      <c r="AG102" s="194"/>
      <c r="AH102" s="194">
        <f t="shared" si="15"/>
        <v>-44.2</v>
      </c>
      <c r="AI102" s="62"/>
      <c r="AJ102" s="860">
        <f t="shared" si="20"/>
        <v>-0.67100000000000004</v>
      </c>
    </row>
    <row r="103" spans="1:37" ht="16.5" customHeight="1">
      <c r="A103" s="350" t="s">
        <v>424</v>
      </c>
      <c r="B103" s="350"/>
      <c r="C103" s="194">
        <f>+'Exhibit F'!D96+'Exhibit G'!D79+'Exhibit I'!E59+'Exhibit H'!B50</f>
        <v>1.4000000000000001</v>
      </c>
      <c r="D103" s="194"/>
      <c r="E103" s="194"/>
      <c r="F103" s="194"/>
      <c r="G103" s="194"/>
      <c r="H103" s="194"/>
      <c r="I103" s="194"/>
      <c r="J103" s="194"/>
      <c r="K103" s="194"/>
      <c r="L103" s="194"/>
      <c r="M103" s="194"/>
      <c r="N103" s="194"/>
      <c r="O103" s="194"/>
      <c r="P103" s="194"/>
      <c r="Q103" s="194"/>
      <c r="R103" s="194"/>
      <c r="S103" s="194"/>
      <c r="T103" s="194"/>
      <c r="U103" s="194"/>
      <c r="V103" s="194"/>
      <c r="W103" s="194"/>
      <c r="X103" s="194"/>
      <c r="Y103" s="194"/>
      <c r="Z103" s="194"/>
      <c r="AA103" s="195"/>
      <c r="AB103" s="194">
        <f t="shared" si="14"/>
        <v>1.4</v>
      </c>
      <c r="AC103" s="194"/>
      <c r="AD103" s="862"/>
      <c r="AE103" s="194">
        <f>+'Exhibit F'!AF96+'Exhibit G'!AH79+'Exhibit I'!AI59+'Exhibit H'!AD50</f>
        <v>0.79999999999999993</v>
      </c>
      <c r="AF103" s="1550"/>
      <c r="AG103" s="194"/>
      <c r="AH103" s="194">
        <f t="shared" si="15"/>
        <v>0.6</v>
      </c>
      <c r="AI103" s="62"/>
      <c r="AJ103" s="374">
        <f t="shared" si="20"/>
        <v>0.75</v>
      </c>
    </row>
    <row r="104" spans="1:37" ht="16.5" customHeight="1">
      <c r="A104" s="350" t="s">
        <v>425</v>
      </c>
      <c r="B104" s="350"/>
      <c r="C104" s="194">
        <f>+'Exhibit G'!D80</f>
        <v>36.4</v>
      </c>
      <c r="D104" s="194"/>
      <c r="E104" s="194"/>
      <c r="F104" s="194"/>
      <c r="G104" s="194"/>
      <c r="H104" s="194"/>
      <c r="I104" s="194"/>
      <c r="J104" s="194"/>
      <c r="K104" s="194"/>
      <c r="L104" s="194"/>
      <c r="M104" s="194"/>
      <c r="N104" s="194"/>
      <c r="O104" s="194"/>
      <c r="P104" s="194"/>
      <c r="Q104" s="194"/>
      <c r="R104" s="194"/>
      <c r="S104" s="194"/>
      <c r="T104" s="194"/>
      <c r="U104" s="194"/>
      <c r="V104" s="194"/>
      <c r="W104" s="194"/>
      <c r="X104" s="194"/>
      <c r="Y104" s="194"/>
      <c r="Z104" s="194"/>
      <c r="AA104" s="195"/>
      <c r="AB104" s="194">
        <f t="shared" si="14"/>
        <v>36.4</v>
      </c>
      <c r="AC104" s="194"/>
      <c r="AD104" s="862"/>
      <c r="AE104" s="194">
        <f>+'Exhibit G'!AH80</f>
        <v>30.9</v>
      </c>
      <c r="AF104" s="1550"/>
      <c r="AG104" s="194"/>
      <c r="AH104" s="194">
        <f t="shared" si="15"/>
        <v>5.5</v>
      </c>
      <c r="AI104" s="62"/>
      <c r="AJ104" s="374">
        <f>ROUND(IF(AE104=0,0,AH104/ABS(AE104)),3)</f>
        <v>0.17799999999999999</v>
      </c>
    </row>
    <row r="105" spans="1:37" s="129" customFormat="1" ht="16.5" customHeight="1">
      <c r="A105" s="83" t="s">
        <v>426</v>
      </c>
      <c r="B105" s="57"/>
      <c r="C105" s="674">
        <f>ROUND(SUM(C64:C104),1)</f>
        <v>2717.2</v>
      </c>
      <c r="D105" s="419"/>
      <c r="E105" s="674">
        <f>ROUND(SUM(E64:E104),1)</f>
        <v>0</v>
      </c>
      <c r="F105" s="419"/>
      <c r="G105" s="674">
        <f>ROUND(SUM(G64:G104),1)</f>
        <v>0</v>
      </c>
      <c r="H105" s="13"/>
      <c r="I105" s="674">
        <f>ROUND(SUM(I64:I104),1)</f>
        <v>0</v>
      </c>
      <c r="J105" s="13"/>
      <c r="K105" s="674">
        <f>ROUND(SUM(K64:K104),1)</f>
        <v>0</v>
      </c>
      <c r="L105" s="13"/>
      <c r="M105" s="674">
        <f>ROUND(SUM(M64:M104),1)</f>
        <v>0</v>
      </c>
      <c r="N105" s="13"/>
      <c r="O105" s="674">
        <f>ROUND(SUM(O64:O104),1)</f>
        <v>0</v>
      </c>
      <c r="P105" s="13"/>
      <c r="Q105" s="674">
        <f>ROUND(SUM(Q64:Q104),1)</f>
        <v>0</v>
      </c>
      <c r="R105" s="13"/>
      <c r="S105" s="674">
        <f>ROUND(SUM(S64:S104),1)</f>
        <v>0</v>
      </c>
      <c r="T105" s="13"/>
      <c r="U105" s="674">
        <f>ROUND(SUM(U64:U104),1)</f>
        <v>0</v>
      </c>
      <c r="V105" s="13"/>
      <c r="W105" s="674">
        <f>ROUND(SUM(W64:W104),1)</f>
        <v>0</v>
      </c>
      <c r="X105" s="40"/>
      <c r="Y105" s="674">
        <f>ROUND(SUM(Y64:Y104),1)</f>
        <v>0</v>
      </c>
      <c r="Z105" s="40"/>
      <c r="AA105" s="69"/>
      <c r="AB105" s="674">
        <f>ROUND(SUM(AB64:AB104),1)</f>
        <v>2717.2</v>
      </c>
      <c r="AC105" s="13"/>
      <c r="AD105" s="14"/>
      <c r="AE105" s="674">
        <f>ROUND(SUM(AE64:AE104),1)</f>
        <v>2538.4</v>
      </c>
      <c r="AF105" s="75"/>
      <c r="AG105" s="863"/>
      <c r="AH105" s="674">
        <f>ROUND(SUM(AH64:AH104),1)</f>
        <v>178.8</v>
      </c>
      <c r="AI105" s="13"/>
      <c r="AJ105" s="1015">
        <f>ROUND(IF(AE105=0,0,AH105/ABS(AE105)),3)</f>
        <v>7.0000000000000007E-2</v>
      </c>
    </row>
    <row r="106" spans="1:37" s="129" customFormat="1" ht="16.5" customHeight="1">
      <c r="A106" s="187"/>
      <c r="B106" s="18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t="s">
        <v>103</v>
      </c>
      <c r="Z106" s="197"/>
      <c r="AA106" s="198"/>
      <c r="AB106" s="197" t="s">
        <v>103</v>
      </c>
      <c r="AC106" s="197"/>
      <c r="AD106" s="198"/>
      <c r="AE106" s="197"/>
      <c r="AF106" s="1551"/>
      <c r="AG106" s="197"/>
      <c r="AH106" s="197"/>
      <c r="AI106" s="187"/>
      <c r="AJ106" s="74"/>
    </row>
    <row r="107" spans="1:37" ht="16.5" customHeight="1">
      <c r="A107" s="62" t="s">
        <v>120</v>
      </c>
      <c r="B107" s="62"/>
      <c r="C107" s="196">
        <f>+'Exhibit F'!D99+'Exhibit G'!D83+'Exhibit H'!B53+'Exhibit I'!E62</f>
        <v>9110.0000000000018</v>
      </c>
      <c r="D107" s="194"/>
      <c r="E107" s="196"/>
      <c r="F107" s="194"/>
      <c r="G107" s="196"/>
      <c r="H107" s="194"/>
      <c r="I107" s="196"/>
      <c r="J107" s="194"/>
      <c r="K107" s="196"/>
      <c r="L107" s="194"/>
      <c r="M107" s="196"/>
      <c r="N107" s="194"/>
      <c r="O107" s="196"/>
      <c r="P107" s="194"/>
      <c r="Q107" s="196"/>
      <c r="R107" s="194"/>
      <c r="S107" s="196"/>
      <c r="T107" s="194"/>
      <c r="U107" s="196"/>
      <c r="V107" s="194"/>
      <c r="W107" s="196"/>
      <c r="X107" s="194"/>
      <c r="Y107" s="196"/>
      <c r="Z107" s="194"/>
      <c r="AA107" s="195"/>
      <c r="AB107" s="196">
        <f>ROUND(SUM(C107:Y107),1)</f>
        <v>9110</v>
      </c>
      <c r="AC107" s="194"/>
      <c r="AD107" s="862"/>
      <c r="AE107" s="196">
        <f>+'Exhibit F'!AF99+'Exhibit G'!AH83+'Exhibit H'!AD53+'Exhibit I'!AI62</f>
        <v>10460.9</v>
      </c>
      <c r="AF107" s="1550"/>
      <c r="AG107" s="194"/>
      <c r="AH107" s="196">
        <f>ROUND(SUM(AB107-AE107),1)</f>
        <v>-1350.9</v>
      </c>
      <c r="AI107" s="62"/>
      <c r="AJ107" s="864">
        <f>ROUND(IF(AE107=0,0,AH107/ABS(AE107)),3)</f>
        <v>-0.129</v>
      </c>
    </row>
    <row r="108" spans="1:37" ht="16.5" customHeight="1">
      <c r="A108" s="62"/>
      <c r="B108" s="62"/>
      <c r="C108" s="194"/>
      <c r="D108" s="194"/>
      <c r="E108" s="194"/>
      <c r="F108" s="194"/>
      <c r="G108" s="194"/>
      <c r="H108" s="194"/>
      <c r="I108" s="194"/>
      <c r="J108" s="194"/>
      <c r="K108" s="194"/>
      <c r="L108" s="194"/>
      <c r="M108" s="194"/>
      <c r="N108" s="194"/>
      <c r="O108" s="194"/>
      <c r="P108" s="194"/>
      <c r="Q108" s="194"/>
      <c r="R108" s="194"/>
      <c r="S108" s="194"/>
      <c r="T108" s="194"/>
      <c r="U108" s="194"/>
      <c r="V108" s="194"/>
      <c r="W108" s="194"/>
      <c r="X108" s="194"/>
      <c r="Y108" s="194"/>
      <c r="Z108" s="194"/>
      <c r="AA108" s="195"/>
      <c r="AB108" s="194"/>
      <c r="AC108" s="194"/>
      <c r="AD108" s="862"/>
      <c r="AE108" s="194"/>
      <c r="AF108" s="1550"/>
      <c r="AG108" s="194"/>
      <c r="AH108" s="194"/>
      <c r="AI108" s="62"/>
      <c r="AJ108" s="1017"/>
    </row>
    <row r="109" spans="1:37" ht="16.5" customHeight="1">
      <c r="A109" s="3" t="s">
        <v>427</v>
      </c>
      <c r="B109" s="364"/>
      <c r="C109" s="357">
        <f>ROUND(SUM(C107+C105+C60),1)</f>
        <v>25817.5</v>
      </c>
      <c r="D109" s="13"/>
      <c r="E109" s="357">
        <f>ROUND(SUM(E107+E105+E60),1)</f>
        <v>0</v>
      </c>
      <c r="F109" s="13"/>
      <c r="G109" s="357">
        <f>ROUND(SUM(G107+G105+G60),1)</f>
        <v>0</v>
      </c>
      <c r="H109" s="13"/>
      <c r="I109" s="357">
        <f>ROUND(SUM(I107+I105+I60),1)</f>
        <v>0</v>
      </c>
      <c r="J109" s="13"/>
      <c r="K109" s="357">
        <f>ROUND(SUM(K107+K105+K60),1)</f>
        <v>0</v>
      </c>
      <c r="L109" s="13"/>
      <c r="M109" s="357">
        <f>ROUND(SUM(M107+M105+M60),1)</f>
        <v>0</v>
      </c>
      <c r="N109" s="13"/>
      <c r="O109" s="357">
        <f>ROUND(SUM(O107+O105+O60),1)</f>
        <v>0</v>
      </c>
      <c r="P109" s="13"/>
      <c r="Q109" s="357">
        <f>ROUND(SUM(Q107+Q105+Q60),1)</f>
        <v>0</v>
      </c>
      <c r="R109" s="13"/>
      <c r="S109" s="357">
        <f>ROUND(SUM(S107+S105+S60),1)</f>
        <v>0</v>
      </c>
      <c r="T109" s="13"/>
      <c r="U109" s="357">
        <f>ROUND(SUM(U107+U105+U60),1)</f>
        <v>0</v>
      </c>
      <c r="V109" s="13"/>
      <c r="W109" s="357">
        <f>ROUND(SUM(W107+W105+W60),1)</f>
        <v>0</v>
      </c>
      <c r="X109" s="40"/>
      <c r="Y109" s="357">
        <f>ROUND(SUM(Y107+Y105+Y60),1)</f>
        <v>0</v>
      </c>
      <c r="Z109" s="1214"/>
      <c r="AA109" s="3"/>
      <c r="AB109" s="357">
        <f>ROUND(SUM(AB107+AB105+AB60),1)</f>
        <v>25817.5</v>
      </c>
      <c r="AC109" s="13"/>
      <c r="AD109" s="14"/>
      <c r="AE109" s="357">
        <f>ROUND(SUM(AE107+AE105+AE60),1)</f>
        <v>26115.3</v>
      </c>
      <c r="AF109" s="75"/>
      <c r="AG109" s="863"/>
      <c r="AH109" s="357">
        <f>ROUND(SUM(AH107+AH105+AH60),1)</f>
        <v>-297.8</v>
      </c>
      <c r="AI109" s="13"/>
      <c r="AJ109" s="861">
        <f>ROUND(IF(AE109=0,0,AH109/ABS(AE109)),3)</f>
        <v>-1.0999999999999999E-2</v>
      </c>
      <c r="AK109" s="129"/>
    </row>
    <row r="110" spans="1:37" ht="16.5" customHeight="1">
      <c r="A110" s="40"/>
      <c r="B110" s="62"/>
      <c r="C110" s="11"/>
      <c r="D110" s="194"/>
      <c r="E110" s="11"/>
      <c r="F110" s="194"/>
      <c r="G110" s="11"/>
      <c r="H110" s="194"/>
      <c r="I110" s="11"/>
      <c r="J110" s="194"/>
      <c r="K110" s="11"/>
      <c r="L110" s="194"/>
      <c r="M110" s="11"/>
      <c r="N110" s="194"/>
      <c r="O110" s="11"/>
      <c r="P110" s="194"/>
      <c r="Q110" s="11"/>
      <c r="R110" s="194"/>
      <c r="S110" s="11"/>
      <c r="T110" s="194"/>
      <c r="U110" s="11"/>
      <c r="V110" s="194"/>
      <c r="W110" s="11"/>
      <c r="X110" s="194"/>
      <c r="Y110" s="11"/>
      <c r="Z110" s="194"/>
      <c r="AA110" s="195"/>
      <c r="AB110" s="11"/>
      <c r="AC110" s="194"/>
      <c r="AD110" s="862"/>
      <c r="AE110" s="11"/>
      <c r="AF110" s="1550"/>
      <c r="AG110" s="194"/>
      <c r="AH110" s="264"/>
      <c r="AI110" s="62"/>
      <c r="AJ110" s="268"/>
    </row>
    <row r="111" spans="1:37" ht="16.5" customHeight="1">
      <c r="A111" s="40" t="s">
        <v>122</v>
      </c>
      <c r="B111" s="62"/>
      <c r="C111" s="194"/>
      <c r="D111" s="194"/>
      <c r="E111" s="194"/>
      <c r="F111" s="194"/>
      <c r="G111" s="194"/>
      <c r="H111" s="194"/>
      <c r="I111" s="194"/>
      <c r="J111" s="194"/>
      <c r="K111" s="194"/>
      <c r="L111" s="194"/>
      <c r="M111" s="194"/>
      <c r="N111" s="194"/>
      <c r="O111" s="194"/>
      <c r="P111" s="194"/>
      <c r="Q111" s="194"/>
      <c r="R111" s="194"/>
      <c r="S111" s="194"/>
      <c r="T111" s="194"/>
      <c r="U111" s="194"/>
      <c r="V111" s="194"/>
      <c r="W111" s="194"/>
      <c r="X111" s="194"/>
      <c r="Y111" s="194"/>
      <c r="Z111" s="194"/>
      <c r="AA111" s="195"/>
      <c r="AB111" s="194"/>
      <c r="AC111" s="194"/>
      <c r="AD111" s="862"/>
      <c r="AE111" s="194"/>
      <c r="AF111" s="1550"/>
      <c r="AG111" s="194"/>
      <c r="AH111" s="264"/>
      <c r="AI111" s="62"/>
      <c r="AJ111" s="268"/>
    </row>
    <row r="112" spans="1:37" ht="16.5" customHeight="1">
      <c r="A112" s="62" t="s">
        <v>428</v>
      </c>
      <c r="B112" s="62"/>
      <c r="C112" s="194"/>
      <c r="D112" s="194"/>
      <c r="E112" s="194"/>
      <c r="F112" s="194"/>
      <c r="G112" s="194"/>
      <c r="H112" s="194"/>
      <c r="I112" s="194"/>
      <c r="J112" s="194"/>
      <c r="K112" s="194"/>
      <c r="L112" s="194"/>
      <c r="M112" s="194"/>
      <c r="N112" s="194"/>
      <c r="O112" s="194"/>
      <c r="P112" s="194"/>
      <c r="Q112" s="194"/>
      <c r="R112" s="194"/>
      <c r="S112" s="194"/>
      <c r="T112" s="194"/>
      <c r="U112" s="194"/>
      <c r="V112" s="194"/>
      <c r="W112" s="194"/>
      <c r="X112" s="194"/>
      <c r="Y112" s="194"/>
      <c r="Z112" s="194"/>
      <c r="AA112" s="195"/>
      <c r="AB112" s="194"/>
      <c r="AC112" s="194"/>
      <c r="AD112" s="862"/>
      <c r="AE112" s="264"/>
      <c r="AF112" s="1550"/>
      <c r="AG112" s="194"/>
      <c r="AH112" s="194"/>
      <c r="AI112" s="62"/>
      <c r="AJ112" s="283"/>
    </row>
    <row r="113" spans="1:37" ht="16.5" customHeight="1">
      <c r="A113" s="753" t="s">
        <v>124</v>
      </c>
      <c r="B113" s="62"/>
      <c r="C113" s="194">
        <f>+'Exhibit F'!D105+'Exhibit G'!D89+'Exhibit I'!E68</f>
        <v>3053.5</v>
      </c>
      <c r="D113" s="194"/>
      <c r="E113" s="194"/>
      <c r="F113" s="194"/>
      <c r="G113" s="194"/>
      <c r="H113" s="194"/>
      <c r="I113" s="194"/>
      <c r="J113" s="194"/>
      <c r="K113" s="194"/>
      <c r="L113" s="194"/>
      <c r="M113" s="194"/>
      <c r="N113" s="194"/>
      <c r="O113" s="194"/>
      <c r="P113" s="194"/>
      <c r="Q113" s="194"/>
      <c r="R113" s="194"/>
      <c r="S113" s="194"/>
      <c r="T113" s="194"/>
      <c r="U113" s="194"/>
      <c r="V113" s="194"/>
      <c r="W113" s="194"/>
      <c r="X113" s="194"/>
      <c r="Y113" s="194"/>
      <c r="Z113" s="194"/>
      <c r="AA113" s="195"/>
      <c r="AB113" s="264">
        <f>ROUND(SUM(C113:Y113),1)</f>
        <v>3053.5</v>
      </c>
      <c r="AC113" s="194"/>
      <c r="AD113" s="862"/>
      <c r="AE113" s="264">
        <f>+'Exhibit F'!AF105+'Exhibit G'!AH89+'Exhibit I'!AI68</f>
        <v>3162.6000000000004</v>
      </c>
      <c r="AF113" s="1550"/>
      <c r="AG113" s="194"/>
      <c r="AH113" s="194">
        <f>ROUND(SUM(AB113-AE113),1)</f>
        <v>-109.1</v>
      </c>
      <c r="AI113" s="62"/>
      <c r="AJ113" s="374">
        <f>ROUND(IF(AE113=0,0,AH113/ABS(AE113)),3)</f>
        <v>-3.4000000000000002E-2</v>
      </c>
    </row>
    <row r="114" spans="1:37" ht="16.5" customHeight="1">
      <c r="A114" s="753" t="s">
        <v>125</v>
      </c>
      <c r="B114" s="62"/>
      <c r="C114" s="194">
        <f>+'Exhibit F'!D106+'Exhibit G'!D90+'Exhibit I'!E69</f>
        <v>12</v>
      </c>
      <c r="D114" s="194"/>
      <c r="E114" s="194"/>
      <c r="F114" s="194"/>
      <c r="G114" s="194"/>
      <c r="H114" s="194"/>
      <c r="I114" s="194"/>
      <c r="J114" s="194"/>
      <c r="K114" s="194"/>
      <c r="L114" s="194"/>
      <c r="M114" s="194"/>
      <c r="N114" s="194"/>
      <c r="O114" s="194"/>
      <c r="P114" s="194"/>
      <c r="Q114" s="194"/>
      <c r="R114" s="194"/>
      <c r="S114" s="194"/>
      <c r="T114" s="194"/>
      <c r="U114" s="194"/>
      <c r="V114" s="194"/>
      <c r="W114" s="194"/>
      <c r="X114" s="194"/>
      <c r="Y114" s="194"/>
      <c r="Z114" s="194"/>
      <c r="AA114" s="195"/>
      <c r="AB114" s="264">
        <f t="shared" ref="AB114:AB121" si="21">ROUND(SUM(C114:Y114),1)</f>
        <v>12</v>
      </c>
      <c r="AC114" s="194"/>
      <c r="AD114" s="862"/>
      <c r="AE114" s="264">
        <f>+'Exhibit F'!AF106+'Exhibit G'!AH90+'Exhibit I'!AI69</f>
        <v>6.3</v>
      </c>
      <c r="AF114" s="1550"/>
      <c r="AG114" s="194"/>
      <c r="AH114" s="194">
        <f t="shared" ref="AH114:AH121" si="22">ROUND(SUM(AB114-AE114),1)</f>
        <v>5.7</v>
      </c>
      <c r="AI114" s="62"/>
      <c r="AJ114" s="860">
        <f>ROUND(IF(AE114=0,0,AH114/ABS(AE114)),3)</f>
        <v>0.90500000000000003</v>
      </c>
    </row>
    <row r="115" spans="1:37" ht="16.5" customHeight="1">
      <c r="A115" s="753" t="s">
        <v>126</v>
      </c>
      <c r="B115" s="62"/>
      <c r="C115" s="194">
        <f>+'Exhibit F'!D107+'Exhibit G'!D91+'Exhibit I'!E70</f>
        <v>84.3</v>
      </c>
      <c r="D115" s="194"/>
      <c r="E115" s="194"/>
      <c r="F115" s="194"/>
      <c r="G115" s="194"/>
      <c r="H115" s="194"/>
      <c r="I115" s="194"/>
      <c r="J115" s="194"/>
      <c r="K115" s="194"/>
      <c r="L115" s="194"/>
      <c r="M115" s="194"/>
      <c r="N115" s="194"/>
      <c r="O115" s="194"/>
      <c r="P115" s="194"/>
      <c r="Q115" s="194"/>
      <c r="R115" s="194"/>
      <c r="S115" s="194"/>
      <c r="T115" s="194"/>
      <c r="U115" s="194"/>
      <c r="V115" s="194"/>
      <c r="W115" s="194"/>
      <c r="X115" s="194"/>
      <c r="Y115" s="194"/>
      <c r="Z115" s="194"/>
      <c r="AA115" s="195"/>
      <c r="AB115" s="264">
        <f t="shared" si="21"/>
        <v>84.3</v>
      </c>
      <c r="AC115" s="194"/>
      <c r="AD115" s="862"/>
      <c r="AE115" s="264">
        <f>+'Exhibit F'!AF107+'Exhibit G'!AH91+'Exhibit I'!AI70</f>
        <v>98.800000000000011</v>
      </c>
      <c r="AF115" s="1550"/>
      <c r="AG115" s="194"/>
      <c r="AH115" s="194">
        <f t="shared" si="22"/>
        <v>-14.5</v>
      </c>
      <c r="AI115" s="62"/>
      <c r="AJ115" s="374">
        <f>ROUND(IF(AE115=0,0,AH115/ABS(AE115)),3)</f>
        <v>-0.14699999999999999</v>
      </c>
    </row>
    <row r="116" spans="1:37" ht="16.5" customHeight="1">
      <c r="A116" s="753" t="s">
        <v>127</v>
      </c>
      <c r="B116" s="62"/>
      <c r="C116" s="194"/>
      <c r="D116" s="194"/>
      <c r="E116" s="194"/>
      <c r="F116" s="194"/>
      <c r="G116" s="194"/>
      <c r="H116" s="194"/>
      <c r="I116" s="194"/>
      <c r="J116" s="194"/>
      <c r="K116" s="194"/>
      <c r="L116" s="194"/>
      <c r="M116" s="194"/>
      <c r="N116" s="194"/>
      <c r="O116" s="194"/>
      <c r="P116" s="194"/>
      <c r="Q116" s="194"/>
      <c r="R116" s="194"/>
      <c r="S116" s="194"/>
      <c r="T116" s="194"/>
      <c r="U116" s="194"/>
      <c r="V116" s="194"/>
      <c r="W116" s="194"/>
      <c r="X116" s="194"/>
      <c r="Y116" s="194"/>
      <c r="Z116" s="194"/>
      <c r="AA116" s="195"/>
      <c r="AB116" s="264"/>
      <c r="AC116" s="194"/>
      <c r="AD116" s="862"/>
      <c r="AE116" s="275"/>
      <c r="AF116" s="1550"/>
      <c r="AG116" s="194"/>
      <c r="AH116" s="194" t="s">
        <v>103</v>
      </c>
      <c r="AI116" s="62"/>
      <c r="AJ116" s="283"/>
    </row>
    <row r="117" spans="1:37" ht="16.5" customHeight="1">
      <c r="A117" s="754" t="s">
        <v>128</v>
      </c>
      <c r="B117" s="62"/>
      <c r="C117" s="194">
        <f>+'Exhibit F'!D109+'Exhibit G'!D93</f>
        <v>9847.2999999999993</v>
      </c>
      <c r="D117" s="194"/>
      <c r="E117" s="194"/>
      <c r="F117" s="194"/>
      <c r="G117" s="194"/>
      <c r="H117" s="194"/>
      <c r="I117" s="194"/>
      <c r="J117" s="194"/>
      <c r="K117" s="194"/>
      <c r="L117" s="194"/>
      <c r="M117" s="194"/>
      <c r="N117" s="194"/>
      <c r="O117" s="194"/>
      <c r="P117" s="194"/>
      <c r="Q117" s="194"/>
      <c r="R117" s="194"/>
      <c r="S117" s="194"/>
      <c r="T117" s="194"/>
      <c r="U117" s="194"/>
      <c r="V117" s="194"/>
      <c r="W117" s="194"/>
      <c r="X117" s="194"/>
      <c r="Y117" s="194"/>
      <c r="Z117" s="194"/>
      <c r="AA117" s="195"/>
      <c r="AB117" s="264">
        <f t="shared" si="21"/>
        <v>9847.2999999999993</v>
      </c>
      <c r="AC117" s="194"/>
      <c r="AD117" s="862"/>
      <c r="AE117" s="264">
        <f>+'Exhibit F'!AF109+'Exhibit G'!AH93</f>
        <v>8482.1</v>
      </c>
      <c r="AF117" s="1550"/>
      <c r="AG117" s="194"/>
      <c r="AH117" s="194">
        <f t="shared" si="22"/>
        <v>1365.2</v>
      </c>
      <c r="AI117" s="62"/>
      <c r="AJ117" s="374">
        <f t="shared" ref="AJ117:AJ123" si="23">ROUND(IF(AE117=0,0,AH117/ABS(AE117)),3)</f>
        <v>0.161</v>
      </c>
    </row>
    <row r="118" spans="1:37" ht="16.5" customHeight="1">
      <c r="A118" s="753" t="s">
        <v>129</v>
      </c>
      <c r="B118" s="62"/>
      <c r="C118" s="194">
        <f>+'Exhibit F'!D110+'Exhibit G'!D94+'Exhibit I'!E72</f>
        <v>1521.6000000000001</v>
      </c>
      <c r="D118" s="194"/>
      <c r="E118" s="194"/>
      <c r="F118" s="194"/>
      <c r="G118" s="194"/>
      <c r="H118" s="194"/>
      <c r="I118" s="194"/>
      <c r="J118" s="194"/>
      <c r="K118" s="194"/>
      <c r="L118" s="194"/>
      <c r="M118" s="194"/>
      <c r="N118" s="194"/>
      <c r="O118" s="194"/>
      <c r="P118" s="194"/>
      <c r="Q118" s="194"/>
      <c r="R118" s="194"/>
      <c r="S118" s="194"/>
      <c r="T118" s="194"/>
      <c r="U118" s="194"/>
      <c r="V118" s="194"/>
      <c r="W118" s="194"/>
      <c r="X118" s="194"/>
      <c r="Y118" s="194"/>
      <c r="Z118" s="194"/>
      <c r="AA118" s="195"/>
      <c r="AB118" s="264">
        <f t="shared" si="21"/>
        <v>1521.6</v>
      </c>
      <c r="AC118" s="1215"/>
      <c r="AD118" s="194"/>
      <c r="AE118" s="264">
        <f>+'Exhibit F'!AF110+'Exhibit G'!AH94+'Exhibit I'!AI72</f>
        <v>1663.6000000000001</v>
      </c>
      <c r="AF118" s="1550"/>
      <c r="AG118" s="194"/>
      <c r="AH118" s="194">
        <f t="shared" si="22"/>
        <v>-142</v>
      </c>
      <c r="AI118" s="62"/>
      <c r="AJ118" s="374">
        <f t="shared" si="23"/>
        <v>-8.5000000000000006E-2</v>
      </c>
    </row>
    <row r="119" spans="1:37" ht="16.5" customHeight="1">
      <c r="A119" s="753" t="s">
        <v>130</v>
      </c>
      <c r="B119" s="62"/>
      <c r="C119" s="194">
        <f>+'Exhibit F'!D111+'Exhibit G'!D95+'Exhibit I'!E73</f>
        <v>443.9</v>
      </c>
      <c r="D119" s="194"/>
      <c r="E119" s="194"/>
      <c r="F119" s="194"/>
      <c r="G119" s="194"/>
      <c r="H119" s="194"/>
      <c r="I119" s="194"/>
      <c r="J119" s="194"/>
      <c r="K119" s="194"/>
      <c r="L119" s="194"/>
      <c r="M119" s="194"/>
      <c r="N119" s="194"/>
      <c r="O119" s="194"/>
      <c r="P119" s="194"/>
      <c r="Q119" s="194"/>
      <c r="R119" s="194"/>
      <c r="S119" s="194"/>
      <c r="T119" s="194"/>
      <c r="U119" s="194"/>
      <c r="V119" s="194"/>
      <c r="W119" s="194"/>
      <c r="X119" s="194"/>
      <c r="Y119" s="194"/>
      <c r="Z119" s="194"/>
      <c r="AA119" s="195"/>
      <c r="AB119" s="264">
        <f t="shared" si="21"/>
        <v>443.9</v>
      </c>
      <c r="AC119" s="1231"/>
      <c r="AD119" s="862"/>
      <c r="AE119" s="264">
        <f>+'Exhibit F'!AF111+'Exhibit G'!AH95+'Exhibit I'!AI73</f>
        <v>211.10000000000002</v>
      </c>
      <c r="AF119" s="1550"/>
      <c r="AG119" s="194"/>
      <c r="AH119" s="194">
        <f t="shared" si="22"/>
        <v>232.8</v>
      </c>
      <c r="AI119" s="62"/>
      <c r="AJ119" s="860">
        <f t="shared" si="23"/>
        <v>1.103</v>
      </c>
    </row>
    <row r="120" spans="1:37" ht="16.5" customHeight="1">
      <c r="A120" s="753" t="s">
        <v>131</v>
      </c>
      <c r="B120" s="62"/>
      <c r="C120" s="194">
        <f>+'Exhibit F'!D112+'Exhibit G'!D96+'Exhibit I'!E74</f>
        <v>700.30000000000007</v>
      </c>
      <c r="D120" s="194"/>
      <c r="E120" s="194"/>
      <c r="F120" s="194"/>
      <c r="G120" s="194"/>
      <c r="H120" s="194"/>
      <c r="I120" s="194"/>
      <c r="J120" s="194"/>
      <c r="K120" s="194"/>
      <c r="L120" s="194"/>
      <c r="M120" s="194"/>
      <c r="N120" s="194"/>
      <c r="O120" s="194"/>
      <c r="P120" s="194"/>
      <c r="Q120" s="194"/>
      <c r="R120" s="194"/>
      <c r="S120" s="194"/>
      <c r="T120" s="194"/>
      <c r="U120" s="194"/>
      <c r="V120" s="194"/>
      <c r="W120" s="194"/>
      <c r="X120" s="194"/>
      <c r="Y120" s="194"/>
      <c r="Z120" s="194"/>
      <c r="AA120" s="195"/>
      <c r="AB120" s="264">
        <f t="shared" si="21"/>
        <v>700.3</v>
      </c>
      <c r="AC120" s="1231"/>
      <c r="AD120" s="862"/>
      <c r="AE120" s="264">
        <f>+'Exhibit F'!AF112+'Exhibit G'!AH96+'Exhibit I'!AI74</f>
        <v>643.20000000000005</v>
      </c>
      <c r="AF120" s="1550"/>
      <c r="AG120" s="194"/>
      <c r="AH120" s="194">
        <f t="shared" si="22"/>
        <v>57.1</v>
      </c>
      <c r="AI120" s="62"/>
      <c r="AJ120" s="374">
        <f t="shared" si="23"/>
        <v>8.8999999999999996E-2</v>
      </c>
    </row>
    <row r="121" spans="1:37" ht="16.5" customHeight="1">
      <c r="A121" s="753" t="s">
        <v>132</v>
      </c>
      <c r="B121" s="62"/>
      <c r="C121" s="194">
        <f>+'Exhibit F'!D113+'Exhibit G'!D97+'Exhibit I'!E75</f>
        <v>119.9</v>
      </c>
      <c r="D121" s="194"/>
      <c r="E121" s="194"/>
      <c r="F121" s="194"/>
      <c r="G121" s="194"/>
      <c r="H121" s="194"/>
      <c r="I121" s="194"/>
      <c r="J121" s="194"/>
      <c r="K121" s="194"/>
      <c r="L121" s="194"/>
      <c r="M121" s="194"/>
      <c r="N121" s="194"/>
      <c r="O121" s="194"/>
      <c r="P121" s="194"/>
      <c r="Q121" s="194"/>
      <c r="R121" s="194"/>
      <c r="S121" s="194"/>
      <c r="T121" s="194"/>
      <c r="U121" s="194"/>
      <c r="V121" s="194"/>
      <c r="W121" s="194"/>
      <c r="X121" s="194"/>
      <c r="Y121" s="194"/>
      <c r="Z121" s="194"/>
      <c r="AA121" s="195"/>
      <c r="AB121" s="264">
        <f t="shared" si="21"/>
        <v>119.9</v>
      </c>
      <c r="AC121" s="1231"/>
      <c r="AD121" s="862"/>
      <c r="AE121" s="264">
        <f>+'Exhibit F'!AF113+'Exhibit G'!AH97+'Exhibit I'!AI75</f>
        <v>112.30000000000001</v>
      </c>
      <c r="AF121" s="1550"/>
      <c r="AG121" s="194"/>
      <c r="AH121" s="194">
        <f t="shared" si="22"/>
        <v>7.6</v>
      </c>
      <c r="AI121" s="62"/>
      <c r="AJ121" s="374">
        <f t="shared" si="23"/>
        <v>6.8000000000000005E-2</v>
      </c>
    </row>
    <row r="122" spans="1:37" ht="16.5" customHeight="1">
      <c r="A122" s="753" t="s">
        <v>133</v>
      </c>
      <c r="B122" s="62"/>
      <c r="C122" s="194">
        <f>+'Exhibit F'!D114+'Exhibit G'!D98+'Exhibit I'!E76</f>
        <v>150.80000000000001</v>
      </c>
      <c r="D122" s="194"/>
      <c r="E122" s="194"/>
      <c r="F122" s="194"/>
      <c r="G122" s="194"/>
      <c r="H122" s="194"/>
      <c r="I122" s="194"/>
      <c r="J122" s="194"/>
      <c r="K122" s="194"/>
      <c r="L122" s="194"/>
      <c r="M122" s="194"/>
      <c r="N122" s="194"/>
      <c r="O122" s="194"/>
      <c r="P122" s="194"/>
      <c r="Q122" s="194"/>
      <c r="R122" s="194"/>
      <c r="S122" s="194"/>
      <c r="T122" s="194"/>
      <c r="U122" s="194"/>
      <c r="V122" s="194"/>
      <c r="W122" s="194"/>
      <c r="X122" s="194"/>
      <c r="Y122" s="194"/>
      <c r="Z122" s="194"/>
      <c r="AA122" s="195"/>
      <c r="AB122" s="194">
        <f>ROUND(SUM(C122:Y122),1)</f>
        <v>150.80000000000001</v>
      </c>
      <c r="AC122" s="1231"/>
      <c r="AD122" s="862"/>
      <c r="AE122" s="264">
        <f>+'Exhibit F'!AF114+'Exhibit G'!AH98+'Exhibit I'!AI76</f>
        <v>132.80000000000001</v>
      </c>
      <c r="AF122" s="1550"/>
      <c r="AG122" s="194"/>
      <c r="AH122" s="194">
        <f>ROUND(SUM(AB122-AE122),1)</f>
        <v>18</v>
      </c>
      <c r="AI122" s="62"/>
      <c r="AJ122" s="374">
        <f t="shared" si="23"/>
        <v>0.13600000000000001</v>
      </c>
    </row>
    <row r="123" spans="1:37" ht="16.5" customHeight="1">
      <c r="A123" s="62" t="s">
        <v>134</v>
      </c>
      <c r="B123" s="62"/>
      <c r="C123" s="1014">
        <f>ROUND(SUM(C113:C122),1)</f>
        <v>15933.6</v>
      </c>
      <c r="D123" s="197"/>
      <c r="E123" s="1014">
        <f>ROUND(SUM(E113:E122),1)</f>
        <v>0</v>
      </c>
      <c r="F123" s="197"/>
      <c r="G123" s="1014">
        <f>ROUND(SUM(G113:G122),1)</f>
        <v>0</v>
      </c>
      <c r="H123" s="197"/>
      <c r="I123" s="1014">
        <f>ROUND(SUM(I113:I122),1)</f>
        <v>0</v>
      </c>
      <c r="J123" s="197"/>
      <c r="K123" s="1014">
        <f>ROUND(SUM(K113:K122),1)</f>
        <v>0</v>
      </c>
      <c r="L123" s="197"/>
      <c r="M123" s="1014">
        <f>ROUND(SUM(M113:M122),1)</f>
        <v>0</v>
      </c>
      <c r="N123" s="197"/>
      <c r="O123" s="1014">
        <f>ROUND(SUM(O113:O122),1)</f>
        <v>0</v>
      </c>
      <c r="P123" s="197"/>
      <c r="Q123" s="1014">
        <f>ROUND(SUM(Q113:Q122),1)</f>
        <v>0</v>
      </c>
      <c r="R123" s="197"/>
      <c r="S123" s="1014">
        <f>ROUND(SUM(S113:S122),1)</f>
        <v>0</v>
      </c>
      <c r="T123" s="197"/>
      <c r="U123" s="1014">
        <f>ROUND(SUM(U113:U122),1)</f>
        <v>0</v>
      </c>
      <c r="V123" s="197"/>
      <c r="W123" s="1014">
        <f>ROUND(SUM(W113:W122),1)</f>
        <v>0</v>
      </c>
      <c r="X123" s="197"/>
      <c r="Y123" s="1014">
        <f>ROUND(SUM(Y113:Y122),1)</f>
        <v>0</v>
      </c>
      <c r="Z123" s="197"/>
      <c r="AA123" s="198"/>
      <c r="AB123" s="1014">
        <f>ROUND(SUM(AB113:AB122),1)</f>
        <v>15933.6</v>
      </c>
      <c r="AC123" s="1232"/>
      <c r="AD123" s="865"/>
      <c r="AE123" s="1014">
        <f>ROUND(SUM(AE113:AE122),1)</f>
        <v>14512.8</v>
      </c>
      <c r="AF123" s="1551"/>
      <c r="AG123" s="197"/>
      <c r="AH123" s="1014">
        <f>ROUND(SUM(AH113:AH122),1)</f>
        <v>1420.8</v>
      </c>
      <c r="AI123" s="187"/>
      <c r="AJ123" s="1015">
        <f t="shared" si="23"/>
        <v>9.8000000000000004E-2</v>
      </c>
      <c r="AK123" s="129"/>
    </row>
    <row r="124" spans="1:37" ht="16.5" customHeight="1">
      <c r="A124" s="62" t="s">
        <v>135</v>
      </c>
      <c r="B124" s="62"/>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5"/>
      <c r="AB124" s="194"/>
      <c r="AC124" s="194"/>
      <c r="AD124" s="862"/>
      <c r="AE124" s="264"/>
      <c r="AF124" s="1550"/>
      <c r="AG124" s="194"/>
      <c r="AH124" s="264"/>
      <c r="AI124" s="62"/>
      <c r="AJ124" s="268"/>
    </row>
    <row r="125" spans="1:37" ht="16.5" customHeight="1">
      <c r="A125" s="62" t="s">
        <v>429</v>
      </c>
      <c r="B125" s="62"/>
      <c r="C125" s="194">
        <f>+'Exhibit F'!D117+'Exhibit G'!D101+'Exhibit I'!E79</f>
        <v>1835.5</v>
      </c>
      <c r="D125" s="194"/>
      <c r="E125" s="194"/>
      <c r="F125" s="194"/>
      <c r="G125" s="194"/>
      <c r="H125" s="194"/>
      <c r="I125" s="194"/>
      <c r="J125" s="194"/>
      <c r="K125" s="194"/>
      <c r="L125" s="194"/>
      <c r="M125" s="194"/>
      <c r="N125" s="194"/>
      <c r="O125" s="194"/>
      <c r="P125" s="194"/>
      <c r="Q125" s="194"/>
      <c r="R125" s="194"/>
      <c r="S125" s="194"/>
      <c r="T125" s="194"/>
      <c r="U125" s="194"/>
      <c r="V125" s="194"/>
      <c r="W125" s="194"/>
      <c r="X125" s="194"/>
      <c r="Y125" s="194"/>
      <c r="Z125" s="194"/>
      <c r="AA125" s="195"/>
      <c r="AB125" s="194">
        <f>ROUND(SUM(C125:Y125),1)</f>
        <v>1835.5</v>
      </c>
      <c r="AC125" s="194"/>
      <c r="AD125" s="862"/>
      <c r="AE125" s="264">
        <f>+'Exhibit F'!AF117+'Exhibit G'!AH101+'Exhibit I'!AI79</f>
        <v>1598</v>
      </c>
      <c r="AF125" s="1550"/>
      <c r="AG125" s="194"/>
      <c r="AH125" s="194">
        <f>ROUND(SUM(AB125-AE125),1)</f>
        <v>237.5</v>
      </c>
      <c r="AI125" s="62"/>
      <c r="AJ125" s="374">
        <f>ROUND(IF(AE125=0,0,AH125/ABS(AE125)),3)</f>
        <v>0.14899999999999999</v>
      </c>
    </row>
    <row r="126" spans="1:37" ht="16.5" customHeight="1">
      <c r="A126" s="62" t="s">
        <v>430</v>
      </c>
      <c r="B126" s="62"/>
      <c r="C126" s="194">
        <f>+'Exhibit F'!D118+'Exhibit G'!D102+'Exhibit H'!B59+'Exhibit I'!E80</f>
        <v>612.1</v>
      </c>
      <c r="D126" s="194"/>
      <c r="E126" s="194"/>
      <c r="F126" s="194"/>
      <c r="G126" s="194"/>
      <c r="H126" s="194"/>
      <c r="I126" s="194"/>
      <c r="J126" s="194"/>
      <c r="K126" s="194"/>
      <c r="L126" s="194"/>
      <c r="M126" s="194"/>
      <c r="N126" s="194"/>
      <c r="O126" s="194"/>
      <c r="P126" s="194"/>
      <c r="Q126" s="194"/>
      <c r="R126" s="194"/>
      <c r="S126" s="194"/>
      <c r="T126" s="194"/>
      <c r="U126" s="194"/>
      <c r="V126" s="194"/>
      <c r="W126" s="194"/>
      <c r="X126" s="194"/>
      <c r="Y126" s="194"/>
      <c r="Z126" s="194"/>
      <c r="AA126" s="195"/>
      <c r="AB126" s="194">
        <f>ROUND(SUM(C126:Y126),1)</f>
        <v>612.1</v>
      </c>
      <c r="AC126" s="194"/>
      <c r="AD126" s="862"/>
      <c r="AE126" s="264">
        <f>+'Exhibit F'!AF118+'Exhibit G'!AH102+'Exhibit H'!AD59+'Exhibit I'!AI80</f>
        <v>557.20000000000005</v>
      </c>
      <c r="AF126" s="1550"/>
      <c r="AG126" s="194"/>
      <c r="AH126" s="194">
        <f>ROUND(SUM(AB126-AE126),1)</f>
        <v>54.9</v>
      </c>
      <c r="AI126" s="62"/>
      <c r="AJ126" s="374">
        <f>ROUND(IF(AE126=0,0,AH126/ABS(AE126)),3)</f>
        <v>9.9000000000000005E-2</v>
      </c>
    </row>
    <row r="127" spans="1:37" ht="16.5" customHeight="1">
      <c r="A127" s="62" t="s">
        <v>138</v>
      </c>
      <c r="B127" s="62"/>
      <c r="C127" s="194">
        <f>+'Exhibit F'!D119+'Exhibit G'!D103+'Exhibit I'!E81</f>
        <v>817.8</v>
      </c>
      <c r="D127" s="194"/>
      <c r="E127" s="194"/>
      <c r="F127" s="194"/>
      <c r="G127" s="194"/>
      <c r="H127" s="194"/>
      <c r="I127" s="194"/>
      <c r="J127" s="194"/>
      <c r="K127" s="194"/>
      <c r="L127" s="194"/>
      <c r="M127" s="194"/>
      <c r="N127" s="194"/>
      <c r="O127" s="194"/>
      <c r="P127" s="194"/>
      <c r="Q127" s="194"/>
      <c r="R127" s="194"/>
      <c r="S127" s="194"/>
      <c r="T127" s="194"/>
      <c r="U127" s="194"/>
      <c r="V127" s="194"/>
      <c r="W127" s="194"/>
      <c r="X127" s="194"/>
      <c r="Y127" s="194"/>
      <c r="Z127" s="194"/>
      <c r="AA127" s="195"/>
      <c r="AB127" s="194">
        <f>ROUND(SUM(C127:Y127),1)</f>
        <v>817.8</v>
      </c>
      <c r="AC127" s="194"/>
      <c r="AD127" s="862"/>
      <c r="AE127" s="264">
        <f>+'Exhibit F'!AF119+'Exhibit G'!AH103+'Exhibit I'!AI81</f>
        <v>941.9</v>
      </c>
      <c r="AF127" s="1550"/>
      <c r="AG127" s="194"/>
      <c r="AH127" s="194">
        <f>ROUND(SUM(AB127-AE127),1)</f>
        <v>-124.1</v>
      </c>
      <c r="AI127" s="62"/>
      <c r="AJ127" s="374">
        <f>ROUND(IF(AE127=0,0,AH127/ABS(AE127)),3)</f>
        <v>-0.13200000000000001</v>
      </c>
    </row>
    <row r="128" spans="1:37" ht="16.5" customHeight="1">
      <c r="A128" s="62" t="s">
        <v>431</v>
      </c>
      <c r="B128" s="62"/>
      <c r="C128" s="194"/>
      <c r="D128" s="194"/>
      <c r="E128" s="194"/>
      <c r="F128" s="194"/>
      <c r="G128" s="194"/>
      <c r="H128" s="194"/>
      <c r="I128" s="194"/>
      <c r="J128" s="194"/>
      <c r="K128" s="194"/>
      <c r="L128" s="194"/>
      <c r="M128" s="194"/>
      <c r="N128" s="194"/>
      <c r="O128" s="194"/>
      <c r="P128" s="194"/>
      <c r="Q128" s="194"/>
      <c r="R128" s="194"/>
      <c r="S128" s="194"/>
      <c r="T128" s="194"/>
      <c r="U128" s="194"/>
      <c r="V128" s="194"/>
      <c r="W128" s="194"/>
      <c r="X128" s="194"/>
      <c r="Y128" s="194"/>
      <c r="Z128" s="194"/>
      <c r="AA128" s="195"/>
      <c r="AB128" s="194"/>
      <c r="AC128" s="194"/>
      <c r="AD128" s="862"/>
      <c r="AE128" s="194"/>
      <c r="AF128" s="1550"/>
      <c r="AG128" s="194"/>
      <c r="AH128" s="194"/>
      <c r="AI128" s="62"/>
      <c r="AJ128" s="283"/>
    </row>
    <row r="129" spans="1:37" ht="16.5" customHeight="1">
      <c r="A129" s="62" t="s">
        <v>1466</v>
      </c>
      <c r="B129" s="62"/>
      <c r="C129" s="194">
        <f>+'Exhibit H'!B61</f>
        <v>1.5</v>
      </c>
      <c r="D129" s="194"/>
      <c r="E129" s="194"/>
      <c r="F129" s="194"/>
      <c r="G129" s="194"/>
      <c r="H129" s="194"/>
      <c r="I129" s="194"/>
      <c r="J129" s="194"/>
      <c r="K129" s="194"/>
      <c r="L129" s="194"/>
      <c r="M129" s="194"/>
      <c r="N129" s="194"/>
      <c r="O129" s="194"/>
      <c r="P129" s="194"/>
      <c r="Q129" s="194"/>
      <c r="R129" s="194"/>
      <c r="S129" s="194"/>
      <c r="T129" s="194"/>
      <c r="U129" s="194"/>
      <c r="V129" s="194"/>
      <c r="W129" s="194"/>
      <c r="X129" s="194"/>
      <c r="Y129" s="194"/>
      <c r="Z129" s="194"/>
      <c r="AA129" s="195"/>
      <c r="AB129" s="194">
        <f>ROUND(SUM(C129:Y129),1)</f>
        <v>1.5</v>
      </c>
      <c r="AC129" s="194"/>
      <c r="AD129" s="862"/>
      <c r="AE129" s="264">
        <f>+'Exhibit H'!AD61+'Exhibit G'!AH105</f>
        <v>4.8</v>
      </c>
      <c r="AF129" s="1550"/>
      <c r="AG129" s="194"/>
      <c r="AH129" s="194">
        <f>ROUND(SUM(AB129-AE129),1)</f>
        <v>-3.3</v>
      </c>
      <c r="AI129" s="62"/>
      <c r="AJ129" s="374">
        <f>ROUND(IF(AE129=0,0,AH129/ABS(AE129)),3)</f>
        <v>-0.68799999999999994</v>
      </c>
    </row>
    <row r="130" spans="1:37" ht="16.5" customHeight="1">
      <c r="A130" s="199" t="s">
        <v>432</v>
      </c>
      <c r="B130" s="62"/>
      <c r="C130" s="196">
        <f>+'Exhibit G'!D106+'Exhibit I'!E82</f>
        <v>406</v>
      </c>
      <c r="D130" s="194"/>
      <c r="E130" s="196"/>
      <c r="F130" s="196"/>
      <c r="G130" s="196"/>
      <c r="H130" s="194"/>
      <c r="I130" s="196"/>
      <c r="J130" s="194"/>
      <c r="K130" s="196"/>
      <c r="L130" s="194"/>
      <c r="M130" s="196"/>
      <c r="N130" s="194"/>
      <c r="O130" s="196"/>
      <c r="P130" s="194"/>
      <c r="Q130" s="196"/>
      <c r="R130" s="194"/>
      <c r="S130" s="196"/>
      <c r="T130" s="194"/>
      <c r="U130" s="196"/>
      <c r="V130" s="194"/>
      <c r="W130" s="196"/>
      <c r="X130" s="194"/>
      <c r="Y130" s="196"/>
      <c r="Z130" s="194"/>
      <c r="AA130" s="195"/>
      <c r="AB130" s="196">
        <f>ROUND(SUM(C130:Y130),1)</f>
        <v>406</v>
      </c>
      <c r="AC130" s="194"/>
      <c r="AD130" s="862"/>
      <c r="AE130" s="383">
        <f>+'Exhibit G'!AH106+'Exhibit I'!AI82</f>
        <v>550.9</v>
      </c>
      <c r="AF130" s="1550"/>
      <c r="AG130" s="194"/>
      <c r="AH130" s="196">
        <f>ROUND(SUM(AB130-AE130),1)</f>
        <v>-144.9</v>
      </c>
      <c r="AI130" s="62"/>
      <c r="AJ130" s="864">
        <f>ROUND(IF(AE130=0,0,AH130/ABS(AE130)),3)</f>
        <v>-0.26300000000000001</v>
      </c>
    </row>
    <row r="131" spans="1:37" ht="16.5" customHeight="1">
      <c r="A131" s="62"/>
      <c r="B131" s="62"/>
      <c r="C131" s="194"/>
      <c r="D131" s="194"/>
      <c r="E131" s="194"/>
      <c r="F131" s="194"/>
      <c r="G131" s="194"/>
      <c r="H131" s="194"/>
      <c r="I131" s="194"/>
      <c r="J131" s="194"/>
      <c r="K131" s="194"/>
      <c r="L131" s="194"/>
      <c r="M131" s="194"/>
      <c r="N131" s="194"/>
      <c r="O131" s="194"/>
      <c r="P131" s="194"/>
      <c r="Q131" s="194"/>
      <c r="R131" s="194"/>
      <c r="S131" s="194"/>
      <c r="T131" s="194"/>
      <c r="U131" s="194"/>
      <c r="V131" s="194"/>
      <c r="W131" s="194"/>
      <c r="X131" s="194"/>
      <c r="Y131" s="194"/>
      <c r="Z131" s="194"/>
      <c r="AA131" s="195"/>
      <c r="AB131" s="194"/>
      <c r="AC131" s="194"/>
      <c r="AD131" s="862"/>
      <c r="AE131" s="194"/>
      <c r="AF131" s="1550"/>
      <c r="AG131" s="194"/>
      <c r="AH131" s="194"/>
      <c r="AI131" s="62"/>
      <c r="AJ131" s="283"/>
    </row>
    <row r="132" spans="1:37" ht="16.5" customHeight="1">
      <c r="A132" s="40" t="s">
        <v>162</v>
      </c>
      <c r="B132" s="62"/>
      <c r="C132" s="755">
        <f>ROUND(SUM(C123:C130),1)</f>
        <v>19606.5</v>
      </c>
      <c r="D132" s="197"/>
      <c r="E132" s="755">
        <f>ROUND(SUM(E123:E130),1)</f>
        <v>0</v>
      </c>
      <c r="F132" s="197"/>
      <c r="G132" s="755">
        <f>ROUND(SUM(G123:G130),1)</f>
        <v>0</v>
      </c>
      <c r="H132" s="197"/>
      <c r="I132" s="755">
        <f>ROUND(SUM(I123:I130),1)</f>
        <v>0</v>
      </c>
      <c r="J132" s="197"/>
      <c r="K132" s="755">
        <f>ROUND(SUM(K123:K130),1)</f>
        <v>0</v>
      </c>
      <c r="L132" s="197"/>
      <c r="M132" s="755">
        <f>ROUND(SUM(M123:M130),1)</f>
        <v>0</v>
      </c>
      <c r="N132" s="197"/>
      <c r="O132" s="755">
        <f>ROUND(SUM(O123:O130),1)</f>
        <v>0</v>
      </c>
      <c r="P132" s="197"/>
      <c r="Q132" s="755">
        <f>ROUND(SUM(Q123:Q130),1)</f>
        <v>0</v>
      </c>
      <c r="R132" s="197"/>
      <c r="S132" s="755">
        <f>ROUND(SUM(S123:S130),1)</f>
        <v>0</v>
      </c>
      <c r="T132" s="197"/>
      <c r="U132" s="755">
        <f>ROUND(SUM(U123:U130),1)</f>
        <v>0</v>
      </c>
      <c r="V132" s="197"/>
      <c r="W132" s="755">
        <f>ROUND(SUM(W123:W130),1)</f>
        <v>0</v>
      </c>
      <c r="X132" s="197"/>
      <c r="Y132" s="755">
        <f>ROUND(SUM(Y123:Y130),1)</f>
        <v>0</v>
      </c>
      <c r="Z132" s="197"/>
      <c r="AA132" s="198"/>
      <c r="AB132" s="755">
        <f>ROUND(SUM(AB123:AB130),1)</f>
        <v>19606.5</v>
      </c>
      <c r="AC132" s="197"/>
      <c r="AD132" s="865"/>
      <c r="AE132" s="755">
        <f>ROUND(SUM(AE123:AE130),1)</f>
        <v>18165.599999999999</v>
      </c>
      <c r="AF132" s="1551"/>
      <c r="AG132" s="197"/>
      <c r="AH132" s="755">
        <f>ROUND(SUM(AB132-AE132),1)</f>
        <v>1440.9</v>
      </c>
      <c r="AI132" s="187"/>
      <c r="AJ132" s="861">
        <f>ROUND(IF(AE132=0,0,AH132/ABS(AE132)),3)</f>
        <v>7.9000000000000001E-2</v>
      </c>
      <c r="AK132" s="129"/>
    </row>
    <row r="133" spans="1:37" ht="16.5" customHeight="1">
      <c r="A133" s="40"/>
      <c r="B133" s="62"/>
      <c r="C133" s="194"/>
      <c r="D133" s="194"/>
      <c r="E133" s="194"/>
      <c r="F133" s="194"/>
      <c r="G133" s="194"/>
      <c r="H133" s="194"/>
      <c r="I133" s="194"/>
      <c r="J133" s="194"/>
      <c r="K133" s="194"/>
      <c r="L133" s="194"/>
      <c r="M133" s="194"/>
      <c r="N133" s="194"/>
      <c r="O133" s="194"/>
      <c r="P133" s="194"/>
      <c r="Q133" s="194"/>
      <c r="R133" s="194"/>
      <c r="S133" s="194"/>
      <c r="T133" s="194"/>
      <c r="U133" s="194"/>
      <c r="V133" s="194"/>
      <c r="W133" s="194"/>
      <c r="X133" s="194"/>
      <c r="Y133" s="194"/>
      <c r="Z133" s="194"/>
      <c r="AA133" s="195"/>
      <c r="AB133" s="194"/>
      <c r="AC133" s="194"/>
      <c r="AD133" s="862"/>
      <c r="AE133" s="194"/>
      <c r="AF133" s="1550"/>
      <c r="AG133" s="194"/>
      <c r="AH133" s="264"/>
      <c r="AI133" s="62"/>
      <c r="AJ133" s="268"/>
    </row>
    <row r="134" spans="1:37" ht="16.5" customHeight="1">
      <c r="A134" s="40" t="s">
        <v>143</v>
      </c>
      <c r="B134" s="62"/>
      <c r="C134" s="194"/>
      <c r="D134" s="194"/>
      <c r="E134" s="194"/>
      <c r="F134" s="194"/>
      <c r="G134" s="194"/>
      <c r="H134" s="194"/>
      <c r="I134" s="194"/>
      <c r="J134" s="194"/>
      <c r="K134" s="194"/>
      <c r="L134" s="194"/>
      <c r="M134" s="194"/>
      <c r="N134" s="194"/>
      <c r="O134" s="194"/>
      <c r="P134" s="194"/>
      <c r="Q134" s="194"/>
      <c r="R134" s="194"/>
      <c r="S134" s="194"/>
      <c r="T134" s="194"/>
      <c r="U134" s="194"/>
      <c r="V134" s="194"/>
      <c r="W134" s="194"/>
      <c r="X134" s="194"/>
      <c r="Y134" s="194"/>
      <c r="Z134" s="194"/>
      <c r="AA134" s="195"/>
      <c r="AB134" s="194"/>
      <c r="AC134" s="194"/>
      <c r="AD134" s="862"/>
      <c r="AE134" s="194"/>
      <c r="AF134" s="1550"/>
      <c r="AG134" s="194"/>
      <c r="AH134" s="264"/>
      <c r="AI134" s="62"/>
      <c r="AJ134" s="268"/>
    </row>
    <row r="135" spans="1:37" ht="16.5" customHeight="1">
      <c r="A135" s="40" t="s">
        <v>144</v>
      </c>
      <c r="B135" s="62"/>
      <c r="C135" s="755">
        <f>ROUND(SUM(C109-C132),1)</f>
        <v>6211</v>
      </c>
      <c r="D135" s="197"/>
      <c r="E135" s="755">
        <f>ROUND(SUM(E109-E132),1)</f>
        <v>0</v>
      </c>
      <c r="F135" s="197"/>
      <c r="G135" s="755">
        <f>ROUND(SUM(G109-G132),1)</f>
        <v>0</v>
      </c>
      <c r="H135" s="197"/>
      <c r="I135" s="755">
        <f>ROUND(SUM(I109-I132),1)</f>
        <v>0</v>
      </c>
      <c r="J135" s="197"/>
      <c r="K135" s="755">
        <f>ROUND(SUM(K109-K132),1)</f>
        <v>0</v>
      </c>
      <c r="L135" s="197"/>
      <c r="M135" s="755">
        <f>ROUND(SUM(M109-M132),1)</f>
        <v>0</v>
      </c>
      <c r="N135" s="197"/>
      <c r="O135" s="755">
        <f>ROUND(SUM(O109-O132),1)</f>
        <v>0</v>
      </c>
      <c r="P135" s="197"/>
      <c r="Q135" s="755">
        <f>ROUND(SUM(Q109-Q132),1)</f>
        <v>0</v>
      </c>
      <c r="R135" s="197"/>
      <c r="S135" s="755">
        <f>ROUND(SUM(S109-S132),1)</f>
        <v>0</v>
      </c>
      <c r="T135" s="197"/>
      <c r="U135" s="755">
        <f>ROUND(SUM(U109-U132),1)</f>
        <v>0</v>
      </c>
      <c r="V135" s="197"/>
      <c r="W135" s="755">
        <f>ROUND(SUM(W109-W132),1)</f>
        <v>0</v>
      </c>
      <c r="X135" s="197"/>
      <c r="Y135" s="755">
        <f>ROUND(SUM(Y109-Y132),1)</f>
        <v>0</v>
      </c>
      <c r="Z135" s="197"/>
      <c r="AA135" s="198"/>
      <c r="AB135" s="755">
        <f>ROUND(SUM(AB109-AB132),1)</f>
        <v>6211</v>
      </c>
      <c r="AC135" s="197"/>
      <c r="AD135" s="865"/>
      <c r="AE135" s="755">
        <f>ROUND(SUM(AE109-AE132),1)</f>
        <v>7949.7</v>
      </c>
      <c r="AF135" s="1551"/>
      <c r="AG135" s="197"/>
      <c r="AH135" s="870">
        <f>ROUND(SUM(AB135-AE135),1)</f>
        <v>-1738.7</v>
      </c>
      <c r="AI135" s="187"/>
      <c r="AJ135" s="866">
        <f>ROUND(IF(AE135=0,0,AH135/ABS(AE135)),3)</f>
        <v>-0.219</v>
      </c>
      <c r="AK135" s="129"/>
    </row>
    <row r="136" spans="1:37" ht="16.5" customHeight="1">
      <c r="A136" s="268"/>
      <c r="B136" s="62"/>
      <c r="C136" s="11"/>
      <c r="D136" s="194"/>
      <c r="E136" s="11"/>
      <c r="F136" s="194"/>
      <c r="G136" s="11"/>
      <c r="H136" s="194"/>
      <c r="I136" s="11"/>
      <c r="J136" s="194"/>
      <c r="K136" s="11"/>
      <c r="L136" s="194"/>
      <c r="M136" s="11"/>
      <c r="N136" s="194"/>
      <c r="O136" s="11"/>
      <c r="P136" s="194"/>
      <c r="Q136" s="11"/>
      <c r="R136" s="194"/>
      <c r="S136" s="11"/>
      <c r="T136" s="194"/>
      <c r="U136" s="11"/>
      <c r="V136" s="194"/>
      <c r="W136" s="11"/>
      <c r="X136" s="194"/>
      <c r="Y136" s="11"/>
      <c r="Z136" s="105"/>
      <c r="AA136" s="195"/>
      <c r="AB136" s="11"/>
      <c r="AC136" s="194"/>
      <c r="AD136" s="862"/>
      <c r="AE136" s="11"/>
      <c r="AF136" s="1550"/>
      <c r="AG136" s="194"/>
      <c r="AH136" s="264"/>
      <c r="AI136" s="62"/>
      <c r="AJ136" s="268"/>
    </row>
    <row r="137" spans="1:37" ht="16.5" customHeight="1">
      <c r="A137" s="40" t="s">
        <v>145</v>
      </c>
      <c r="B137" s="62"/>
      <c r="C137" s="194"/>
      <c r="D137" s="194"/>
      <c r="E137" s="194"/>
      <c r="F137" s="200"/>
      <c r="G137" s="194"/>
      <c r="H137" s="200"/>
      <c r="I137" s="200"/>
      <c r="J137" s="200"/>
      <c r="K137" s="200"/>
      <c r="L137" s="200"/>
      <c r="M137" s="200"/>
      <c r="N137" s="200"/>
      <c r="O137" s="200"/>
      <c r="P137" s="200"/>
      <c r="Q137" s="200"/>
      <c r="R137" s="200"/>
      <c r="S137" s="200"/>
      <c r="T137" s="200"/>
      <c r="U137" s="200"/>
      <c r="V137" s="194"/>
      <c r="W137" s="200"/>
      <c r="X137" s="194"/>
      <c r="Y137" s="200"/>
      <c r="Z137" s="1215"/>
      <c r="AA137" s="195"/>
      <c r="AB137" s="194"/>
      <c r="AC137" s="1215"/>
      <c r="AD137" s="194"/>
      <c r="AE137" s="194"/>
      <c r="AF137" s="1550"/>
      <c r="AG137" s="194"/>
      <c r="AH137" s="264"/>
      <c r="AI137" s="62"/>
      <c r="AJ137" s="268"/>
    </row>
    <row r="138" spans="1:37" ht="16.5" customHeight="1">
      <c r="A138" s="62" t="s">
        <v>146</v>
      </c>
      <c r="B138" s="62"/>
      <c r="C138" s="683">
        <v>0</v>
      </c>
      <c r="D138" s="683"/>
      <c r="E138" s="683"/>
      <c r="F138" s="683"/>
      <c r="G138" s="683"/>
      <c r="H138" s="200"/>
      <c r="I138" s="683"/>
      <c r="J138" s="200"/>
      <c r="K138" s="683"/>
      <c r="L138" s="200"/>
      <c r="M138" s="683"/>
      <c r="N138" s="200"/>
      <c r="O138" s="683"/>
      <c r="P138" s="200"/>
      <c r="Q138" s="683"/>
      <c r="R138" s="683"/>
      <c r="S138" s="683"/>
      <c r="T138" s="683"/>
      <c r="U138" s="683"/>
      <c r="V138" s="683"/>
      <c r="W138" s="683"/>
      <c r="X138" s="683"/>
      <c r="Y138" s="683"/>
      <c r="Z138" s="194"/>
      <c r="AA138" s="195"/>
      <c r="AB138" s="194">
        <f>ROUND(SUM(C138:Y138),1)</f>
        <v>0</v>
      </c>
      <c r="AC138" s="194"/>
      <c r="AD138" s="862"/>
      <c r="AE138" s="194">
        <f>+'Exhibit A'!AD48</f>
        <v>0</v>
      </c>
      <c r="AF138" s="1550"/>
      <c r="AG138" s="194"/>
      <c r="AH138" s="194">
        <f>ROUND(SUM(AB138-AE138),1)</f>
        <v>0</v>
      </c>
      <c r="AI138" s="189"/>
      <c r="AJ138" s="266">
        <f>ROUND(IF(AE138=0,0,AH138/ABS(AE138)),3)</f>
        <v>0</v>
      </c>
    </row>
    <row r="139" spans="1:37" ht="16.5" customHeight="1">
      <c r="A139" s="62" t="s">
        <v>147</v>
      </c>
      <c r="B139" s="62"/>
      <c r="C139" s="367">
        <f>'Exhibit A'!$V$49</f>
        <v>7291.5</v>
      </c>
      <c r="D139" s="1969"/>
      <c r="E139" s="683"/>
      <c r="F139" s="683"/>
      <c r="G139" s="683"/>
      <c r="H139" s="194"/>
      <c r="I139" s="683"/>
      <c r="J139" s="194"/>
      <c r="K139" s="683"/>
      <c r="L139" s="194"/>
      <c r="M139" s="683"/>
      <c r="N139" s="194"/>
      <c r="O139" s="683"/>
      <c r="P139" s="194"/>
      <c r="Q139" s="683"/>
      <c r="R139" s="683"/>
      <c r="S139" s="683"/>
      <c r="T139" s="683"/>
      <c r="U139" s="683"/>
      <c r="V139" s="683"/>
      <c r="W139" s="683"/>
      <c r="X139" s="683"/>
      <c r="Y139" s="683"/>
      <c r="Z139" s="194"/>
      <c r="AA139" s="195"/>
      <c r="AB139" s="194">
        <f>ROUND(SUM(C139:Y139),1)</f>
        <v>7291.5</v>
      </c>
      <c r="AC139" s="194"/>
      <c r="AD139" s="195"/>
      <c r="AE139" s="194">
        <f>+'Exhibit A'!AD49</f>
        <v>6950.8</v>
      </c>
      <c r="AF139" s="1550"/>
      <c r="AG139" s="194"/>
      <c r="AH139" s="194">
        <f>ROUND(SUM(AB139-AE139),1)</f>
        <v>340.7</v>
      </c>
      <c r="AI139" s="62"/>
      <c r="AJ139" s="266">
        <f>ROUND(IF(AE139=0,0,AH139/ABS(AE139)),3)</f>
        <v>4.9000000000000002E-2</v>
      </c>
    </row>
    <row r="140" spans="1:37" ht="16.5" customHeight="1">
      <c r="A140" s="62" t="s">
        <v>149</v>
      </c>
      <c r="C140" s="367">
        <f>'Exhibit A'!$V$50</f>
        <v>-7293.1</v>
      </c>
      <c r="D140" s="1969"/>
      <c r="E140" s="756"/>
      <c r="F140" s="756"/>
      <c r="G140" s="756"/>
      <c r="H140" s="11"/>
      <c r="I140" s="756"/>
      <c r="J140" s="11"/>
      <c r="K140" s="756"/>
      <c r="L140" s="11"/>
      <c r="M140" s="756"/>
      <c r="N140" s="11"/>
      <c r="O140" s="756"/>
      <c r="P140" s="11"/>
      <c r="Q140" s="756"/>
      <c r="R140" s="683"/>
      <c r="S140" s="756"/>
      <c r="T140" s="683"/>
      <c r="U140" s="756"/>
      <c r="V140" s="756"/>
      <c r="W140" s="756"/>
      <c r="X140" s="756"/>
      <c r="Y140" s="756"/>
      <c r="Z140" s="11"/>
      <c r="AA140" s="201"/>
      <c r="AB140" s="196">
        <f>ROUND(SUM(C140:Y140),1)</f>
        <v>-7293.1</v>
      </c>
      <c r="AC140" s="11"/>
      <c r="AD140" s="201"/>
      <c r="AE140" s="196">
        <f>+'Exhibit A'!AD50</f>
        <v>-6951.8</v>
      </c>
      <c r="AF140" s="1552"/>
      <c r="AG140" s="11"/>
      <c r="AH140" s="196">
        <f>ROUND(SUM(-AB140+AE140),1)</f>
        <v>341.3</v>
      </c>
      <c r="AI140" s="268"/>
      <c r="AJ140" s="534">
        <f>ROUND(IF(AE140=0,0,AH140/ABS(AE140)),3)</f>
        <v>4.9000000000000002E-2</v>
      </c>
      <c r="AK140" s="867"/>
    </row>
    <row r="141" spans="1:37" ht="16.5" customHeight="1">
      <c r="A141" s="62"/>
      <c r="C141" s="1037"/>
      <c r="D141" s="1127"/>
      <c r="E141" s="194"/>
      <c r="F141" s="11"/>
      <c r="G141" s="194"/>
      <c r="H141" s="11"/>
      <c r="I141" s="194"/>
      <c r="J141" s="11"/>
      <c r="K141" s="194"/>
      <c r="L141" s="11"/>
      <c r="M141" s="194"/>
      <c r="N141" s="11"/>
      <c r="O141" s="194"/>
      <c r="P141" s="11"/>
      <c r="Q141" s="194"/>
      <c r="R141" s="11"/>
      <c r="S141" s="194"/>
      <c r="T141" s="11"/>
      <c r="U141" s="194"/>
      <c r="V141" s="11"/>
      <c r="W141" s="194"/>
      <c r="X141" s="11"/>
      <c r="Y141" s="194"/>
      <c r="Z141" s="11"/>
      <c r="AA141" s="201"/>
      <c r="AB141" s="194"/>
      <c r="AC141" s="11"/>
      <c r="AD141" s="201"/>
      <c r="AE141" s="194"/>
      <c r="AF141" s="1552"/>
      <c r="AG141" s="11"/>
      <c r="AH141" s="194"/>
      <c r="AI141" s="268"/>
      <c r="AJ141" s="283"/>
    </row>
    <row r="142" spans="1:37" ht="16.5" customHeight="1">
      <c r="A142" s="40" t="s">
        <v>150</v>
      </c>
      <c r="C142" s="985">
        <f>ROUND(SUM(C138:C140),1)</f>
        <v>-1.6</v>
      </c>
      <c r="D142" s="1970"/>
      <c r="E142" s="755">
        <f>ROUND(SUM(E138:E140),1)</f>
        <v>0</v>
      </c>
      <c r="F142" s="202"/>
      <c r="G142" s="755">
        <f>ROUND(SUM(G138:G140),1)</f>
        <v>0</v>
      </c>
      <c r="H142" s="202"/>
      <c r="I142" s="755">
        <f>ROUND(SUM(I138:I140),1)</f>
        <v>0</v>
      </c>
      <c r="J142" s="202"/>
      <c r="K142" s="755">
        <f>ROUND(SUM(K138:K140),1)</f>
        <v>0</v>
      </c>
      <c r="L142" s="202"/>
      <c r="M142" s="755">
        <f>ROUND(SUM(M138:M140),1)</f>
        <v>0</v>
      </c>
      <c r="N142" s="202"/>
      <c r="O142" s="755">
        <f>ROUND(SUM(O138:O140),1)</f>
        <v>0</v>
      </c>
      <c r="P142" s="202"/>
      <c r="Q142" s="755">
        <f>ROUND(SUM(Q138:Q140),1)</f>
        <v>0</v>
      </c>
      <c r="R142" s="202"/>
      <c r="S142" s="755">
        <f>ROUND(SUM(S138:S140),1)</f>
        <v>0</v>
      </c>
      <c r="T142" s="202"/>
      <c r="U142" s="755">
        <f>ROUND(SUM(U138:U140),1)</f>
        <v>0</v>
      </c>
      <c r="V142" s="202"/>
      <c r="W142" s="755">
        <f>ROUND(SUM(W138:W140),1)</f>
        <v>0</v>
      </c>
      <c r="X142" s="202"/>
      <c r="Y142" s="755">
        <f>ROUND(SUM(Y138:Y140),1)</f>
        <v>0</v>
      </c>
      <c r="Z142" s="202"/>
      <c r="AA142" s="203"/>
      <c r="AB142" s="755">
        <f>ROUND(SUM(AB138:AB141),1)</f>
        <v>-1.6</v>
      </c>
      <c r="AC142" s="202"/>
      <c r="AD142" s="203"/>
      <c r="AE142" s="755">
        <f>SUM(AE138:AE141)</f>
        <v>-1</v>
      </c>
      <c r="AF142" s="1553"/>
      <c r="AG142" s="202"/>
      <c r="AH142" s="755">
        <f>ROUND(SUM(+AH139-AH140+AH138),1)</f>
        <v>-0.6</v>
      </c>
      <c r="AI142" s="40"/>
      <c r="AJ142" s="866">
        <f>ROUND(IF(AE142=0,0,AH142/ABS(AE142)),3)</f>
        <v>-0.6</v>
      </c>
      <c r="AK142" s="129"/>
    </row>
    <row r="143" spans="1:37" ht="5.15" customHeight="1">
      <c r="A143" s="26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01"/>
      <c r="AB143" s="11"/>
      <c r="AC143" s="11"/>
      <c r="AD143" s="201"/>
      <c r="AE143" s="11"/>
      <c r="AF143" s="1552"/>
      <c r="AG143" s="11"/>
      <c r="AH143" s="264"/>
      <c r="AI143" s="268"/>
      <c r="AJ143" s="268"/>
    </row>
    <row r="144" spans="1:37" ht="16.5" customHeight="1">
      <c r="A144" s="40" t="s">
        <v>143</v>
      </c>
      <c r="C144" s="194"/>
      <c r="D144" s="11"/>
      <c r="E144" s="194"/>
      <c r="F144" s="11"/>
      <c r="G144" s="194"/>
      <c r="H144" s="11"/>
      <c r="I144" s="194"/>
      <c r="J144" s="11"/>
      <c r="K144" s="194"/>
      <c r="L144" s="11"/>
      <c r="M144" s="194"/>
      <c r="N144" s="11"/>
      <c r="O144" s="194"/>
      <c r="P144" s="11"/>
      <c r="Q144" s="194"/>
      <c r="R144" s="11"/>
      <c r="S144" s="194"/>
      <c r="T144" s="11"/>
      <c r="U144" s="194"/>
      <c r="V144" s="11"/>
      <c r="W144" s="194"/>
      <c r="X144" s="11"/>
      <c r="Y144" s="194"/>
      <c r="Z144" s="11"/>
      <c r="AA144" s="201"/>
      <c r="AB144" s="194"/>
      <c r="AC144" s="11"/>
      <c r="AD144" s="201"/>
      <c r="AE144" s="194"/>
      <c r="AF144" s="1552"/>
      <c r="AG144" s="11"/>
      <c r="AH144" s="264"/>
      <c r="AI144" s="268"/>
      <c r="AJ144" s="268"/>
    </row>
    <row r="145" spans="1:37" ht="16.5" customHeight="1">
      <c r="A145" s="40" t="s">
        <v>151</v>
      </c>
      <c r="C145" s="197"/>
      <c r="D145" s="202"/>
      <c r="E145" s="197"/>
      <c r="F145" s="202"/>
      <c r="G145" s="197"/>
      <c r="H145" s="202"/>
      <c r="I145" s="197"/>
      <c r="J145" s="202"/>
      <c r="K145" s="197"/>
      <c r="L145" s="202"/>
      <c r="M145" s="197"/>
      <c r="N145" s="202"/>
      <c r="O145" s="197"/>
      <c r="P145" s="202"/>
      <c r="Q145" s="197"/>
      <c r="R145" s="202"/>
      <c r="S145" s="197"/>
      <c r="T145" s="202"/>
      <c r="U145" s="197"/>
      <c r="V145" s="202"/>
      <c r="W145" s="197"/>
      <c r="X145" s="202"/>
      <c r="Y145" s="197"/>
      <c r="Z145" s="202"/>
      <c r="AA145" s="203"/>
      <c r="AB145" s="197"/>
      <c r="AC145" s="202"/>
      <c r="AD145" s="203"/>
      <c r="AE145" s="197"/>
      <c r="AF145" s="1552"/>
      <c r="AG145" s="11"/>
      <c r="AH145" s="13"/>
      <c r="AI145" s="40"/>
      <c r="AJ145" s="40"/>
      <c r="AK145" s="129"/>
    </row>
    <row r="146" spans="1:37" ht="16.5" customHeight="1">
      <c r="A146" s="40" t="s">
        <v>152</v>
      </c>
      <c r="C146" s="204">
        <f>ROUND(SUM(C135+C142),1)</f>
        <v>6209.4</v>
      </c>
      <c r="D146" s="202"/>
      <c r="E146" s="204">
        <f>ROUND(SUM(E135+E142),1)</f>
        <v>0</v>
      </c>
      <c r="F146" s="202"/>
      <c r="G146" s="204">
        <f>ROUND(SUM(G135+G142),1)</f>
        <v>0</v>
      </c>
      <c r="H146" s="202"/>
      <c r="I146" s="204">
        <f>ROUND(SUM(I135+I142),1)</f>
        <v>0</v>
      </c>
      <c r="J146" s="202"/>
      <c r="K146" s="204">
        <f>ROUND(SUM(K135+K142),1)</f>
        <v>0</v>
      </c>
      <c r="L146" s="202"/>
      <c r="M146" s="204">
        <f>ROUND(SUM(M135+M142),1)</f>
        <v>0</v>
      </c>
      <c r="N146" s="202"/>
      <c r="O146" s="204">
        <f>ROUND(SUM(O135+O142),1)</f>
        <v>0</v>
      </c>
      <c r="P146" s="202"/>
      <c r="Q146" s="204">
        <f>ROUND(SUM(Q135+Q142),1)</f>
        <v>0</v>
      </c>
      <c r="R146" s="202"/>
      <c r="S146" s="204">
        <f>ROUND(SUM(S135+S142),1)</f>
        <v>0</v>
      </c>
      <c r="T146" s="202"/>
      <c r="U146" s="204">
        <f>ROUND(SUM(U135+U142),1)</f>
        <v>0</v>
      </c>
      <c r="V146" s="202"/>
      <c r="W146" s="204">
        <f>ROUND(SUM(W135+W142),1)</f>
        <v>0</v>
      </c>
      <c r="X146" s="202"/>
      <c r="Y146" s="204">
        <f>ROUND(SUM(Y135+Y142),1)</f>
        <v>0</v>
      </c>
      <c r="Z146" s="202"/>
      <c r="AA146" s="203"/>
      <c r="AB146" s="204">
        <f>ROUND(SUM(AB135+AB142),1)</f>
        <v>6209.4</v>
      </c>
      <c r="AC146" s="202"/>
      <c r="AD146" s="203"/>
      <c r="AE146" s="204">
        <f>AE135+AE142</f>
        <v>7948.7</v>
      </c>
      <c r="AF146" s="1552"/>
      <c r="AG146" s="11"/>
      <c r="AH146" s="870">
        <f>ROUND(SUM(AB146-AE146),1)</f>
        <v>-1739.3</v>
      </c>
      <c r="AI146" s="40"/>
      <c r="AJ146" s="866">
        <f>ROUND(IF(AE146=0,0,AH146/ABS(AE146)),3)</f>
        <v>-0.219</v>
      </c>
      <c r="AK146" s="129"/>
    </row>
    <row r="147" spans="1:37" ht="16.5" customHeight="1">
      <c r="A147" s="40"/>
      <c r="C147" s="1012"/>
      <c r="E147" s="1012"/>
      <c r="G147" s="1012"/>
      <c r="I147" s="1012"/>
      <c r="K147" s="1012"/>
      <c r="M147" s="1012"/>
      <c r="O147" s="1012"/>
      <c r="Q147" s="1012"/>
      <c r="S147" s="1012"/>
      <c r="U147" s="1012"/>
      <c r="W147" s="1012"/>
      <c r="Y147" s="1012"/>
      <c r="AA147" s="205"/>
      <c r="AB147" s="1012"/>
      <c r="AD147" s="205"/>
      <c r="AE147" s="1012"/>
      <c r="AF147" s="1552"/>
      <c r="AG147" s="11"/>
      <c r="AH147" s="268"/>
      <c r="AI147" s="268"/>
      <c r="AJ147" s="268"/>
    </row>
    <row r="148" spans="1:37" ht="16.5" customHeight="1" thickBot="1">
      <c r="A148" s="206" t="s">
        <v>433</v>
      </c>
      <c r="C148" s="207">
        <f>ROUND(SUM(C16+C146),1)</f>
        <v>81217.2</v>
      </c>
      <c r="D148" s="67"/>
      <c r="E148" s="207">
        <f>ROUND(SUM(E16+E146),1)</f>
        <v>0</v>
      </c>
      <c r="F148" s="67"/>
      <c r="G148" s="207">
        <f>ROUND(SUM(G16+G146),1)</f>
        <v>0</v>
      </c>
      <c r="H148" s="67"/>
      <c r="I148" s="207">
        <f>ROUND(SUM(I16+I146),1)</f>
        <v>0</v>
      </c>
      <c r="J148" s="208"/>
      <c r="K148" s="207">
        <f>ROUND(SUM(K16+K146),1)</f>
        <v>0</v>
      </c>
      <c r="L148" s="208"/>
      <c r="M148" s="207">
        <f>ROUND(SUM(M16+M146),1)</f>
        <v>0</v>
      </c>
      <c r="N148" s="208"/>
      <c r="O148" s="207">
        <f>ROUND(SUM(O16+O146),1)</f>
        <v>0</v>
      </c>
      <c r="P148" s="208"/>
      <c r="Q148" s="207">
        <f>ROUND(SUM(Q16+Q146),1)</f>
        <v>0</v>
      </c>
      <c r="R148" s="208"/>
      <c r="S148" s="207">
        <f>ROUND(SUM(S16+S146),1)</f>
        <v>0</v>
      </c>
      <c r="T148" s="208"/>
      <c r="U148" s="207">
        <f>ROUND(SUM(U16+U146),1)</f>
        <v>0</v>
      </c>
      <c r="V148" s="208"/>
      <c r="W148" s="207">
        <f>ROUND(SUM(W16+W146),1)</f>
        <v>0</v>
      </c>
      <c r="X148" s="208"/>
      <c r="Y148" s="207">
        <f>ROUND(SUM(Y16+Y146),1)</f>
        <v>0</v>
      </c>
      <c r="Z148" s="67"/>
      <c r="AA148" s="209"/>
      <c r="AB148" s="207">
        <f>ROUND(SUM(AB16+AB146),1)</f>
        <v>81217.2</v>
      </c>
      <c r="AC148" s="67"/>
      <c r="AD148" s="209"/>
      <c r="AE148" s="207">
        <f>AE16+AE146</f>
        <v>81645.099999999991</v>
      </c>
      <c r="AF148" s="1552"/>
      <c r="AG148" s="11"/>
      <c r="AH148" s="207">
        <f>ROUND(SUM(AB148-AE148),1)</f>
        <v>-427.9</v>
      </c>
      <c r="AI148" s="40"/>
      <c r="AJ148" s="868">
        <f>ROUND(IF(AE148=0,0,AH148/ABS(AE148)),3)</f>
        <v>-5.0000000000000001E-3</v>
      </c>
      <c r="AK148" s="129"/>
    </row>
    <row r="149" spans="1:37" ht="16.5" customHeight="1" thickTop="1">
      <c r="A149" s="210"/>
      <c r="AH149" s="268"/>
      <c r="AI149" s="268"/>
      <c r="AJ149" s="268"/>
    </row>
    <row r="150" spans="1:37" ht="16.5" customHeight="1">
      <c r="A150" s="1018" t="s">
        <v>434</v>
      </c>
      <c r="AH150" s="268"/>
      <c r="AI150" s="268"/>
      <c r="AJ150" s="268"/>
    </row>
    <row r="151" spans="1:37" ht="16.5" customHeight="1">
      <c r="AH151" s="268"/>
      <c r="AI151" s="268"/>
      <c r="AJ151" s="268"/>
    </row>
    <row r="152" spans="1:37" ht="16.5" customHeight="1">
      <c r="A152" s="364"/>
      <c r="AH152" s="268"/>
      <c r="AI152" s="268"/>
      <c r="AJ152" s="268"/>
    </row>
    <row r="153" spans="1:37" ht="16.5" customHeight="1">
      <c r="A153" s="364"/>
      <c r="AH153" s="268"/>
      <c r="AI153" s="268"/>
      <c r="AJ153" s="268"/>
    </row>
    <row r="154" spans="1:37" ht="16.5" customHeight="1">
      <c r="AH154" s="268"/>
      <c r="AI154" s="268"/>
      <c r="AJ154" s="268"/>
    </row>
    <row r="155" spans="1:37" ht="16.5" customHeight="1">
      <c r="AH155" s="268"/>
      <c r="AI155" s="268"/>
      <c r="AJ155" s="268"/>
    </row>
    <row r="156" spans="1:37" ht="16.5" customHeight="1">
      <c r="AH156" s="268"/>
      <c r="AI156" s="268"/>
      <c r="AJ156" s="268"/>
    </row>
    <row r="157" spans="1:37" ht="16.5" customHeight="1">
      <c r="AH157" s="268"/>
      <c r="AI157" s="268"/>
      <c r="AJ157" s="268"/>
    </row>
    <row r="158" spans="1:37" ht="16.5" customHeight="1">
      <c r="AH158" s="268"/>
      <c r="AI158" s="268"/>
      <c r="AJ158" s="268"/>
    </row>
    <row r="159" spans="1:37" ht="16.5" customHeight="1">
      <c r="AH159" s="268"/>
      <c r="AI159" s="268"/>
      <c r="AJ159" s="268"/>
    </row>
    <row r="160" spans="1:37" ht="16.5" customHeight="1">
      <c r="AH160" s="268"/>
      <c r="AI160" s="268"/>
      <c r="AJ160" s="268"/>
    </row>
    <row r="161" spans="34:36" ht="16.5" customHeight="1">
      <c r="AH161" s="268"/>
      <c r="AI161" s="268"/>
      <c r="AJ161" s="268"/>
    </row>
    <row r="162" spans="34:36" ht="16.5" customHeight="1">
      <c r="AH162" s="268"/>
      <c r="AI162" s="268"/>
      <c r="AJ162" s="268"/>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75 AJ139:AJ148 AJ96:AJ137 AJ29:AJ34 AJ21:AJ27 AJ87 AJ49:AJ55 AJ77:AJ80 AJ90:AJ94 AJ38:AJ46 AJ85 AJ36:AJ37 AJ71:AJ72" unlockedFormula="1"/>
    <ignoredError sqref="AH35:AI35 AH24:AH26 AJ57 AJ74" formula="1"/>
    <ignoredError sqref="AJ35" formula="1" unlockedFormula="1"/>
    <ignoredError sqref="AC14:AD1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AK165"/>
  <sheetViews>
    <sheetView showGridLines="0" zoomScale="70" zoomScaleNormal="70" workbookViewId="0"/>
  </sheetViews>
  <sheetFormatPr defaultColWidth="8.84375" defaultRowHeight="16.5" customHeight="1"/>
  <cols>
    <col min="1" max="1" width="43" style="58" customWidth="1"/>
    <col min="2" max="2" width="1.84375" style="58" customWidth="1"/>
    <col min="3" max="3" width="13.07421875" style="58" customWidth="1"/>
    <col min="4" max="4" width="1.84375" style="58" customWidth="1"/>
    <col min="5" max="5" width="13.07421875" style="58" customWidth="1"/>
    <col min="6" max="6" width="1.84375" style="58" customWidth="1"/>
    <col min="7" max="7" width="13.53515625" style="58" customWidth="1"/>
    <col min="8" max="8" width="1.84375" style="58" customWidth="1"/>
    <col min="9" max="9" width="13.84375" style="58" customWidth="1"/>
    <col min="10" max="10" width="1.84375" style="58" customWidth="1"/>
    <col min="11" max="11" width="14.53515625" style="58" customWidth="1"/>
    <col min="12" max="12" width="1.84375" style="58" customWidth="1"/>
    <col min="13" max="13" width="13.07421875" style="58" customWidth="1"/>
    <col min="14" max="14" width="1.84375" style="58" customWidth="1"/>
    <col min="15" max="15" width="14.07421875" style="58" customWidth="1"/>
    <col min="16" max="16" width="1.84375" style="58" customWidth="1"/>
    <col min="17" max="17" width="13.07421875" style="58" customWidth="1"/>
    <col min="18" max="18" width="1.84375" style="58" customWidth="1"/>
    <col min="19" max="19" width="13.84375" style="58" customWidth="1"/>
    <col min="20" max="20" width="1.84375" style="58" customWidth="1"/>
    <col min="21" max="21" width="13" style="58" customWidth="1"/>
    <col min="22" max="22" width="1.84375" style="58" customWidth="1"/>
    <col min="23" max="23" width="13.07421875" style="58" customWidth="1"/>
    <col min="24" max="24" width="1.84375" style="58" customWidth="1"/>
    <col min="25" max="25" width="13.07421875" style="58" customWidth="1"/>
    <col min="26" max="27" width="1.84375" style="58" customWidth="1"/>
    <col min="28" max="28" width="15" style="58" customWidth="1"/>
    <col min="29" max="30" width="1.84375" style="58" customWidth="1"/>
    <col min="31" max="31" width="13.84375" style="58" customWidth="1"/>
    <col min="32" max="33" width="1.84375" style="58" customWidth="1"/>
    <col min="34" max="34" width="12.84375" style="58" bestFit="1" customWidth="1"/>
    <col min="35" max="35" width="1" style="58" customWidth="1"/>
    <col min="36" max="36" width="12.07421875" style="58" bestFit="1" customWidth="1"/>
    <col min="37" max="16384" width="8.84375" style="58"/>
  </cols>
  <sheetData>
    <row r="1" spans="1:37" ht="15.5">
      <c r="A1" s="752" t="s">
        <v>97</v>
      </c>
    </row>
    <row r="2" spans="1:37" ht="15.5">
      <c r="A2" s="364"/>
    </row>
    <row r="3" spans="1:37" ht="23">
      <c r="A3" s="60" t="s">
        <v>98</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I3" s="62"/>
    </row>
    <row r="4" spans="1:37" ht="23">
      <c r="A4" s="60" t="s">
        <v>156</v>
      </c>
      <c r="B4" s="62"/>
      <c r="C4" s="62"/>
      <c r="D4" s="62"/>
      <c r="E4" s="62"/>
      <c r="F4" s="62"/>
      <c r="G4" s="62"/>
      <c r="H4" s="62"/>
      <c r="I4" s="62" t="s">
        <v>103</v>
      </c>
      <c r="J4" s="62"/>
      <c r="K4" s="62"/>
      <c r="L4" s="62"/>
      <c r="M4" s="62"/>
      <c r="N4" s="62"/>
      <c r="O4" s="62"/>
      <c r="P4" s="62"/>
      <c r="Q4" s="62"/>
      <c r="R4" s="62"/>
      <c r="S4" s="62"/>
      <c r="T4" s="62"/>
      <c r="U4" s="62"/>
      <c r="V4" s="62"/>
      <c r="W4" s="62"/>
      <c r="X4" s="62"/>
      <c r="Y4" s="62" t="s">
        <v>103</v>
      </c>
      <c r="Z4" s="62"/>
      <c r="AA4" s="62"/>
      <c r="AB4" s="62"/>
      <c r="AC4" s="62"/>
      <c r="AD4" s="62"/>
      <c r="AE4" s="62"/>
      <c r="AF4" s="62"/>
      <c r="AG4" s="62"/>
      <c r="AI4" s="62"/>
    </row>
    <row r="5" spans="1:37" ht="23.25" customHeight="1">
      <c r="A5" s="61" t="s">
        <v>328</v>
      </c>
      <c r="B5" s="62"/>
      <c r="C5" s="62"/>
      <c r="D5" s="62"/>
      <c r="E5" s="62"/>
      <c r="F5" s="62"/>
      <c r="G5" s="62"/>
      <c r="H5" s="62"/>
      <c r="I5" s="62"/>
      <c r="J5" s="62"/>
      <c r="K5" s="62"/>
      <c r="L5" s="62"/>
      <c r="M5" s="62"/>
      <c r="N5" s="62"/>
      <c r="O5" s="62"/>
      <c r="P5" s="62"/>
      <c r="Q5" s="62"/>
      <c r="R5" s="62"/>
      <c r="S5" s="62"/>
      <c r="T5" s="62"/>
      <c r="U5" s="62"/>
      <c r="V5" s="62"/>
      <c r="W5" s="62"/>
      <c r="X5" s="62"/>
      <c r="Y5" s="62"/>
      <c r="Z5" s="62"/>
      <c r="AA5" s="62"/>
      <c r="AC5" s="2064"/>
      <c r="AD5" s="2065"/>
      <c r="AE5" s="2065"/>
      <c r="AF5" s="2065"/>
      <c r="AG5" s="2065"/>
      <c r="AH5" s="2065"/>
      <c r="AI5" s="2065"/>
      <c r="AJ5" s="2065"/>
    </row>
    <row r="6" spans="1:37" ht="23">
      <c r="A6" s="61" t="str">
        <f>'Cashflow Governmental'!A6</f>
        <v>FISCAL YEAR 2026-2027</v>
      </c>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I6" s="62"/>
    </row>
    <row r="7" spans="1:37" ht="23.25" customHeight="1">
      <c r="A7" s="60" t="s">
        <v>102</v>
      </c>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I7" s="62"/>
    </row>
    <row r="8" spans="1:37" ht="15.5">
      <c r="A8" s="62"/>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I8" s="62"/>
    </row>
    <row r="9" spans="1:37" ht="15.5">
      <c r="A9" s="62"/>
      <c r="B9" s="62"/>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I9" s="62"/>
    </row>
    <row r="10" spans="1:37" ht="15.5">
      <c r="A10" s="62"/>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I10" s="62"/>
    </row>
    <row r="11" spans="1:37" ht="15.5">
      <c r="A11" s="62"/>
      <c r="B11" s="62"/>
      <c r="C11" s="62" t="s">
        <v>103</v>
      </c>
      <c r="D11" s="62" t="s">
        <v>103</v>
      </c>
      <c r="E11" s="62"/>
      <c r="F11" s="62"/>
      <c r="G11" s="62"/>
      <c r="H11" s="62"/>
      <c r="I11" s="62"/>
      <c r="J11" s="62"/>
      <c r="K11" s="62"/>
      <c r="L11" s="62"/>
      <c r="M11" s="62"/>
      <c r="N11" s="62"/>
      <c r="O11" s="62"/>
      <c r="P11" s="62"/>
      <c r="Q11" s="62"/>
      <c r="R11" s="62"/>
      <c r="S11" s="62"/>
      <c r="T11" s="62"/>
      <c r="U11" s="62"/>
      <c r="V11" s="62"/>
      <c r="W11" s="62"/>
      <c r="X11" s="62"/>
      <c r="Y11" s="62"/>
      <c r="Z11" s="62"/>
      <c r="AA11" s="62"/>
      <c r="AC11" s="62"/>
      <c r="AD11" s="62"/>
      <c r="AE11" s="62"/>
      <c r="AF11" s="62"/>
      <c r="AG11" s="62"/>
      <c r="AI11" s="62"/>
    </row>
    <row r="12" spans="1:37" ht="15.5">
      <c r="A12" s="62"/>
      <c r="B12" s="62"/>
      <c r="C12" s="62"/>
      <c r="D12" s="62"/>
      <c r="E12" s="62"/>
      <c r="F12" s="62"/>
      <c r="G12" s="62"/>
      <c r="H12" s="62"/>
      <c r="I12" s="62"/>
      <c r="J12" s="62"/>
      <c r="K12" s="62"/>
      <c r="L12" s="62"/>
      <c r="M12" s="62"/>
      <c r="N12" s="62"/>
      <c r="O12" s="62"/>
      <c r="P12" s="62"/>
      <c r="Q12" s="62"/>
      <c r="R12" s="62"/>
      <c r="S12" s="62"/>
      <c r="T12" s="62"/>
      <c r="U12" s="62"/>
      <c r="V12" s="62"/>
      <c r="W12" s="62"/>
      <c r="X12" s="62"/>
      <c r="Z12" s="62"/>
      <c r="AA12" s="189"/>
      <c r="AB12" s="2067" t="str">
        <f>'Cashflow Governmental'!AB12</f>
        <v>1 Month Ended April 30</v>
      </c>
      <c r="AC12" s="2067"/>
      <c r="AD12" s="2067"/>
      <c r="AE12" s="2067"/>
      <c r="AF12" s="2067"/>
      <c r="AG12" s="2067"/>
      <c r="AH12" s="2067"/>
      <c r="AI12" s="2067"/>
      <c r="AJ12" s="2067"/>
    </row>
    <row r="13" spans="1:37" ht="15.5">
      <c r="A13" s="62"/>
      <c r="B13" s="62"/>
      <c r="C13" s="559" t="str">
        <f>'Cashflow Governmental'!C13</f>
        <v>2026</v>
      </c>
      <c r="D13" s="187"/>
      <c r="E13" s="187"/>
      <c r="F13" s="187"/>
      <c r="G13" s="187"/>
      <c r="H13" s="187"/>
      <c r="I13" s="187"/>
      <c r="J13" s="187"/>
      <c r="K13" s="187"/>
      <c r="L13" s="187"/>
      <c r="M13" s="187"/>
      <c r="N13" s="187"/>
      <c r="O13" s="187"/>
      <c r="P13" s="187"/>
      <c r="Q13" s="187"/>
      <c r="R13" s="187"/>
      <c r="S13" s="187"/>
      <c r="T13" s="187"/>
      <c r="U13" s="559">
        <f>'Cashflow Governmental'!U13</f>
        <v>2027</v>
      </c>
      <c r="V13" s="187"/>
      <c r="W13" s="187"/>
      <c r="X13" s="187"/>
      <c r="Y13" s="187"/>
      <c r="Z13" s="187"/>
      <c r="AA13" s="187"/>
      <c r="AB13" s="187"/>
      <c r="AC13" s="187"/>
      <c r="AD13" s="187"/>
      <c r="AE13" s="187"/>
      <c r="AF13" s="187"/>
      <c r="AG13" s="187"/>
      <c r="AH13" s="317" t="s">
        <v>110</v>
      </c>
      <c r="AI13" s="857"/>
      <c r="AJ13" s="317" t="s">
        <v>111</v>
      </c>
    </row>
    <row r="14" spans="1:37" ht="15.5">
      <c r="A14" s="62"/>
      <c r="B14" s="62"/>
      <c r="C14" s="317" t="s">
        <v>329</v>
      </c>
      <c r="D14" s="187"/>
      <c r="E14" s="317" t="s">
        <v>330</v>
      </c>
      <c r="F14" s="187"/>
      <c r="G14" s="317" t="s">
        <v>331</v>
      </c>
      <c r="H14" s="187"/>
      <c r="I14" s="317" t="s">
        <v>332</v>
      </c>
      <c r="J14" s="187"/>
      <c r="K14" s="317" t="s">
        <v>333</v>
      </c>
      <c r="L14" s="187"/>
      <c r="M14" s="317" t="s">
        <v>334</v>
      </c>
      <c r="N14" s="187"/>
      <c r="O14" s="317" t="s">
        <v>335</v>
      </c>
      <c r="P14" s="187"/>
      <c r="Q14" s="869" t="s">
        <v>336</v>
      </c>
      <c r="R14" s="187"/>
      <c r="S14" s="317" t="s">
        <v>337</v>
      </c>
      <c r="T14" s="187"/>
      <c r="U14" s="317" t="s">
        <v>338</v>
      </c>
      <c r="V14" s="187"/>
      <c r="W14" s="317" t="s">
        <v>339</v>
      </c>
      <c r="X14" s="187"/>
      <c r="Y14" s="317" t="s">
        <v>340</v>
      </c>
      <c r="Z14" s="187"/>
      <c r="AA14" s="187"/>
      <c r="AB14" s="853" t="str">
        <f>'Cashflow Governmental'!AB14</f>
        <v>2026</v>
      </c>
      <c r="AC14" s="187"/>
      <c r="AD14" s="187"/>
      <c r="AE14" s="853" t="str">
        <f>'Cashflow Governmental'!AE14</f>
        <v>2025</v>
      </c>
      <c r="AF14" s="187"/>
      <c r="AG14" s="187"/>
      <c r="AH14" s="869" t="s">
        <v>112</v>
      </c>
      <c r="AI14" s="857"/>
      <c r="AJ14" s="869" t="s">
        <v>113</v>
      </c>
    </row>
    <row r="15" spans="1:37" ht="5.25" customHeight="1">
      <c r="A15" s="62"/>
      <c r="B15" s="62"/>
      <c r="C15" s="1012"/>
      <c r="D15" s="62"/>
      <c r="E15" s="1012"/>
      <c r="F15" s="62"/>
      <c r="G15" s="1012"/>
      <c r="H15" s="62"/>
      <c r="I15" s="1012"/>
      <c r="J15" s="62"/>
      <c r="K15" s="1012"/>
      <c r="L15" s="62"/>
      <c r="M15" s="1012"/>
      <c r="N15" s="62"/>
      <c r="O15" s="1012" t="s">
        <v>103</v>
      </c>
      <c r="P15" s="62"/>
      <c r="Q15" s="190"/>
      <c r="R15" s="62"/>
      <c r="S15" s="1012"/>
      <c r="T15" s="62"/>
      <c r="U15" s="1012" t="s">
        <v>103</v>
      </c>
      <c r="V15" s="62"/>
      <c r="W15" s="1012"/>
      <c r="X15" s="62"/>
      <c r="Y15" s="1012"/>
      <c r="Z15" s="62"/>
      <c r="AA15" s="62"/>
      <c r="AB15" s="1012"/>
      <c r="AC15" s="62"/>
      <c r="AD15" s="62"/>
      <c r="AE15" s="1012"/>
      <c r="AF15" s="62"/>
      <c r="AG15" s="62"/>
      <c r="AI15" s="62"/>
    </row>
    <row r="16" spans="1:37" ht="15.5">
      <c r="A16" s="188" t="s">
        <v>341</v>
      </c>
      <c r="B16" s="62"/>
      <c r="C16" s="190">
        <f>'Exhibit F'!D13+'Exh D Special Revenue State Fed'!G41+'Exhibit H'!B13</f>
        <v>69014.2</v>
      </c>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1"/>
      <c r="AB16" s="190">
        <f>C16</f>
        <v>69014.2</v>
      </c>
      <c r="AC16" s="190"/>
      <c r="AD16" s="858"/>
      <c r="AE16" s="190">
        <f>'Exhibit F'!AF13+'Exhibit G State'!AF13+'Exhibit H'!AD13</f>
        <v>67321.899999999994</v>
      </c>
      <c r="AF16" s="190"/>
      <c r="AG16" s="1542"/>
      <c r="AH16" s="190">
        <f>ROUND(SUM(AB16-AE16),1)</f>
        <v>1692.3</v>
      </c>
      <c r="AI16" s="187"/>
      <c r="AJ16" s="74">
        <f>ROUND(SUM(AH16/AE16),3)</f>
        <v>2.5000000000000001E-2</v>
      </c>
      <c r="AK16" s="129"/>
    </row>
    <row r="17" spans="1:36" ht="15.5">
      <c r="A17" s="62"/>
      <c r="B17" s="62"/>
      <c r="C17" s="62" t="s">
        <v>103</v>
      </c>
      <c r="D17" s="62"/>
      <c r="E17" s="192"/>
      <c r="F17" s="62"/>
      <c r="G17" s="192"/>
      <c r="H17" s="62"/>
      <c r="I17" s="192"/>
      <c r="J17" s="62"/>
      <c r="K17" s="192"/>
      <c r="L17" s="62"/>
      <c r="M17" s="192"/>
      <c r="N17" s="62"/>
      <c r="O17" s="192"/>
      <c r="P17" s="62"/>
      <c r="Q17" s="192"/>
      <c r="R17" s="62"/>
      <c r="S17" s="192"/>
      <c r="T17" s="62"/>
      <c r="U17" s="192"/>
      <c r="V17" s="62"/>
      <c r="W17" s="192"/>
      <c r="X17" s="62"/>
      <c r="Y17" s="192"/>
      <c r="Z17" s="62"/>
      <c r="AA17" s="391"/>
      <c r="AB17" s="62" t="s">
        <v>103</v>
      </c>
      <c r="AC17" s="62"/>
      <c r="AD17" s="859"/>
      <c r="AE17" s="62" t="s">
        <v>103</v>
      </c>
      <c r="AF17" s="62"/>
      <c r="AG17" s="1541"/>
      <c r="AH17" s="268"/>
      <c r="AI17" s="62"/>
      <c r="AJ17" s="268"/>
    </row>
    <row r="18" spans="1:36" ht="15.5">
      <c r="A18" s="40" t="s">
        <v>114</v>
      </c>
      <c r="B18" s="62"/>
      <c r="C18" s="62"/>
      <c r="D18" s="62"/>
      <c r="E18" s="192"/>
      <c r="F18" s="62"/>
      <c r="G18" s="192"/>
      <c r="H18" s="62"/>
      <c r="I18" s="192"/>
      <c r="J18" s="62"/>
      <c r="K18" s="192"/>
      <c r="L18" s="62"/>
      <c r="M18" s="192"/>
      <c r="N18" s="62"/>
      <c r="O18" s="192"/>
      <c r="P18" s="62"/>
      <c r="Q18" s="192"/>
      <c r="R18" s="62"/>
      <c r="S18" s="192"/>
      <c r="T18" s="62"/>
      <c r="U18" s="192"/>
      <c r="V18" s="62"/>
      <c r="W18" s="192"/>
      <c r="X18" s="62"/>
      <c r="Y18" s="192"/>
      <c r="Z18" s="62"/>
      <c r="AA18" s="391"/>
      <c r="AB18" s="62"/>
      <c r="AC18" s="62"/>
      <c r="AD18" s="859"/>
      <c r="AE18" s="62"/>
      <c r="AF18" s="62"/>
      <c r="AG18" s="1541"/>
      <c r="AH18" s="268"/>
      <c r="AI18" s="62"/>
      <c r="AJ18" s="268"/>
    </row>
    <row r="19" spans="1:36" ht="15.5">
      <c r="A19" s="1218" t="s">
        <v>342</v>
      </c>
      <c r="B19" s="62"/>
      <c r="C19" s="62"/>
      <c r="D19" s="62"/>
      <c r="E19" s="192"/>
      <c r="F19" s="62"/>
      <c r="G19" s="192"/>
      <c r="H19" s="62"/>
      <c r="I19" s="192"/>
      <c r="J19" s="62"/>
      <c r="K19" s="192"/>
      <c r="L19" s="62"/>
      <c r="M19" s="192"/>
      <c r="N19" s="62"/>
      <c r="O19" s="192"/>
      <c r="P19" s="62"/>
      <c r="Q19" s="192"/>
      <c r="R19" s="62"/>
      <c r="S19" s="192"/>
      <c r="T19" s="62"/>
      <c r="U19" s="192"/>
      <c r="V19" s="62"/>
      <c r="W19" s="192"/>
      <c r="X19" s="62"/>
      <c r="Y19" s="192"/>
      <c r="Z19" s="62"/>
      <c r="AA19" s="193"/>
      <c r="AB19" s="62"/>
      <c r="AC19" s="62"/>
      <c r="AD19" s="859"/>
      <c r="AE19" s="62"/>
      <c r="AF19" s="62"/>
      <c r="AG19" s="1541"/>
      <c r="AH19" s="268"/>
      <c r="AI19" s="62"/>
      <c r="AJ19" s="268"/>
    </row>
    <row r="20" spans="1:36" ht="15.5">
      <c r="A20" s="413" t="s">
        <v>435</v>
      </c>
      <c r="B20" s="62"/>
      <c r="C20" s="62"/>
      <c r="D20" s="62"/>
      <c r="E20" s="194"/>
      <c r="F20" s="62"/>
      <c r="G20" s="194"/>
      <c r="H20" s="62"/>
      <c r="I20" s="194"/>
      <c r="J20" s="62"/>
      <c r="K20" s="194"/>
      <c r="L20" s="62"/>
      <c r="M20" s="194"/>
      <c r="N20" s="62"/>
      <c r="O20" s="194"/>
      <c r="P20" s="62"/>
      <c r="Q20" s="192"/>
      <c r="R20" s="62"/>
      <c r="S20" s="192"/>
      <c r="T20" s="62"/>
      <c r="U20" s="192"/>
      <c r="V20" s="62"/>
      <c r="W20" s="192"/>
      <c r="X20" s="62"/>
      <c r="Y20" s="192"/>
      <c r="Z20" s="62"/>
      <c r="AA20" s="391"/>
      <c r="AB20" s="62"/>
      <c r="AC20" s="62"/>
      <c r="AD20" s="859"/>
      <c r="AE20" s="62"/>
      <c r="AF20" s="62"/>
      <c r="AG20" s="1541"/>
      <c r="AH20" s="268"/>
      <c r="AI20" s="62"/>
      <c r="AJ20" s="268"/>
    </row>
    <row r="21" spans="1:36" ht="15.5">
      <c r="A21" s="284" t="s">
        <v>344</v>
      </c>
      <c r="B21" s="62"/>
      <c r="C21" s="194">
        <f>+'Exhibit F'!D18</f>
        <v>5407.3</v>
      </c>
      <c r="D21" s="194"/>
      <c r="E21" s="194"/>
      <c r="F21" s="194"/>
      <c r="G21" s="194"/>
      <c r="H21" s="194"/>
      <c r="I21" s="194"/>
      <c r="J21" s="194"/>
      <c r="K21" s="194"/>
      <c r="L21" s="194"/>
      <c r="M21" s="194"/>
      <c r="N21" s="194"/>
      <c r="O21" s="194"/>
      <c r="P21" s="62"/>
      <c r="Q21" s="194"/>
      <c r="R21" s="194"/>
      <c r="S21" s="194"/>
      <c r="T21" s="194"/>
      <c r="U21" s="194"/>
      <c r="V21" s="194"/>
      <c r="W21" s="194"/>
      <c r="X21" s="194"/>
      <c r="Y21" s="194"/>
      <c r="Z21" s="62"/>
      <c r="AA21" s="391"/>
      <c r="AB21" s="194">
        <f>ROUND(SUM(C21:Y21),1)</f>
        <v>5407.3</v>
      </c>
      <c r="AC21" s="62"/>
      <c r="AD21" s="859"/>
      <c r="AE21" s="194">
        <f>+'Exhibit F'!AF18</f>
        <v>4965.8999999999996</v>
      </c>
      <c r="AF21" s="62"/>
      <c r="AG21" s="1541"/>
      <c r="AH21" s="264">
        <f>ROUND(SUM(+AB21-AE21),1)</f>
        <v>441.4</v>
      </c>
      <c r="AI21" s="63"/>
      <c r="AJ21" s="283">
        <f t="shared" ref="AJ21:AJ25" si="0">ROUND(SUM(+AH21/ABS(AE21)),3)</f>
        <v>8.8999999999999996E-2</v>
      </c>
    </row>
    <row r="22" spans="1:36" ht="15.5">
      <c r="A22" s="284" t="s">
        <v>345</v>
      </c>
      <c r="B22" s="62"/>
      <c r="C22" s="194">
        <f>+'Exhibit F'!D19</f>
        <v>7071.9</v>
      </c>
      <c r="D22" s="194"/>
      <c r="E22" s="194"/>
      <c r="F22" s="194"/>
      <c r="G22" s="194"/>
      <c r="H22" s="194"/>
      <c r="I22" s="194"/>
      <c r="J22" s="194"/>
      <c r="K22" s="194"/>
      <c r="L22" s="194"/>
      <c r="M22" s="194"/>
      <c r="N22" s="194"/>
      <c r="O22" s="194"/>
      <c r="P22" s="62"/>
      <c r="Q22" s="194"/>
      <c r="R22" s="194"/>
      <c r="S22" s="194"/>
      <c r="T22" s="194"/>
      <c r="U22" s="194"/>
      <c r="V22" s="194"/>
      <c r="W22" s="194"/>
      <c r="X22" s="194"/>
      <c r="Y22" s="194"/>
      <c r="Z22" s="62"/>
      <c r="AA22" s="391"/>
      <c r="AB22" s="194">
        <f>ROUND(SUM(C22:Y22),1)</f>
        <v>7071.9</v>
      </c>
      <c r="AC22" s="62"/>
      <c r="AD22" s="859"/>
      <c r="AE22" s="194">
        <f>+'Exhibit F'!AF19</f>
        <v>6505.2</v>
      </c>
      <c r="AF22" s="62"/>
      <c r="AG22" s="1541"/>
      <c r="AH22" s="264">
        <f t="shared" ref="AH22:AH28" si="1">ROUND(SUM(+AB22-AE22),1)</f>
        <v>566.70000000000005</v>
      </c>
      <c r="AI22" s="63"/>
      <c r="AJ22" s="608">
        <f t="shared" si="0"/>
        <v>8.6999999999999994E-2</v>
      </c>
    </row>
    <row r="23" spans="1:36" ht="15.5">
      <c r="A23" s="284" t="s">
        <v>346</v>
      </c>
      <c r="B23" s="62"/>
      <c r="C23" s="194">
        <f>+'Exhibit F'!D20</f>
        <v>3100.3</v>
      </c>
      <c r="D23" s="194"/>
      <c r="E23" s="194"/>
      <c r="F23" s="194"/>
      <c r="G23" s="194"/>
      <c r="H23" s="194"/>
      <c r="I23" s="194"/>
      <c r="J23" s="194"/>
      <c r="K23" s="194"/>
      <c r="L23" s="194"/>
      <c r="M23" s="194"/>
      <c r="N23" s="194"/>
      <c r="O23" s="194"/>
      <c r="P23" s="62"/>
      <c r="Q23" s="194"/>
      <c r="R23" s="194"/>
      <c r="S23" s="194"/>
      <c r="T23" s="194"/>
      <c r="U23" s="194"/>
      <c r="V23" s="194"/>
      <c r="W23" s="194"/>
      <c r="X23" s="194"/>
      <c r="Y23" s="194"/>
      <c r="Z23" s="62"/>
      <c r="AA23" s="391"/>
      <c r="AB23" s="194">
        <f>ROUND(SUM(C23:Y23),1)</f>
        <v>3100.3</v>
      </c>
      <c r="AC23" s="62"/>
      <c r="AD23" s="859"/>
      <c r="AE23" s="194">
        <f>+'Exhibit F'!AF20</f>
        <v>2871</v>
      </c>
      <c r="AF23" s="62"/>
      <c r="AG23" s="1541"/>
      <c r="AH23" s="264">
        <f t="shared" si="1"/>
        <v>229.3</v>
      </c>
      <c r="AI23" s="63"/>
      <c r="AJ23" s="283">
        <f t="shared" si="0"/>
        <v>0.08</v>
      </c>
    </row>
    <row r="24" spans="1:36" ht="15.5">
      <c r="A24" s="421" t="s">
        <v>347</v>
      </c>
      <c r="B24" s="62"/>
      <c r="C24" s="194">
        <f>+'Exhibit F'!D21</f>
        <v>-553.5</v>
      </c>
      <c r="D24" s="194"/>
      <c r="E24" s="194"/>
      <c r="F24" s="194"/>
      <c r="G24" s="194"/>
      <c r="H24" s="194"/>
      <c r="I24" s="194"/>
      <c r="J24" s="194"/>
      <c r="K24" s="194"/>
      <c r="L24" s="194"/>
      <c r="M24" s="194"/>
      <c r="N24" s="194"/>
      <c r="O24" s="194"/>
      <c r="P24" s="62"/>
      <c r="Q24" s="194"/>
      <c r="R24" s="194"/>
      <c r="S24" s="194"/>
      <c r="T24" s="194"/>
      <c r="U24" s="194"/>
      <c r="V24" s="194"/>
      <c r="W24" s="194"/>
      <c r="X24" s="194"/>
      <c r="Y24" s="194"/>
      <c r="Z24" s="62"/>
      <c r="AA24" s="391"/>
      <c r="AB24" s="194">
        <f>ROUND(SUM(C24:Y24),1)</f>
        <v>-553.5</v>
      </c>
      <c r="AC24" s="62"/>
      <c r="AD24" s="859"/>
      <c r="AE24" s="194">
        <f>+'Exhibit F'!AF21</f>
        <v>-541.79999999999995</v>
      </c>
      <c r="AF24" s="62"/>
      <c r="AG24" s="1541"/>
      <c r="AH24" s="264">
        <f>-ROUND(SUM(+AB24-AE24),1)</f>
        <v>11.7</v>
      </c>
      <c r="AI24" s="63"/>
      <c r="AJ24" s="283">
        <f t="shared" si="0"/>
        <v>2.1999999999999999E-2</v>
      </c>
    </row>
    <row r="25" spans="1:36" ht="15.5">
      <c r="A25" s="421" t="s">
        <v>348</v>
      </c>
      <c r="B25" s="62"/>
      <c r="C25" s="194">
        <f>+'Exhibit F'!D22</f>
        <v>253.6</v>
      </c>
      <c r="D25" s="194"/>
      <c r="E25" s="194"/>
      <c r="F25" s="194"/>
      <c r="G25" s="194"/>
      <c r="H25" s="194"/>
      <c r="I25" s="194"/>
      <c r="J25" s="194"/>
      <c r="K25" s="194"/>
      <c r="L25" s="194"/>
      <c r="M25" s="194"/>
      <c r="N25" s="194"/>
      <c r="O25" s="194"/>
      <c r="P25" s="62"/>
      <c r="Q25" s="194"/>
      <c r="R25" s="194"/>
      <c r="S25" s="194"/>
      <c r="T25" s="194"/>
      <c r="U25" s="194"/>
      <c r="V25" s="194"/>
      <c r="W25" s="194"/>
      <c r="X25" s="194"/>
      <c r="Y25" s="194"/>
      <c r="Z25" s="62"/>
      <c r="AA25" s="391"/>
      <c r="AB25" s="194">
        <f t="shared" ref="AB25:AB29" si="2">ROUND(SUM(C25:Y25),1)</f>
        <v>253.6</v>
      </c>
      <c r="AC25" s="62"/>
      <c r="AD25" s="859"/>
      <c r="AE25" s="194">
        <f>+'Exhibit F'!AF22</f>
        <v>275.89999999999998</v>
      </c>
      <c r="AF25" s="62"/>
      <c r="AG25" s="1541"/>
      <c r="AH25" s="264">
        <f t="shared" si="1"/>
        <v>-22.3</v>
      </c>
      <c r="AI25" s="63"/>
      <c r="AJ25" s="283">
        <f t="shared" si="0"/>
        <v>-8.1000000000000003E-2</v>
      </c>
    </row>
    <row r="26" spans="1:36" ht="15.5">
      <c r="A26" s="285" t="s">
        <v>349</v>
      </c>
      <c r="B26" s="62"/>
      <c r="C26" s="68">
        <f>ROUND(SUM(C21:C25),1)</f>
        <v>15279.6</v>
      </c>
      <c r="D26" s="62"/>
      <c r="E26" s="68">
        <f>ROUND(SUM(E21:E25),1)</f>
        <v>0</v>
      </c>
      <c r="F26" s="62"/>
      <c r="G26" s="68">
        <f>ROUND(SUM(G21:G25),1)</f>
        <v>0</v>
      </c>
      <c r="H26" s="62"/>
      <c r="I26" s="68">
        <f>ROUND(SUM(I21:I25),1)</f>
        <v>0</v>
      </c>
      <c r="J26" s="62"/>
      <c r="K26" s="68">
        <f>ROUND(SUM(K21:K25),1)</f>
        <v>0</v>
      </c>
      <c r="L26" s="62"/>
      <c r="M26" s="68">
        <f>ROUND(SUM(M21:M25),1)</f>
        <v>0</v>
      </c>
      <c r="N26" s="62"/>
      <c r="O26" s="68">
        <f>ROUND(SUM(O21:O25),1)</f>
        <v>0</v>
      </c>
      <c r="P26" s="62"/>
      <c r="Q26" s="68">
        <f>ROUND(SUM(Q21:Q25),1)</f>
        <v>0</v>
      </c>
      <c r="R26" s="62"/>
      <c r="S26" s="68">
        <f>ROUND(SUM(S21:S25),1)</f>
        <v>0</v>
      </c>
      <c r="T26" s="62"/>
      <c r="U26" s="68">
        <f>ROUND(SUM(U21:U25),1)</f>
        <v>0</v>
      </c>
      <c r="V26" s="62"/>
      <c r="W26" s="68">
        <f>ROUND(SUM(W21:W25),1)</f>
        <v>0</v>
      </c>
      <c r="X26" s="62"/>
      <c r="Y26" s="68">
        <f>ROUND(SUM(Y21:Y25),1)</f>
        <v>0</v>
      </c>
      <c r="Z26" s="62"/>
      <c r="AA26" s="391"/>
      <c r="AB26" s="68">
        <f>ROUND(SUM(AB21:AB25),1)</f>
        <v>15279.6</v>
      </c>
      <c r="AC26" s="62"/>
      <c r="AD26" s="859"/>
      <c r="AE26" s="68">
        <f>ROUND(SUM(AE21:AE25),1)</f>
        <v>14076.2</v>
      </c>
      <c r="AF26" s="62"/>
      <c r="AG26" s="1541"/>
      <c r="AH26" s="68">
        <f t="shared" si="1"/>
        <v>1203.4000000000001</v>
      </c>
      <c r="AI26" s="63"/>
      <c r="AJ26" s="417">
        <f>ROUND(SUM(+AH26/ABS(AE26)),3)</f>
        <v>8.5000000000000006E-2</v>
      </c>
    </row>
    <row r="27" spans="1:36" ht="15.5">
      <c r="A27" s="421" t="s">
        <v>350</v>
      </c>
      <c r="B27" s="62"/>
      <c r="C27" s="194">
        <f>+'Exhibit F'!D24+'Exhibit G State'!D17</f>
        <v>0</v>
      </c>
      <c r="D27" s="194"/>
      <c r="E27" s="194"/>
      <c r="F27" s="194"/>
      <c r="G27" s="194"/>
      <c r="H27" s="62"/>
      <c r="I27" s="194"/>
      <c r="J27" s="62"/>
      <c r="K27" s="194"/>
      <c r="L27" s="62"/>
      <c r="M27" s="194"/>
      <c r="N27" s="62"/>
      <c r="O27" s="194"/>
      <c r="P27" s="62"/>
      <c r="Q27" s="194"/>
      <c r="R27" s="194"/>
      <c r="S27" s="194"/>
      <c r="T27" s="194"/>
      <c r="U27" s="194"/>
      <c r="V27" s="194"/>
      <c r="W27" s="194"/>
      <c r="X27" s="194"/>
      <c r="Y27" s="194"/>
      <c r="Z27" s="62"/>
      <c r="AA27" s="391"/>
      <c r="AB27" s="194">
        <f>ROUND(SUM(C27:Y27),1)</f>
        <v>0</v>
      </c>
      <c r="AC27" s="62"/>
      <c r="AD27" s="859"/>
      <c r="AE27" s="194">
        <f>+'Exhibit F'!AF24+'Exhibit G State'!AF17</f>
        <v>0</v>
      </c>
      <c r="AF27" s="62"/>
      <c r="AG27" s="1541"/>
      <c r="AH27" s="264">
        <f t="shared" si="1"/>
        <v>0</v>
      </c>
      <c r="AI27" s="63"/>
      <c r="AJ27" s="266">
        <f>ROUND(IF(AE27=0,0,AH27/ABS(AE27)),3)</f>
        <v>0</v>
      </c>
    </row>
    <row r="28" spans="1:36" ht="15.5">
      <c r="A28" s="421" t="s">
        <v>351</v>
      </c>
      <c r="B28" s="62"/>
      <c r="C28" s="194">
        <f>+'Exhibit F'!D25+'Exhibit H'!B17</f>
        <v>0</v>
      </c>
      <c r="D28" s="194"/>
      <c r="E28" s="194"/>
      <c r="F28" s="194"/>
      <c r="G28" s="194"/>
      <c r="H28" s="62"/>
      <c r="I28" s="194"/>
      <c r="J28" s="62"/>
      <c r="K28" s="194"/>
      <c r="L28" s="62"/>
      <c r="M28" s="194"/>
      <c r="N28" s="62"/>
      <c r="O28" s="194"/>
      <c r="P28" s="62"/>
      <c r="Q28" s="194"/>
      <c r="R28" s="194"/>
      <c r="S28" s="194"/>
      <c r="T28" s="194"/>
      <c r="U28" s="194"/>
      <c r="V28" s="194"/>
      <c r="W28" s="194"/>
      <c r="X28" s="194"/>
      <c r="Y28" s="194"/>
      <c r="Z28" s="62"/>
      <c r="AA28" s="391"/>
      <c r="AB28" s="194">
        <f t="shared" si="2"/>
        <v>0</v>
      </c>
      <c r="AC28" s="62"/>
      <c r="AD28" s="859"/>
      <c r="AE28" s="194">
        <f>+'Exhibit F'!AF25+'Exhibit H'!AD17</f>
        <v>0</v>
      </c>
      <c r="AF28" s="62"/>
      <c r="AG28" s="1541"/>
      <c r="AH28" s="264">
        <f t="shared" si="1"/>
        <v>0</v>
      </c>
      <c r="AI28" s="63"/>
      <c r="AJ28" s="266">
        <f>ROUND(IF(AE28=0,0,AH28/ABS(AE28)),3)</f>
        <v>0</v>
      </c>
    </row>
    <row r="29" spans="1:36" ht="15.5">
      <c r="A29" s="284" t="s">
        <v>352</v>
      </c>
      <c r="B29" s="194"/>
      <c r="C29" s="194">
        <f>+'Exhibit F'!D26</f>
        <v>-4825.2</v>
      </c>
      <c r="D29" s="194"/>
      <c r="E29" s="194"/>
      <c r="F29" s="194"/>
      <c r="G29" s="194"/>
      <c r="H29" s="194"/>
      <c r="I29" s="194"/>
      <c r="J29" s="194"/>
      <c r="K29" s="194"/>
      <c r="L29" s="62"/>
      <c r="M29" s="194"/>
      <c r="N29" s="62"/>
      <c r="O29" s="194"/>
      <c r="P29" s="62"/>
      <c r="Q29" s="194"/>
      <c r="R29" s="194"/>
      <c r="S29" s="194"/>
      <c r="T29" s="194"/>
      <c r="U29" s="194"/>
      <c r="V29" s="194"/>
      <c r="W29" s="194"/>
      <c r="X29" s="194"/>
      <c r="Y29" s="194"/>
      <c r="Z29" s="62"/>
      <c r="AA29" s="391"/>
      <c r="AB29" s="194">
        <f t="shared" si="2"/>
        <v>-4825.2</v>
      </c>
      <c r="AC29" s="62"/>
      <c r="AD29" s="859"/>
      <c r="AE29" s="194">
        <f>+'Exhibit F'!AF26</f>
        <v>-4382.6000000000004</v>
      </c>
      <c r="AF29" s="62"/>
      <c r="AG29" s="1541"/>
      <c r="AH29" s="264">
        <f>-ROUND(SUM(+AB29-AE29),1)</f>
        <v>442.6</v>
      </c>
      <c r="AI29" s="63"/>
      <c r="AJ29" s="283">
        <f>ROUND(SUM(+AH29/ABS(AE29)),3)</f>
        <v>0.10100000000000001</v>
      </c>
    </row>
    <row r="30" spans="1:36" ht="15.5">
      <c r="A30" s="83" t="s">
        <v>353</v>
      </c>
      <c r="B30" s="62"/>
      <c r="C30" s="68">
        <f>ROUND(SUM(C26+C27+C28+C29),1)</f>
        <v>10454.4</v>
      </c>
      <c r="D30" s="62"/>
      <c r="E30" s="68">
        <f>ROUND(SUM(E26+E27+E28+E29),1)</f>
        <v>0</v>
      </c>
      <c r="F30" s="62"/>
      <c r="G30" s="68">
        <f>ROUND(SUM(G26+G27+G28+G29),1)</f>
        <v>0</v>
      </c>
      <c r="H30" s="62"/>
      <c r="I30" s="68">
        <f>ROUND(SUM(I26+I27+I28+I29),1)</f>
        <v>0</v>
      </c>
      <c r="J30" s="62"/>
      <c r="K30" s="68">
        <f>ROUND(SUM(K26+K27+K28+K29),1)</f>
        <v>0</v>
      </c>
      <c r="L30" s="62"/>
      <c r="M30" s="68">
        <f>ROUND(SUM(M26+M27+M28+M29),1)</f>
        <v>0</v>
      </c>
      <c r="N30" s="62"/>
      <c r="O30" s="68">
        <f>ROUND(SUM(O26+O27+O28+O29),1)</f>
        <v>0</v>
      </c>
      <c r="P30" s="62"/>
      <c r="Q30" s="68">
        <f>ROUND(SUM(Q26+Q27+Q28+Q29),1)</f>
        <v>0</v>
      </c>
      <c r="R30" s="62"/>
      <c r="S30" s="68">
        <f>ROUND(SUM(S26+S27+S28+S29),1)</f>
        <v>0</v>
      </c>
      <c r="T30" s="62"/>
      <c r="U30" s="68">
        <f>ROUND(SUM(U26+U27+U28+U29),1)</f>
        <v>0</v>
      </c>
      <c r="V30" s="62"/>
      <c r="W30" s="68">
        <f>ROUND(SUM(W26+W27+W28+W29),1)</f>
        <v>0</v>
      </c>
      <c r="X30" s="62"/>
      <c r="Y30" s="68">
        <f>ROUND(SUM(Y26+Y27+Y28+Y29),1)</f>
        <v>0</v>
      </c>
      <c r="Z30" s="62"/>
      <c r="AA30" s="391"/>
      <c r="AB30" s="68">
        <f>ROUND(SUM(AB26+AB27+AB28+AB29),1)</f>
        <v>10454.4</v>
      </c>
      <c r="AC30" s="62"/>
      <c r="AD30" s="859"/>
      <c r="AE30" s="68">
        <f>ROUND(SUM(AE26+AE27+AE28+AE29),1)</f>
        <v>9693.6</v>
      </c>
      <c r="AF30" s="62"/>
      <c r="AG30" s="1541"/>
      <c r="AH30" s="68">
        <f>ROUND(SUM(AH26+AH27+AH28-AH29),1)</f>
        <v>760.8</v>
      </c>
      <c r="AI30" s="321"/>
      <c r="AJ30" s="417">
        <f>ROUND(SUM(+AH30/ABS(AE30)),3)</f>
        <v>7.8E-2</v>
      </c>
    </row>
    <row r="31" spans="1:36" ht="15.5">
      <c r="A31" s="413" t="s">
        <v>354</v>
      </c>
      <c r="B31" s="62"/>
      <c r="C31" s="62"/>
      <c r="D31" s="62"/>
      <c r="E31" s="62"/>
      <c r="F31" s="62"/>
      <c r="G31" s="62"/>
      <c r="H31" s="62"/>
      <c r="I31" s="62"/>
      <c r="J31" s="62"/>
      <c r="K31" s="62"/>
      <c r="L31" s="62"/>
      <c r="M31" s="62"/>
      <c r="N31" s="62"/>
      <c r="O31" s="62"/>
      <c r="P31" s="62"/>
      <c r="Q31" s="62"/>
      <c r="R31" s="62"/>
      <c r="S31" s="62"/>
      <c r="T31" s="62"/>
      <c r="U31" s="62"/>
      <c r="V31" s="62"/>
      <c r="W31" s="62"/>
      <c r="X31" s="62"/>
      <c r="Y31" s="62"/>
      <c r="Z31" s="62"/>
      <c r="AA31" s="391"/>
      <c r="AB31" s="62"/>
      <c r="AC31" s="62"/>
      <c r="AD31" s="859"/>
      <c r="AE31" s="194"/>
      <c r="AF31" s="62"/>
      <c r="AG31" s="1541"/>
      <c r="AH31" s="268"/>
      <c r="AI31" s="62"/>
      <c r="AJ31" s="268"/>
    </row>
    <row r="32" spans="1:36" ht="15.5">
      <c r="A32" s="284" t="s">
        <v>355</v>
      </c>
      <c r="B32" s="62"/>
      <c r="C32" s="194">
        <f>+'Exhibit F'!D29+'Exhibit H'!B20+'Exhibit G State'!D20</f>
        <v>1761.1</v>
      </c>
      <c r="D32" s="194"/>
      <c r="E32" s="194"/>
      <c r="F32" s="194"/>
      <c r="G32" s="194"/>
      <c r="H32" s="194"/>
      <c r="I32" s="194"/>
      <c r="J32" s="194"/>
      <c r="K32" s="194"/>
      <c r="L32" s="62"/>
      <c r="M32" s="194"/>
      <c r="N32" s="62"/>
      <c r="O32" s="194"/>
      <c r="P32" s="62"/>
      <c r="Q32" s="194"/>
      <c r="R32" s="194"/>
      <c r="S32" s="194"/>
      <c r="T32" s="194"/>
      <c r="U32" s="194"/>
      <c r="V32" s="194"/>
      <c r="W32" s="194"/>
      <c r="X32" s="194"/>
      <c r="Y32" s="194"/>
      <c r="Z32" s="62"/>
      <c r="AA32" s="391"/>
      <c r="AB32" s="194">
        <f t="shared" ref="AB32:AB39" si="3">ROUND(SUM(C32:Y32),1)</f>
        <v>1761.1</v>
      </c>
      <c r="AC32" s="62"/>
      <c r="AD32" s="859"/>
      <c r="AE32" s="194">
        <f>+'Exhibit F'!AF29+'Exhibit H'!AD20+'Exhibit G State'!AF20</f>
        <v>1626.3</v>
      </c>
      <c r="AF32" s="62"/>
      <c r="AG32" s="1541"/>
      <c r="AH32" s="264">
        <f t="shared" ref="AH32:AH39" si="4">ROUND(SUM(+AB32-AE32),1)</f>
        <v>134.80000000000001</v>
      </c>
      <c r="AI32" s="63"/>
      <c r="AJ32" s="283">
        <f>ROUND(SUM(+AH32/ABS(AE32)),3)</f>
        <v>8.3000000000000004E-2</v>
      </c>
    </row>
    <row r="33" spans="1:36" ht="15.5">
      <c r="A33" s="284" t="s">
        <v>356</v>
      </c>
      <c r="B33" s="62"/>
      <c r="C33" s="194">
        <f>+'Exhibit F'!D30+'Exhibit G State'!D21</f>
        <v>1.7</v>
      </c>
      <c r="D33" s="194"/>
      <c r="E33" s="194"/>
      <c r="F33" s="194"/>
      <c r="G33" s="194"/>
      <c r="H33" s="194"/>
      <c r="I33" s="194"/>
      <c r="J33" s="194"/>
      <c r="K33" s="194"/>
      <c r="L33" s="62"/>
      <c r="M33" s="194"/>
      <c r="N33" s="62"/>
      <c r="O33" s="194"/>
      <c r="P33" s="62"/>
      <c r="Q33" s="194"/>
      <c r="R33" s="194"/>
      <c r="S33" s="194"/>
      <c r="T33" s="194"/>
      <c r="U33" s="194"/>
      <c r="V33" s="194"/>
      <c r="W33" s="194"/>
      <c r="X33" s="194"/>
      <c r="Y33" s="194"/>
      <c r="Z33" s="62"/>
      <c r="AA33" s="391"/>
      <c r="AB33" s="194">
        <f t="shared" si="3"/>
        <v>1.7</v>
      </c>
      <c r="AC33" s="62"/>
      <c r="AD33" s="859"/>
      <c r="AE33" s="194">
        <f>+'Exhibit F'!AF30+'Exhibit G State'!AF21</f>
        <v>5.0999999999999996</v>
      </c>
      <c r="AF33" s="62"/>
      <c r="AG33" s="1541"/>
      <c r="AH33" s="264">
        <f t="shared" si="4"/>
        <v>-3.4</v>
      </c>
      <c r="AI33" s="63"/>
      <c r="AJ33" s="543">
        <f>ROUND(IF(AE33=0,1,AH33/ABS(AE33)),3)</f>
        <v>-0.66700000000000004</v>
      </c>
    </row>
    <row r="34" spans="1:36" ht="15.5">
      <c r="A34" s="284" t="s">
        <v>357</v>
      </c>
      <c r="B34" s="62"/>
      <c r="C34" s="194">
        <f>+'Exhibit F'!D31+'Exhibit G State'!D22</f>
        <v>75.89</v>
      </c>
      <c r="D34" s="194"/>
      <c r="E34" s="194"/>
      <c r="F34" s="194"/>
      <c r="G34" s="194"/>
      <c r="H34" s="194"/>
      <c r="I34" s="194"/>
      <c r="J34" s="194"/>
      <c r="K34" s="194"/>
      <c r="L34" s="62"/>
      <c r="M34" s="194"/>
      <c r="N34" s="62"/>
      <c r="O34" s="194"/>
      <c r="P34" s="62"/>
      <c r="Q34" s="194"/>
      <c r="R34" s="194"/>
      <c r="S34" s="194"/>
      <c r="T34" s="194"/>
      <c r="U34" s="194"/>
      <c r="V34" s="194"/>
      <c r="W34" s="194"/>
      <c r="X34" s="194"/>
      <c r="Y34" s="194"/>
      <c r="Z34" s="62"/>
      <c r="AA34" s="391"/>
      <c r="AB34" s="194">
        <f t="shared" si="3"/>
        <v>75.900000000000006</v>
      </c>
      <c r="AC34" s="62"/>
      <c r="AD34" s="859"/>
      <c r="AE34" s="194">
        <f>+'Exhibit F'!AF31+'Exhibit G State'!AF22</f>
        <v>82</v>
      </c>
      <c r="AF34" s="62"/>
      <c r="AG34" s="1541"/>
      <c r="AH34" s="264">
        <f t="shared" si="4"/>
        <v>-6.1</v>
      </c>
      <c r="AI34" s="63"/>
      <c r="AJ34" s="283">
        <f>ROUND(SUM(+AH34/ABS(AE34)),3)</f>
        <v>-7.3999999999999996E-2</v>
      </c>
    </row>
    <row r="35" spans="1:36" ht="15.5">
      <c r="A35" s="284" t="s">
        <v>436</v>
      </c>
      <c r="B35" s="62"/>
      <c r="C35" s="194">
        <f>'Exhibit G State'!D23</f>
        <v>4.4000000000000004</v>
      </c>
      <c r="D35" s="194"/>
      <c r="E35" s="194"/>
      <c r="F35" s="194"/>
      <c r="G35" s="194"/>
      <c r="H35" s="194"/>
      <c r="I35" s="194"/>
      <c r="J35" s="194"/>
      <c r="K35" s="194"/>
      <c r="L35" s="62"/>
      <c r="M35" s="194"/>
      <c r="N35" s="62"/>
      <c r="O35" s="194"/>
      <c r="P35" s="62"/>
      <c r="Q35" s="194"/>
      <c r="R35" s="194"/>
      <c r="S35" s="194"/>
      <c r="T35" s="194"/>
      <c r="U35" s="194"/>
      <c r="V35" s="194"/>
      <c r="W35" s="194"/>
      <c r="X35" s="194"/>
      <c r="Y35" s="194"/>
      <c r="Z35" s="62"/>
      <c r="AA35" s="391"/>
      <c r="AB35" s="194">
        <f t="shared" si="3"/>
        <v>4.4000000000000004</v>
      </c>
      <c r="AC35" s="62"/>
      <c r="AD35" s="859"/>
      <c r="AE35" s="194">
        <f>'Exhibit G State'!AF23</f>
        <v>-3.3</v>
      </c>
      <c r="AF35" s="62"/>
      <c r="AG35" s="1541"/>
      <c r="AH35" s="264">
        <f>ROUND(SUM(+AB35-AE35),1)</f>
        <v>7.7</v>
      </c>
      <c r="AI35" s="63"/>
      <c r="AJ35" s="266">
        <f>ROUND(IF(AE35=0,1,AH35/ABS(AE35)),3)</f>
        <v>2.3330000000000002</v>
      </c>
    </row>
    <row r="36" spans="1:36" ht="15.5">
      <c r="A36" s="284" t="s">
        <v>359</v>
      </c>
      <c r="B36" s="62"/>
      <c r="C36" s="194">
        <f>+'Exhibit F'!D32+'Exhibit G State'!D24</f>
        <v>7.8</v>
      </c>
      <c r="D36" s="194"/>
      <c r="E36" s="194"/>
      <c r="F36" s="194"/>
      <c r="G36" s="194"/>
      <c r="H36" s="194"/>
      <c r="I36" s="194"/>
      <c r="J36" s="194"/>
      <c r="K36" s="194"/>
      <c r="L36" s="62"/>
      <c r="M36" s="194"/>
      <c r="N36" s="62"/>
      <c r="O36" s="194"/>
      <c r="P36" s="62"/>
      <c r="Q36" s="194"/>
      <c r="R36" s="194"/>
      <c r="S36" s="194"/>
      <c r="T36" s="194"/>
      <c r="U36" s="194"/>
      <c r="V36" s="194"/>
      <c r="W36" s="194"/>
      <c r="X36" s="194"/>
      <c r="Y36" s="194"/>
      <c r="Z36" s="62"/>
      <c r="AA36" s="391"/>
      <c r="AB36" s="194">
        <f t="shared" si="3"/>
        <v>7.8</v>
      </c>
      <c r="AC36" s="62"/>
      <c r="AD36" s="859"/>
      <c r="AE36" s="194">
        <f>+'Exhibit F'!AF32+'Exhibit G State'!AF24</f>
        <v>7.6</v>
      </c>
      <c r="AF36" s="62"/>
      <c r="AG36" s="1541"/>
      <c r="AH36" s="264">
        <f t="shared" si="4"/>
        <v>0.2</v>
      </c>
      <c r="AI36" s="63"/>
      <c r="AJ36" s="283">
        <f>ROUND(SUM(+AH36/ABS(AE36)),3)</f>
        <v>2.5999999999999999E-2</v>
      </c>
    </row>
    <row r="37" spans="1:36" ht="15.5">
      <c r="A37" s="422" t="s">
        <v>360</v>
      </c>
      <c r="B37" s="62"/>
      <c r="C37" s="194">
        <f>+'Exhibit F'!D33+'Exhibit G State'!D25</f>
        <v>-0.4</v>
      </c>
      <c r="D37" s="194"/>
      <c r="E37" s="194"/>
      <c r="F37" s="194"/>
      <c r="G37" s="194"/>
      <c r="H37" s="194"/>
      <c r="I37" s="194"/>
      <c r="J37" s="194"/>
      <c r="K37" s="194"/>
      <c r="L37" s="62"/>
      <c r="M37" s="194"/>
      <c r="N37" s="62"/>
      <c r="O37" s="194"/>
      <c r="P37" s="62"/>
      <c r="Q37" s="194"/>
      <c r="R37" s="194"/>
      <c r="S37" s="194"/>
      <c r="T37" s="194"/>
      <c r="U37" s="194"/>
      <c r="V37" s="194"/>
      <c r="W37" s="194"/>
      <c r="X37" s="194"/>
      <c r="Y37" s="194"/>
      <c r="Z37" s="62"/>
      <c r="AA37" s="193"/>
      <c r="AB37" s="194">
        <f t="shared" si="3"/>
        <v>-0.4</v>
      </c>
      <c r="AC37" s="62"/>
      <c r="AD37" s="859"/>
      <c r="AE37" s="194">
        <f>+'Exhibit F'!AF33+'Exhibit G State'!AF25</f>
        <v>-0.1</v>
      </c>
      <c r="AF37" s="62"/>
      <c r="AG37" s="1541"/>
      <c r="AH37" s="264">
        <f t="shared" si="4"/>
        <v>-0.3</v>
      </c>
      <c r="AI37" s="63"/>
      <c r="AJ37" s="283">
        <f>ROUND(SUM(+AH37/ABS(AE37)),3)</f>
        <v>-3</v>
      </c>
    </row>
    <row r="38" spans="1:36" ht="15.5">
      <c r="A38" s="284" t="s">
        <v>361</v>
      </c>
      <c r="B38" s="62"/>
      <c r="C38" s="194">
        <f>+'Exhibit F'!D34+'Exhibit G State'!D26</f>
        <v>22.1</v>
      </c>
      <c r="D38" s="194"/>
      <c r="E38" s="194"/>
      <c r="F38" s="194"/>
      <c r="G38" s="194"/>
      <c r="H38" s="194"/>
      <c r="I38" s="194"/>
      <c r="J38" s="194"/>
      <c r="K38" s="194"/>
      <c r="L38" s="62"/>
      <c r="M38" s="194"/>
      <c r="N38" s="62"/>
      <c r="O38" s="194"/>
      <c r="P38" s="62"/>
      <c r="Q38" s="194"/>
      <c r="R38" s="194"/>
      <c r="S38" s="194"/>
      <c r="T38" s="194"/>
      <c r="U38" s="194"/>
      <c r="V38" s="194"/>
      <c r="W38" s="194"/>
      <c r="X38" s="194"/>
      <c r="Y38" s="194"/>
      <c r="Z38" s="62"/>
      <c r="AA38" s="391"/>
      <c r="AB38" s="194">
        <f t="shared" si="3"/>
        <v>22.1</v>
      </c>
      <c r="AC38" s="62"/>
      <c r="AD38" s="859"/>
      <c r="AE38" s="194">
        <f>+'Exhibit F'!AF34+'Exhibit G State'!AF26</f>
        <v>21.7</v>
      </c>
      <c r="AF38" s="62"/>
      <c r="AG38" s="1541"/>
      <c r="AH38" s="264">
        <f t="shared" si="4"/>
        <v>0.4</v>
      </c>
      <c r="AI38" s="63"/>
      <c r="AJ38" s="543">
        <f t="shared" ref="AJ38" si="5">ROUND(IF(AE38=0,1,AH38/ABS(AE38)),3)</f>
        <v>1.7999999999999999E-2</v>
      </c>
    </row>
    <row r="39" spans="1:36" ht="15.5">
      <c r="A39" s="284" t="s">
        <v>362</v>
      </c>
      <c r="B39" s="62"/>
      <c r="C39" s="194">
        <f>+'Exhibit F'!D35+'Exhibit G State'!D27</f>
        <v>0</v>
      </c>
      <c r="D39" s="194"/>
      <c r="E39" s="194"/>
      <c r="F39" s="194"/>
      <c r="G39" s="194"/>
      <c r="H39" s="194"/>
      <c r="I39" s="194"/>
      <c r="J39" s="194"/>
      <c r="K39" s="194"/>
      <c r="L39" s="62"/>
      <c r="M39" s="194"/>
      <c r="N39" s="62"/>
      <c r="O39" s="194"/>
      <c r="P39" s="62"/>
      <c r="Q39" s="194"/>
      <c r="R39" s="194"/>
      <c r="S39" s="194"/>
      <c r="T39" s="194"/>
      <c r="U39" s="194"/>
      <c r="V39" s="194"/>
      <c r="W39" s="194"/>
      <c r="X39" s="194"/>
      <c r="Y39" s="194"/>
      <c r="Z39" s="62"/>
      <c r="AA39" s="391"/>
      <c r="AB39" s="194">
        <f t="shared" si="3"/>
        <v>0</v>
      </c>
      <c r="AC39" s="62"/>
      <c r="AD39" s="859"/>
      <c r="AE39" s="194">
        <f>+'Exhibit F'!AF35+'Exhibit G State'!AF27</f>
        <v>0.1</v>
      </c>
      <c r="AF39" s="62"/>
      <c r="AG39" s="1541"/>
      <c r="AH39" s="264">
        <f t="shared" si="4"/>
        <v>-0.1</v>
      </c>
      <c r="AI39" s="63"/>
      <c r="AJ39" s="543">
        <f>ROUND(IF(AE39=0,1,AH39/ABS(AE39)),3)</f>
        <v>-1</v>
      </c>
    </row>
    <row r="40" spans="1:36" ht="15.5">
      <c r="A40" s="284" t="s">
        <v>437</v>
      </c>
      <c r="B40" s="62"/>
      <c r="C40" s="194">
        <f>'Exhibit F'!D36+'Exhibit G'!D28</f>
        <v>0.3</v>
      </c>
      <c r="D40" s="194"/>
      <c r="E40" s="194"/>
      <c r="F40" s="194"/>
      <c r="G40" s="194"/>
      <c r="H40" s="194"/>
      <c r="I40" s="194"/>
      <c r="J40" s="194"/>
      <c r="K40" s="194"/>
      <c r="L40" s="62"/>
      <c r="M40" s="194"/>
      <c r="N40" s="62"/>
      <c r="O40" s="194"/>
      <c r="P40" s="62"/>
      <c r="Q40" s="194"/>
      <c r="R40" s="194"/>
      <c r="S40" s="194"/>
      <c r="T40" s="194"/>
      <c r="U40" s="194"/>
      <c r="V40" s="194"/>
      <c r="W40" s="194"/>
      <c r="X40" s="194"/>
      <c r="Y40" s="194"/>
      <c r="Z40" s="62"/>
      <c r="AA40" s="391"/>
      <c r="AB40" s="194">
        <f>ROUND(SUM(C40:Y40),1)</f>
        <v>0.3</v>
      </c>
      <c r="AC40" s="62"/>
      <c r="AD40" s="859"/>
      <c r="AE40" s="194">
        <f>+'Exhibit F'!AF36+'Exhibit G State'!AF28</f>
        <v>0.2</v>
      </c>
      <c r="AF40" s="62"/>
      <c r="AG40" s="1541"/>
      <c r="AH40" s="264">
        <f>ROUND(SUM(+AB40-AE40),1)</f>
        <v>0.1</v>
      </c>
      <c r="AI40" s="63"/>
      <c r="AJ40" s="543">
        <f>ROUND(IF(AE40=0,1,AH40/ABS(AE40)),3)</f>
        <v>0.5</v>
      </c>
    </row>
    <row r="41" spans="1:36" ht="15.5">
      <c r="A41" s="284" t="s">
        <v>364</v>
      </c>
      <c r="B41" s="62"/>
      <c r="C41" s="194">
        <f>'Exhibit F'!D37</f>
        <v>4.5999999999999996</v>
      </c>
      <c r="D41" s="194"/>
      <c r="E41" s="194"/>
      <c r="F41" s="194"/>
      <c r="G41" s="194"/>
      <c r="H41" s="194"/>
      <c r="I41" s="194"/>
      <c r="J41" s="194"/>
      <c r="K41" s="194"/>
      <c r="L41" s="62"/>
      <c r="M41" s="194"/>
      <c r="N41" s="62"/>
      <c r="O41" s="194"/>
      <c r="P41" s="62"/>
      <c r="Q41" s="194"/>
      <c r="R41" s="194"/>
      <c r="S41" s="194"/>
      <c r="T41" s="194"/>
      <c r="U41" s="194"/>
      <c r="V41" s="194"/>
      <c r="W41" s="194"/>
      <c r="X41" s="194"/>
      <c r="Y41" s="194"/>
      <c r="Z41" s="62"/>
      <c r="AA41" s="391"/>
      <c r="AB41" s="194">
        <f t="shared" ref="AB41" si="6">ROUND(SUM(C41:Y41),1)</f>
        <v>4.5999999999999996</v>
      </c>
      <c r="AC41" s="62"/>
      <c r="AD41" s="859"/>
      <c r="AE41" s="194">
        <f>+'Exhibit F'!AF37</f>
        <v>4.9000000000000004</v>
      </c>
      <c r="AF41" s="62"/>
      <c r="AG41" s="1541"/>
      <c r="AH41" s="264">
        <f t="shared" ref="AH41" si="7">ROUND(SUM(+AB41-AE41),1)</f>
        <v>-0.3</v>
      </c>
      <c r="AI41" s="63"/>
      <c r="AJ41" s="543">
        <f>ROUND(IF(AE41=0,1,AH41/ABS(AE41)),3)</f>
        <v>-6.0999999999999999E-2</v>
      </c>
    </row>
    <row r="42" spans="1:36" ht="15.5">
      <c r="A42" s="83" t="s">
        <v>365</v>
      </c>
      <c r="B42" s="62"/>
      <c r="C42" s="68">
        <f>ROUND(SUM(C32:C41),1)</f>
        <v>1877.5</v>
      </c>
      <c r="D42" s="62"/>
      <c r="E42" s="68">
        <f>ROUND(SUM(E32:E41),1)</f>
        <v>0</v>
      </c>
      <c r="F42" s="62"/>
      <c r="G42" s="68">
        <f>ROUND(SUM(G32:G41),1)</f>
        <v>0</v>
      </c>
      <c r="H42" s="62"/>
      <c r="I42" s="68">
        <f>ROUND(SUM(I32:I41),1)</f>
        <v>0</v>
      </c>
      <c r="J42" s="62"/>
      <c r="K42" s="68">
        <f>ROUND(SUM(K32:K41),1)</f>
        <v>0</v>
      </c>
      <c r="L42" s="62"/>
      <c r="M42" s="68">
        <f>ROUND(SUM(M32:M41),1)</f>
        <v>0</v>
      </c>
      <c r="N42" s="62"/>
      <c r="O42" s="68">
        <f>ROUND(SUM(O32:O41),1)</f>
        <v>0</v>
      </c>
      <c r="P42" s="62"/>
      <c r="Q42" s="68">
        <f>ROUND(SUM(Q32:Q41),1)</f>
        <v>0</v>
      </c>
      <c r="R42" s="62"/>
      <c r="S42" s="68">
        <f>ROUND(SUM(S32:S41),1)</f>
        <v>0</v>
      </c>
      <c r="T42" s="62"/>
      <c r="U42" s="68">
        <f>ROUND(SUM(U32:U41),1)</f>
        <v>0</v>
      </c>
      <c r="V42" s="62"/>
      <c r="W42" s="68">
        <f>ROUND(SUM(W32:W41),1)</f>
        <v>0</v>
      </c>
      <c r="X42" s="62"/>
      <c r="Y42" s="68">
        <f>ROUND(SUM(Y32:Y41),1)</f>
        <v>0</v>
      </c>
      <c r="Z42" s="62"/>
      <c r="AA42" s="391"/>
      <c r="AB42" s="68">
        <f>ROUND(SUM(AB32:AB41),1)</f>
        <v>1877.5</v>
      </c>
      <c r="AC42" s="62"/>
      <c r="AD42" s="859"/>
      <c r="AE42" s="68">
        <f>ROUND(SUM(AE32:AE41),1)</f>
        <v>1744.5</v>
      </c>
      <c r="AF42" s="62"/>
      <c r="AG42" s="1541"/>
      <c r="AH42" s="68">
        <f>ROUND(SUM(AH32:AH41),1)</f>
        <v>133</v>
      </c>
      <c r="AI42" s="321"/>
      <c r="AJ42" s="417">
        <f>ROUND(SUM(+AH42/ABS(AE42)),3)</f>
        <v>7.5999999999999998E-2</v>
      </c>
    </row>
    <row r="43" spans="1:36" ht="15.5">
      <c r="A43" s="413" t="s">
        <v>366</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391"/>
      <c r="AB43" s="62"/>
      <c r="AC43" s="62"/>
      <c r="AD43" s="859"/>
      <c r="AE43" s="194"/>
      <c r="AF43" s="62"/>
      <c r="AG43" s="1541"/>
      <c r="AH43" s="268"/>
      <c r="AI43" s="62"/>
      <c r="AJ43" s="268"/>
    </row>
    <row r="44" spans="1:36" ht="15.5">
      <c r="A44" s="284" t="s">
        <v>367</v>
      </c>
      <c r="B44" s="62"/>
      <c r="C44" s="194">
        <f>+'Exhibit F'!D40+'Exhibit G State'!D31</f>
        <v>1054.3</v>
      </c>
      <c r="D44" s="194"/>
      <c r="E44" s="194"/>
      <c r="F44" s="194"/>
      <c r="G44" s="194"/>
      <c r="H44" s="194"/>
      <c r="I44" s="194"/>
      <c r="J44" s="194"/>
      <c r="K44" s="194"/>
      <c r="L44" s="194"/>
      <c r="M44" s="194"/>
      <c r="N44" s="62"/>
      <c r="O44" s="194"/>
      <c r="P44" s="62"/>
      <c r="Q44" s="194"/>
      <c r="R44" s="194"/>
      <c r="S44" s="194"/>
      <c r="T44" s="194"/>
      <c r="U44" s="194"/>
      <c r="V44" s="194"/>
      <c r="W44" s="194"/>
      <c r="X44" s="194"/>
      <c r="Y44" s="194"/>
      <c r="Z44" s="62"/>
      <c r="AA44" s="391"/>
      <c r="AB44" s="194">
        <f t="shared" ref="AB44:AB49" si="8">ROUND(SUM(C44:Y44),1)</f>
        <v>1054.3</v>
      </c>
      <c r="AC44" s="62"/>
      <c r="AD44" s="859"/>
      <c r="AE44" s="194">
        <f>+'Exhibit F'!AF40+'Exhibit G State'!AF31</f>
        <v>1086.0999999999999</v>
      </c>
      <c r="AF44" s="62"/>
      <c r="AG44" s="1541"/>
      <c r="AH44" s="264">
        <f t="shared" ref="AH44:AH56" si="9">ROUND(SUM(+AB44-AE44),1)</f>
        <v>-31.8</v>
      </c>
      <c r="AI44" s="63"/>
      <c r="AJ44" s="283">
        <f t="shared" ref="AJ44:AJ50" si="10">ROUND(SUM(+AH44/ABS(AE44)),3)</f>
        <v>-2.9000000000000001E-2</v>
      </c>
    </row>
    <row r="45" spans="1:36" ht="15.5">
      <c r="A45" s="284" t="s">
        <v>368</v>
      </c>
      <c r="B45" s="62"/>
      <c r="C45" s="194">
        <f>+'Exhibit G State'!D32+'Exhibit F'!D41</f>
        <v>43.2</v>
      </c>
      <c r="D45" s="194"/>
      <c r="E45" s="194"/>
      <c r="F45" s="194"/>
      <c r="G45" s="194"/>
      <c r="H45" s="194"/>
      <c r="I45" s="194"/>
      <c r="J45" s="194"/>
      <c r="K45" s="194"/>
      <c r="L45" s="194"/>
      <c r="M45" s="194"/>
      <c r="N45" s="62"/>
      <c r="O45" s="194"/>
      <c r="P45" s="62"/>
      <c r="Q45" s="194"/>
      <c r="R45" s="194"/>
      <c r="S45" s="194"/>
      <c r="T45" s="194"/>
      <c r="U45" s="194"/>
      <c r="V45" s="194"/>
      <c r="W45" s="194"/>
      <c r="X45" s="194"/>
      <c r="Y45" s="194"/>
      <c r="Z45" s="62"/>
      <c r="AA45" s="391"/>
      <c r="AB45" s="194">
        <f t="shared" si="8"/>
        <v>43.2</v>
      </c>
      <c r="AC45" s="62"/>
      <c r="AD45" s="859"/>
      <c r="AE45" s="194">
        <f>+'Exhibit G State'!AF32+'Exhibit F'!AF41</f>
        <v>38.099999999999994</v>
      </c>
      <c r="AF45" s="62"/>
      <c r="AG45" s="1541"/>
      <c r="AH45" s="264">
        <f t="shared" si="9"/>
        <v>5.0999999999999996</v>
      </c>
      <c r="AI45" s="63"/>
      <c r="AJ45" s="283">
        <f t="shared" si="10"/>
        <v>0.13400000000000001</v>
      </c>
    </row>
    <row r="46" spans="1:36" ht="15.5">
      <c r="A46" s="284" t="s">
        <v>369</v>
      </c>
      <c r="B46" s="62"/>
      <c r="C46" s="194">
        <f>+'Exhibit F'!D42+'Exhibit G State'!D33</f>
        <v>85.7</v>
      </c>
      <c r="D46" s="194"/>
      <c r="E46" s="194"/>
      <c r="F46" s="194"/>
      <c r="G46" s="194"/>
      <c r="H46" s="194"/>
      <c r="I46" s="194"/>
      <c r="J46" s="194"/>
      <c r="K46" s="194"/>
      <c r="L46" s="194"/>
      <c r="M46" s="194"/>
      <c r="N46" s="62"/>
      <c r="O46" s="194"/>
      <c r="P46" s="62"/>
      <c r="Q46" s="194"/>
      <c r="R46" s="194"/>
      <c r="S46" s="194"/>
      <c r="T46" s="194"/>
      <c r="U46" s="194"/>
      <c r="V46" s="194"/>
      <c r="W46" s="194"/>
      <c r="X46" s="194"/>
      <c r="Y46" s="194"/>
      <c r="Z46" s="62"/>
      <c r="AA46" s="391"/>
      <c r="AB46" s="194">
        <f t="shared" si="8"/>
        <v>85.7</v>
      </c>
      <c r="AC46" s="62"/>
      <c r="AD46" s="859"/>
      <c r="AE46" s="194">
        <f>+'Exhibit F'!AF42+'Exhibit G State'!AF33</f>
        <v>84.8</v>
      </c>
      <c r="AF46" s="62"/>
      <c r="AG46" s="1541"/>
      <c r="AH46" s="264">
        <f t="shared" si="9"/>
        <v>0.9</v>
      </c>
      <c r="AI46" s="63"/>
      <c r="AJ46" s="283">
        <f t="shared" si="10"/>
        <v>1.0999999999999999E-2</v>
      </c>
    </row>
    <row r="47" spans="1:36" ht="15.5">
      <c r="A47" s="284" t="s">
        <v>370</v>
      </c>
      <c r="B47" s="62"/>
      <c r="C47" s="194">
        <f>+'Exhibit F'!D43+'Exhibit G State'!D34</f>
        <v>21.9</v>
      </c>
      <c r="D47" s="194"/>
      <c r="E47" s="194"/>
      <c r="F47" s="194"/>
      <c r="G47" s="194"/>
      <c r="H47" s="194"/>
      <c r="I47" s="194"/>
      <c r="J47" s="194"/>
      <c r="K47" s="194"/>
      <c r="L47" s="194"/>
      <c r="M47" s="194"/>
      <c r="N47" s="62"/>
      <c r="O47" s="194"/>
      <c r="P47" s="62"/>
      <c r="Q47" s="194"/>
      <c r="R47" s="194"/>
      <c r="S47" s="194"/>
      <c r="T47" s="194"/>
      <c r="U47" s="194"/>
      <c r="V47" s="194"/>
      <c r="W47" s="194"/>
      <c r="X47" s="194"/>
      <c r="Y47" s="194"/>
      <c r="Z47" s="62"/>
      <c r="AA47" s="391"/>
      <c r="AB47" s="194">
        <f t="shared" si="8"/>
        <v>21.9</v>
      </c>
      <c r="AC47" s="62"/>
      <c r="AD47" s="859"/>
      <c r="AE47" s="194">
        <f>+'Exhibit F'!AF43+'Exhibit G State'!AF34</f>
        <v>-4.2</v>
      </c>
      <c r="AF47" s="62"/>
      <c r="AG47" s="1541"/>
      <c r="AH47" s="264">
        <f t="shared" si="9"/>
        <v>26.1</v>
      </c>
      <c r="AI47" s="63"/>
      <c r="AJ47" s="543">
        <f>ROUND(IF(AE47=0,1,AH47/ABS(AE47)),3)</f>
        <v>6.2140000000000004</v>
      </c>
    </row>
    <row r="48" spans="1:36" ht="15.5">
      <c r="A48" s="284" t="s">
        <v>371</v>
      </c>
      <c r="B48" s="62"/>
      <c r="C48" s="194">
        <f>+'Exhibit F'!D44+'Exhibit H'!B23</f>
        <v>48.8</v>
      </c>
      <c r="D48" s="194"/>
      <c r="E48" s="194"/>
      <c r="F48" s="194"/>
      <c r="G48" s="194"/>
      <c r="H48" s="194"/>
      <c r="I48" s="194"/>
      <c r="J48" s="194"/>
      <c r="K48" s="194"/>
      <c r="L48" s="194"/>
      <c r="M48" s="194"/>
      <c r="N48" s="62"/>
      <c r="O48" s="194"/>
      <c r="P48" s="62"/>
      <c r="Q48" s="194"/>
      <c r="R48" s="194"/>
      <c r="S48" s="194"/>
      <c r="T48" s="194"/>
      <c r="U48" s="194"/>
      <c r="V48" s="194"/>
      <c r="W48" s="194"/>
      <c r="X48" s="194"/>
      <c r="Y48" s="194"/>
      <c r="Z48" s="62"/>
      <c r="AA48" s="391"/>
      <c r="AB48" s="194">
        <f t="shared" si="8"/>
        <v>48.8</v>
      </c>
      <c r="AC48" s="62"/>
      <c r="AD48" s="859"/>
      <c r="AE48" s="194">
        <f>+'Exhibit F'!AF44+'Exhibit H'!AD23</f>
        <v>80.400000000000006</v>
      </c>
      <c r="AF48" s="62"/>
      <c r="AG48" s="1541"/>
      <c r="AH48" s="264">
        <f t="shared" si="9"/>
        <v>-31.6</v>
      </c>
      <c r="AI48" s="63"/>
      <c r="AJ48" s="266">
        <f>ROUND(IF(AE48=0,1,AH48/ABS(AE48)),3)</f>
        <v>-0.39300000000000002</v>
      </c>
    </row>
    <row r="49" spans="1:36" ht="15.5">
      <c r="A49" s="284" t="s">
        <v>372</v>
      </c>
      <c r="B49" s="62"/>
      <c r="C49" s="194">
        <f>+'Exhibit F'!D45+'Exhibit G State'!D35</f>
        <v>32.700000000000003</v>
      </c>
      <c r="D49" s="194"/>
      <c r="E49" s="194"/>
      <c r="F49" s="194"/>
      <c r="G49" s="194"/>
      <c r="H49" s="194"/>
      <c r="I49" s="194"/>
      <c r="J49" s="194"/>
      <c r="K49" s="194"/>
      <c r="L49" s="194"/>
      <c r="M49" s="194"/>
      <c r="N49" s="62"/>
      <c r="O49" s="194"/>
      <c r="P49" s="62"/>
      <c r="Q49" s="194"/>
      <c r="R49" s="194"/>
      <c r="S49" s="194"/>
      <c r="T49" s="194"/>
      <c r="U49" s="194"/>
      <c r="V49" s="194"/>
      <c r="W49" s="194"/>
      <c r="X49" s="194"/>
      <c r="Y49" s="194"/>
      <c r="Z49" s="62"/>
      <c r="AA49" s="391"/>
      <c r="AB49" s="194">
        <f t="shared" si="8"/>
        <v>32.700000000000003</v>
      </c>
      <c r="AC49" s="62"/>
      <c r="AD49" s="859"/>
      <c r="AE49" s="194">
        <f>+'Exhibit F'!AF45+'Exhibit G State'!AF35</f>
        <v>34.4</v>
      </c>
      <c r="AF49" s="62"/>
      <c r="AG49" s="1541"/>
      <c r="AH49" s="264">
        <f t="shared" si="9"/>
        <v>-1.7</v>
      </c>
      <c r="AI49" s="63"/>
      <c r="AJ49" s="283">
        <f t="shared" si="10"/>
        <v>-4.9000000000000002E-2</v>
      </c>
    </row>
    <row r="50" spans="1:36" ht="15.5">
      <c r="A50" s="83" t="s">
        <v>373</v>
      </c>
      <c r="B50" s="62"/>
      <c r="C50" s="68">
        <f>ROUND(SUM(C44:C49),1)</f>
        <v>1286.5999999999999</v>
      </c>
      <c r="D50" s="62"/>
      <c r="E50" s="68">
        <f>ROUND(SUM(E44:E49),1)</f>
        <v>0</v>
      </c>
      <c r="F50" s="62"/>
      <c r="G50" s="68">
        <f>ROUND(SUM(G44:G49),1)</f>
        <v>0</v>
      </c>
      <c r="H50" s="62"/>
      <c r="I50" s="68">
        <f>ROUND(SUM(I44:I49),1)</f>
        <v>0</v>
      </c>
      <c r="J50" s="62"/>
      <c r="K50" s="68">
        <f>ROUND(SUM(K44:K49),1)</f>
        <v>0</v>
      </c>
      <c r="L50" s="62"/>
      <c r="M50" s="68">
        <f>ROUND(SUM(M44:M49),1)</f>
        <v>0</v>
      </c>
      <c r="N50" s="62"/>
      <c r="O50" s="68">
        <f>ROUND(SUM(O44:O49),1)</f>
        <v>0</v>
      </c>
      <c r="P50" s="62"/>
      <c r="Q50" s="68">
        <f>ROUND(SUM(Q44:Q49),1)</f>
        <v>0</v>
      </c>
      <c r="R50" s="62"/>
      <c r="S50" s="68">
        <f>ROUND(SUM(S44:S49),1)</f>
        <v>0</v>
      </c>
      <c r="T50" s="62"/>
      <c r="U50" s="68">
        <f>ROUND(SUM(U44:U49),1)</f>
        <v>0</v>
      </c>
      <c r="V50" s="62"/>
      <c r="W50" s="68">
        <f>ROUND(SUM(W44:W49),1)</f>
        <v>0</v>
      </c>
      <c r="X50" s="62"/>
      <c r="Y50" s="68">
        <f>ROUND(SUM(Y44:Y49),1)</f>
        <v>0</v>
      </c>
      <c r="Z50" s="62"/>
      <c r="AA50" s="391"/>
      <c r="AB50" s="68">
        <f>ROUND(SUM(AB44:AB49),1)</f>
        <v>1286.5999999999999</v>
      </c>
      <c r="AC50" s="62"/>
      <c r="AD50" s="859"/>
      <c r="AE50" s="68">
        <f>ROUND(SUM(AE44:AE49),1)</f>
        <v>1319.6</v>
      </c>
      <c r="AF50" s="62"/>
      <c r="AG50" s="1541"/>
      <c r="AH50" s="68">
        <f>ROUND(SUM(AH44:AH49),1)</f>
        <v>-33</v>
      </c>
      <c r="AI50" s="321"/>
      <c r="AJ50" s="417">
        <f t="shared" si="10"/>
        <v>-2.5000000000000001E-2</v>
      </c>
    </row>
    <row r="51" spans="1:36" ht="15.5">
      <c r="A51" s="413" t="s">
        <v>374</v>
      </c>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391"/>
      <c r="AB51" s="62"/>
      <c r="AC51" s="62"/>
      <c r="AD51" s="859"/>
      <c r="AE51" s="194"/>
      <c r="AF51" s="62"/>
      <c r="AG51" s="1541"/>
      <c r="AH51" s="268"/>
      <c r="AI51" s="62"/>
      <c r="AJ51" s="268"/>
    </row>
    <row r="52" spans="1:36" ht="15.5">
      <c r="A52" s="284" t="s">
        <v>375</v>
      </c>
      <c r="B52" s="62"/>
      <c r="C52" s="194">
        <f>+'Exhibit F'!D48</f>
        <v>0</v>
      </c>
      <c r="D52" s="194"/>
      <c r="E52" s="194"/>
      <c r="F52" s="194"/>
      <c r="G52" s="194"/>
      <c r="H52" s="194"/>
      <c r="I52" s="194"/>
      <c r="J52" s="194"/>
      <c r="K52" s="194"/>
      <c r="L52" s="62"/>
      <c r="M52" s="194"/>
      <c r="N52" s="62"/>
      <c r="O52" s="194"/>
      <c r="P52" s="62"/>
      <c r="Q52" s="194"/>
      <c r="R52" s="194"/>
      <c r="S52" s="194"/>
      <c r="T52" s="194"/>
      <c r="U52" s="194"/>
      <c r="V52" s="194"/>
      <c r="W52" s="194"/>
      <c r="X52" s="194"/>
      <c r="Y52" s="194"/>
      <c r="Z52" s="62"/>
      <c r="AA52" s="391"/>
      <c r="AB52" s="194">
        <f t="shared" ref="AB52:AB56" si="11">ROUND(SUM(C52:Y52),1)</f>
        <v>0</v>
      </c>
      <c r="AC52" s="62"/>
      <c r="AD52" s="859"/>
      <c r="AE52" s="194">
        <f>+'Exhibit F'!AF48</f>
        <v>0</v>
      </c>
      <c r="AF52" s="62"/>
      <c r="AG52" s="1541"/>
      <c r="AH52" s="264">
        <f t="shared" si="9"/>
        <v>0</v>
      </c>
      <c r="AI52" s="62"/>
      <c r="AJ52" s="266">
        <f>ROUND(IF(AE52=0,0,AH52/ABS(AE52)),3)</f>
        <v>0</v>
      </c>
    </row>
    <row r="53" spans="1:36" ht="15.5">
      <c r="A53" s="284" t="s">
        <v>376</v>
      </c>
      <c r="B53" s="62"/>
      <c r="C53" s="194">
        <f>+'Exhibit F'!D49</f>
        <v>165.8</v>
      </c>
      <c r="D53" s="194"/>
      <c r="E53" s="194"/>
      <c r="F53" s="194"/>
      <c r="G53" s="194"/>
      <c r="H53" s="194"/>
      <c r="I53" s="194"/>
      <c r="J53" s="194"/>
      <c r="K53" s="194"/>
      <c r="L53" s="62"/>
      <c r="M53" s="194"/>
      <c r="N53" s="62"/>
      <c r="O53" s="194"/>
      <c r="P53" s="62"/>
      <c r="Q53" s="194"/>
      <c r="R53" s="194"/>
      <c r="S53" s="194"/>
      <c r="T53" s="194"/>
      <c r="U53" s="194"/>
      <c r="V53" s="194"/>
      <c r="W53" s="194"/>
      <c r="X53" s="194"/>
      <c r="Y53" s="194"/>
      <c r="Z53" s="62"/>
      <c r="AA53" s="391"/>
      <c r="AB53" s="194">
        <f t="shared" si="11"/>
        <v>165.8</v>
      </c>
      <c r="AC53" s="62"/>
      <c r="AD53" s="859"/>
      <c r="AE53" s="194">
        <f>+'Exhibit F'!AF49</f>
        <v>167.2</v>
      </c>
      <c r="AF53" s="62"/>
      <c r="AG53" s="1541"/>
      <c r="AH53" s="264">
        <f t="shared" si="9"/>
        <v>-1.4</v>
      </c>
      <c r="AI53" s="62"/>
      <c r="AJ53" s="283">
        <f t="shared" ref="AJ53:AJ58" si="12">ROUND(SUM(+AH53/ABS(AE53)),3)</f>
        <v>-8.0000000000000002E-3</v>
      </c>
    </row>
    <row r="54" spans="1:36" ht="15.5">
      <c r="A54" s="284" t="s">
        <v>377</v>
      </c>
      <c r="B54" s="62"/>
      <c r="C54" s="194">
        <f>+'Exhibit F'!D50</f>
        <v>1</v>
      </c>
      <c r="D54" s="194"/>
      <c r="E54" s="194"/>
      <c r="F54" s="194"/>
      <c r="G54" s="194"/>
      <c r="H54" s="194"/>
      <c r="I54" s="194"/>
      <c r="J54" s="194"/>
      <c r="K54" s="194"/>
      <c r="L54" s="62"/>
      <c r="M54" s="194"/>
      <c r="N54" s="62"/>
      <c r="O54" s="194"/>
      <c r="P54" s="62"/>
      <c r="Q54" s="194"/>
      <c r="R54" s="194"/>
      <c r="S54" s="194"/>
      <c r="T54" s="194"/>
      <c r="U54" s="194"/>
      <c r="V54" s="194"/>
      <c r="W54" s="194"/>
      <c r="X54" s="194"/>
      <c r="Y54" s="194"/>
      <c r="Z54" s="62"/>
      <c r="AA54" s="391"/>
      <c r="AB54" s="194">
        <f t="shared" si="11"/>
        <v>1</v>
      </c>
      <c r="AC54" s="62"/>
      <c r="AD54" s="859"/>
      <c r="AE54" s="194">
        <f>+'Exhibit F'!AF50</f>
        <v>1.2</v>
      </c>
      <c r="AF54" s="62"/>
      <c r="AG54" s="1541"/>
      <c r="AH54" s="264">
        <f t="shared" si="9"/>
        <v>-0.2</v>
      </c>
      <c r="AI54" s="62"/>
      <c r="AJ54" s="283">
        <f t="shared" si="12"/>
        <v>-0.16700000000000001</v>
      </c>
    </row>
    <row r="55" spans="1:36" ht="15.5">
      <c r="A55" s="284" t="s">
        <v>378</v>
      </c>
      <c r="B55" s="62"/>
      <c r="C55" s="194">
        <f>+'Exhibit F'!D51+'Exhibit H'!B26</f>
        <v>118.6</v>
      </c>
      <c r="D55" s="194"/>
      <c r="E55" s="194"/>
      <c r="F55" s="194"/>
      <c r="G55" s="194"/>
      <c r="H55" s="194"/>
      <c r="I55" s="194"/>
      <c r="J55" s="194"/>
      <c r="K55" s="194"/>
      <c r="L55" s="62"/>
      <c r="M55" s="194"/>
      <c r="N55" s="62"/>
      <c r="O55" s="194"/>
      <c r="P55" s="62"/>
      <c r="Q55" s="194"/>
      <c r="R55" s="194"/>
      <c r="S55" s="194"/>
      <c r="T55" s="194"/>
      <c r="U55" s="194"/>
      <c r="V55" s="194"/>
      <c r="W55" s="194"/>
      <c r="X55" s="194"/>
      <c r="Y55" s="194"/>
      <c r="Z55" s="62"/>
      <c r="AA55" s="391"/>
      <c r="AB55" s="194">
        <f t="shared" si="11"/>
        <v>118.6</v>
      </c>
      <c r="AC55" s="62"/>
      <c r="AD55" s="859"/>
      <c r="AE55" s="194">
        <f>+'Exhibit F'!AF51+'Exhibit I State'!AG27+'Exhibit H'!AD26</f>
        <v>94.5</v>
      </c>
      <c r="AF55" s="62"/>
      <c r="AG55" s="1541"/>
      <c r="AH55" s="264">
        <f t="shared" si="9"/>
        <v>24.1</v>
      </c>
      <c r="AI55" s="62"/>
      <c r="AJ55" s="283">
        <f t="shared" si="12"/>
        <v>0.255</v>
      </c>
    </row>
    <row r="56" spans="1:36" ht="15.5">
      <c r="A56" s="284" t="s">
        <v>379</v>
      </c>
      <c r="B56" s="62"/>
      <c r="C56" s="194">
        <f>+'Exhibit F'!D52</f>
        <v>0.1</v>
      </c>
      <c r="D56" s="194"/>
      <c r="E56" s="194"/>
      <c r="F56" s="194"/>
      <c r="G56" s="194"/>
      <c r="H56" s="194"/>
      <c r="I56" s="194"/>
      <c r="J56" s="194"/>
      <c r="K56" s="194"/>
      <c r="L56" s="62"/>
      <c r="M56" s="194"/>
      <c r="N56" s="62"/>
      <c r="O56" s="194"/>
      <c r="P56" s="62"/>
      <c r="Q56" s="194"/>
      <c r="R56" s="194"/>
      <c r="S56" s="194"/>
      <c r="T56" s="194"/>
      <c r="U56" s="194"/>
      <c r="V56" s="194"/>
      <c r="W56" s="194"/>
      <c r="X56" s="194"/>
      <c r="Y56" s="194"/>
      <c r="Z56" s="62"/>
      <c r="AA56" s="391"/>
      <c r="AB56" s="194">
        <f t="shared" si="11"/>
        <v>0.1</v>
      </c>
      <c r="AC56" s="62"/>
      <c r="AD56" s="859"/>
      <c r="AE56" s="194">
        <f>+'Exhibit F'!AF52</f>
        <v>0.1</v>
      </c>
      <c r="AF56" s="62"/>
      <c r="AG56" s="1541"/>
      <c r="AH56" s="264">
        <f t="shared" si="9"/>
        <v>0</v>
      </c>
      <c r="AI56" s="62"/>
      <c r="AJ56" s="266">
        <f>ROUND(IF(AE56=0,1,AH56/ABS(AE56)),3)</f>
        <v>0</v>
      </c>
    </row>
    <row r="57" spans="1:36" ht="15.5">
      <c r="A57" s="421" t="s">
        <v>380</v>
      </c>
      <c r="B57" s="62"/>
      <c r="C57" s="194">
        <f>+'Exhibit F'!D53+'Exhibit H'!B27</f>
        <v>0.2</v>
      </c>
      <c r="D57" s="194"/>
      <c r="E57" s="194"/>
      <c r="F57" s="194"/>
      <c r="G57" s="194"/>
      <c r="H57" s="194"/>
      <c r="I57" s="194"/>
      <c r="J57" s="194"/>
      <c r="K57" s="194"/>
      <c r="L57" s="194"/>
      <c r="M57" s="194"/>
      <c r="N57" s="194"/>
      <c r="O57" s="194"/>
      <c r="P57" s="62"/>
      <c r="Q57" s="194"/>
      <c r="R57" s="194"/>
      <c r="S57" s="194"/>
      <c r="T57" s="194"/>
      <c r="U57" s="194"/>
      <c r="V57" s="194"/>
      <c r="W57" s="194"/>
      <c r="X57" s="194"/>
      <c r="Y57" s="194"/>
      <c r="Z57" s="62"/>
      <c r="AA57" s="391"/>
      <c r="AB57" s="194">
        <f t="shared" ref="AB57" si="13">ROUND(SUM(C57:Y57),1)</f>
        <v>0.2</v>
      </c>
      <c r="AC57" s="62"/>
      <c r="AD57" s="859"/>
      <c r="AE57" s="194">
        <f>+'Exhibit F'!AF53+'Exhibit H'!AD27</f>
        <v>0.4</v>
      </c>
      <c r="AF57" s="62"/>
      <c r="AG57" s="1541"/>
      <c r="AH57" s="264">
        <f t="shared" ref="AH57" si="14">ROUND(SUM(+AB57-AE57),1)</f>
        <v>-0.2</v>
      </c>
      <c r="AI57" s="63"/>
      <c r="AJ57" s="266">
        <f>ROUND(IF(AE57=0,1,AH57/ABS(AE57)),3)</f>
        <v>-0.5</v>
      </c>
    </row>
    <row r="58" spans="1:36" ht="15.5">
      <c r="A58" s="83" t="s">
        <v>381</v>
      </c>
      <c r="B58" s="62"/>
      <c r="C58" s="68">
        <f>ROUND(SUM(C52:C57),1)</f>
        <v>285.7</v>
      </c>
      <c r="D58" s="62"/>
      <c r="E58" s="68">
        <f>ROUND(SUM(E52:E57),1)</f>
        <v>0</v>
      </c>
      <c r="F58" s="62"/>
      <c r="G58" s="68">
        <f>ROUND(SUM(G52:G57),1)</f>
        <v>0</v>
      </c>
      <c r="H58" s="62"/>
      <c r="I58" s="68">
        <f>ROUND(SUM(I52:I57),1)</f>
        <v>0</v>
      </c>
      <c r="J58" s="62"/>
      <c r="K58" s="68">
        <f>ROUND(SUM(K52:K57),1)</f>
        <v>0</v>
      </c>
      <c r="L58" s="62"/>
      <c r="M58" s="68">
        <f>ROUND(SUM(M52:M57),1)</f>
        <v>0</v>
      </c>
      <c r="N58" s="62"/>
      <c r="O58" s="68">
        <f>ROUND(SUM(O52:O57),1)</f>
        <v>0</v>
      </c>
      <c r="P58" s="62"/>
      <c r="Q58" s="68">
        <f>ROUND(SUM(Q52:Q57),1)</f>
        <v>0</v>
      </c>
      <c r="R58" s="62"/>
      <c r="S58" s="68">
        <f>ROUND(SUM(S52:S57),1)</f>
        <v>0</v>
      </c>
      <c r="T58" s="62"/>
      <c r="U58" s="68">
        <f>ROUND(SUM(U52:U57),1)</f>
        <v>0</v>
      </c>
      <c r="V58" s="62"/>
      <c r="W58" s="68">
        <f>ROUND(SUM(W52:W57),1)</f>
        <v>0</v>
      </c>
      <c r="X58" s="62"/>
      <c r="Y58" s="68">
        <f>ROUND(SUM(Y52:Y57),1)</f>
        <v>0</v>
      </c>
      <c r="Z58" s="62"/>
      <c r="AA58" s="391"/>
      <c r="AB58" s="68">
        <f>ROUND(SUM(AB52:AB57),1)</f>
        <v>285.7</v>
      </c>
      <c r="AC58" s="62"/>
      <c r="AD58" s="859"/>
      <c r="AE58" s="68">
        <f>ROUND(SUM(AE52:AE57),1)</f>
        <v>263.39999999999998</v>
      </c>
      <c r="AF58" s="62"/>
      <c r="AG58" s="1541"/>
      <c r="AH58" s="68">
        <f>ROUND(SUM(AH52:AH57),1)</f>
        <v>22.3</v>
      </c>
      <c r="AI58" s="321"/>
      <c r="AJ58" s="417">
        <f t="shared" si="12"/>
        <v>8.5000000000000006E-2</v>
      </c>
    </row>
    <row r="59" spans="1:36" ht="15.5">
      <c r="A59" s="62"/>
      <c r="B59" s="62"/>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5"/>
      <c r="AB59" s="197"/>
      <c r="AC59" s="194"/>
      <c r="AD59" s="862"/>
      <c r="AE59" s="194"/>
      <c r="AF59" s="194"/>
      <c r="AG59" s="1543"/>
      <c r="AH59" s="194"/>
      <c r="AI59" s="62"/>
      <c r="AJ59" s="74"/>
    </row>
    <row r="60" spans="1:36" ht="15.5">
      <c r="A60" s="83" t="s">
        <v>438</v>
      </c>
      <c r="B60" s="364"/>
      <c r="C60" s="984">
        <f>ROUND(SUM(C58+C50+C42+C30),1)</f>
        <v>13904.2</v>
      </c>
      <c r="D60" s="264"/>
      <c r="E60" s="984">
        <f>ROUND(SUM(E58+E50+E42+E30),1)</f>
        <v>0</v>
      </c>
      <c r="F60" s="264"/>
      <c r="G60" s="984">
        <f>ROUND(SUM(G58+G50+G42+G30),1)</f>
        <v>0</v>
      </c>
      <c r="H60" s="264"/>
      <c r="I60" s="984">
        <f>ROUND(SUM(I58+I50+I42+I30),1)</f>
        <v>0</v>
      </c>
      <c r="J60" s="264"/>
      <c r="K60" s="984">
        <f>ROUND(SUM(K58+K50+K42+K30),1)</f>
        <v>0</v>
      </c>
      <c r="L60" s="264"/>
      <c r="M60" s="984">
        <f>ROUND(SUM(M58+M50+M42+M30),1)</f>
        <v>0</v>
      </c>
      <c r="N60" s="264"/>
      <c r="O60" s="984">
        <f>ROUND(SUM(O58+O50+O42+O30),1)</f>
        <v>0</v>
      </c>
      <c r="P60" s="264"/>
      <c r="Q60" s="984">
        <f>ROUND(SUM(Q58+Q50+Q42+Q30),1)</f>
        <v>0</v>
      </c>
      <c r="R60" s="264"/>
      <c r="S60" s="984">
        <f>ROUND(SUM(S58+S50+S42+S30),1)</f>
        <v>0</v>
      </c>
      <c r="T60" s="264"/>
      <c r="U60" s="984">
        <f>ROUND(SUM(U58+U50+U42+U30),1)</f>
        <v>0</v>
      </c>
      <c r="V60" s="264"/>
      <c r="W60" s="984">
        <f>ROUND(SUM(W58+W50+W42+W30),1)</f>
        <v>0</v>
      </c>
      <c r="X60" s="268"/>
      <c r="Y60" s="984">
        <f>ROUND(SUM(Y58+Y50+Y42+Y30),1)</f>
        <v>0</v>
      </c>
      <c r="Z60" s="268"/>
      <c r="AA60" s="855"/>
      <c r="AB60" s="870">
        <f>ROUND(SUM(C60:Y60),1)</f>
        <v>13904.2</v>
      </c>
      <c r="AC60" s="264"/>
      <c r="AD60" s="524"/>
      <c r="AE60" s="1019">
        <f>ROUND(SUM(+AE30+AE42+AE50+AE58),1)</f>
        <v>13021.1</v>
      </c>
      <c r="AF60" s="264"/>
      <c r="AG60" s="707"/>
      <c r="AH60" s="1019">
        <f>ROUND(+AB60-AE60,1)</f>
        <v>883.1</v>
      </c>
      <c r="AI60" s="264"/>
      <c r="AJ60" s="368">
        <f>ROUND(SUM(+AH60/ABS(AE60)),3)</f>
        <v>6.8000000000000005E-2</v>
      </c>
    </row>
    <row r="61" spans="1:36" ht="15.5">
      <c r="A61" s="62"/>
      <c r="B61" s="62"/>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5"/>
      <c r="AB61" s="194"/>
      <c r="AC61" s="194"/>
      <c r="AD61" s="862"/>
      <c r="AE61" s="194"/>
      <c r="AF61" s="194"/>
      <c r="AG61" s="1543"/>
      <c r="AH61" s="194"/>
      <c r="AI61" s="62"/>
      <c r="AJ61" s="283"/>
    </row>
    <row r="62" spans="1:36" ht="15.5">
      <c r="A62" s="1218" t="s">
        <v>383</v>
      </c>
      <c r="B62" s="62"/>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5"/>
      <c r="AB62" s="194"/>
      <c r="AC62" s="194"/>
      <c r="AD62" s="862"/>
      <c r="AE62" s="194"/>
      <c r="AF62" s="194"/>
      <c r="AG62" s="1543"/>
      <c r="AH62" s="194"/>
      <c r="AI62" s="62"/>
      <c r="AJ62" s="266"/>
    </row>
    <row r="63" spans="1:36" ht="15.5">
      <c r="A63" s="350" t="s">
        <v>384</v>
      </c>
      <c r="B63" s="62"/>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5"/>
      <c r="AB63" s="194"/>
      <c r="AC63" s="194"/>
      <c r="AD63" s="862"/>
      <c r="AE63" s="194"/>
      <c r="AF63" s="194"/>
      <c r="AG63" s="1543"/>
      <c r="AH63" s="194"/>
      <c r="AI63" s="62"/>
      <c r="AJ63" s="266"/>
    </row>
    <row r="64" spans="1:36" ht="15.5">
      <c r="A64" s="350" t="s">
        <v>385</v>
      </c>
      <c r="B64" s="62"/>
      <c r="C64" s="194">
        <f>+'Exhibit F'!D60+'Exhibit G State'!D42</f>
        <v>2.2999999999999998</v>
      </c>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5"/>
      <c r="AB64" s="194">
        <f>ROUND(SUM(C64:Y64),1)</f>
        <v>2.2999999999999998</v>
      </c>
      <c r="AC64" s="194"/>
      <c r="AD64" s="862"/>
      <c r="AE64" s="194">
        <f>+'Exhibit F'!AF60+'Exhibit G State'!AF42</f>
        <v>1.7999999999999998</v>
      </c>
      <c r="AF64" s="194"/>
      <c r="AG64" s="1543"/>
      <c r="AH64" s="194">
        <f t="shared" ref="AH64:AH104" si="15">ROUND(SUM(AB64-AE64),1)</f>
        <v>0.5</v>
      </c>
      <c r="AI64" s="62"/>
      <c r="AJ64" s="283">
        <f>ROUND(SUM(AH64/ABS(AE64)),3)</f>
        <v>0.27800000000000002</v>
      </c>
    </row>
    <row r="65" spans="1:36" ht="15.5">
      <c r="A65" s="350" t="s">
        <v>386</v>
      </c>
      <c r="B65" s="62"/>
      <c r="C65" s="194">
        <f>+'Exhibit F'!D61</f>
        <v>2.8</v>
      </c>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5"/>
      <c r="AB65" s="194">
        <f>ROUND(SUM(C65:Y65),1)</f>
        <v>2.8</v>
      </c>
      <c r="AC65" s="194"/>
      <c r="AD65" s="862"/>
      <c r="AE65" s="194">
        <f>+'Exhibit F'!AF61</f>
        <v>4.7</v>
      </c>
      <c r="AF65" s="194"/>
      <c r="AG65" s="1543"/>
      <c r="AH65" s="194">
        <f t="shared" si="15"/>
        <v>-1.9</v>
      </c>
      <c r="AI65" s="62"/>
      <c r="AJ65" s="608">
        <f>ROUND(SUM(AH65/ABS(AE65)),3)</f>
        <v>-0.40400000000000003</v>
      </c>
    </row>
    <row r="66" spans="1:36" ht="15.5">
      <c r="A66" s="350" t="s">
        <v>387</v>
      </c>
      <c r="B66" s="62"/>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5"/>
      <c r="AB66" s="194"/>
      <c r="AC66" s="194"/>
      <c r="AD66" s="862"/>
      <c r="AE66" s="194"/>
      <c r="AF66" s="194"/>
      <c r="AG66" s="1543"/>
      <c r="AH66" s="194" t="s">
        <v>103</v>
      </c>
      <c r="AI66" s="62" t="s">
        <v>103</v>
      </c>
      <c r="AJ66" s="266" t="s">
        <v>103</v>
      </c>
    </row>
    <row r="67" spans="1:36" ht="15.5">
      <c r="A67" s="350" t="s">
        <v>388</v>
      </c>
      <c r="B67" s="62"/>
      <c r="C67" s="194">
        <f>+'Exhibit F'!D63+'Exhibit G State'!D44</f>
        <v>121.7</v>
      </c>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5"/>
      <c r="AB67" s="194">
        <f>ROUND(SUM(C67:Y67),1)</f>
        <v>121.7</v>
      </c>
      <c r="AC67" s="194"/>
      <c r="AD67" s="862"/>
      <c r="AE67" s="194">
        <f>+'Exhibit F'!AF63+'Exhibit G State'!AF44</f>
        <v>57.5</v>
      </c>
      <c r="AF67" s="194"/>
      <c r="AG67" s="1543"/>
      <c r="AH67" s="194">
        <f t="shared" si="15"/>
        <v>64.2</v>
      </c>
      <c r="AI67" s="62"/>
      <c r="AJ67" s="283">
        <f>ROUND(SUM(AH67/ABS(AE67)),3)</f>
        <v>1.117</v>
      </c>
    </row>
    <row r="68" spans="1:36" ht="15.5">
      <c r="A68" s="350" t="s">
        <v>389</v>
      </c>
      <c r="B68" s="62"/>
      <c r="C68" s="194">
        <f>+'Exhibit F'!D64+'Exhibit G State'!D45</f>
        <v>656.1</v>
      </c>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5"/>
      <c r="AB68" s="194">
        <f>ROUND(SUM(C68:Y68),1)</f>
        <v>656.1</v>
      </c>
      <c r="AC68" s="194"/>
      <c r="AD68" s="862"/>
      <c r="AE68" s="194">
        <f>+'Exhibit F'!AF64+'Exhibit G State'!AF45+'Exhibit H'!AD34</f>
        <v>668.5</v>
      </c>
      <c r="AF68" s="194"/>
      <c r="AG68" s="1543"/>
      <c r="AH68" s="194">
        <f t="shared" si="15"/>
        <v>-12.4</v>
      </c>
      <c r="AI68" s="62"/>
      <c r="AJ68" s="283">
        <f>ROUND(SUM(AH68/ABS(AE68)),3)</f>
        <v>-1.9E-2</v>
      </c>
    </row>
    <row r="69" spans="1:36" ht="15.5">
      <c r="A69" s="350" t="s">
        <v>390</v>
      </c>
      <c r="B69" s="62"/>
      <c r="C69" s="194">
        <f>+'Exhibit F'!D65+'Exhibit G State'!D46</f>
        <v>2.9</v>
      </c>
      <c r="D69" s="194"/>
      <c r="E69" s="194"/>
      <c r="F69" s="194"/>
      <c r="G69" s="194"/>
      <c r="H69" s="194"/>
      <c r="I69" s="194"/>
      <c r="J69" s="194"/>
      <c r="K69" s="194"/>
      <c r="L69" s="194"/>
      <c r="M69" s="194"/>
      <c r="N69" s="194"/>
      <c r="O69" s="194"/>
      <c r="P69" s="194"/>
      <c r="Q69" s="194"/>
      <c r="R69" s="194"/>
      <c r="S69" s="194"/>
      <c r="T69" s="194"/>
      <c r="U69" s="194"/>
      <c r="V69" s="194"/>
      <c r="W69" s="194"/>
      <c r="X69" s="194"/>
      <c r="Y69" s="194"/>
      <c r="Z69" s="194"/>
      <c r="AA69" s="195"/>
      <c r="AB69" s="194">
        <f>ROUND(SUM(C69:Y69),1)</f>
        <v>2.9</v>
      </c>
      <c r="AC69" s="194"/>
      <c r="AD69" s="862"/>
      <c r="AE69" s="194">
        <f>+'Exhibit F'!AF65+'Exhibit G State'!AF46</f>
        <v>0.6</v>
      </c>
      <c r="AF69" s="194"/>
      <c r="AG69" s="1543"/>
      <c r="AH69" s="194">
        <f t="shared" si="15"/>
        <v>2.2999999999999998</v>
      </c>
      <c r="AI69" s="62"/>
      <c r="AJ69" s="543">
        <f>ROUND(IF(AE69=0,0,AH69/ABS(AE69)),3)</f>
        <v>3.8330000000000002</v>
      </c>
    </row>
    <row r="70" spans="1:36" ht="15.5">
      <c r="A70" s="350" t="s">
        <v>391</v>
      </c>
      <c r="B70" s="62"/>
      <c r="C70" s="194">
        <f>+'Exhibit F'!D66+'Exhibit G State'!D47</f>
        <v>0</v>
      </c>
      <c r="D70" s="194"/>
      <c r="E70" s="194"/>
      <c r="F70" s="194"/>
      <c r="G70" s="194"/>
      <c r="H70" s="194"/>
      <c r="I70" s="194"/>
      <c r="J70" s="194"/>
      <c r="K70" s="194"/>
      <c r="L70" s="194"/>
      <c r="M70" s="194"/>
      <c r="N70" s="194"/>
      <c r="O70" s="194"/>
      <c r="P70" s="194"/>
      <c r="Q70" s="194"/>
      <c r="R70" s="194"/>
      <c r="S70" s="194"/>
      <c r="T70" s="194"/>
      <c r="U70" s="194"/>
      <c r="V70" s="194"/>
      <c r="W70" s="194"/>
      <c r="X70" s="194"/>
      <c r="Y70" s="194"/>
      <c r="Z70" s="194"/>
      <c r="AA70" s="195"/>
      <c r="AB70" s="194">
        <f>ROUND(SUM(C70:Y70),1)</f>
        <v>0</v>
      </c>
      <c r="AC70" s="194"/>
      <c r="AD70" s="862"/>
      <c r="AE70" s="194">
        <f>+'Exhibit F'!AF66+'Exhibit G State'!AF47</f>
        <v>0</v>
      </c>
      <c r="AF70" s="194"/>
      <c r="AG70" s="1543"/>
      <c r="AH70" s="194">
        <f t="shared" si="15"/>
        <v>0</v>
      </c>
      <c r="AI70" s="62"/>
      <c r="AJ70" s="543">
        <f>ROUND(IF(AE70=0,0,AH70/ABS(AE70)),3)</f>
        <v>0</v>
      </c>
    </row>
    <row r="71" spans="1:36" ht="15.5">
      <c r="A71" s="350" t="s">
        <v>392</v>
      </c>
      <c r="B71" s="62"/>
      <c r="C71" s="194"/>
      <c r="D71" s="194"/>
      <c r="E71" s="194"/>
      <c r="F71" s="194"/>
      <c r="G71" s="194"/>
      <c r="H71" s="194"/>
      <c r="I71" s="194"/>
      <c r="J71" s="194"/>
      <c r="K71" s="194"/>
      <c r="L71" s="194"/>
      <c r="M71" s="194"/>
      <c r="N71" s="194"/>
      <c r="O71" s="194"/>
      <c r="P71" s="194"/>
      <c r="Q71" s="194"/>
      <c r="R71" s="194"/>
      <c r="S71" s="194"/>
      <c r="T71" s="194"/>
      <c r="U71" s="194"/>
      <c r="V71" s="194"/>
      <c r="W71" s="194"/>
      <c r="X71" s="194"/>
      <c r="Y71" s="194"/>
      <c r="Z71" s="194"/>
      <c r="AA71" s="195"/>
      <c r="AB71" s="194"/>
      <c r="AC71" s="194"/>
      <c r="AD71" s="862"/>
      <c r="AE71" s="194"/>
      <c r="AF71" s="194"/>
      <c r="AG71" s="1543"/>
      <c r="AH71" s="194"/>
      <c r="AI71" s="62"/>
      <c r="AJ71" s="266"/>
    </row>
    <row r="72" spans="1:36" ht="15.5">
      <c r="A72" s="350" t="s">
        <v>393</v>
      </c>
      <c r="B72" s="62"/>
      <c r="C72" s="194">
        <f>+'Exhibit F'!D68+'Exhibit H'!B36</f>
        <v>5.4</v>
      </c>
      <c r="D72" s="194"/>
      <c r="E72" s="194"/>
      <c r="F72" s="194"/>
      <c r="G72" s="194"/>
      <c r="H72" s="194"/>
      <c r="I72" s="194"/>
      <c r="J72" s="194"/>
      <c r="K72" s="194"/>
      <c r="L72" s="194"/>
      <c r="M72" s="194"/>
      <c r="N72" s="194"/>
      <c r="O72" s="194"/>
      <c r="P72" s="194"/>
      <c r="Q72" s="194"/>
      <c r="R72" s="194"/>
      <c r="S72" s="194"/>
      <c r="T72" s="194"/>
      <c r="U72" s="194"/>
      <c r="V72" s="194"/>
      <c r="W72" s="194"/>
      <c r="X72" s="194"/>
      <c r="Y72" s="194"/>
      <c r="Z72" s="194"/>
      <c r="AA72" s="195"/>
      <c r="AB72" s="194">
        <f t="shared" ref="AB72:AB79" si="16">ROUND(SUM(C72:Y72),1)</f>
        <v>5.4</v>
      </c>
      <c r="AC72" s="194"/>
      <c r="AD72" s="862"/>
      <c r="AE72" s="194">
        <f>+'Exhibit F'!AF68+'Exhibit H'!AD36</f>
        <v>4.7</v>
      </c>
      <c r="AF72" s="194"/>
      <c r="AG72" s="1543"/>
      <c r="AH72" s="194">
        <f t="shared" si="15"/>
        <v>0.7</v>
      </c>
      <c r="AI72" s="62"/>
      <c r="AJ72" s="283">
        <f>ROUND(SUM(AH72/ABS(AE72)),3)</f>
        <v>0.14899999999999999</v>
      </c>
    </row>
    <row r="73" spans="1:36" ht="15.5">
      <c r="A73" s="350" t="s">
        <v>394</v>
      </c>
      <c r="B73" s="62"/>
      <c r="C73" s="194">
        <f>'Exhibit G State'!D49</f>
        <v>0</v>
      </c>
      <c r="D73" s="194"/>
      <c r="E73" s="194"/>
      <c r="F73" s="194"/>
      <c r="G73" s="194"/>
      <c r="H73" s="194"/>
      <c r="I73" s="194"/>
      <c r="J73" s="194"/>
      <c r="K73" s="194"/>
      <c r="L73" s="194"/>
      <c r="M73" s="194"/>
      <c r="N73" s="194"/>
      <c r="O73" s="194"/>
      <c r="P73" s="194"/>
      <c r="Q73" s="194"/>
      <c r="R73" s="194"/>
      <c r="S73" s="194"/>
      <c r="T73" s="194"/>
      <c r="U73" s="194"/>
      <c r="V73" s="194"/>
      <c r="W73" s="194"/>
      <c r="X73" s="194"/>
      <c r="Y73" s="194"/>
      <c r="Z73" s="194"/>
      <c r="AA73" s="195"/>
      <c r="AB73" s="194">
        <f t="shared" si="16"/>
        <v>0</v>
      </c>
      <c r="AC73" s="194"/>
      <c r="AD73" s="862"/>
      <c r="AE73" s="194">
        <f>'Exhibit G State'!AF49</f>
        <v>0</v>
      </c>
      <c r="AF73" s="194"/>
      <c r="AG73" s="1543"/>
      <c r="AH73" s="194">
        <f t="shared" si="15"/>
        <v>0</v>
      </c>
      <c r="AI73" s="62"/>
      <c r="AJ73" s="266">
        <f>ROUND(IF(AE73=0,0,AH73/ABS(AE73)),3)</f>
        <v>0</v>
      </c>
    </row>
    <row r="74" spans="1:36" ht="15.5">
      <c r="A74" s="350" t="s">
        <v>395</v>
      </c>
      <c r="B74" s="62"/>
      <c r="C74" s="194">
        <f>+'Exhibit F'!D70+'Exhibit G State'!D50+'Exhibit H'!B37</f>
        <v>85.4</v>
      </c>
      <c r="D74" s="194"/>
      <c r="E74" s="194"/>
      <c r="F74" s="194"/>
      <c r="G74" s="194"/>
      <c r="H74" s="194"/>
      <c r="I74" s="194"/>
      <c r="J74" s="194"/>
      <c r="K74" s="194"/>
      <c r="L74" s="194"/>
      <c r="M74" s="194"/>
      <c r="N74" s="194"/>
      <c r="O74" s="194"/>
      <c r="P74" s="194"/>
      <c r="Q74" s="194"/>
      <c r="R74" s="194"/>
      <c r="S74" s="194"/>
      <c r="T74" s="194"/>
      <c r="U74" s="194"/>
      <c r="V74" s="194"/>
      <c r="W74" s="194"/>
      <c r="X74" s="194"/>
      <c r="Y74" s="194"/>
      <c r="Z74" s="194"/>
      <c r="AA74" s="195"/>
      <c r="AB74" s="194">
        <f t="shared" si="16"/>
        <v>85.4</v>
      </c>
      <c r="AC74" s="194"/>
      <c r="AD74" s="862"/>
      <c r="AE74" s="194">
        <f>+'Exhibit F'!AF70+'Exhibit G State'!AF50+'Exhibit H'!AD37</f>
        <v>82.1</v>
      </c>
      <c r="AF74" s="194"/>
      <c r="AG74" s="1543"/>
      <c r="AH74" s="194">
        <f t="shared" si="15"/>
        <v>3.3</v>
      </c>
      <c r="AI74" s="62"/>
      <c r="AJ74" s="283">
        <f>ROUND(SUM(AH74/AE74),3)</f>
        <v>0.04</v>
      </c>
    </row>
    <row r="75" spans="1:36" ht="15.5">
      <c r="A75" s="350" t="s">
        <v>396</v>
      </c>
      <c r="B75" s="62"/>
      <c r="C75" s="194">
        <f>+'Exhibit F'!D71+'Exhibit G State'!D51+'Exhibit H'!B38</f>
        <v>33.6</v>
      </c>
      <c r="D75" s="194"/>
      <c r="E75" s="194"/>
      <c r="F75" s="194"/>
      <c r="G75" s="194"/>
      <c r="H75" s="194"/>
      <c r="I75" s="194"/>
      <c r="J75" s="194"/>
      <c r="K75" s="194"/>
      <c r="L75" s="194"/>
      <c r="M75" s="194"/>
      <c r="N75" s="194"/>
      <c r="O75" s="194"/>
      <c r="P75" s="194"/>
      <c r="Q75" s="194"/>
      <c r="R75" s="194"/>
      <c r="S75" s="194"/>
      <c r="T75" s="194"/>
      <c r="U75" s="194"/>
      <c r="V75" s="194"/>
      <c r="W75" s="194"/>
      <c r="X75" s="194"/>
      <c r="Y75" s="194"/>
      <c r="Z75" s="194"/>
      <c r="AA75" s="195"/>
      <c r="AB75" s="194">
        <f t="shared" si="16"/>
        <v>33.6</v>
      </c>
      <c r="AC75" s="194"/>
      <c r="AD75" s="862"/>
      <c r="AE75" s="194">
        <f>+'Exhibit F'!AF71+'Exhibit G State'!AF51+'Exhibit H'!AD38</f>
        <v>24.200000000000003</v>
      </c>
      <c r="AF75" s="194"/>
      <c r="AG75" s="1543"/>
      <c r="AH75" s="194">
        <f t="shared" si="15"/>
        <v>9.4</v>
      </c>
      <c r="AI75" s="62"/>
      <c r="AJ75" s="283">
        <f>ROUND(SUM(AH75/ABS(AE75)),3)</f>
        <v>0.38800000000000001</v>
      </c>
    </row>
    <row r="76" spans="1:36" ht="15.5">
      <c r="A76" s="350" t="s">
        <v>397</v>
      </c>
      <c r="B76" s="62"/>
      <c r="C76" s="194">
        <f>+'Exhibit F'!D72+'Exhibit G State'!D52+'Exhibit H'!B39</f>
        <v>0.1</v>
      </c>
      <c r="D76" s="194"/>
      <c r="E76" s="194"/>
      <c r="F76" s="194"/>
      <c r="G76" s="194"/>
      <c r="H76" s="194"/>
      <c r="I76" s="194"/>
      <c r="J76" s="194"/>
      <c r="K76" s="194"/>
      <c r="L76" s="194"/>
      <c r="M76" s="194"/>
      <c r="N76" s="194"/>
      <c r="O76" s="194"/>
      <c r="P76" s="194"/>
      <c r="Q76" s="194"/>
      <c r="R76" s="194"/>
      <c r="S76" s="194"/>
      <c r="T76" s="194"/>
      <c r="U76" s="194"/>
      <c r="V76" s="194"/>
      <c r="W76" s="194"/>
      <c r="X76" s="194"/>
      <c r="Y76" s="194"/>
      <c r="Z76" s="194"/>
      <c r="AA76" s="195"/>
      <c r="AB76" s="194">
        <f t="shared" si="16"/>
        <v>0.1</v>
      </c>
      <c r="AC76" s="194"/>
      <c r="AD76" s="862"/>
      <c r="AE76" s="194">
        <f>+'Exhibit F'!AF72+'Exhibit G State'!AF52+'Exhibit H'!AD39</f>
        <v>0.1</v>
      </c>
      <c r="AF76" s="194"/>
      <c r="AG76" s="1543"/>
      <c r="AH76" s="194">
        <f t="shared" si="15"/>
        <v>0</v>
      </c>
      <c r="AI76" s="62"/>
      <c r="AJ76" s="283">
        <f>ROUND(SUM(AH76/ABS(AE76)),3)</f>
        <v>0</v>
      </c>
    </row>
    <row r="77" spans="1:36" ht="15.5">
      <c r="A77" s="350" t="s">
        <v>398</v>
      </c>
      <c r="B77" s="62"/>
      <c r="C77" s="194">
        <f>+'Exhibit F'!D73+'Exhibit G State'!D53+'Exhibit H'!B40</f>
        <v>200.79999999999998</v>
      </c>
      <c r="D77" s="194"/>
      <c r="E77" s="194"/>
      <c r="F77" s="194"/>
      <c r="G77" s="194"/>
      <c r="H77" s="194"/>
      <c r="I77" s="194"/>
      <c r="J77" s="194"/>
      <c r="K77" s="194"/>
      <c r="L77" s="194"/>
      <c r="M77" s="194"/>
      <c r="N77" s="194"/>
      <c r="O77" s="194"/>
      <c r="P77" s="194"/>
      <c r="Q77" s="194"/>
      <c r="R77" s="194"/>
      <c r="S77" s="194"/>
      <c r="T77" s="194"/>
      <c r="U77" s="194"/>
      <c r="V77" s="194"/>
      <c r="W77" s="194"/>
      <c r="X77" s="194"/>
      <c r="Y77" s="194"/>
      <c r="Z77" s="194"/>
      <c r="AA77" s="195"/>
      <c r="AB77" s="194">
        <f t="shared" si="16"/>
        <v>200.8</v>
      </c>
      <c r="AC77" s="194"/>
      <c r="AD77" s="862"/>
      <c r="AE77" s="194">
        <f>+'Exhibit F'!AF73+'Exhibit G State'!AF53+'Exhibit H'!AD40</f>
        <v>69.900000000000006</v>
      </c>
      <c r="AF77" s="194"/>
      <c r="AG77" s="1543"/>
      <c r="AH77" s="194">
        <f t="shared" si="15"/>
        <v>130.9</v>
      </c>
      <c r="AI77" s="62"/>
      <c r="AJ77" s="266">
        <f>ROUND(IF(AE77=0,0,AH77/ABS(AE77)),3)</f>
        <v>1.873</v>
      </c>
    </row>
    <row r="78" spans="1:36" ht="15.5">
      <c r="A78" s="350" t="s">
        <v>399</v>
      </c>
      <c r="B78" s="62"/>
      <c r="C78" s="194">
        <f>+'Exhibit F'!D74+'Exhibit G State'!D54+'Exhibit H'!B41</f>
        <v>93.6</v>
      </c>
      <c r="D78" s="194"/>
      <c r="E78" s="194"/>
      <c r="F78" s="194"/>
      <c r="G78" s="194"/>
      <c r="H78" s="194"/>
      <c r="I78" s="194"/>
      <c r="J78" s="194"/>
      <c r="K78" s="194"/>
      <c r="L78" s="194"/>
      <c r="M78" s="194"/>
      <c r="N78" s="194"/>
      <c r="O78" s="194"/>
      <c r="P78" s="194"/>
      <c r="Q78" s="194"/>
      <c r="R78" s="194"/>
      <c r="S78" s="194"/>
      <c r="T78" s="194"/>
      <c r="U78" s="194"/>
      <c r="V78" s="194"/>
      <c r="W78" s="194"/>
      <c r="X78" s="194"/>
      <c r="Y78" s="194"/>
      <c r="Z78" s="194"/>
      <c r="AA78" s="195"/>
      <c r="AB78" s="194">
        <f t="shared" si="16"/>
        <v>93.6</v>
      </c>
      <c r="AC78" s="194"/>
      <c r="AD78" s="862"/>
      <c r="AE78" s="194">
        <f>+'Exhibit F'!AF74+'Exhibit G State'!AF54+'Exhibit H'!AD41</f>
        <v>84</v>
      </c>
      <c r="AF78" s="194"/>
      <c r="AG78" s="1543"/>
      <c r="AH78" s="194">
        <f t="shared" si="15"/>
        <v>9.6</v>
      </c>
      <c r="AI78" s="62"/>
      <c r="AJ78" s="283">
        <f>ROUND(SUM(AH78/ABS(AE78)),3)</f>
        <v>0.114</v>
      </c>
    </row>
    <row r="79" spans="1:36" ht="15.5">
      <c r="A79" s="350" t="s">
        <v>400</v>
      </c>
      <c r="B79" s="62"/>
      <c r="C79" s="194">
        <f>+'Exhibit F'!D75+'Exhibit G State'!D55</f>
        <v>67.2</v>
      </c>
      <c r="D79" s="194"/>
      <c r="E79" s="194"/>
      <c r="F79" s="194"/>
      <c r="G79" s="194"/>
      <c r="H79" s="194"/>
      <c r="I79" s="194"/>
      <c r="J79" s="194"/>
      <c r="K79" s="194"/>
      <c r="L79" s="194"/>
      <c r="M79" s="194"/>
      <c r="N79" s="194"/>
      <c r="O79" s="194"/>
      <c r="P79" s="194"/>
      <c r="Q79" s="194"/>
      <c r="R79" s="194"/>
      <c r="S79" s="194"/>
      <c r="T79" s="194"/>
      <c r="U79" s="194"/>
      <c r="V79" s="194"/>
      <c r="W79" s="194"/>
      <c r="X79" s="194"/>
      <c r="Y79" s="194"/>
      <c r="Z79" s="194"/>
      <c r="AA79" s="195"/>
      <c r="AB79" s="194">
        <f t="shared" si="16"/>
        <v>67.2</v>
      </c>
      <c r="AC79" s="194"/>
      <c r="AD79" s="862"/>
      <c r="AE79" s="194">
        <f>+'Exhibit F'!AF75+'Exhibit G State'!AF55</f>
        <v>58.199999999999996</v>
      </c>
      <c r="AF79" s="194"/>
      <c r="AG79" s="1543"/>
      <c r="AH79" s="194">
        <f t="shared" si="15"/>
        <v>9</v>
      </c>
      <c r="AI79" s="62"/>
      <c r="AJ79" s="283">
        <f>ROUND(SUM(AH79/ABS(AE79)),3)</f>
        <v>0.155</v>
      </c>
    </row>
    <row r="80" spans="1:36" ht="15.5">
      <c r="A80" s="350" t="s">
        <v>401</v>
      </c>
      <c r="B80" s="62"/>
      <c r="C80" s="194"/>
      <c r="D80" s="194"/>
      <c r="E80" s="194"/>
      <c r="F80" s="194"/>
      <c r="G80" s="194"/>
      <c r="H80" s="194"/>
      <c r="I80" s="194"/>
      <c r="J80" s="194"/>
      <c r="K80" s="194"/>
      <c r="L80" s="194"/>
      <c r="M80" s="194"/>
      <c r="N80" s="194"/>
      <c r="O80" s="194"/>
      <c r="P80" s="194"/>
      <c r="Q80" s="194"/>
      <c r="R80" s="194"/>
      <c r="S80" s="194"/>
      <c r="T80" s="194"/>
      <c r="U80" s="194"/>
      <c r="V80" s="194"/>
      <c r="W80" s="194"/>
      <c r="X80" s="194"/>
      <c r="Y80" s="194"/>
      <c r="Z80" s="194"/>
      <c r="AA80" s="195"/>
      <c r="AB80" s="194"/>
      <c r="AC80" s="194"/>
      <c r="AD80" s="862"/>
      <c r="AE80" s="194"/>
      <c r="AF80" s="194"/>
      <c r="AG80" s="1543"/>
      <c r="AH80" s="194"/>
      <c r="AI80" s="62"/>
      <c r="AJ80" s="283" t="s">
        <v>103</v>
      </c>
    </row>
    <row r="81" spans="1:36" ht="15.5">
      <c r="A81" s="350" t="s">
        <v>402</v>
      </c>
      <c r="B81" s="62"/>
      <c r="C81" s="194">
        <f>+'Exhibit G State'!D57</f>
        <v>57.6</v>
      </c>
      <c r="D81" s="194"/>
      <c r="E81" s="194"/>
      <c r="F81" s="194"/>
      <c r="G81" s="194"/>
      <c r="H81" s="194"/>
      <c r="I81" s="194"/>
      <c r="J81" s="194"/>
      <c r="K81" s="194"/>
      <c r="L81" s="194"/>
      <c r="M81" s="194"/>
      <c r="N81" s="194"/>
      <c r="O81" s="194"/>
      <c r="P81" s="194"/>
      <c r="Q81" s="194"/>
      <c r="R81" s="194"/>
      <c r="S81" s="194"/>
      <c r="T81" s="194"/>
      <c r="U81" s="194"/>
      <c r="V81" s="194"/>
      <c r="W81" s="194"/>
      <c r="X81" s="194"/>
      <c r="Y81" s="194"/>
      <c r="Z81" s="194"/>
      <c r="AA81" s="195"/>
      <c r="AB81" s="194">
        <f t="shared" ref="AB81:AB86" si="17">ROUND(SUM(C81:Y81),1)</f>
        <v>57.6</v>
      </c>
      <c r="AC81" s="194"/>
      <c r="AD81" s="862"/>
      <c r="AE81" s="264">
        <f>+'Exhibit G State'!AF57</f>
        <v>46.8</v>
      </c>
      <c r="AF81" s="194"/>
      <c r="AG81" s="1543"/>
      <c r="AH81" s="194">
        <f t="shared" si="15"/>
        <v>10.8</v>
      </c>
      <c r="AI81" s="62"/>
      <c r="AJ81" s="266">
        <f>ROUND(IF(AE81=0,1,AH81/ABS(AE81)),3)</f>
        <v>0.23100000000000001</v>
      </c>
    </row>
    <row r="82" spans="1:36" ht="15.5">
      <c r="A82" s="350" t="s">
        <v>403</v>
      </c>
      <c r="B82" s="62"/>
      <c r="C82" s="194">
        <f>+'Exhibit G State'!D58</f>
        <v>218.6</v>
      </c>
      <c r="D82" s="194"/>
      <c r="E82" s="194"/>
      <c r="F82" s="194"/>
      <c r="G82" s="194"/>
      <c r="H82" s="194"/>
      <c r="I82" s="194"/>
      <c r="J82" s="194"/>
      <c r="K82" s="194"/>
      <c r="L82" s="194"/>
      <c r="M82" s="194"/>
      <c r="N82" s="194"/>
      <c r="O82" s="194"/>
      <c r="P82" s="194"/>
      <c r="Q82" s="194"/>
      <c r="R82" s="194"/>
      <c r="S82" s="194"/>
      <c r="T82" s="194"/>
      <c r="U82" s="194"/>
      <c r="V82" s="194"/>
      <c r="W82" s="194"/>
      <c r="X82" s="194"/>
      <c r="Y82" s="194"/>
      <c r="Z82" s="194"/>
      <c r="AA82" s="195"/>
      <c r="AB82" s="194">
        <f t="shared" si="17"/>
        <v>218.6</v>
      </c>
      <c r="AC82" s="194"/>
      <c r="AD82" s="862"/>
      <c r="AE82" s="194">
        <f>+'Exhibit G State'!AF58</f>
        <v>232</v>
      </c>
      <c r="AF82" s="194"/>
      <c r="AG82" s="1543"/>
      <c r="AH82" s="194">
        <f t="shared" ref="AH82:AH83" si="18">ROUND(SUM(AB82-AE82),1)</f>
        <v>-13.4</v>
      </c>
      <c r="AI82" s="62"/>
      <c r="AJ82" s="266">
        <f t="shared" ref="AJ82:AJ83" si="19">ROUND(IF(AE82=0,1,AH82/ABS(AE82)),3)</f>
        <v>-5.8000000000000003E-2</v>
      </c>
    </row>
    <row r="83" spans="1:36" ht="15.5">
      <c r="A83" s="350" t="s">
        <v>404</v>
      </c>
      <c r="B83" s="62"/>
      <c r="C83" s="194">
        <f>+'Exhibit G State'!D59+'Exhibit F'!D77</f>
        <v>122.4</v>
      </c>
      <c r="D83" s="194"/>
      <c r="E83" s="194"/>
      <c r="F83" s="194"/>
      <c r="G83" s="194"/>
      <c r="H83" s="194"/>
      <c r="I83" s="194"/>
      <c r="J83" s="194"/>
      <c r="K83" s="194"/>
      <c r="L83" s="194"/>
      <c r="M83" s="194"/>
      <c r="N83" s="194"/>
      <c r="O83" s="194"/>
      <c r="P83" s="194"/>
      <c r="Q83" s="194"/>
      <c r="R83" s="194"/>
      <c r="S83" s="194"/>
      <c r="T83" s="194"/>
      <c r="U83" s="194"/>
      <c r="V83" s="194"/>
      <c r="W83" s="194"/>
      <c r="X83" s="194"/>
      <c r="Y83" s="194"/>
      <c r="Z83" s="194"/>
      <c r="AA83" s="195"/>
      <c r="AB83" s="194">
        <f t="shared" si="17"/>
        <v>122.4</v>
      </c>
      <c r="AC83" s="194"/>
      <c r="AD83" s="862"/>
      <c r="AE83" s="194">
        <f>+'Exhibit G State'!AF59+'Exhibit F'!AF77</f>
        <v>87.2</v>
      </c>
      <c r="AF83" s="194"/>
      <c r="AG83" s="1543"/>
      <c r="AH83" s="194">
        <f t="shared" si="18"/>
        <v>35.200000000000003</v>
      </c>
      <c r="AI83" s="62"/>
      <c r="AJ83" s="266">
        <f t="shared" si="19"/>
        <v>0.40400000000000003</v>
      </c>
    </row>
    <row r="84" spans="1:36" ht="15.5">
      <c r="A84" s="350" t="s">
        <v>405</v>
      </c>
      <c r="B84" s="62"/>
      <c r="C84" s="194">
        <f>+'Exhibit G State'!D60</f>
        <v>103</v>
      </c>
      <c r="D84" s="194"/>
      <c r="E84" s="194"/>
      <c r="F84" s="194"/>
      <c r="G84" s="194"/>
      <c r="H84" s="194"/>
      <c r="I84" s="194"/>
      <c r="J84" s="194"/>
      <c r="K84" s="194"/>
      <c r="L84" s="194"/>
      <c r="M84" s="194"/>
      <c r="N84" s="194"/>
      <c r="O84" s="194"/>
      <c r="P84" s="194"/>
      <c r="Q84" s="194"/>
      <c r="R84" s="194"/>
      <c r="S84" s="194"/>
      <c r="T84" s="194"/>
      <c r="U84" s="194"/>
      <c r="V84" s="194"/>
      <c r="W84" s="194"/>
      <c r="X84" s="194"/>
      <c r="Y84" s="194"/>
      <c r="Z84" s="194"/>
      <c r="AA84" s="195"/>
      <c r="AB84" s="194">
        <f t="shared" si="17"/>
        <v>103</v>
      </c>
      <c r="AC84" s="194"/>
      <c r="AD84" s="862"/>
      <c r="AE84" s="264">
        <f>+'Exhibit G State'!AF60</f>
        <v>101.9</v>
      </c>
      <c r="AF84" s="194"/>
      <c r="AG84" s="1543"/>
      <c r="AH84" s="194">
        <f t="shared" si="15"/>
        <v>1.1000000000000001</v>
      </c>
      <c r="AI84" s="62"/>
      <c r="AJ84" s="543">
        <f>ROUND(IF(AE84=0,1,AH84/ABS(AE84)),3)</f>
        <v>1.0999999999999999E-2</v>
      </c>
    </row>
    <row r="85" spans="1:36" ht="15.5">
      <c r="A85" s="350" t="s">
        <v>406</v>
      </c>
      <c r="B85" s="62"/>
      <c r="C85" s="194">
        <f>+'Exhibit F'!D78+'Exhibit H'!B42+'Exhibit G State'!D61</f>
        <v>247.6</v>
      </c>
      <c r="D85" s="194"/>
      <c r="E85" s="194"/>
      <c r="F85" s="194"/>
      <c r="G85" s="194"/>
      <c r="H85" s="194"/>
      <c r="I85" s="194"/>
      <c r="J85" s="194"/>
      <c r="K85" s="194"/>
      <c r="L85" s="194"/>
      <c r="M85" s="194"/>
      <c r="N85" s="194"/>
      <c r="O85" s="194"/>
      <c r="P85" s="194"/>
      <c r="Q85" s="194"/>
      <c r="R85" s="194"/>
      <c r="S85" s="194"/>
      <c r="T85" s="194"/>
      <c r="U85" s="194"/>
      <c r="V85" s="194"/>
      <c r="W85" s="194"/>
      <c r="X85" s="194"/>
      <c r="Y85" s="194"/>
      <c r="Z85" s="194"/>
      <c r="AA85" s="195"/>
      <c r="AB85" s="194">
        <f t="shared" si="17"/>
        <v>247.6</v>
      </c>
      <c r="AC85" s="194"/>
      <c r="AD85" s="862"/>
      <c r="AE85" s="264">
        <f>+'Exhibit F'!AF78+'Exhibit H'!AD42+'Exhibit G State'!AF61</f>
        <v>281.7</v>
      </c>
      <c r="AF85" s="194"/>
      <c r="AG85" s="1543"/>
      <c r="AH85" s="194">
        <f t="shared" si="15"/>
        <v>-34.1</v>
      </c>
      <c r="AI85" s="62"/>
      <c r="AJ85" s="608">
        <f>ROUND(SUM(AH85/ABS(AE85)),3)</f>
        <v>-0.121</v>
      </c>
    </row>
    <row r="86" spans="1:36" ht="15.5">
      <c r="A86" s="350" t="s">
        <v>407</v>
      </c>
      <c r="B86" s="62"/>
      <c r="C86" s="194">
        <f>+'Exhibit F'!D79+'Exhibit H'!B43+'Exhibit G State'!D62</f>
        <v>7.3</v>
      </c>
      <c r="D86" s="194"/>
      <c r="E86" s="194"/>
      <c r="F86" s="194"/>
      <c r="G86" s="194"/>
      <c r="H86" s="194"/>
      <c r="I86" s="194"/>
      <c r="J86" s="194"/>
      <c r="K86" s="194"/>
      <c r="L86" s="194"/>
      <c r="M86" s="194"/>
      <c r="N86" s="194"/>
      <c r="O86" s="194"/>
      <c r="P86" s="194"/>
      <c r="Q86" s="194"/>
      <c r="R86" s="194"/>
      <c r="S86" s="194"/>
      <c r="T86" s="194"/>
      <c r="U86" s="194"/>
      <c r="V86" s="194"/>
      <c r="W86" s="194"/>
      <c r="X86" s="194"/>
      <c r="Y86" s="194"/>
      <c r="Z86" s="194"/>
      <c r="AA86" s="195"/>
      <c r="AB86" s="194">
        <f t="shared" si="17"/>
        <v>7.3</v>
      </c>
      <c r="AC86" s="194"/>
      <c r="AD86" s="862"/>
      <c r="AE86" s="194">
        <f>+'Exhibit F'!AF79+'Exhibit H'!AD43+'Exhibit G State'!AF62</f>
        <v>7.7</v>
      </c>
      <c r="AF86" s="194"/>
      <c r="AG86" s="1543"/>
      <c r="AH86" s="194">
        <f>ROUND(SUM(AB86-AE86),1)</f>
        <v>-0.4</v>
      </c>
      <c r="AI86" s="62"/>
      <c r="AJ86" s="608">
        <f>ROUND(SUM(AH86/ABS(AE86)),3)</f>
        <v>-5.1999999999999998E-2</v>
      </c>
    </row>
    <row r="87" spans="1:36" ht="15.5">
      <c r="A87" s="350" t="s">
        <v>408</v>
      </c>
      <c r="B87" s="62"/>
      <c r="C87" s="194"/>
      <c r="D87" s="194"/>
      <c r="E87" s="194"/>
      <c r="F87" s="194"/>
      <c r="G87" s="194"/>
      <c r="H87" s="194"/>
      <c r="I87" s="194"/>
      <c r="J87" s="194"/>
      <c r="K87" s="194"/>
      <c r="L87" s="194"/>
      <c r="M87" s="194"/>
      <c r="N87" s="194"/>
      <c r="O87" s="194"/>
      <c r="P87" s="194"/>
      <c r="Q87" s="194"/>
      <c r="R87" s="194"/>
      <c r="S87" s="194"/>
      <c r="T87" s="194"/>
      <c r="U87" s="194"/>
      <c r="V87" s="194"/>
      <c r="W87" s="194"/>
      <c r="X87" s="194"/>
      <c r="Y87" s="194"/>
      <c r="Z87" s="194"/>
      <c r="AA87" s="195"/>
      <c r="AB87" s="194"/>
      <c r="AC87" s="194"/>
      <c r="AD87" s="862"/>
      <c r="AE87" s="194"/>
      <c r="AF87" s="194"/>
      <c r="AG87" s="1543"/>
      <c r="AH87" s="194"/>
      <c r="AI87" s="62"/>
      <c r="AJ87" s="266"/>
    </row>
    <row r="88" spans="1:36" ht="15.5">
      <c r="A88" s="350" t="s">
        <v>409</v>
      </c>
      <c r="B88" s="62"/>
      <c r="C88" s="194">
        <f>+'Exhibit G State'!D64</f>
        <v>0</v>
      </c>
      <c r="D88" s="194"/>
      <c r="E88" s="194"/>
      <c r="F88" s="194"/>
      <c r="G88" s="194"/>
      <c r="H88" s="194"/>
      <c r="I88" s="194"/>
      <c r="J88" s="194"/>
      <c r="K88" s="194"/>
      <c r="L88" s="194"/>
      <c r="M88" s="194"/>
      <c r="N88" s="194"/>
      <c r="O88" s="194"/>
      <c r="P88" s="194"/>
      <c r="Q88" s="194"/>
      <c r="R88" s="194"/>
      <c r="S88" s="194"/>
      <c r="T88" s="194"/>
      <c r="U88" s="194"/>
      <c r="V88" s="194"/>
      <c r="W88" s="194"/>
      <c r="X88" s="194"/>
      <c r="Y88" s="194"/>
      <c r="Z88" s="194"/>
      <c r="AA88" s="195"/>
      <c r="AB88" s="194">
        <f t="shared" ref="AB88:AB92" si="20">ROUND(SUM(C88:Y88),1)</f>
        <v>0</v>
      </c>
      <c r="AC88" s="194"/>
      <c r="AD88" s="862"/>
      <c r="AE88" s="194">
        <f>+'Exhibit G State'!AF64+'Exhibit H'!AD45+'Exhibit F'!AF81</f>
        <v>0</v>
      </c>
      <c r="AF88" s="194"/>
      <c r="AG88" s="1543"/>
      <c r="AH88" s="194">
        <f t="shared" si="15"/>
        <v>0</v>
      </c>
      <c r="AI88" s="62"/>
      <c r="AJ88" s="266">
        <f>ROUND(IF(AE88=0,0,AH88/ABS(AE88)),3)</f>
        <v>0</v>
      </c>
    </row>
    <row r="89" spans="1:36" ht="15.5">
      <c r="A89" s="350" t="s">
        <v>410</v>
      </c>
      <c r="B89" s="62"/>
      <c r="C89" s="194">
        <f>+'Exhibit F'!D82+'Exhibit G State'!D65</f>
        <v>0.4</v>
      </c>
      <c r="D89" s="194"/>
      <c r="E89" s="194"/>
      <c r="F89" s="194"/>
      <c r="G89" s="194"/>
      <c r="H89" s="194"/>
      <c r="I89" s="194"/>
      <c r="J89" s="194"/>
      <c r="K89" s="194"/>
      <c r="L89" s="194"/>
      <c r="M89" s="194"/>
      <c r="N89" s="194"/>
      <c r="O89" s="194"/>
      <c r="P89" s="194"/>
      <c r="Q89" s="194"/>
      <c r="R89" s="194"/>
      <c r="S89" s="194"/>
      <c r="T89" s="194"/>
      <c r="U89" s="194"/>
      <c r="V89" s="194"/>
      <c r="W89" s="194"/>
      <c r="X89" s="194"/>
      <c r="Y89" s="194"/>
      <c r="Z89" s="194"/>
      <c r="AA89" s="195"/>
      <c r="AB89" s="194">
        <f t="shared" si="20"/>
        <v>0.4</v>
      </c>
      <c r="AC89" s="194"/>
      <c r="AD89" s="862"/>
      <c r="AE89" s="194">
        <f>+'Exhibit F'!AF82+'Exhibit G State'!AF65</f>
        <v>0.4</v>
      </c>
      <c r="AF89" s="194"/>
      <c r="AG89" s="1543"/>
      <c r="AH89" s="194">
        <f t="shared" si="15"/>
        <v>0</v>
      </c>
      <c r="AI89" s="62"/>
      <c r="AJ89" s="608">
        <f>ROUND(IF(AE89=0,1,AH89/ABS(AE89)),3)</f>
        <v>0</v>
      </c>
    </row>
    <row r="90" spans="1:36" ht="15.5">
      <c r="A90" s="350" t="s">
        <v>411</v>
      </c>
      <c r="B90" s="62"/>
      <c r="C90" s="194">
        <f>+'Exhibit F'!D83+'Exhibit G State'!D66</f>
        <v>0.8</v>
      </c>
      <c r="D90" s="194"/>
      <c r="E90" s="194"/>
      <c r="F90" s="194"/>
      <c r="G90" s="194"/>
      <c r="H90" s="194"/>
      <c r="I90" s="194"/>
      <c r="J90" s="194"/>
      <c r="K90" s="194"/>
      <c r="L90" s="194"/>
      <c r="M90" s="194"/>
      <c r="N90" s="194"/>
      <c r="O90" s="194"/>
      <c r="P90" s="194"/>
      <c r="Q90" s="194"/>
      <c r="R90" s="194"/>
      <c r="S90" s="194"/>
      <c r="T90" s="194"/>
      <c r="U90" s="194"/>
      <c r="V90" s="194"/>
      <c r="W90" s="194"/>
      <c r="X90" s="194"/>
      <c r="Y90" s="194"/>
      <c r="Z90" s="194"/>
      <c r="AA90" s="195"/>
      <c r="AB90" s="194">
        <f t="shared" si="20"/>
        <v>0.8</v>
      </c>
      <c r="AC90" s="194"/>
      <c r="AD90" s="862"/>
      <c r="AE90" s="194">
        <f>+'Exhibit F'!AF83+'Exhibit G State'!AF66</f>
        <v>0.5</v>
      </c>
      <c r="AF90" s="194"/>
      <c r="AG90" s="1543"/>
      <c r="AH90" s="194">
        <f t="shared" si="15"/>
        <v>0.3</v>
      </c>
      <c r="AI90" s="62"/>
      <c r="AJ90" s="608">
        <f>ROUND(SUM(AH90/ABS(AE90)),3)</f>
        <v>0.6</v>
      </c>
    </row>
    <row r="91" spans="1:36" ht="15.5">
      <c r="A91" s="350" t="s">
        <v>412</v>
      </c>
      <c r="B91" s="62"/>
      <c r="C91" s="194">
        <f>+'Exhibit F'!D84+'Exhibit G State'!D67</f>
        <v>4.7</v>
      </c>
      <c r="D91" s="194"/>
      <c r="E91" s="194"/>
      <c r="F91" s="194"/>
      <c r="G91" s="194"/>
      <c r="H91" s="194"/>
      <c r="I91" s="194"/>
      <c r="J91" s="194"/>
      <c r="K91" s="194"/>
      <c r="L91" s="194"/>
      <c r="M91" s="194"/>
      <c r="N91" s="194"/>
      <c r="O91" s="194"/>
      <c r="P91" s="194"/>
      <c r="Q91" s="194"/>
      <c r="R91" s="194"/>
      <c r="S91" s="194"/>
      <c r="T91" s="194"/>
      <c r="U91" s="194"/>
      <c r="V91" s="194"/>
      <c r="W91" s="194"/>
      <c r="X91" s="194"/>
      <c r="Y91" s="194"/>
      <c r="Z91" s="194"/>
      <c r="AA91" s="195"/>
      <c r="AB91" s="194">
        <f t="shared" si="20"/>
        <v>4.7</v>
      </c>
      <c r="AC91" s="194"/>
      <c r="AD91" s="862"/>
      <c r="AE91" s="194">
        <f>+'Exhibit F'!AF84+'Exhibit G State'!AF67</f>
        <v>4.2</v>
      </c>
      <c r="AF91" s="194"/>
      <c r="AG91" s="1543"/>
      <c r="AH91" s="194">
        <f t="shared" si="15"/>
        <v>0.5</v>
      </c>
      <c r="AI91" s="62"/>
      <c r="AJ91" s="608">
        <f>ROUND(SUM(AH91/ABS(AE91)),3)</f>
        <v>0.11899999999999999</v>
      </c>
    </row>
    <row r="92" spans="1:36" ht="15.5">
      <c r="A92" s="350" t="s">
        <v>413</v>
      </c>
      <c r="B92" s="62"/>
      <c r="C92" s="194">
        <f>+'Exhibit F'!D85+'Exhibit H'!B46+'Exhibit G State'!D68</f>
        <v>59.800000000000004</v>
      </c>
      <c r="D92" s="194"/>
      <c r="E92" s="194"/>
      <c r="F92" s="194"/>
      <c r="G92" s="194"/>
      <c r="H92" s="194"/>
      <c r="I92" s="194"/>
      <c r="J92" s="194"/>
      <c r="K92" s="194"/>
      <c r="L92" s="194"/>
      <c r="M92" s="194"/>
      <c r="N92" s="194"/>
      <c r="O92" s="194"/>
      <c r="P92" s="194"/>
      <c r="Q92" s="194"/>
      <c r="R92" s="194"/>
      <c r="S92" s="194"/>
      <c r="T92" s="194"/>
      <c r="U92" s="194"/>
      <c r="V92" s="194"/>
      <c r="W92" s="194"/>
      <c r="X92" s="194"/>
      <c r="Y92" s="194"/>
      <c r="Z92" s="194"/>
      <c r="AA92" s="195"/>
      <c r="AB92" s="194">
        <f t="shared" si="20"/>
        <v>59.8</v>
      </c>
      <c r="AC92" s="194"/>
      <c r="AD92" s="862"/>
      <c r="AE92" s="194">
        <f>+'Exhibit F'!AF85+'Exhibit H'!AD46+'Exhibit G State'!AF68</f>
        <v>68.8</v>
      </c>
      <c r="AF92" s="194"/>
      <c r="AG92" s="1543"/>
      <c r="AH92" s="194">
        <f t="shared" si="15"/>
        <v>-9</v>
      </c>
      <c r="AI92" s="62"/>
      <c r="AJ92" s="608">
        <f>ROUND(SUM(AH92/ABS(AE92)),3)</f>
        <v>-0.13100000000000001</v>
      </c>
    </row>
    <row r="93" spans="1:36" ht="15.5">
      <c r="A93" s="350" t="s">
        <v>414</v>
      </c>
      <c r="B93" s="62"/>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5"/>
      <c r="AB93" s="194"/>
      <c r="AC93" s="194"/>
      <c r="AD93" s="862"/>
      <c r="AE93" s="194"/>
      <c r="AF93" s="194"/>
      <c r="AG93" s="1543"/>
      <c r="AH93" s="194"/>
      <c r="AI93" s="62"/>
      <c r="AJ93" s="266"/>
    </row>
    <row r="94" spans="1:36" ht="15.5">
      <c r="A94" s="350" t="s">
        <v>415</v>
      </c>
      <c r="B94" s="62"/>
      <c r="C94" s="194">
        <f>+'Exhibit F'!D87+'Exhibit G State'!D70</f>
        <v>0.4</v>
      </c>
      <c r="D94" s="194"/>
      <c r="E94" s="194"/>
      <c r="F94" s="194"/>
      <c r="G94" s="194"/>
      <c r="H94" s="194"/>
      <c r="I94" s="194"/>
      <c r="J94" s="194"/>
      <c r="K94" s="194"/>
      <c r="L94" s="194"/>
      <c r="M94" s="194"/>
      <c r="N94" s="194"/>
      <c r="O94" s="194"/>
      <c r="P94" s="194"/>
      <c r="Q94" s="194"/>
      <c r="R94" s="194"/>
      <c r="S94" s="194"/>
      <c r="T94" s="194"/>
      <c r="U94" s="194"/>
      <c r="V94" s="194"/>
      <c r="W94" s="194"/>
      <c r="X94" s="194"/>
      <c r="Y94" s="194"/>
      <c r="Z94" s="194"/>
      <c r="AA94" s="195"/>
      <c r="AB94" s="194">
        <f t="shared" ref="AB94:AB104" si="21">ROUND(SUM(C94:Y94),1)</f>
        <v>0.4</v>
      </c>
      <c r="AC94" s="194"/>
      <c r="AD94" s="862"/>
      <c r="AE94" s="194">
        <f>+'Exhibit F'!AF87+'Exhibit G State'!AF70</f>
        <v>0.5</v>
      </c>
      <c r="AF94" s="194"/>
      <c r="AG94" s="1543"/>
      <c r="AH94" s="194">
        <f t="shared" si="15"/>
        <v>-0.1</v>
      </c>
      <c r="AI94" s="62"/>
      <c r="AJ94" s="608">
        <f>ROUND(SUM(AH94/ABS(AE94)),3)</f>
        <v>-0.2</v>
      </c>
    </row>
    <row r="95" spans="1:36" ht="15.5">
      <c r="A95" s="350" t="s">
        <v>416</v>
      </c>
      <c r="B95" s="62"/>
      <c r="C95" s="194">
        <f>+'Exhibit G State'!D71+'Exhibit F'!D88</f>
        <v>1.1000000000000001</v>
      </c>
      <c r="D95" s="194"/>
      <c r="E95" s="194"/>
      <c r="F95" s="194"/>
      <c r="G95" s="194"/>
      <c r="H95" s="194"/>
      <c r="I95" s="194"/>
      <c r="J95" s="194"/>
      <c r="K95" s="194"/>
      <c r="L95" s="194"/>
      <c r="M95" s="194"/>
      <c r="N95" s="194"/>
      <c r="O95" s="194"/>
      <c r="P95" s="194"/>
      <c r="Q95" s="194"/>
      <c r="R95" s="194"/>
      <c r="S95" s="194"/>
      <c r="T95" s="194"/>
      <c r="U95" s="194"/>
      <c r="V95" s="194"/>
      <c r="W95" s="194"/>
      <c r="X95" s="194"/>
      <c r="Y95" s="194"/>
      <c r="Z95" s="194"/>
      <c r="AA95" s="195"/>
      <c r="AB95" s="194">
        <f t="shared" si="21"/>
        <v>1.1000000000000001</v>
      </c>
      <c r="AC95" s="194"/>
      <c r="AD95" s="862"/>
      <c r="AE95" s="194">
        <f>+'Exhibit G State'!AF71+'Exhibit F'!AF88</f>
        <v>0.1</v>
      </c>
      <c r="AF95" s="194"/>
      <c r="AG95" s="1543"/>
      <c r="AH95" s="194">
        <f t="shared" si="15"/>
        <v>1</v>
      </c>
      <c r="AI95" s="62"/>
      <c r="AJ95" s="543">
        <f>ROUND(IF(AE95=0,1,AH95/ABS(AE95)),3)</f>
        <v>10</v>
      </c>
    </row>
    <row r="96" spans="1:36" ht="15.5">
      <c r="A96" s="350" t="s">
        <v>417</v>
      </c>
      <c r="B96" s="62"/>
      <c r="C96" s="194">
        <f>+'Exhibit F'!D89+'Exhibit G State'!D72</f>
        <v>6.5</v>
      </c>
      <c r="D96" s="194"/>
      <c r="E96" s="194"/>
      <c r="F96" s="194"/>
      <c r="G96" s="194"/>
      <c r="H96" s="194"/>
      <c r="I96" s="194"/>
      <c r="J96" s="194"/>
      <c r="K96" s="194"/>
      <c r="L96" s="194"/>
      <c r="M96" s="194"/>
      <c r="N96" s="194"/>
      <c r="O96" s="194"/>
      <c r="P96" s="194"/>
      <c r="Q96" s="194"/>
      <c r="R96" s="194"/>
      <c r="S96" s="194"/>
      <c r="T96" s="194"/>
      <c r="U96" s="194"/>
      <c r="V96" s="194"/>
      <c r="W96" s="194"/>
      <c r="X96" s="194"/>
      <c r="Y96" s="194"/>
      <c r="Z96" s="194"/>
      <c r="AA96" s="195"/>
      <c r="AB96" s="194">
        <f t="shared" si="21"/>
        <v>6.5</v>
      </c>
      <c r="AC96" s="194"/>
      <c r="AD96" s="862"/>
      <c r="AE96" s="194">
        <f>+'Exhibit F'!AF89+'Exhibit G State'!AF72</f>
        <v>5.7</v>
      </c>
      <c r="AF96" s="194"/>
      <c r="AG96" s="1543"/>
      <c r="AH96" s="194">
        <f t="shared" si="15"/>
        <v>0.8</v>
      </c>
      <c r="AI96" s="62"/>
      <c r="AJ96" s="608">
        <f t="shared" ref="AJ96:AJ103" si="22">ROUND(SUM(AH96/ABS(AE96)),3)</f>
        <v>0.14000000000000001</v>
      </c>
    </row>
    <row r="97" spans="1:37" ht="15.5">
      <c r="A97" s="350" t="s">
        <v>418</v>
      </c>
      <c r="B97" s="62"/>
      <c r="C97" s="194">
        <f>+'Exhibit F'!D90+'Exhibit G State'!D73</f>
        <v>-0.2</v>
      </c>
      <c r="D97" s="194"/>
      <c r="E97" s="194"/>
      <c r="F97" s="194"/>
      <c r="G97" s="194"/>
      <c r="H97" s="194"/>
      <c r="I97" s="194"/>
      <c r="J97" s="194"/>
      <c r="K97" s="194"/>
      <c r="L97" s="194"/>
      <c r="M97" s="194"/>
      <c r="N97" s="194"/>
      <c r="O97" s="194"/>
      <c r="P97" s="194"/>
      <c r="Q97" s="194"/>
      <c r="R97" s="194"/>
      <c r="S97" s="194"/>
      <c r="T97" s="194"/>
      <c r="U97" s="194"/>
      <c r="V97" s="194"/>
      <c r="W97" s="194"/>
      <c r="X97" s="194"/>
      <c r="Y97" s="194"/>
      <c r="Z97" s="194"/>
      <c r="AA97" s="195"/>
      <c r="AB97" s="194">
        <f t="shared" si="21"/>
        <v>-0.2</v>
      </c>
      <c r="AC97" s="194"/>
      <c r="AD97" s="862"/>
      <c r="AE97" s="194">
        <f>+'Exhibit F'!AF90+'Exhibit G State'!AF73</f>
        <v>0</v>
      </c>
      <c r="AF97" s="194"/>
      <c r="AG97" s="1543"/>
      <c r="AH97" s="194">
        <f t="shared" si="15"/>
        <v>-0.2</v>
      </c>
      <c r="AI97" s="62"/>
      <c r="AJ97" s="266">
        <f>-ROUND(IF(AE97=0,1,AH97/ABS(AE97)),3)</f>
        <v>-1</v>
      </c>
    </row>
    <row r="98" spans="1:37" ht="15.5">
      <c r="A98" s="350" t="s">
        <v>419</v>
      </c>
      <c r="B98" s="62"/>
      <c r="C98" s="194">
        <f>+'Exhibit F'!D91+'Exhibit H'!B48+'Exhibit G State'!D74</f>
        <v>438.3</v>
      </c>
      <c r="D98" s="194"/>
      <c r="E98" s="194"/>
      <c r="F98" s="194"/>
      <c r="G98" s="194"/>
      <c r="H98" s="194"/>
      <c r="I98" s="194"/>
      <c r="J98" s="194"/>
      <c r="K98" s="194"/>
      <c r="L98" s="194"/>
      <c r="M98" s="194"/>
      <c r="N98" s="194"/>
      <c r="O98" s="194"/>
      <c r="P98" s="194"/>
      <c r="Q98" s="194"/>
      <c r="R98" s="194"/>
      <c r="S98" s="194"/>
      <c r="T98" s="194"/>
      <c r="U98" s="194"/>
      <c r="V98" s="194"/>
      <c r="W98" s="194"/>
      <c r="X98" s="194"/>
      <c r="Y98" s="194"/>
      <c r="Z98" s="194"/>
      <c r="AA98" s="195"/>
      <c r="AB98" s="194">
        <f t="shared" si="21"/>
        <v>438.3</v>
      </c>
      <c r="AC98" s="194"/>
      <c r="AD98" s="862"/>
      <c r="AE98" s="194">
        <f>+'Exhibit F'!AF91+'Exhibit H'!AD48+'Exhibit G State'!AF74</f>
        <v>398.8</v>
      </c>
      <c r="AF98" s="194"/>
      <c r="AG98" s="1543"/>
      <c r="AH98" s="194">
        <f t="shared" si="15"/>
        <v>39.5</v>
      </c>
      <c r="AI98" s="62"/>
      <c r="AJ98" s="608">
        <f t="shared" si="22"/>
        <v>9.9000000000000005E-2</v>
      </c>
    </row>
    <row r="99" spans="1:37" ht="15.5">
      <c r="A99" s="350" t="s">
        <v>420</v>
      </c>
      <c r="B99" s="62"/>
      <c r="C99" s="194">
        <f>+'Exhibit G State'!D75+'Exhibit F'!D92</f>
        <v>4.5999999999999996</v>
      </c>
      <c r="D99" s="194"/>
      <c r="E99" s="194"/>
      <c r="F99" s="194"/>
      <c r="G99" s="194"/>
      <c r="H99" s="194"/>
      <c r="I99" s="194"/>
      <c r="J99" s="194"/>
      <c r="K99" s="194"/>
      <c r="L99" s="194"/>
      <c r="M99" s="194"/>
      <c r="N99" s="194"/>
      <c r="O99" s="194"/>
      <c r="P99" s="194"/>
      <c r="Q99" s="194"/>
      <c r="R99" s="194"/>
      <c r="S99" s="194"/>
      <c r="T99" s="194"/>
      <c r="U99" s="194"/>
      <c r="V99" s="194"/>
      <c r="W99" s="194"/>
      <c r="X99" s="194"/>
      <c r="Y99" s="194"/>
      <c r="Z99" s="194"/>
      <c r="AA99" s="195"/>
      <c r="AB99" s="194">
        <f t="shared" si="21"/>
        <v>4.5999999999999996</v>
      </c>
      <c r="AC99" s="194"/>
      <c r="AD99" s="862"/>
      <c r="AE99" s="194">
        <f>+'Exhibit G State'!AF75+'Exhibit F'!AF92</f>
        <v>1.1000000000000001</v>
      </c>
      <c r="AF99" s="194"/>
      <c r="AG99" s="1543"/>
      <c r="AH99" s="194">
        <f t="shared" si="15"/>
        <v>3.5</v>
      </c>
      <c r="AI99" s="62"/>
      <c r="AJ99" s="283">
        <f>ROUND(SUM(AH99/ABS(AE99)),3)</f>
        <v>3.1819999999999999</v>
      </c>
    </row>
    <row r="100" spans="1:37" ht="15.5">
      <c r="A100" s="350" t="s">
        <v>421</v>
      </c>
      <c r="B100" s="62"/>
      <c r="C100" s="194">
        <f>+'Exhibit F'!D93+'Exhibit G State'!D76</f>
        <v>21.8</v>
      </c>
      <c r="D100" s="194"/>
      <c r="E100" s="194"/>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5"/>
      <c r="AB100" s="194">
        <f t="shared" si="21"/>
        <v>21.8</v>
      </c>
      <c r="AC100" s="194"/>
      <c r="AD100" s="862"/>
      <c r="AE100" s="194">
        <f>+'Exhibit F'!AF93+'Exhibit G State'!AF76</f>
        <v>13.8</v>
      </c>
      <c r="AF100" s="194"/>
      <c r="AG100" s="1543"/>
      <c r="AH100" s="194">
        <f t="shared" si="15"/>
        <v>8</v>
      </c>
      <c r="AI100" s="62"/>
      <c r="AJ100" s="608">
        <f t="shared" si="22"/>
        <v>0.57999999999999996</v>
      </c>
    </row>
    <row r="101" spans="1:37" ht="15.5">
      <c r="A101" s="350" t="s">
        <v>422</v>
      </c>
      <c r="B101" s="62"/>
      <c r="C101" s="194">
        <f>+'Exhibit F'!D94+'Exhibit G State'!D77</f>
        <v>1</v>
      </c>
      <c r="D101" s="194"/>
      <c r="E101" s="194"/>
      <c r="F101" s="194"/>
      <c r="G101" s="194"/>
      <c r="H101" s="194"/>
      <c r="I101" s="194"/>
      <c r="J101" s="194"/>
      <c r="K101" s="194"/>
      <c r="L101" s="194"/>
      <c r="M101" s="194"/>
      <c r="N101" s="194"/>
      <c r="O101" s="194"/>
      <c r="P101" s="194"/>
      <c r="Q101" s="194"/>
      <c r="R101" s="194"/>
      <c r="S101" s="194"/>
      <c r="T101" s="194"/>
      <c r="U101" s="194"/>
      <c r="V101" s="194"/>
      <c r="W101" s="194"/>
      <c r="X101" s="194"/>
      <c r="Y101" s="194"/>
      <c r="Z101" s="194"/>
      <c r="AA101" s="195"/>
      <c r="AB101" s="194">
        <f t="shared" si="21"/>
        <v>1</v>
      </c>
      <c r="AC101" s="194"/>
      <c r="AD101" s="862"/>
      <c r="AE101" s="194">
        <f>+'Exhibit F'!AF94+'Exhibit G State'!AF77</f>
        <v>0.8</v>
      </c>
      <c r="AF101" s="194"/>
      <c r="AG101" s="1543"/>
      <c r="AH101" s="194">
        <f t="shared" si="15"/>
        <v>0.2</v>
      </c>
      <c r="AI101" s="62"/>
      <c r="AJ101" s="283">
        <f t="shared" si="22"/>
        <v>0.25</v>
      </c>
    </row>
    <row r="102" spans="1:37" ht="15.5">
      <c r="A102" s="350" t="s">
        <v>423</v>
      </c>
      <c r="B102" s="62"/>
      <c r="C102" s="194">
        <f>+'Exhibit F'!D95+'Exhibit G State'!D78+'Exhibit H'!B49</f>
        <v>20.8</v>
      </c>
      <c r="D102" s="194"/>
      <c r="E102" s="194"/>
      <c r="F102" s="194"/>
      <c r="G102" s="194"/>
      <c r="H102" s="194"/>
      <c r="I102" s="194"/>
      <c r="J102" s="194"/>
      <c r="K102" s="194"/>
      <c r="L102" s="194"/>
      <c r="M102" s="194"/>
      <c r="N102" s="194"/>
      <c r="O102" s="194"/>
      <c r="P102" s="194"/>
      <c r="Q102" s="194"/>
      <c r="R102" s="194"/>
      <c r="S102" s="194"/>
      <c r="T102" s="194"/>
      <c r="U102" s="194"/>
      <c r="V102" s="194"/>
      <c r="W102" s="194"/>
      <c r="X102" s="194"/>
      <c r="Y102" s="194"/>
      <c r="Z102" s="194"/>
      <c r="AA102" s="195"/>
      <c r="AB102" s="194">
        <f t="shared" si="21"/>
        <v>20.8</v>
      </c>
      <c r="AC102" s="194"/>
      <c r="AD102" s="862"/>
      <c r="AE102" s="194">
        <f>+'Exhibit F'!AF95+'Exhibit G State'!AF78+'Exhibit H'!AD49</f>
        <v>65.3</v>
      </c>
      <c r="AF102" s="194"/>
      <c r="AG102" s="1543"/>
      <c r="AH102" s="194">
        <f t="shared" si="15"/>
        <v>-44.5</v>
      </c>
      <c r="AI102" s="62"/>
      <c r="AJ102" s="608">
        <f t="shared" si="22"/>
        <v>-0.68100000000000005</v>
      </c>
    </row>
    <row r="103" spans="1:37" ht="15.5">
      <c r="A103" s="350" t="s">
        <v>424</v>
      </c>
      <c r="B103" s="62"/>
      <c r="C103" s="194">
        <f>+'Exhibit F'!D96+'Exhibit G State'!D79+'Exhibit H'!B50</f>
        <v>1.3</v>
      </c>
      <c r="D103" s="194"/>
      <c r="E103" s="194"/>
      <c r="F103" s="194"/>
      <c r="G103" s="194"/>
      <c r="H103" s="194"/>
      <c r="I103" s="194"/>
      <c r="J103" s="194"/>
      <c r="K103" s="194"/>
      <c r="L103" s="194"/>
      <c r="M103" s="194"/>
      <c r="N103" s="194"/>
      <c r="O103" s="194"/>
      <c r="P103" s="194"/>
      <c r="Q103" s="194"/>
      <c r="R103" s="194"/>
      <c r="S103" s="194"/>
      <c r="T103" s="194"/>
      <c r="U103" s="194"/>
      <c r="V103" s="194"/>
      <c r="W103" s="194"/>
      <c r="X103" s="194"/>
      <c r="Y103" s="194"/>
      <c r="Z103" s="194"/>
      <c r="AA103" s="195"/>
      <c r="AB103" s="194">
        <f t="shared" si="21"/>
        <v>1.3</v>
      </c>
      <c r="AC103" s="194"/>
      <c r="AD103" s="862"/>
      <c r="AE103" s="194">
        <f>+'Exhibit F'!AF96+'Exhibit G State'!AF79+'Exhibit H'!AD50</f>
        <v>0.7</v>
      </c>
      <c r="AF103" s="194"/>
      <c r="AG103" s="1543"/>
      <c r="AH103" s="194">
        <f t="shared" si="15"/>
        <v>0.6</v>
      </c>
      <c r="AI103" s="62"/>
      <c r="AJ103" s="283">
        <f t="shared" si="22"/>
        <v>0.85699999999999998</v>
      </c>
    </row>
    <row r="104" spans="1:37" ht="15.5">
      <c r="A104" s="350" t="s">
        <v>425</v>
      </c>
      <c r="B104" s="62"/>
      <c r="C104" s="194">
        <f>+'Exhibit G State'!D80</f>
        <v>36.4</v>
      </c>
      <c r="D104" s="194"/>
      <c r="E104" s="194"/>
      <c r="F104" s="194"/>
      <c r="G104" s="194"/>
      <c r="H104" s="194"/>
      <c r="I104" s="194"/>
      <c r="J104" s="194"/>
      <c r="K104" s="194"/>
      <c r="L104" s="194"/>
      <c r="M104" s="194"/>
      <c r="N104" s="194"/>
      <c r="O104" s="194"/>
      <c r="P104" s="194"/>
      <c r="Q104" s="194"/>
      <c r="R104" s="194"/>
      <c r="S104" s="194"/>
      <c r="T104" s="194"/>
      <c r="U104" s="194"/>
      <c r="V104" s="194"/>
      <c r="W104" s="194"/>
      <c r="X104" s="194"/>
      <c r="Y104" s="194"/>
      <c r="Z104" s="194"/>
      <c r="AA104" s="195"/>
      <c r="AB104" s="194">
        <f t="shared" si="21"/>
        <v>36.4</v>
      </c>
      <c r="AC104" s="194"/>
      <c r="AD104" s="862"/>
      <c r="AE104" s="194">
        <f>+'Exhibit G State'!AF80</f>
        <v>30.9</v>
      </c>
      <c r="AF104" s="194"/>
      <c r="AG104" s="1543"/>
      <c r="AH104" s="194">
        <f t="shared" si="15"/>
        <v>5.5</v>
      </c>
      <c r="AI104" s="62"/>
      <c r="AJ104" s="283">
        <f>ROUND(SUM(AH104/ABS(AE104)),3)</f>
        <v>0.17799999999999999</v>
      </c>
    </row>
    <row r="105" spans="1:37" ht="15.5">
      <c r="A105" s="83" t="s">
        <v>426</v>
      </c>
      <c r="B105" s="57"/>
      <c r="C105" s="68">
        <f>ROUND(SUM(C64:C104),1)</f>
        <v>2626.1</v>
      </c>
      <c r="D105" s="419"/>
      <c r="E105" s="68">
        <f>ROUND(SUM(E64:E104),1)</f>
        <v>0</v>
      </c>
      <c r="F105" s="419"/>
      <c r="G105" s="68">
        <f>ROUND(SUM(G64:G104),1)</f>
        <v>0</v>
      </c>
      <c r="H105" s="13"/>
      <c r="I105" s="68">
        <f>ROUND(SUM(I64:I104),1)</f>
        <v>0</v>
      </c>
      <c r="J105" s="13"/>
      <c r="K105" s="68">
        <f>ROUND(SUM(K64:K104),1)</f>
        <v>0</v>
      </c>
      <c r="L105" s="13"/>
      <c r="M105" s="68">
        <f>ROUND(SUM(M64:M104),1)</f>
        <v>0</v>
      </c>
      <c r="N105" s="13"/>
      <c r="O105" s="68">
        <f>ROUND(SUM(O64:O104),1)</f>
        <v>0</v>
      </c>
      <c r="P105" s="13"/>
      <c r="Q105" s="68">
        <f>ROUND(SUM(Q64:Q104),1)</f>
        <v>0</v>
      </c>
      <c r="R105" s="13"/>
      <c r="S105" s="68">
        <f>ROUND(SUM(S64:S104),1)</f>
        <v>0</v>
      </c>
      <c r="T105" s="13"/>
      <c r="U105" s="68">
        <f>ROUND(SUM(U64:U104),1)</f>
        <v>0</v>
      </c>
      <c r="V105" s="13"/>
      <c r="W105" s="68">
        <f>ROUND(SUM(W64:W104),1)</f>
        <v>0</v>
      </c>
      <c r="X105" s="40"/>
      <c r="Y105" s="68">
        <f>ROUND(SUM(Y64:Y104),1)</f>
        <v>0</v>
      </c>
      <c r="Z105" s="40"/>
      <c r="AA105" s="69"/>
      <c r="AB105" s="68">
        <f>ROUND(SUM(AB64:AB104),1)</f>
        <v>2626.1</v>
      </c>
      <c r="AC105" s="13"/>
      <c r="AD105" s="14"/>
      <c r="AE105" s="68">
        <f>ROUND(SUM(AE64:AE104),1)</f>
        <v>2405.1999999999998</v>
      </c>
      <c r="AF105" s="13"/>
      <c r="AG105" s="708"/>
      <c r="AH105" s="68">
        <f>ROUND(SUM(AH64:AH104),1)</f>
        <v>220.9</v>
      </c>
      <c r="AI105" s="13"/>
      <c r="AJ105" s="417">
        <f>ROUND(SUM(+AH105/ABS(AE105)),3)</f>
        <v>9.1999999999999998E-2</v>
      </c>
    </row>
    <row r="106" spans="1:37" ht="15.5">
      <c r="A106" s="62"/>
      <c r="B106" s="62"/>
      <c r="C106" s="194"/>
      <c r="D106" s="194"/>
      <c r="E106" s="194"/>
      <c r="F106" s="194"/>
      <c r="G106" s="194"/>
      <c r="H106" s="194"/>
      <c r="I106" s="194"/>
      <c r="J106" s="194"/>
      <c r="K106" s="194"/>
      <c r="L106" s="194"/>
      <c r="M106" s="194"/>
      <c r="N106" s="194"/>
      <c r="O106" s="194"/>
      <c r="P106" s="194"/>
      <c r="Q106" s="194"/>
      <c r="R106" s="194"/>
      <c r="S106" s="194"/>
      <c r="T106" s="194"/>
      <c r="U106" s="194"/>
      <c r="V106" s="194"/>
      <c r="W106" s="194"/>
      <c r="X106" s="194"/>
      <c r="Y106" s="194"/>
      <c r="Z106" s="194"/>
      <c r="AA106" s="195"/>
      <c r="AB106" s="194"/>
      <c r="AC106" s="194"/>
      <c r="AD106" s="195"/>
      <c r="AE106" s="194"/>
      <c r="AF106" s="194"/>
      <c r="AG106" s="1543"/>
      <c r="AH106" s="194"/>
      <c r="AI106" s="62"/>
      <c r="AJ106" s="283"/>
    </row>
    <row r="107" spans="1:37" ht="15.5">
      <c r="A107" s="62" t="s">
        <v>120</v>
      </c>
      <c r="B107" s="62"/>
      <c r="C107" s="196">
        <f>+'Exhibit F'!D99+'Exhibit G State'!D83+'Exhibit H'!B53</f>
        <v>27.200000000000003</v>
      </c>
      <c r="D107" s="194"/>
      <c r="E107" s="196"/>
      <c r="F107" s="194"/>
      <c r="G107" s="196"/>
      <c r="H107" s="194"/>
      <c r="I107" s="196"/>
      <c r="J107" s="194"/>
      <c r="K107" s="196"/>
      <c r="L107" s="194"/>
      <c r="M107" s="196"/>
      <c r="N107" s="194"/>
      <c r="O107" s="196"/>
      <c r="P107" s="194"/>
      <c r="Q107" s="196"/>
      <c r="R107" s="194"/>
      <c r="S107" s="196"/>
      <c r="T107" s="194"/>
      <c r="U107" s="196"/>
      <c r="V107" s="194"/>
      <c r="W107" s="196"/>
      <c r="X107" s="194"/>
      <c r="Y107" s="196"/>
      <c r="Z107" s="194"/>
      <c r="AA107" s="195"/>
      <c r="AB107" s="196">
        <f>ROUND(SUM(C107:Y107),1)</f>
        <v>27.2</v>
      </c>
      <c r="AC107" s="194"/>
      <c r="AD107" s="862"/>
      <c r="AE107" s="196">
        <f>'Exhibit F'!AF99+'Exhibit G State'!AF83+'Exhibit H'!AD53</f>
        <v>29.3</v>
      </c>
      <c r="AF107" s="194"/>
      <c r="AG107" s="1543"/>
      <c r="AH107" s="196">
        <f>ROUND(SUM(AB107-AE107),1)</f>
        <v>-2.1</v>
      </c>
      <c r="AI107" s="62"/>
      <c r="AJ107" s="562">
        <f>ROUND(IF(AE107=0,1,AH107/ABS(AE107)),3)</f>
        <v>-7.1999999999999995E-2</v>
      </c>
    </row>
    <row r="108" spans="1:37" ht="15.5">
      <c r="A108" s="62"/>
      <c r="B108" s="62"/>
      <c r="C108" s="194"/>
      <c r="D108" s="194"/>
      <c r="E108" s="194"/>
      <c r="F108" s="194"/>
      <c r="G108" s="194"/>
      <c r="H108" s="194"/>
      <c r="I108" s="194"/>
      <c r="J108" s="194"/>
      <c r="K108" s="194"/>
      <c r="L108" s="194"/>
      <c r="M108" s="194"/>
      <c r="N108" s="194"/>
      <c r="O108" s="194"/>
      <c r="P108" s="194"/>
      <c r="Q108" s="194"/>
      <c r="R108" s="194"/>
      <c r="S108" s="194"/>
      <c r="T108" s="194"/>
      <c r="U108" s="194"/>
      <c r="V108" s="194"/>
      <c r="W108" s="194"/>
      <c r="X108" s="194"/>
      <c r="Y108" s="194"/>
      <c r="Z108" s="194"/>
      <c r="AA108" s="195"/>
      <c r="AB108" s="194"/>
      <c r="AC108" s="194"/>
      <c r="AD108" s="862"/>
      <c r="AE108" s="194"/>
      <c r="AF108" s="194"/>
      <c r="AG108" s="1543"/>
      <c r="AH108" s="194"/>
      <c r="AI108" s="62"/>
      <c r="AJ108" s="1020"/>
    </row>
    <row r="109" spans="1:37" ht="15.5">
      <c r="A109" s="3" t="s">
        <v>427</v>
      </c>
      <c r="B109" s="364"/>
      <c r="C109" s="357">
        <f>ROUND(SUM(C107+C105+C60),1)</f>
        <v>16557.5</v>
      </c>
      <c r="D109" s="13"/>
      <c r="E109" s="357">
        <f>ROUND(SUM(E107+E105+E60),1)</f>
        <v>0</v>
      </c>
      <c r="F109" s="13"/>
      <c r="G109" s="357">
        <f>ROUND(SUM(G107+G105+G60),1)</f>
        <v>0</v>
      </c>
      <c r="H109" s="13"/>
      <c r="I109" s="357">
        <f>ROUND(SUM(I107+I105+I60),1)</f>
        <v>0</v>
      </c>
      <c r="J109" s="13"/>
      <c r="K109" s="357">
        <f>ROUND(SUM(K107+K105+K60),1)</f>
        <v>0</v>
      </c>
      <c r="L109" s="13"/>
      <c r="M109" s="357">
        <f>ROUND(SUM(M107+M105+M60),1)</f>
        <v>0</v>
      </c>
      <c r="N109" s="13"/>
      <c r="O109" s="357">
        <f>ROUND(SUM(O107+O105+O60),1)</f>
        <v>0</v>
      </c>
      <c r="P109" s="13"/>
      <c r="Q109" s="357">
        <f>ROUND(SUM(Q107+Q105+Q60),1)</f>
        <v>0</v>
      </c>
      <c r="R109" s="13"/>
      <c r="S109" s="357">
        <f>ROUND(SUM(S107+S105+S60),1)</f>
        <v>0</v>
      </c>
      <c r="T109" s="13"/>
      <c r="U109" s="357">
        <f>ROUND(SUM(U107+U105+U60),1)</f>
        <v>0</v>
      </c>
      <c r="V109" s="13"/>
      <c r="W109" s="357">
        <f>ROUND(SUM(W107+W105+W60),1)</f>
        <v>0</v>
      </c>
      <c r="X109" s="40"/>
      <c r="Y109" s="357">
        <f>ROUND(SUM(Y107+Y105+Y60),1)</f>
        <v>0</v>
      </c>
      <c r="Z109" s="1214"/>
      <c r="AA109" s="3"/>
      <c r="AB109" s="357">
        <f>ROUND(SUM(AB107+AB105+AB60),1)</f>
        <v>16557.5</v>
      </c>
      <c r="AC109" s="13"/>
      <c r="AD109" s="14"/>
      <c r="AE109" s="357">
        <f>ROUND(SUM(AE107+AE105+AE60),1)</f>
        <v>15455.6</v>
      </c>
      <c r="AF109" s="13"/>
      <c r="AG109" s="708"/>
      <c r="AH109" s="357">
        <f>ROUND(SUM(AH107+AH105+AH60),1)</f>
        <v>1101.9000000000001</v>
      </c>
      <c r="AI109" s="13"/>
      <c r="AJ109" s="368">
        <f>ROUND(SUM(+AH109/ABS(AE109)),3)</f>
        <v>7.0999999999999994E-2</v>
      </c>
      <c r="AK109" s="129"/>
    </row>
    <row r="110" spans="1:37" ht="15.5">
      <c r="A110" s="40"/>
      <c r="B110" s="62"/>
      <c r="C110" s="11"/>
      <c r="D110" s="194"/>
      <c r="E110" s="11"/>
      <c r="F110" s="194"/>
      <c r="G110" s="11"/>
      <c r="H110" s="194"/>
      <c r="I110" s="11"/>
      <c r="J110" s="194"/>
      <c r="K110" s="11"/>
      <c r="L110" s="194"/>
      <c r="M110" s="11"/>
      <c r="N110" s="194"/>
      <c r="O110" s="11"/>
      <c r="P110" s="194"/>
      <c r="Q110" s="11"/>
      <c r="R110" s="194"/>
      <c r="S110" s="11"/>
      <c r="T110" s="194"/>
      <c r="U110" s="11"/>
      <c r="V110" s="194"/>
      <c r="W110" s="11"/>
      <c r="X110" s="194"/>
      <c r="Y110" s="11"/>
      <c r="Z110" s="194"/>
      <c r="AA110" s="195"/>
      <c r="AB110" s="11"/>
      <c r="AC110" s="194"/>
      <c r="AD110" s="862"/>
      <c r="AE110" s="11"/>
      <c r="AF110" s="194"/>
      <c r="AG110" s="1543"/>
      <c r="AH110" s="264"/>
      <c r="AI110" s="62"/>
      <c r="AJ110" s="268"/>
    </row>
    <row r="111" spans="1:37" ht="15.5">
      <c r="A111" s="40" t="s">
        <v>122</v>
      </c>
      <c r="B111" s="62"/>
      <c r="C111" s="194"/>
      <c r="D111" s="194"/>
      <c r="E111" s="194"/>
      <c r="F111" s="194"/>
      <c r="G111" s="194"/>
      <c r="H111" s="194"/>
      <c r="I111" s="194"/>
      <c r="J111" s="194"/>
      <c r="K111" s="194"/>
      <c r="L111" s="194"/>
      <c r="M111" s="194"/>
      <c r="N111" s="194"/>
      <c r="O111" s="194"/>
      <c r="P111" s="194"/>
      <c r="Q111" s="194"/>
      <c r="R111" s="194"/>
      <c r="S111" s="194"/>
      <c r="T111" s="194"/>
      <c r="U111" s="194"/>
      <c r="V111" s="194"/>
      <c r="W111" s="194"/>
      <c r="X111" s="194"/>
      <c r="Y111" s="194"/>
      <c r="Z111" s="194"/>
      <c r="AA111" s="195"/>
      <c r="AB111" s="194"/>
      <c r="AC111" s="194"/>
      <c r="AD111" s="862"/>
      <c r="AE111" s="194"/>
      <c r="AF111" s="194"/>
      <c r="AG111" s="1543"/>
      <c r="AH111" s="264"/>
      <c r="AI111" s="62"/>
      <c r="AJ111" s="268"/>
    </row>
    <row r="112" spans="1:37" ht="15.5">
      <c r="A112" s="62" t="s">
        <v>428</v>
      </c>
      <c r="B112" s="62"/>
      <c r="C112" s="194"/>
      <c r="D112" s="194"/>
      <c r="E112" s="194"/>
      <c r="F112" s="194"/>
      <c r="G112" s="194"/>
      <c r="H112" s="194"/>
      <c r="I112" s="194"/>
      <c r="J112" s="194"/>
      <c r="K112" s="194"/>
      <c r="L112" s="194"/>
      <c r="M112" s="194"/>
      <c r="N112" s="194"/>
      <c r="O112" s="194"/>
      <c r="P112" s="194"/>
      <c r="Q112" s="194"/>
      <c r="R112" s="194"/>
      <c r="S112" s="194"/>
      <c r="T112" s="194"/>
      <c r="U112" s="194"/>
      <c r="V112" s="194"/>
      <c r="W112" s="194"/>
      <c r="X112" s="194"/>
      <c r="Y112" s="194"/>
      <c r="Z112" s="194"/>
      <c r="AA112" s="195"/>
      <c r="AB112" s="194"/>
      <c r="AC112" s="194"/>
      <c r="AD112" s="862"/>
      <c r="AE112" s="264"/>
      <c r="AF112" s="194"/>
      <c r="AG112" s="1543"/>
      <c r="AH112" s="194"/>
      <c r="AI112" s="62"/>
      <c r="AJ112" s="283"/>
    </row>
    <row r="113" spans="1:37" ht="15.5">
      <c r="A113" s="753" t="s">
        <v>124</v>
      </c>
      <c r="B113" s="62"/>
      <c r="C113" s="194">
        <f>+'Exhibit F'!D105+'Exhibit G State'!D89</f>
        <v>2529.1000000000004</v>
      </c>
      <c r="D113" s="194"/>
      <c r="E113" s="194"/>
      <c r="F113" s="194"/>
      <c r="G113" s="194"/>
      <c r="H113" s="194"/>
      <c r="I113" s="194"/>
      <c r="J113" s="194"/>
      <c r="K113" s="194"/>
      <c r="L113" s="194"/>
      <c r="M113" s="194"/>
      <c r="N113" s="194"/>
      <c r="O113" s="194"/>
      <c r="P113" s="194"/>
      <c r="Q113" s="194"/>
      <c r="R113" s="194"/>
      <c r="S113" s="194"/>
      <c r="T113" s="194"/>
      <c r="U113" s="194"/>
      <c r="V113" s="194"/>
      <c r="W113" s="194"/>
      <c r="X113" s="194"/>
      <c r="Y113" s="194"/>
      <c r="Z113" s="194"/>
      <c r="AA113" s="195"/>
      <c r="AB113" s="264">
        <f>ROUND(SUM(C113:Y113),1)</f>
        <v>2529.1</v>
      </c>
      <c r="AC113" s="194"/>
      <c r="AD113" s="862"/>
      <c r="AE113" s="264">
        <f>+'Exhibit F'!AF105+'Exhibit G State'!AF89</f>
        <v>2466.4</v>
      </c>
      <c r="AF113" s="194"/>
      <c r="AG113" s="1543"/>
      <c r="AH113" s="194">
        <f>ROUND(SUM(AB113-AE113),1)</f>
        <v>62.7</v>
      </c>
      <c r="AI113" s="62"/>
      <c r="AJ113" s="283">
        <f>ROUND(SUM(AH113/ABS(AE113)),3)</f>
        <v>2.5000000000000001E-2</v>
      </c>
    </row>
    <row r="114" spans="1:37" ht="15.5">
      <c r="A114" s="753" t="s">
        <v>125</v>
      </c>
      <c r="B114" s="62"/>
      <c r="C114" s="194">
        <f>+'Exhibit F'!D106+'Exhibit G State'!D90</f>
        <v>0.3</v>
      </c>
      <c r="D114" s="194"/>
      <c r="E114" s="194"/>
      <c r="F114" s="194"/>
      <c r="G114" s="194"/>
      <c r="H114" s="194"/>
      <c r="I114" s="194"/>
      <c r="J114" s="194"/>
      <c r="K114" s="194"/>
      <c r="L114" s="194"/>
      <c r="M114" s="194"/>
      <c r="N114" s="194"/>
      <c r="O114" s="194"/>
      <c r="P114" s="194"/>
      <c r="Q114" s="194"/>
      <c r="R114" s="194"/>
      <c r="S114" s="194"/>
      <c r="T114" s="194"/>
      <c r="U114" s="194"/>
      <c r="V114" s="194"/>
      <c r="W114" s="194"/>
      <c r="X114" s="194"/>
      <c r="Y114" s="194"/>
      <c r="Z114" s="194"/>
      <c r="AA114" s="195"/>
      <c r="AB114" s="264">
        <f t="shared" ref="AB114:AB121" si="23">ROUND(SUM(C114:Y114),1)</f>
        <v>0.3</v>
      </c>
      <c r="AC114" s="194"/>
      <c r="AD114" s="862"/>
      <c r="AE114" s="264">
        <f>+'Exhibit F'!AF106+'Exhibit G State'!AF90</f>
        <v>0</v>
      </c>
      <c r="AF114" s="194"/>
      <c r="AG114" s="1543"/>
      <c r="AH114" s="194">
        <f t="shared" ref="AH114:AH121" si="24">ROUND(SUM(AB114-AE114),1)</f>
        <v>0.3</v>
      </c>
      <c r="AI114" s="62"/>
      <c r="AJ114" s="608">
        <f>ROUND(IF(AE114=0,1,AH114/ABS(AE114)),3)</f>
        <v>1</v>
      </c>
    </row>
    <row r="115" spans="1:37" ht="15.5">
      <c r="A115" s="753" t="s">
        <v>126</v>
      </c>
      <c r="B115" s="62"/>
      <c r="C115" s="194">
        <f>+'Exhibit F'!D107+'Exhibit G State'!D91</f>
        <v>45</v>
      </c>
      <c r="D115" s="194"/>
      <c r="E115" s="194"/>
      <c r="F115" s="194"/>
      <c r="G115" s="194"/>
      <c r="H115" s="194"/>
      <c r="I115" s="194"/>
      <c r="J115" s="194"/>
      <c r="K115" s="194"/>
      <c r="L115" s="194"/>
      <c r="M115" s="194"/>
      <c r="N115" s="194"/>
      <c r="O115" s="194"/>
      <c r="P115" s="194"/>
      <c r="Q115" s="194"/>
      <c r="R115" s="194"/>
      <c r="S115" s="194"/>
      <c r="T115" s="194"/>
      <c r="U115" s="194"/>
      <c r="V115" s="194"/>
      <c r="W115" s="194"/>
      <c r="X115" s="194"/>
      <c r="Y115" s="194"/>
      <c r="Z115" s="194"/>
      <c r="AA115" s="195"/>
      <c r="AB115" s="264">
        <f t="shared" si="23"/>
        <v>45</v>
      </c>
      <c r="AC115" s="194"/>
      <c r="AD115" s="862"/>
      <c r="AE115" s="264">
        <f>+'Exhibit F'!AF107+'Exhibit G State'!AF91</f>
        <v>63.1</v>
      </c>
      <c r="AF115" s="194"/>
      <c r="AG115" s="1543"/>
      <c r="AH115" s="194">
        <f t="shared" si="24"/>
        <v>-18.100000000000001</v>
      </c>
      <c r="AI115" s="62"/>
      <c r="AJ115" s="283">
        <f>ROUND(SUM(AH115/ABS(AE115)),3)</f>
        <v>-0.28699999999999998</v>
      </c>
    </row>
    <row r="116" spans="1:37" ht="15.5">
      <c r="A116" s="753" t="s">
        <v>127</v>
      </c>
      <c r="B116" s="62"/>
      <c r="C116" s="194"/>
      <c r="D116" s="194"/>
      <c r="E116" s="194"/>
      <c r="F116" s="194"/>
      <c r="G116" s="194"/>
      <c r="H116" s="194"/>
      <c r="I116" s="194"/>
      <c r="J116" s="194"/>
      <c r="K116" s="194"/>
      <c r="L116" s="194"/>
      <c r="M116" s="194"/>
      <c r="N116" s="194"/>
      <c r="O116" s="194"/>
      <c r="P116" s="194"/>
      <c r="Q116" s="194"/>
      <c r="R116" s="194"/>
      <c r="S116" s="194"/>
      <c r="T116" s="194"/>
      <c r="U116" s="194"/>
      <c r="V116" s="194"/>
      <c r="W116" s="194"/>
      <c r="X116" s="194"/>
      <c r="Y116" s="194"/>
      <c r="Z116" s="194"/>
      <c r="AA116" s="195"/>
      <c r="AB116" s="264"/>
      <c r="AC116" s="194"/>
      <c r="AD116" s="862"/>
      <c r="AE116" s="275"/>
      <c r="AF116" s="194"/>
      <c r="AG116" s="1543"/>
      <c r="AH116" s="194" t="s">
        <v>103</v>
      </c>
      <c r="AI116" s="62"/>
      <c r="AJ116" s="283"/>
    </row>
    <row r="117" spans="1:37" ht="15.5">
      <c r="A117" s="754" t="s">
        <v>128</v>
      </c>
      <c r="B117" s="62"/>
      <c r="C117" s="194">
        <f>+'Exhibit F'!D109+'Exhibit G State'!D93</f>
        <v>4899.5999999999995</v>
      </c>
      <c r="D117" s="194"/>
      <c r="E117" s="194"/>
      <c r="F117" s="194"/>
      <c r="G117" s="194"/>
      <c r="H117" s="194"/>
      <c r="I117" s="194"/>
      <c r="J117" s="194"/>
      <c r="K117" s="194"/>
      <c r="L117" s="194"/>
      <c r="M117" s="194"/>
      <c r="N117" s="194"/>
      <c r="O117" s="194"/>
      <c r="P117" s="194"/>
      <c r="Q117" s="194"/>
      <c r="R117" s="194"/>
      <c r="S117" s="194"/>
      <c r="T117" s="194"/>
      <c r="U117" s="194"/>
      <c r="V117" s="194"/>
      <c r="W117" s="194"/>
      <c r="X117" s="194"/>
      <c r="Y117" s="194"/>
      <c r="Z117" s="194"/>
      <c r="AA117" s="195"/>
      <c r="AB117" s="264">
        <f t="shared" si="23"/>
        <v>4899.6000000000004</v>
      </c>
      <c r="AC117" s="194"/>
      <c r="AD117" s="862"/>
      <c r="AE117" s="264">
        <f>+'Exhibit F'!AF109+'Exhibit G State'!AF93</f>
        <v>3576.3</v>
      </c>
      <c r="AF117" s="194"/>
      <c r="AG117" s="1543"/>
      <c r="AH117" s="194">
        <f t="shared" si="24"/>
        <v>1323.3</v>
      </c>
      <c r="AI117" s="62"/>
      <c r="AJ117" s="283">
        <f t="shared" ref="AJ117:AJ123" si="25">ROUND(SUM(AH117/ABS(AE117)),3)</f>
        <v>0.37</v>
      </c>
    </row>
    <row r="118" spans="1:37" ht="15.5">
      <c r="A118" s="753" t="s">
        <v>129</v>
      </c>
      <c r="B118" s="62"/>
      <c r="C118" s="194">
        <f>+'Exhibit F'!D110+'Exhibit G State'!D94</f>
        <v>193.7</v>
      </c>
      <c r="D118" s="194"/>
      <c r="E118" s="194"/>
      <c r="F118" s="194"/>
      <c r="G118" s="194"/>
      <c r="H118" s="194"/>
      <c r="I118" s="194"/>
      <c r="J118" s="194"/>
      <c r="K118" s="194"/>
      <c r="L118" s="194"/>
      <c r="M118" s="194"/>
      <c r="N118" s="194"/>
      <c r="O118" s="194"/>
      <c r="P118" s="194"/>
      <c r="Q118" s="194"/>
      <c r="R118" s="194"/>
      <c r="S118" s="194"/>
      <c r="T118" s="194"/>
      <c r="U118" s="194"/>
      <c r="V118" s="194"/>
      <c r="W118" s="194"/>
      <c r="X118" s="194"/>
      <c r="Y118" s="194"/>
      <c r="Z118" s="194"/>
      <c r="AA118" s="195"/>
      <c r="AB118" s="264">
        <f t="shared" si="23"/>
        <v>193.7</v>
      </c>
      <c r="AC118" s="1215"/>
      <c r="AD118" s="194"/>
      <c r="AE118" s="264">
        <f>+'Exhibit F'!AF110+'Exhibit G State'!AF94</f>
        <v>293</v>
      </c>
      <c r="AF118" s="194"/>
      <c r="AG118" s="1543"/>
      <c r="AH118" s="194">
        <f t="shared" si="24"/>
        <v>-99.3</v>
      </c>
      <c r="AI118" s="62"/>
      <c r="AJ118" s="283">
        <f t="shared" si="25"/>
        <v>-0.33900000000000002</v>
      </c>
    </row>
    <row r="119" spans="1:37" ht="15.5">
      <c r="A119" s="753" t="s">
        <v>130</v>
      </c>
      <c r="B119" s="62"/>
      <c r="C119" s="194">
        <f>+'Exhibit F'!D111+'Exhibit G State'!D95</f>
        <v>104.2</v>
      </c>
      <c r="D119" s="194"/>
      <c r="E119" s="194"/>
      <c r="F119" s="194"/>
      <c r="G119" s="194"/>
      <c r="H119" s="194"/>
      <c r="I119" s="194"/>
      <c r="J119" s="194"/>
      <c r="K119" s="194"/>
      <c r="L119" s="194"/>
      <c r="M119" s="194"/>
      <c r="N119" s="194"/>
      <c r="O119" s="194"/>
      <c r="P119" s="194"/>
      <c r="Q119" s="194"/>
      <c r="R119" s="194"/>
      <c r="S119" s="194"/>
      <c r="T119" s="194"/>
      <c r="U119" s="194"/>
      <c r="V119" s="194"/>
      <c r="W119" s="194"/>
      <c r="X119" s="194"/>
      <c r="Y119" s="194"/>
      <c r="Z119" s="194"/>
      <c r="AA119" s="195"/>
      <c r="AB119" s="264">
        <f t="shared" si="23"/>
        <v>104.2</v>
      </c>
      <c r="AC119" s="1231"/>
      <c r="AD119" s="862"/>
      <c r="AE119" s="264">
        <f>+'Exhibit F'!AF111+'Exhibit G State'!AF95</f>
        <v>59.8</v>
      </c>
      <c r="AF119" s="194"/>
      <c r="AG119" s="1543"/>
      <c r="AH119" s="194">
        <f t="shared" si="24"/>
        <v>44.4</v>
      </c>
      <c r="AI119" s="62"/>
      <c r="AJ119" s="283">
        <f t="shared" si="25"/>
        <v>0.74199999999999999</v>
      </c>
    </row>
    <row r="120" spans="1:37" ht="15.5">
      <c r="A120" s="753" t="s">
        <v>131</v>
      </c>
      <c r="B120" s="62"/>
      <c r="C120" s="194">
        <f>+'Exhibit F'!D112+'Exhibit G State'!D96</f>
        <v>211.6</v>
      </c>
      <c r="D120" s="194"/>
      <c r="E120" s="194"/>
      <c r="F120" s="194"/>
      <c r="G120" s="194"/>
      <c r="H120" s="194"/>
      <c r="I120" s="194"/>
      <c r="J120" s="194"/>
      <c r="K120" s="194"/>
      <c r="L120" s="194"/>
      <c r="M120" s="194"/>
      <c r="N120" s="194"/>
      <c r="O120" s="194"/>
      <c r="P120" s="194"/>
      <c r="Q120" s="194"/>
      <c r="R120" s="194"/>
      <c r="S120" s="194"/>
      <c r="T120" s="194"/>
      <c r="U120" s="194"/>
      <c r="V120" s="194"/>
      <c r="W120" s="194"/>
      <c r="X120" s="194"/>
      <c r="Y120" s="194"/>
      <c r="Z120" s="194"/>
      <c r="AA120" s="195"/>
      <c r="AB120" s="264">
        <f t="shared" si="23"/>
        <v>211.6</v>
      </c>
      <c r="AC120" s="1231"/>
      <c r="AD120" s="862"/>
      <c r="AE120" s="264">
        <f>+'Exhibit F'!AF112+'Exhibit G State'!AF96</f>
        <v>181.9</v>
      </c>
      <c r="AF120" s="194"/>
      <c r="AG120" s="1543"/>
      <c r="AH120" s="194">
        <f t="shared" si="24"/>
        <v>29.7</v>
      </c>
      <c r="AI120" s="62"/>
      <c r="AJ120" s="283">
        <f t="shared" si="25"/>
        <v>0.16300000000000001</v>
      </c>
    </row>
    <row r="121" spans="1:37" ht="15.5">
      <c r="A121" s="753" t="s">
        <v>132</v>
      </c>
      <c r="B121" s="62"/>
      <c r="C121" s="194">
        <f>+'Exhibit F'!D113+'Exhibit G State'!D97</f>
        <v>21.7</v>
      </c>
      <c r="D121" s="194"/>
      <c r="E121" s="194"/>
      <c r="F121" s="194"/>
      <c r="G121" s="194"/>
      <c r="H121" s="194"/>
      <c r="I121" s="194"/>
      <c r="J121" s="194"/>
      <c r="K121" s="194"/>
      <c r="L121" s="194"/>
      <c r="M121" s="194"/>
      <c r="N121" s="194"/>
      <c r="O121" s="194"/>
      <c r="P121" s="194"/>
      <c r="Q121" s="194"/>
      <c r="R121" s="194"/>
      <c r="S121" s="194"/>
      <c r="T121" s="194"/>
      <c r="U121" s="194"/>
      <c r="V121" s="194"/>
      <c r="W121" s="194"/>
      <c r="X121" s="194"/>
      <c r="Y121" s="194"/>
      <c r="Z121" s="194"/>
      <c r="AA121" s="195"/>
      <c r="AB121" s="264">
        <f t="shared" si="23"/>
        <v>21.7</v>
      </c>
      <c r="AC121" s="1231"/>
      <c r="AD121" s="862"/>
      <c r="AE121" s="264">
        <f>+'Exhibit F'!AF113+'Exhibit G State'!AF97</f>
        <v>18.600000000000001</v>
      </c>
      <c r="AF121" s="194"/>
      <c r="AG121" s="1543"/>
      <c r="AH121" s="194">
        <f t="shared" si="24"/>
        <v>3.1</v>
      </c>
      <c r="AI121" s="62"/>
      <c r="AJ121" s="283">
        <f t="shared" si="25"/>
        <v>0.16700000000000001</v>
      </c>
    </row>
    <row r="122" spans="1:37" ht="15.5">
      <c r="A122" s="753" t="s">
        <v>133</v>
      </c>
      <c r="B122" s="62"/>
      <c r="C122" s="194">
        <f>+'Exhibit F'!D114+'Exhibit G State'!D98</f>
        <v>84.4</v>
      </c>
      <c r="D122" s="194"/>
      <c r="E122" s="194"/>
      <c r="F122" s="194"/>
      <c r="G122" s="194"/>
      <c r="H122" s="194"/>
      <c r="I122" s="194"/>
      <c r="J122" s="194"/>
      <c r="K122" s="194"/>
      <c r="L122" s="194"/>
      <c r="M122" s="194"/>
      <c r="N122" s="194"/>
      <c r="O122" s="194"/>
      <c r="P122" s="194"/>
      <c r="Q122" s="194"/>
      <c r="R122" s="194"/>
      <c r="S122" s="194"/>
      <c r="T122" s="194"/>
      <c r="U122" s="194"/>
      <c r="V122" s="194"/>
      <c r="W122" s="194"/>
      <c r="X122" s="194"/>
      <c r="Y122" s="194"/>
      <c r="Z122" s="194"/>
      <c r="AA122" s="195"/>
      <c r="AB122" s="194">
        <f>ROUND(SUM(C122:Y122),1)</f>
        <v>84.4</v>
      </c>
      <c r="AC122" s="1231"/>
      <c r="AD122" s="862"/>
      <c r="AE122" s="264">
        <f>+'Exhibit F'!AF114+'Exhibit G State'!AF98</f>
        <v>92.9</v>
      </c>
      <c r="AF122" s="194"/>
      <c r="AG122" s="1543"/>
      <c r="AH122" s="194">
        <f>ROUND(SUM(AB122-AE122),1)</f>
        <v>-8.5</v>
      </c>
      <c r="AI122" s="62"/>
      <c r="AJ122" s="283">
        <f t="shared" si="25"/>
        <v>-9.0999999999999998E-2</v>
      </c>
    </row>
    <row r="123" spans="1:37" ht="15.5">
      <c r="A123" s="62" t="s">
        <v>134</v>
      </c>
      <c r="B123" s="62"/>
      <c r="C123" s="1021">
        <f>ROUND(SUM(C113:C122),1)</f>
        <v>8089.6</v>
      </c>
      <c r="D123" s="197"/>
      <c r="E123" s="1021">
        <f>ROUND(SUM(E113:E122),1)</f>
        <v>0</v>
      </c>
      <c r="F123" s="197"/>
      <c r="G123" s="1021">
        <f>ROUND(SUM(G113:G122),1)</f>
        <v>0</v>
      </c>
      <c r="H123" s="197"/>
      <c r="I123" s="1021">
        <f>ROUND(SUM(I113:I122),1)</f>
        <v>0</v>
      </c>
      <c r="J123" s="197"/>
      <c r="K123" s="1021">
        <f>ROUND(SUM(K113:K122),1)</f>
        <v>0</v>
      </c>
      <c r="L123" s="197"/>
      <c r="M123" s="1021">
        <f>ROUND(SUM(M113:M122),1)</f>
        <v>0</v>
      </c>
      <c r="N123" s="197"/>
      <c r="O123" s="1021">
        <f>ROUND(SUM(O113:O122),1)</f>
        <v>0</v>
      </c>
      <c r="P123" s="197"/>
      <c r="Q123" s="1021">
        <f>ROUND(SUM(Q113:Q122),1)</f>
        <v>0</v>
      </c>
      <c r="R123" s="197"/>
      <c r="S123" s="1021">
        <f>ROUND(SUM(S113:S122),1)</f>
        <v>0</v>
      </c>
      <c r="T123" s="197"/>
      <c r="U123" s="1021">
        <f>ROUND(SUM(U113:U122),1)</f>
        <v>0</v>
      </c>
      <c r="V123" s="197"/>
      <c r="W123" s="1021">
        <f>ROUND(SUM(W113:W122),1)</f>
        <v>0</v>
      </c>
      <c r="X123" s="197"/>
      <c r="Y123" s="1021">
        <f>ROUND(SUM(Y113:Y122),1)</f>
        <v>0</v>
      </c>
      <c r="Z123" s="197"/>
      <c r="AA123" s="1107"/>
      <c r="AB123" s="1021">
        <f>ROUND(SUM(AB113:AB122),1)</f>
        <v>8089.6</v>
      </c>
      <c r="AC123" s="1232"/>
      <c r="AD123" s="865"/>
      <c r="AE123" s="68">
        <f>ROUND(SUM(AE113:AE122),1)</f>
        <v>6752</v>
      </c>
      <c r="AF123" s="197"/>
      <c r="AG123" s="1544"/>
      <c r="AH123" s="68">
        <f>ROUND(SUM(AH113:AH122),1)</f>
        <v>1337.6</v>
      </c>
      <c r="AI123" s="187"/>
      <c r="AJ123" s="417">
        <f t="shared" si="25"/>
        <v>0.19800000000000001</v>
      </c>
      <c r="AK123" s="129"/>
    </row>
    <row r="124" spans="1:37" ht="15.5">
      <c r="A124" s="62" t="s">
        <v>135</v>
      </c>
      <c r="B124" s="62"/>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5"/>
      <c r="AB124" s="194"/>
      <c r="AC124" s="194"/>
      <c r="AD124" s="862"/>
      <c r="AE124" s="264"/>
      <c r="AF124" s="194"/>
      <c r="AG124" s="1543"/>
      <c r="AH124" s="264"/>
      <c r="AI124" s="62"/>
      <c r="AJ124" s="268"/>
    </row>
    <row r="125" spans="1:37" ht="15.5">
      <c r="A125" s="62" t="s">
        <v>429</v>
      </c>
      <c r="B125" s="62"/>
      <c r="C125" s="194">
        <f>+'Exhibit F'!D117+'Exhibit G State'!D101</f>
        <v>1768.6</v>
      </c>
      <c r="D125" s="194"/>
      <c r="E125" s="194"/>
      <c r="F125" s="194"/>
      <c r="G125" s="194"/>
      <c r="H125" s="194"/>
      <c r="I125" s="194"/>
      <c r="J125" s="194"/>
      <c r="K125" s="194"/>
      <c r="L125" s="194"/>
      <c r="M125" s="194"/>
      <c r="N125" s="194"/>
      <c r="O125" s="194"/>
      <c r="P125" s="194"/>
      <c r="Q125" s="194"/>
      <c r="R125" s="194"/>
      <c r="S125" s="194"/>
      <c r="T125" s="194"/>
      <c r="U125" s="194"/>
      <c r="V125" s="194"/>
      <c r="W125" s="194"/>
      <c r="X125" s="194"/>
      <c r="Y125" s="194"/>
      <c r="Z125" s="194"/>
      <c r="AA125" s="195"/>
      <c r="AB125" s="194">
        <f>ROUND(SUM(C125:Y125),1)</f>
        <v>1768.6</v>
      </c>
      <c r="AC125" s="194"/>
      <c r="AD125" s="862"/>
      <c r="AE125" s="264">
        <f>+'Exhibit F'!AF117+'Exhibit G State'!AF101</f>
        <v>1527.9</v>
      </c>
      <c r="AF125" s="194"/>
      <c r="AG125" s="1543"/>
      <c r="AH125" s="194">
        <f>ROUND(SUM(AB125-AE125),1)</f>
        <v>240.7</v>
      </c>
      <c r="AI125" s="62"/>
      <c r="AJ125" s="283">
        <f>ROUND(SUM(AH125/ABS(AE125)),3)</f>
        <v>0.158</v>
      </c>
    </row>
    <row r="126" spans="1:37" ht="15.5">
      <c r="A126" s="62" t="s">
        <v>430</v>
      </c>
      <c r="B126" s="62"/>
      <c r="C126" s="194">
        <f>+'Exhibit F'!D118+'Exhibit G State'!D102+'Exhibit H'!B59</f>
        <v>538.70000000000005</v>
      </c>
      <c r="D126" s="194"/>
      <c r="E126" s="194"/>
      <c r="F126" s="194"/>
      <c r="G126" s="194"/>
      <c r="H126" s="194"/>
      <c r="I126" s="194"/>
      <c r="J126" s="194"/>
      <c r="K126" s="194"/>
      <c r="L126" s="194"/>
      <c r="M126" s="194"/>
      <c r="N126" s="194"/>
      <c r="O126" s="194"/>
      <c r="P126" s="194"/>
      <c r="Q126" s="194"/>
      <c r="R126" s="194"/>
      <c r="S126" s="194"/>
      <c r="T126" s="194"/>
      <c r="U126" s="194"/>
      <c r="V126" s="194"/>
      <c r="W126" s="194"/>
      <c r="X126" s="194"/>
      <c r="Y126" s="194"/>
      <c r="Z126" s="194"/>
      <c r="AA126" s="195"/>
      <c r="AB126" s="194">
        <f>ROUND(SUM(C126:Y126),1)</f>
        <v>538.70000000000005</v>
      </c>
      <c r="AC126" s="194"/>
      <c r="AD126" s="862"/>
      <c r="AE126" s="264">
        <f>+'Exhibit F'!AF118+'Exhibit G State'!AF102+'Exhibit H'!AD59</f>
        <v>489.1</v>
      </c>
      <c r="AF126" s="194"/>
      <c r="AG126" s="1543"/>
      <c r="AH126" s="194">
        <f>ROUND(SUM(AB126-AE126),1)</f>
        <v>49.6</v>
      </c>
      <c r="AI126" s="62"/>
      <c r="AJ126" s="283">
        <f>ROUND(SUM(AH126/ABS(AE126)),3)</f>
        <v>0.10100000000000001</v>
      </c>
    </row>
    <row r="127" spans="1:37" ht="15.5">
      <c r="A127" s="62" t="s">
        <v>138</v>
      </c>
      <c r="B127" s="62"/>
      <c r="C127" s="194">
        <f>+'Exhibit F'!D119+'Exhibit G State'!D103</f>
        <v>817.8</v>
      </c>
      <c r="D127" s="194"/>
      <c r="E127" s="194"/>
      <c r="F127" s="194"/>
      <c r="G127" s="194"/>
      <c r="H127" s="194"/>
      <c r="I127" s="194"/>
      <c r="J127" s="194"/>
      <c r="K127" s="194"/>
      <c r="L127" s="194"/>
      <c r="M127" s="194"/>
      <c r="N127" s="194"/>
      <c r="O127" s="194"/>
      <c r="P127" s="194"/>
      <c r="Q127" s="194"/>
      <c r="R127" s="194"/>
      <c r="S127" s="194"/>
      <c r="T127" s="194"/>
      <c r="U127" s="194"/>
      <c r="V127" s="194"/>
      <c r="W127" s="194"/>
      <c r="X127" s="194"/>
      <c r="Y127" s="194"/>
      <c r="Z127" s="194"/>
      <c r="AA127" s="195"/>
      <c r="AB127" s="194">
        <f>ROUND(SUM(C127:Y127),1)</f>
        <v>817.8</v>
      </c>
      <c r="AC127" s="194"/>
      <c r="AD127" s="862"/>
      <c r="AE127" s="264">
        <f>+'Exhibit F'!AF119+'Exhibit G State'!AF103</f>
        <v>941.9</v>
      </c>
      <c r="AF127" s="194"/>
      <c r="AG127" s="1543"/>
      <c r="AH127" s="194">
        <f>ROUND(SUM(AB127-AE127),1)</f>
        <v>-124.1</v>
      </c>
      <c r="AI127" s="62"/>
      <c r="AJ127" s="283">
        <f>ROUND(SUM(AH127/ABS(AE127)),3)</f>
        <v>-0.13200000000000001</v>
      </c>
    </row>
    <row r="128" spans="1:37" ht="15.5">
      <c r="A128" s="62" t="s">
        <v>139</v>
      </c>
      <c r="B128" s="62"/>
      <c r="C128" s="194"/>
      <c r="D128" s="194"/>
      <c r="E128" s="194"/>
      <c r="F128" s="194"/>
      <c r="G128" s="194"/>
      <c r="H128" s="194"/>
      <c r="I128" s="194"/>
      <c r="J128" s="194"/>
      <c r="K128" s="194"/>
      <c r="L128" s="194"/>
      <c r="M128" s="194"/>
      <c r="N128" s="194"/>
      <c r="O128" s="194"/>
      <c r="P128" s="194"/>
      <c r="Q128" s="194"/>
      <c r="R128" s="194"/>
      <c r="S128" s="194"/>
      <c r="T128" s="194"/>
      <c r="U128" s="194"/>
      <c r="V128" s="194"/>
      <c r="W128" s="194"/>
      <c r="X128" s="194"/>
      <c r="Y128" s="194"/>
      <c r="Z128" s="194"/>
      <c r="AA128" s="195"/>
      <c r="AB128" s="194"/>
      <c r="AC128" s="194"/>
      <c r="AD128" s="862"/>
      <c r="AE128" s="194"/>
      <c r="AF128" s="194"/>
      <c r="AG128" s="1543"/>
      <c r="AH128" s="194"/>
      <c r="AI128" s="62"/>
      <c r="AJ128" s="283"/>
    </row>
    <row r="129" spans="1:37" ht="15.5">
      <c r="A129" s="62" t="s">
        <v>1466</v>
      </c>
      <c r="B129" s="62"/>
      <c r="C129" s="194">
        <f>+'Exhibit H'!B61</f>
        <v>1.5</v>
      </c>
      <c r="D129" s="194"/>
      <c r="E129" s="194"/>
      <c r="F129" s="194"/>
      <c r="G129" s="194"/>
      <c r="H129" s="194"/>
      <c r="I129" s="194"/>
      <c r="J129" s="194"/>
      <c r="K129" s="194"/>
      <c r="L129" s="194"/>
      <c r="M129" s="194"/>
      <c r="N129" s="194"/>
      <c r="O129" s="194"/>
      <c r="P129" s="194"/>
      <c r="Q129" s="194"/>
      <c r="R129" s="194"/>
      <c r="S129" s="194"/>
      <c r="T129" s="194"/>
      <c r="U129" s="194"/>
      <c r="V129" s="194"/>
      <c r="W129" s="194"/>
      <c r="X129" s="194"/>
      <c r="Y129" s="194"/>
      <c r="Z129" s="194"/>
      <c r="AA129" s="195"/>
      <c r="AB129" s="194">
        <f>ROUND(SUM(C129:Y129),1)</f>
        <v>1.5</v>
      </c>
      <c r="AC129" s="194"/>
      <c r="AD129" s="862"/>
      <c r="AE129" s="264">
        <f>+'Exhibit H'!AD61</f>
        <v>4.8</v>
      </c>
      <c r="AF129" s="194"/>
      <c r="AG129" s="1543"/>
      <c r="AH129" s="194">
        <f>ROUND(SUM(AB129-AE129),1)</f>
        <v>-3.3</v>
      </c>
      <c r="AI129" s="62"/>
      <c r="AJ129" s="283">
        <f>ROUND(SUM(AH129/ABS(AE129)),3)</f>
        <v>-0.68799999999999994</v>
      </c>
    </row>
    <row r="130" spans="1:37" ht="15.5">
      <c r="A130" s="62" t="s">
        <v>432</v>
      </c>
      <c r="B130" s="62"/>
      <c r="C130" s="194">
        <f>'Exhibit G State'!D104</f>
        <v>0</v>
      </c>
      <c r="D130" s="194"/>
      <c r="E130" s="194"/>
      <c r="F130" s="194"/>
      <c r="G130" s="194"/>
      <c r="H130" s="194"/>
      <c r="I130" s="194"/>
      <c r="J130" s="194"/>
      <c r="K130" s="194"/>
      <c r="L130" s="194"/>
      <c r="M130" s="194"/>
      <c r="N130" s="194"/>
      <c r="O130" s="194"/>
      <c r="P130" s="194"/>
      <c r="Q130" s="194"/>
      <c r="R130" s="194"/>
      <c r="S130" s="194"/>
      <c r="T130" s="194"/>
      <c r="U130" s="194"/>
      <c r="V130" s="194"/>
      <c r="W130" s="194"/>
      <c r="X130" s="194"/>
      <c r="Y130" s="194"/>
      <c r="Z130" s="194"/>
      <c r="AA130" s="195"/>
      <c r="AB130" s="194">
        <f>ROUND(SUM(C130:Y130),1)</f>
        <v>0</v>
      </c>
      <c r="AC130" s="194"/>
      <c r="AD130" s="862"/>
      <c r="AE130" s="264">
        <f>+'Exhibit G'!AH106</f>
        <v>0</v>
      </c>
      <c r="AF130" s="194"/>
      <c r="AG130" s="1543"/>
      <c r="AH130" s="194">
        <f>ROUND(SUM(AB130-AE130),1)</f>
        <v>0</v>
      </c>
      <c r="AI130" s="62"/>
      <c r="AJ130" s="266">
        <f>ROUND(IF(AE130=0,0,AH130/ABS(AE130)),3)</f>
        <v>0</v>
      </c>
    </row>
    <row r="131" spans="1:37" ht="16.5" customHeight="1">
      <c r="A131" s="62"/>
      <c r="B131" s="62"/>
      <c r="C131" s="897"/>
      <c r="D131" s="194"/>
      <c r="E131" s="897"/>
      <c r="F131" s="194"/>
      <c r="G131" s="897"/>
      <c r="H131" s="194"/>
      <c r="I131" s="897"/>
      <c r="J131" s="194"/>
      <c r="K131" s="897"/>
      <c r="L131" s="194"/>
      <c r="M131" s="897"/>
      <c r="N131" s="194"/>
      <c r="O131" s="897"/>
      <c r="P131" s="194"/>
      <c r="Q131" s="897"/>
      <c r="R131" s="194"/>
      <c r="S131" s="897"/>
      <c r="T131" s="194"/>
      <c r="U131" s="897"/>
      <c r="V131" s="194"/>
      <c r="W131" s="897"/>
      <c r="X131" s="194"/>
      <c r="Y131" s="897"/>
      <c r="Z131" s="194"/>
      <c r="AA131" s="195"/>
      <c r="AB131" s="897"/>
      <c r="AC131" s="194"/>
      <c r="AD131" s="862"/>
      <c r="AE131" s="897"/>
      <c r="AF131" s="194"/>
      <c r="AG131" s="1543"/>
      <c r="AH131" s="897"/>
      <c r="AI131" s="62"/>
      <c r="AJ131" s="898"/>
    </row>
    <row r="132" spans="1:37" ht="16.5" customHeight="1">
      <c r="A132" s="40" t="s">
        <v>162</v>
      </c>
      <c r="B132" s="62"/>
      <c r="C132" s="755">
        <f>ROUND(SUM(C123:C130),1)</f>
        <v>11216.2</v>
      </c>
      <c r="D132" s="197"/>
      <c r="E132" s="755">
        <f>ROUND(SUM(E123:E130),1)</f>
        <v>0</v>
      </c>
      <c r="F132" s="197"/>
      <c r="G132" s="755">
        <f>ROUND(SUM(G123:G130),1)</f>
        <v>0</v>
      </c>
      <c r="H132" s="197"/>
      <c r="I132" s="755">
        <f>ROUND(SUM(I123:I130),1)</f>
        <v>0</v>
      </c>
      <c r="J132" s="197"/>
      <c r="K132" s="755">
        <f>ROUND(SUM(K123:K130),1)</f>
        <v>0</v>
      </c>
      <c r="L132" s="197"/>
      <c r="M132" s="755">
        <f>ROUND(SUM(M123:M130),1)</f>
        <v>0</v>
      </c>
      <c r="N132" s="197"/>
      <c r="O132" s="755">
        <f>ROUND(SUM(O123:O130),1)</f>
        <v>0</v>
      </c>
      <c r="P132" s="197"/>
      <c r="Q132" s="755">
        <f>ROUND(SUM(Q123:Q130),1)</f>
        <v>0</v>
      </c>
      <c r="R132" s="197"/>
      <c r="S132" s="755">
        <f>ROUND(SUM(S123:S130),1)</f>
        <v>0</v>
      </c>
      <c r="T132" s="197"/>
      <c r="U132" s="755">
        <f>ROUND(SUM(U123:U130),1)</f>
        <v>0</v>
      </c>
      <c r="V132" s="197"/>
      <c r="W132" s="755">
        <f>ROUND(SUM(W123:W130),1)</f>
        <v>0</v>
      </c>
      <c r="X132" s="197"/>
      <c r="Y132" s="755">
        <f>ROUND(SUM(Y123:Y130),1)</f>
        <v>0</v>
      </c>
      <c r="Z132" s="197"/>
      <c r="AA132" s="1107"/>
      <c r="AB132" s="755">
        <f>ROUND(SUM(AB123:AB130),1)</f>
        <v>11216.2</v>
      </c>
      <c r="AC132" s="197"/>
      <c r="AD132" s="865"/>
      <c r="AE132" s="357">
        <f>ROUND(SUM(AE123:AE131),1)</f>
        <v>9715.7000000000007</v>
      </c>
      <c r="AF132" s="197"/>
      <c r="AG132" s="1544"/>
      <c r="AH132" s="357">
        <f>ROUND(SUM(AH123:AH131),1)</f>
        <v>1500.5</v>
      </c>
      <c r="AI132" s="187"/>
      <c r="AJ132" s="368">
        <f>ROUND(SUM(AH132/ABS(AE132)),3)</f>
        <v>0.154</v>
      </c>
      <c r="AK132" s="129"/>
    </row>
    <row r="133" spans="1:37" ht="16.5" customHeight="1">
      <c r="A133" s="40"/>
      <c r="B133" s="62"/>
      <c r="C133" s="194"/>
      <c r="D133" s="194"/>
      <c r="E133" s="194"/>
      <c r="F133" s="194"/>
      <c r="G133" s="194"/>
      <c r="H133" s="194"/>
      <c r="I133" s="194"/>
      <c r="J133" s="194"/>
      <c r="K133" s="194"/>
      <c r="L133" s="194"/>
      <c r="M133" s="194"/>
      <c r="N133" s="194"/>
      <c r="O133" s="194"/>
      <c r="P133" s="194"/>
      <c r="Q133" s="194"/>
      <c r="R133" s="194"/>
      <c r="S133" s="194"/>
      <c r="T133" s="194"/>
      <c r="U133" s="194"/>
      <c r="V133" s="194"/>
      <c r="W133" s="194"/>
      <c r="X133" s="194"/>
      <c r="Y133" s="194"/>
      <c r="Z133" s="194"/>
      <c r="AA133" s="195"/>
      <c r="AB133" s="194"/>
      <c r="AC133" s="194"/>
      <c r="AD133" s="862"/>
      <c r="AE133" s="194"/>
      <c r="AF133" s="194"/>
      <c r="AG133" s="1543"/>
      <c r="AH133" s="264"/>
      <c r="AI133" s="62"/>
      <c r="AJ133" s="268"/>
    </row>
    <row r="134" spans="1:37" ht="16.5" customHeight="1">
      <c r="A134" s="40" t="s">
        <v>143</v>
      </c>
      <c r="B134" s="62"/>
      <c r="C134" s="194"/>
      <c r="D134" s="194"/>
      <c r="E134" s="194"/>
      <c r="F134" s="194"/>
      <c r="G134" s="194"/>
      <c r="H134" s="194"/>
      <c r="I134" s="194"/>
      <c r="J134" s="194"/>
      <c r="K134" s="194"/>
      <c r="L134" s="194"/>
      <c r="M134" s="194"/>
      <c r="N134" s="194"/>
      <c r="O134" s="194"/>
      <c r="P134" s="194"/>
      <c r="Q134" s="194"/>
      <c r="R134" s="194"/>
      <c r="S134" s="194"/>
      <c r="T134" s="194"/>
      <c r="U134" s="194"/>
      <c r="V134" s="194"/>
      <c r="W134" s="194"/>
      <c r="X134" s="194"/>
      <c r="Y134" s="194"/>
      <c r="Z134" s="194"/>
      <c r="AA134" s="195"/>
      <c r="AB134" s="194"/>
      <c r="AC134" s="194"/>
      <c r="AD134" s="862"/>
      <c r="AE134" s="194"/>
      <c r="AF134" s="194"/>
      <c r="AG134" s="1543"/>
      <c r="AH134" s="264"/>
      <c r="AI134" s="62"/>
      <c r="AJ134" s="268"/>
    </row>
    <row r="135" spans="1:37" ht="16.5" customHeight="1">
      <c r="A135" s="40" t="s">
        <v>144</v>
      </c>
      <c r="B135" s="62"/>
      <c r="C135" s="755">
        <f>ROUND(SUM(C109-C132),1)</f>
        <v>5341.3</v>
      </c>
      <c r="D135" s="197"/>
      <c r="E135" s="755">
        <f>ROUND(SUM(E109-E132),1)</f>
        <v>0</v>
      </c>
      <c r="F135" s="197"/>
      <c r="G135" s="755">
        <f>ROUND(SUM(G109-G132),1)</f>
        <v>0</v>
      </c>
      <c r="H135" s="197"/>
      <c r="I135" s="755">
        <f>ROUND(SUM(I109-I132),1)</f>
        <v>0</v>
      </c>
      <c r="J135" s="197"/>
      <c r="K135" s="755">
        <f>ROUND(SUM(K109-K132),1)</f>
        <v>0</v>
      </c>
      <c r="L135" s="197"/>
      <c r="M135" s="755">
        <f>ROUND(SUM(M109-M132),1)</f>
        <v>0</v>
      </c>
      <c r="N135" s="197"/>
      <c r="O135" s="755">
        <f>ROUND(SUM(O109-O132),1)</f>
        <v>0</v>
      </c>
      <c r="P135" s="197"/>
      <c r="Q135" s="755">
        <f>ROUND(SUM(Q109-Q132),1)</f>
        <v>0</v>
      </c>
      <c r="R135" s="197"/>
      <c r="S135" s="755">
        <f>ROUND(SUM(S109-S132),1)</f>
        <v>0</v>
      </c>
      <c r="T135" s="197"/>
      <c r="U135" s="755">
        <f>ROUND(SUM(U109-U132),1)</f>
        <v>0</v>
      </c>
      <c r="V135" s="197"/>
      <c r="W135" s="755">
        <f>ROUND(SUM(W109-W132),1)</f>
        <v>0</v>
      </c>
      <c r="X135" s="197"/>
      <c r="Y135" s="755">
        <f>ROUND(SUM(Y109-Y132),1)</f>
        <v>0</v>
      </c>
      <c r="Z135" s="197"/>
      <c r="AA135" s="1107"/>
      <c r="AB135" s="755">
        <f>ROUND(SUM(AB109-AB132),1)</f>
        <v>5341.3</v>
      </c>
      <c r="AC135" s="197"/>
      <c r="AD135" s="865"/>
      <c r="AE135" s="755">
        <f>ROUND(SUM(AE109-AE132),1)</f>
        <v>5739.9</v>
      </c>
      <c r="AF135" s="197"/>
      <c r="AG135" s="1544"/>
      <c r="AH135" s="870">
        <f>ROUND(SUM(AB135-AE135),1)</f>
        <v>-398.6</v>
      </c>
      <c r="AI135" s="187"/>
      <c r="AJ135" s="612">
        <f>ROUND(SUM(AH135/ABS(AE135)),3)</f>
        <v>-6.9000000000000006E-2</v>
      </c>
      <c r="AK135" s="129"/>
    </row>
    <row r="136" spans="1:37" ht="16.5" customHeight="1">
      <c r="A136" s="268"/>
      <c r="B136" s="62"/>
      <c r="C136" s="11"/>
      <c r="D136" s="194"/>
      <c r="E136" s="11"/>
      <c r="F136" s="194"/>
      <c r="G136" s="11"/>
      <c r="H136" s="194"/>
      <c r="I136" s="11"/>
      <c r="J136" s="194"/>
      <c r="K136" s="11"/>
      <c r="L136" s="194"/>
      <c r="M136" s="11"/>
      <c r="N136" s="194"/>
      <c r="O136" s="11"/>
      <c r="P136" s="194"/>
      <c r="Q136" s="11"/>
      <c r="R136" s="194"/>
      <c r="S136" s="11"/>
      <c r="T136" s="194"/>
      <c r="U136" s="11"/>
      <c r="V136" s="194"/>
      <c r="W136" s="11"/>
      <c r="X136" s="194"/>
      <c r="Y136" s="11"/>
      <c r="Z136" s="105"/>
      <c r="AA136" s="195"/>
      <c r="AB136" s="11"/>
      <c r="AC136" s="194"/>
      <c r="AD136" s="862"/>
      <c r="AE136" s="11"/>
      <c r="AF136" s="194"/>
      <c r="AG136" s="1543"/>
      <c r="AH136" s="264"/>
      <c r="AI136" s="62"/>
      <c r="AJ136" s="268"/>
    </row>
    <row r="137" spans="1:37" ht="16.5" customHeight="1">
      <c r="A137" s="40" t="s">
        <v>145</v>
      </c>
      <c r="B137" s="62"/>
      <c r="C137" s="194"/>
      <c r="D137" s="194"/>
      <c r="E137" s="194"/>
      <c r="F137" s="200"/>
      <c r="G137" s="194"/>
      <c r="H137" s="200"/>
      <c r="I137" s="200"/>
      <c r="J137" s="200"/>
      <c r="K137" s="200"/>
      <c r="L137" s="200"/>
      <c r="M137" s="200"/>
      <c r="N137" s="200"/>
      <c r="O137" s="200"/>
      <c r="P137" s="200"/>
      <c r="Q137" s="200"/>
      <c r="R137" s="200"/>
      <c r="S137" s="200"/>
      <c r="T137" s="200"/>
      <c r="U137" s="200"/>
      <c r="V137" s="194"/>
      <c r="W137" s="200"/>
      <c r="X137" s="194"/>
      <c r="Y137" s="200"/>
      <c r="Z137" s="1215"/>
      <c r="AA137" s="195"/>
      <c r="AB137" s="194"/>
      <c r="AC137" s="1215"/>
      <c r="AD137" s="194"/>
      <c r="AE137" s="194"/>
      <c r="AF137" s="194"/>
      <c r="AG137" s="1543"/>
      <c r="AH137" s="264"/>
      <c r="AI137" s="62"/>
      <c r="AJ137" s="268"/>
    </row>
    <row r="138" spans="1:37" ht="16.5" customHeight="1">
      <c r="A138" s="62" t="s">
        <v>277</v>
      </c>
      <c r="B138" s="62"/>
      <c r="C138" s="683">
        <f>+'Exhibit F'!D128+'Exhibit F'!D129+'Exhibit F'!D130+'Exhibit F'!D131+'Exhibit G State'!D112+'Exhibit H'!B69</f>
        <v>6844.8</v>
      </c>
      <c r="D138" s="683"/>
      <c r="E138" s="683"/>
      <c r="F138" s="683"/>
      <c r="G138" s="683"/>
      <c r="H138" s="194"/>
      <c r="I138" s="683"/>
      <c r="J138" s="194"/>
      <c r="K138" s="683"/>
      <c r="L138" s="194"/>
      <c r="M138" s="683"/>
      <c r="N138" s="194"/>
      <c r="O138" s="683"/>
      <c r="P138" s="194"/>
      <c r="Q138" s="683"/>
      <c r="R138" s="683"/>
      <c r="S138" s="683"/>
      <c r="T138" s="683"/>
      <c r="U138" s="683"/>
      <c r="V138" s="683"/>
      <c r="W138" s="683"/>
      <c r="X138" s="683"/>
      <c r="Y138" s="683"/>
      <c r="Z138" s="194"/>
      <c r="AA138" s="195"/>
      <c r="AB138" s="194">
        <f>ROUND(SUM(C138:Y138),1)</f>
        <v>6844.8</v>
      </c>
      <c r="AC138" s="194"/>
      <c r="AD138" s="195"/>
      <c r="AE138" s="194">
        <f>'Exhibit F'!AF128+'Exhibit F'!AF129+'Exhibit F'!AF130+'Exhibit F'!AF131+'Exhibit G State'!AF112+'Exhibit H'!AD69</f>
        <v>6543.5</v>
      </c>
      <c r="AF138" s="194"/>
      <c r="AG138" s="1543"/>
      <c r="AH138" s="194">
        <f>ROUND(SUM(AB138-AE138),1)</f>
        <v>301.3</v>
      </c>
      <c r="AI138" s="62"/>
      <c r="AJ138" s="283">
        <f>ROUND(SUM(AH138/ABS(AE138)),3)</f>
        <v>4.5999999999999999E-2</v>
      </c>
    </row>
    <row r="139" spans="1:37" ht="16.5" customHeight="1">
      <c r="A139" s="62" t="s">
        <v>278</v>
      </c>
      <c r="C139" s="756">
        <f>+'Exhibit F'!D132+'Exhibit F'!D133+'Exhibit F'!D134+'Exhibit F'!D135+'Exhibit G State'!D113+'Exhibit H'!B70</f>
        <v>-7055.9</v>
      </c>
      <c r="D139" s="683"/>
      <c r="E139" s="756"/>
      <c r="F139" s="683"/>
      <c r="G139" s="756"/>
      <c r="H139" s="11"/>
      <c r="I139" s="756"/>
      <c r="J139" s="11"/>
      <c r="K139" s="756"/>
      <c r="L139" s="11"/>
      <c r="M139" s="756"/>
      <c r="N139" s="11"/>
      <c r="O139" s="756"/>
      <c r="P139" s="11"/>
      <c r="Q139" s="756"/>
      <c r="R139" s="683"/>
      <c r="S139" s="756"/>
      <c r="T139" s="683"/>
      <c r="U139" s="756"/>
      <c r="V139" s="683"/>
      <c r="W139" s="756"/>
      <c r="X139" s="683"/>
      <c r="Y139" s="756"/>
      <c r="Z139" s="11"/>
      <c r="AA139" s="201"/>
      <c r="AB139" s="196">
        <f>ROUND(SUM(C139:Y139),1)</f>
        <v>-7055.9</v>
      </c>
      <c r="AC139" s="11"/>
      <c r="AD139" s="201"/>
      <c r="AE139" s="196">
        <f>'Exhibit F'!AF132+'Exhibit F'!AF133+'Exhibit F'!AF134+'Exhibit F'!AF135+'Exhibit G State'!AF113+'Exhibit H'!AD70</f>
        <v>-6754.6</v>
      </c>
      <c r="AF139" s="11"/>
      <c r="AG139" s="1545"/>
      <c r="AH139" s="196">
        <f>ROUND(SUM(-AB139+AE139),1)</f>
        <v>301.3</v>
      </c>
      <c r="AI139" s="268"/>
      <c r="AJ139" s="871">
        <f>ROUND(SUM(AH139/ABS(AE139)),3)</f>
        <v>4.4999999999999998E-2</v>
      </c>
    </row>
    <row r="140" spans="1:37" ht="16.5" customHeight="1">
      <c r="A140" s="62"/>
      <c r="C140" s="194"/>
      <c r="D140" s="11"/>
      <c r="E140" s="194"/>
      <c r="F140" s="11"/>
      <c r="G140" s="194"/>
      <c r="H140" s="11"/>
      <c r="I140" s="194"/>
      <c r="J140" s="11"/>
      <c r="K140" s="194"/>
      <c r="L140" s="11"/>
      <c r="M140" s="194"/>
      <c r="N140" s="11"/>
      <c r="O140" s="194"/>
      <c r="P140" s="11"/>
      <c r="Q140" s="194"/>
      <c r="R140" s="11"/>
      <c r="S140" s="194"/>
      <c r="T140" s="11"/>
      <c r="U140" s="194"/>
      <c r="V140" s="11"/>
      <c r="W140" s="194"/>
      <c r="X140" s="11"/>
      <c r="Y140" s="194"/>
      <c r="Z140" s="11"/>
      <c r="AA140" s="201"/>
      <c r="AB140" s="194"/>
      <c r="AC140" s="11"/>
      <c r="AD140" s="201"/>
      <c r="AE140" s="194"/>
      <c r="AF140" s="11"/>
      <c r="AG140" s="1545"/>
      <c r="AH140" s="194"/>
      <c r="AI140" s="268"/>
      <c r="AJ140" s="283"/>
    </row>
    <row r="141" spans="1:37" ht="16.5" customHeight="1">
      <c r="A141" s="40" t="s">
        <v>150</v>
      </c>
      <c r="C141" s="755">
        <f>ROUND(SUM(C138:C139),1)</f>
        <v>-211.1</v>
      </c>
      <c r="D141" s="202"/>
      <c r="E141" s="755">
        <f>ROUND(SUM(E138:E139),1)</f>
        <v>0</v>
      </c>
      <c r="F141" s="202"/>
      <c r="G141" s="755">
        <f>ROUND(SUM(G138:G139),1)</f>
        <v>0</v>
      </c>
      <c r="H141" s="202"/>
      <c r="I141" s="755">
        <f>ROUND(SUM(I138:I139),1)</f>
        <v>0</v>
      </c>
      <c r="J141" s="202"/>
      <c r="K141" s="755">
        <f>ROUND(SUM(K138:K139),1)</f>
        <v>0</v>
      </c>
      <c r="L141" s="202"/>
      <c r="M141" s="755">
        <f>ROUND(SUM(M138:M139),1)</f>
        <v>0</v>
      </c>
      <c r="N141" s="202"/>
      <c r="O141" s="755">
        <f>ROUND(SUM(O138:O139),1)</f>
        <v>0</v>
      </c>
      <c r="P141" s="202"/>
      <c r="Q141" s="755">
        <f>ROUND(SUM(Q138:Q139),1)</f>
        <v>0</v>
      </c>
      <c r="R141" s="202"/>
      <c r="S141" s="755">
        <f>ROUND(SUM(S138:S139),1)</f>
        <v>0</v>
      </c>
      <c r="T141" s="202"/>
      <c r="U141" s="755">
        <f>ROUND(SUM(U138:U139),1)</f>
        <v>0</v>
      </c>
      <c r="V141" s="202"/>
      <c r="W141" s="755">
        <f>ROUND(SUM(W138:W139),1)</f>
        <v>0</v>
      </c>
      <c r="X141" s="202"/>
      <c r="Y141" s="755">
        <f>ROUND(SUM(Y138:Y139),1)</f>
        <v>0</v>
      </c>
      <c r="Z141" s="202"/>
      <c r="AA141" s="203"/>
      <c r="AB141" s="755">
        <f>ROUND(SUM(AB138:AB139),1)</f>
        <v>-211.1</v>
      </c>
      <c r="AC141" s="202"/>
      <c r="AD141" s="203"/>
      <c r="AE141" s="755">
        <f>ROUND(SUM(AE138:AE139),1)</f>
        <v>-211.1</v>
      </c>
      <c r="AF141" s="202"/>
      <c r="AG141" s="1545"/>
      <c r="AH141" s="755">
        <f>ROUND(SUM(AH138-AH139),1)</f>
        <v>0</v>
      </c>
      <c r="AI141" s="40"/>
      <c r="AJ141" s="612">
        <f>ROUND(SUM(AH141/ABS(AE141)),3)</f>
        <v>0</v>
      </c>
      <c r="AK141" s="129"/>
    </row>
    <row r="142" spans="1:37" ht="16.5" customHeight="1">
      <c r="A142" s="26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201"/>
      <c r="AB142" s="11"/>
      <c r="AC142" s="11"/>
      <c r="AD142" s="201"/>
      <c r="AE142" s="11"/>
      <c r="AF142" s="11"/>
      <c r="AG142" s="1546"/>
      <c r="AH142" s="264"/>
      <c r="AI142" s="268"/>
      <c r="AJ142" s="268"/>
    </row>
    <row r="143" spans="1:37" ht="16.5" customHeight="1">
      <c r="A143" s="40" t="s">
        <v>143</v>
      </c>
      <c r="C143" s="194"/>
      <c r="D143" s="11"/>
      <c r="E143" s="194"/>
      <c r="F143" s="11"/>
      <c r="G143" s="194"/>
      <c r="H143" s="11"/>
      <c r="I143" s="194"/>
      <c r="J143" s="11"/>
      <c r="K143" s="194"/>
      <c r="L143" s="11"/>
      <c r="M143" s="194"/>
      <c r="N143" s="11"/>
      <c r="O143" s="194"/>
      <c r="P143" s="11"/>
      <c r="Q143" s="194"/>
      <c r="R143" s="11"/>
      <c r="S143" s="194"/>
      <c r="T143" s="11"/>
      <c r="U143" s="194"/>
      <c r="V143" s="11"/>
      <c r="W143" s="194"/>
      <c r="X143" s="11"/>
      <c r="Y143" s="194"/>
      <c r="Z143" s="11"/>
      <c r="AA143" s="201"/>
      <c r="AB143" s="194"/>
      <c r="AC143" s="11"/>
      <c r="AD143" s="201"/>
      <c r="AE143" s="194"/>
      <c r="AF143" s="11"/>
      <c r="AG143" s="1547"/>
      <c r="AH143" s="264"/>
      <c r="AI143" s="268"/>
      <c r="AJ143" s="268"/>
    </row>
    <row r="144" spans="1:37" ht="16.5" customHeight="1">
      <c r="A144" s="40" t="s">
        <v>151</v>
      </c>
      <c r="C144" s="197"/>
      <c r="D144" s="202"/>
      <c r="E144" s="197"/>
      <c r="F144" s="202"/>
      <c r="G144" s="197"/>
      <c r="H144" s="202"/>
      <c r="I144" s="197"/>
      <c r="J144" s="202"/>
      <c r="K144" s="197"/>
      <c r="L144" s="202"/>
      <c r="M144" s="197"/>
      <c r="N144" s="202"/>
      <c r="O144" s="197"/>
      <c r="P144" s="202"/>
      <c r="Q144" s="197"/>
      <c r="R144" s="202"/>
      <c r="S144" s="197"/>
      <c r="T144" s="202"/>
      <c r="U144" s="197"/>
      <c r="V144" s="202"/>
      <c r="W144" s="197"/>
      <c r="X144" s="202"/>
      <c r="Y144" s="197"/>
      <c r="Z144" s="202"/>
      <c r="AA144" s="203"/>
      <c r="AB144" s="197"/>
      <c r="AC144" s="202"/>
      <c r="AD144" s="203"/>
      <c r="AE144" s="197"/>
      <c r="AF144" s="11"/>
      <c r="AG144" s="1547"/>
      <c r="AH144" s="13"/>
      <c r="AI144" s="40"/>
      <c r="AJ144" s="40"/>
      <c r="AK144" s="129"/>
    </row>
    <row r="145" spans="1:37" ht="16.5" customHeight="1">
      <c r="A145" s="40" t="s">
        <v>152</v>
      </c>
      <c r="C145" s="204">
        <f>ROUND(SUM(C135+C141),1)</f>
        <v>5130.2</v>
      </c>
      <c r="D145" s="202"/>
      <c r="E145" s="204">
        <f>ROUND(SUM(E135+E141),1)</f>
        <v>0</v>
      </c>
      <c r="F145" s="202"/>
      <c r="G145" s="204">
        <f>ROUND(SUM(G135+G141),1)</f>
        <v>0</v>
      </c>
      <c r="H145" s="202"/>
      <c r="I145" s="204">
        <f>ROUND(SUM(I135+I141),1)</f>
        <v>0</v>
      </c>
      <c r="J145" s="202"/>
      <c r="K145" s="204">
        <f>ROUND(SUM(K135+K141),1)</f>
        <v>0</v>
      </c>
      <c r="L145" s="202"/>
      <c r="M145" s="204">
        <f>ROUND(SUM(M135+M141),1)</f>
        <v>0</v>
      </c>
      <c r="N145" s="202"/>
      <c r="O145" s="204">
        <f>ROUND(SUM(O135+O141),1)</f>
        <v>0</v>
      </c>
      <c r="P145" s="202"/>
      <c r="Q145" s="204">
        <f>ROUND(SUM(Q135+Q141),1)</f>
        <v>0</v>
      </c>
      <c r="R145" s="202"/>
      <c r="S145" s="204">
        <f>ROUND(SUM(S135+S141),1)</f>
        <v>0</v>
      </c>
      <c r="T145" s="202"/>
      <c r="U145" s="204">
        <f>ROUND(SUM(U135+U141),1)</f>
        <v>0</v>
      </c>
      <c r="V145" s="202"/>
      <c r="W145" s="204">
        <f>ROUND(SUM(W135+W141),1)</f>
        <v>0</v>
      </c>
      <c r="X145" s="202"/>
      <c r="Y145" s="204">
        <f>ROUND(SUM(Y135+Y141),1)</f>
        <v>0</v>
      </c>
      <c r="Z145" s="202"/>
      <c r="AA145" s="203"/>
      <c r="AB145" s="204">
        <f>ROUND(SUM(AB135+AB141),1)</f>
        <v>5130.2</v>
      </c>
      <c r="AC145" s="202"/>
      <c r="AD145" s="203"/>
      <c r="AE145" s="204">
        <f>ROUND(SUM(AE135+AE141),1)</f>
        <v>5528.8</v>
      </c>
      <c r="AF145" s="11"/>
      <c r="AG145" s="1547"/>
      <c r="AH145" s="870">
        <f>ROUND(SUM(AB145-AE145),1)</f>
        <v>-398.6</v>
      </c>
      <c r="AI145" s="40"/>
      <c r="AJ145" s="612">
        <f>ROUND(SUM(AH145/ABS(AE145)),3)</f>
        <v>-7.1999999999999995E-2</v>
      </c>
      <c r="AK145" s="129"/>
    </row>
    <row r="146" spans="1:37" ht="15.5">
      <c r="A146" s="40"/>
      <c r="C146" s="1012"/>
      <c r="E146" s="1012"/>
      <c r="G146" s="1012"/>
      <c r="I146" s="1012"/>
      <c r="K146" s="1012"/>
      <c r="M146" s="1012"/>
      <c r="O146" s="1012"/>
      <c r="Q146" s="1012"/>
      <c r="S146" s="1012"/>
      <c r="U146" s="1012"/>
      <c r="W146" s="1012"/>
      <c r="Y146" s="1012"/>
      <c r="AA146" s="205"/>
      <c r="AB146" s="1012"/>
      <c r="AD146" s="205"/>
      <c r="AE146" s="1022"/>
      <c r="AF146" s="11"/>
      <c r="AG146" s="1547"/>
      <c r="AH146" s="268"/>
      <c r="AI146" s="268"/>
      <c r="AJ146" s="268"/>
    </row>
    <row r="147" spans="1:37" ht="16" thickBot="1">
      <c r="A147" s="206" t="s">
        <v>433</v>
      </c>
      <c r="C147" s="207">
        <f>ROUND(SUM(C16+C145),1)</f>
        <v>74144.399999999994</v>
      </c>
      <c r="D147" s="67"/>
      <c r="E147" s="207">
        <f>ROUND(SUM(E16+E145),1)</f>
        <v>0</v>
      </c>
      <c r="F147" s="67"/>
      <c r="G147" s="207">
        <f>ROUND(SUM(G16+G145),1)</f>
        <v>0</v>
      </c>
      <c r="H147" s="67"/>
      <c r="I147" s="207">
        <f>ROUND(SUM(I16+I145),1)</f>
        <v>0</v>
      </c>
      <c r="J147" s="208"/>
      <c r="K147" s="207">
        <f>ROUND(SUM(K16+K145),1)</f>
        <v>0</v>
      </c>
      <c r="L147" s="208"/>
      <c r="M147" s="207">
        <f>ROUND(SUM(M16+M145),1)</f>
        <v>0</v>
      </c>
      <c r="N147" s="208"/>
      <c r="O147" s="207">
        <f>ROUND(SUM(O16+O145),1)</f>
        <v>0</v>
      </c>
      <c r="P147" s="208"/>
      <c r="Q147" s="207">
        <f>ROUND(SUM(Q16+Q145),1)</f>
        <v>0</v>
      </c>
      <c r="R147" s="208"/>
      <c r="S147" s="207">
        <f>ROUND(SUM(S16+S145),1)</f>
        <v>0</v>
      </c>
      <c r="T147" s="208"/>
      <c r="U147" s="207">
        <f>ROUND(SUM(U16+U145),1)</f>
        <v>0</v>
      </c>
      <c r="V147" s="208"/>
      <c r="W147" s="207">
        <f>ROUND(SUM(W16+W145),1)</f>
        <v>0</v>
      </c>
      <c r="X147" s="208"/>
      <c r="Y147" s="207">
        <f>ROUND(SUM(Y16+Y145),1)</f>
        <v>0</v>
      </c>
      <c r="Z147" s="67"/>
      <c r="AA147" s="209"/>
      <c r="AB147" s="207">
        <f>ROUND(SUM(AB16+AB145),1)</f>
        <v>74144.399999999994</v>
      </c>
      <c r="AC147" s="67"/>
      <c r="AD147" s="209"/>
      <c r="AE147" s="207">
        <f>ROUND(SUM(AE16+AE145),1)</f>
        <v>72850.7</v>
      </c>
      <c r="AF147" s="11"/>
      <c r="AG147" s="1547"/>
      <c r="AH147" s="207">
        <f>ROUND(SUM(AB147-AE147),1)</f>
        <v>1293.7</v>
      </c>
      <c r="AI147" s="40"/>
      <c r="AJ147" s="77">
        <f>ROUND(SUM(AH147/ABS(AE147)),3)</f>
        <v>1.7999999999999999E-2</v>
      </c>
      <c r="AK147" s="129"/>
    </row>
    <row r="148" spans="1:37" ht="16" thickTop="1">
      <c r="A148" s="210"/>
      <c r="AH148" s="268"/>
      <c r="AI148" s="268"/>
      <c r="AJ148" s="268"/>
    </row>
    <row r="149" spans="1:37" ht="15.5">
      <c r="A149" s="284" t="s">
        <v>439</v>
      </c>
      <c r="O149" s="58" t="s">
        <v>103</v>
      </c>
      <c r="AH149" s="268"/>
      <c r="AI149" s="268"/>
      <c r="AJ149" s="268"/>
    </row>
    <row r="150" spans="1:37" ht="15.5">
      <c r="A150" s="284" t="s">
        <v>440</v>
      </c>
      <c r="AB150" s="58" t="s">
        <v>103</v>
      </c>
      <c r="AH150" s="268"/>
      <c r="AI150" s="268"/>
      <c r="AJ150" s="268"/>
    </row>
    <row r="151" spans="1:37" ht="15.5">
      <c r="A151" s="429" t="s">
        <v>441</v>
      </c>
      <c r="AB151" s="58" t="s">
        <v>103</v>
      </c>
      <c r="AH151" s="268"/>
      <c r="AI151" s="268"/>
      <c r="AJ151" s="268"/>
    </row>
    <row r="152" spans="1:37" ht="16.5" customHeight="1">
      <c r="AH152" s="268"/>
      <c r="AI152" s="268"/>
      <c r="AJ152" s="268"/>
    </row>
    <row r="153" spans="1:37" ht="16.5" customHeight="1">
      <c r="AH153" s="268"/>
      <c r="AI153" s="268"/>
      <c r="AJ153" s="268"/>
    </row>
    <row r="154" spans="1:37" ht="16.5" customHeight="1">
      <c r="AH154" s="268"/>
      <c r="AI154" s="268"/>
      <c r="AJ154" s="268"/>
    </row>
    <row r="155" spans="1:37" ht="16.5" customHeight="1">
      <c r="AH155" s="268"/>
      <c r="AI155" s="268"/>
      <c r="AJ155" s="268"/>
    </row>
    <row r="156" spans="1:37" ht="16.5" customHeight="1">
      <c r="AH156" s="268"/>
      <c r="AI156" s="268"/>
      <c r="AJ156" s="268"/>
    </row>
    <row r="157" spans="1:37" ht="16.5" customHeight="1">
      <c r="AH157" s="268"/>
      <c r="AI157" s="268"/>
      <c r="AJ157" s="268"/>
    </row>
    <row r="158" spans="1:37" ht="16.5" customHeight="1">
      <c r="AH158" s="268"/>
      <c r="AI158" s="268"/>
      <c r="AJ158" s="268"/>
    </row>
    <row r="159" spans="1:37" ht="16.5" customHeight="1">
      <c r="AH159" s="268"/>
      <c r="AI159" s="268"/>
      <c r="AJ159" s="268"/>
    </row>
    <row r="160" spans="1:37" ht="16.5" customHeight="1">
      <c r="AH160" s="268"/>
      <c r="AI160" s="268"/>
      <c r="AJ160" s="268"/>
    </row>
    <row r="161" spans="34:36" ht="16.5" customHeight="1">
      <c r="AH161" s="268"/>
      <c r="AI161" s="268"/>
      <c r="AJ161" s="268"/>
    </row>
    <row r="162" spans="34:36" ht="16.5" customHeight="1">
      <c r="AH162" s="268"/>
      <c r="AI162" s="268"/>
      <c r="AJ162" s="268"/>
    </row>
    <row r="163" spans="34:36" ht="16.5" customHeight="1">
      <c r="AH163" s="268"/>
      <c r="AI163" s="268"/>
      <c r="AJ163" s="268"/>
    </row>
    <row r="164" spans="34:36" ht="16.5" customHeight="1">
      <c r="AH164" s="268"/>
      <c r="AI164" s="268"/>
      <c r="AJ164" s="268"/>
    </row>
    <row r="165" spans="34:36" ht="16.5" customHeight="1">
      <c r="AH165" s="268"/>
      <c r="AI165" s="268"/>
      <c r="AJ165" s="268"/>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35:AI35 AJ35 AJ95 AH24 AB26 AJ33 AJ97" formula="1"/>
    <ignoredError sqref="AJ87 AJ69 AJ71:AJ72 AJ74:AJ77 AJ114 AJ36 AJ34"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L148"/>
  <sheetViews>
    <sheetView showGridLines="0" zoomScale="70" zoomScaleNormal="70" workbookViewId="0"/>
  </sheetViews>
  <sheetFormatPr defaultColWidth="8.84375" defaultRowHeight="12.5"/>
  <cols>
    <col min="1" max="1" width="2.53515625" style="56" customWidth="1"/>
    <col min="2" max="2" width="39.84375" style="56" customWidth="1"/>
    <col min="3" max="3" width="1.07421875" style="56" customWidth="1"/>
    <col min="4" max="4" width="12.4609375" style="56" bestFit="1" customWidth="1"/>
    <col min="5" max="5" width="1.84375" style="56" customWidth="1"/>
    <col min="6" max="6" width="12.84375" style="56" bestFit="1" customWidth="1"/>
    <col min="7" max="7" width="1.84375" style="56" customWidth="1"/>
    <col min="8" max="8" width="12.84375" style="56" bestFit="1" customWidth="1"/>
    <col min="9" max="9" width="1.84375" style="56" customWidth="1"/>
    <col min="10" max="10" width="13.84375" style="699" customWidth="1"/>
    <col min="11" max="11" width="1.84375" style="56" customWidth="1"/>
    <col min="12" max="12" width="12.84375" style="56" bestFit="1" customWidth="1"/>
    <col min="13" max="13" width="1.84375" style="56" customWidth="1"/>
    <col min="14" max="14" width="13.84375" style="56" customWidth="1"/>
    <col min="15" max="15" width="1.84375" style="56" customWidth="1"/>
    <col min="16" max="16" width="12.84375" style="56" bestFit="1" customWidth="1"/>
    <col min="17" max="17" width="1.84375" style="56" customWidth="1"/>
    <col min="18" max="18" width="12.07421875" style="56" customWidth="1"/>
    <col min="19" max="19" width="1.84375" style="56" customWidth="1"/>
    <col min="20" max="20" width="14.84375" style="56" customWidth="1"/>
    <col min="21" max="21" width="1.84375" style="56" customWidth="1"/>
    <col min="22" max="22" width="12.07421875" style="56" customWidth="1"/>
    <col min="23" max="23" width="1.84375" style="56" customWidth="1"/>
    <col min="24" max="24" width="12.84375" style="56" customWidth="1"/>
    <col min="25" max="25" width="1.84375" style="56" customWidth="1"/>
    <col min="26" max="26" width="14.53515625" style="56" customWidth="1"/>
    <col min="27" max="28" width="1.07421875" style="56" customWidth="1"/>
    <col min="29" max="29" width="13.07421875" style="56" customWidth="1"/>
    <col min="30" max="31" width="1.07421875" style="56" customWidth="1"/>
    <col min="32" max="32" width="15.07421875" style="56" customWidth="1"/>
    <col min="33" max="34" width="1.07421875" style="56" customWidth="1"/>
    <col min="35" max="35" width="13.07421875" style="56" customWidth="1"/>
    <col min="36" max="36" width="1" style="56" customWidth="1"/>
    <col min="37" max="37" width="13.84375" style="700" customWidth="1"/>
    <col min="38" max="38" width="10.07421875" style="56" customWidth="1"/>
    <col min="39" max="16384" width="8.84375" style="56"/>
  </cols>
  <sheetData>
    <row r="1" spans="1:38" ht="15.5">
      <c r="B1" s="284" t="s">
        <v>97</v>
      </c>
    </row>
    <row r="2" spans="1:38">
      <c r="A2" s="63"/>
      <c r="B2" s="63"/>
      <c r="C2" s="63"/>
      <c r="D2" s="63"/>
      <c r="E2" s="63"/>
      <c r="F2" s="63"/>
      <c r="G2" s="63"/>
      <c r="H2" s="63"/>
      <c r="I2" s="63"/>
      <c r="J2" s="423"/>
      <c r="K2" s="63"/>
      <c r="L2" s="63"/>
      <c r="M2" s="63"/>
      <c r="N2" s="63"/>
      <c r="O2" s="63"/>
      <c r="P2" s="63"/>
      <c r="Q2" s="63"/>
      <c r="R2" s="63"/>
      <c r="S2" s="63"/>
      <c r="T2" s="63"/>
      <c r="U2" s="63"/>
      <c r="V2" s="63"/>
      <c r="W2" s="63"/>
      <c r="X2" s="63"/>
      <c r="Y2" s="63"/>
      <c r="Z2" s="63"/>
      <c r="AA2" s="63"/>
      <c r="AB2" s="63"/>
      <c r="AC2" s="63"/>
      <c r="AD2" s="63"/>
      <c r="AE2" s="63"/>
      <c r="AF2" s="63"/>
      <c r="AG2" s="63"/>
    </row>
    <row r="3" spans="1:38" ht="18">
      <c r="A3" s="63"/>
      <c r="B3" s="64" t="s">
        <v>98</v>
      </c>
      <c r="C3" s="63"/>
      <c r="D3" s="63"/>
      <c r="E3" s="63"/>
      <c r="F3" s="39"/>
      <c r="G3" s="63"/>
      <c r="H3" s="63"/>
      <c r="I3" s="63"/>
      <c r="J3" s="423"/>
      <c r="K3" s="63"/>
      <c r="L3" s="63"/>
      <c r="M3" s="3"/>
      <c r="N3" s="57"/>
      <c r="O3" s="63"/>
      <c r="P3" s="63"/>
      <c r="Q3" s="63"/>
      <c r="R3" s="63"/>
      <c r="S3" s="63"/>
      <c r="T3" s="63"/>
      <c r="U3" s="63"/>
      <c r="V3" s="63"/>
      <c r="W3" s="63"/>
      <c r="X3" s="63"/>
      <c r="Y3" s="63"/>
      <c r="Z3" s="63"/>
      <c r="AA3" s="63"/>
      <c r="AB3" s="63"/>
      <c r="AC3" s="63"/>
      <c r="AD3" s="63"/>
      <c r="AE3" s="63"/>
      <c r="AF3" s="63"/>
      <c r="AG3" s="63"/>
      <c r="AK3" s="66" t="s">
        <v>442</v>
      </c>
    </row>
    <row r="4" spans="1:38" ht="18">
      <c r="A4" s="63"/>
      <c r="B4" s="65" t="s">
        <v>443</v>
      </c>
      <c r="C4" s="63"/>
      <c r="D4" s="63"/>
      <c r="E4" s="63"/>
      <c r="F4" s="39"/>
      <c r="G4" s="63"/>
      <c r="H4" s="63" t="s">
        <v>103</v>
      </c>
      <c r="I4" s="63"/>
      <c r="J4" s="423"/>
      <c r="K4" s="63"/>
      <c r="L4" s="63"/>
      <c r="M4" s="3"/>
      <c r="N4" s="57"/>
      <c r="O4" s="63"/>
      <c r="P4" s="63"/>
      <c r="Q4" s="63"/>
      <c r="R4" s="63"/>
      <c r="S4" s="63"/>
      <c r="T4" s="63"/>
      <c r="U4" s="63"/>
      <c r="V4" s="63"/>
      <c r="W4" s="63"/>
      <c r="X4" s="63"/>
      <c r="Y4" s="63"/>
      <c r="Z4" s="63"/>
      <c r="AA4" s="63"/>
      <c r="AB4" s="63"/>
      <c r="AC4" s="701"/>
      <c r="AD4" s="701"/>
      <c r="AE4" s="701"/>
      <c r="AF4" s="701"/>
      <c r="AG4" s="701"/>
    </row>
    <row r="5" spans="1:38" ht="18">
      <c r="A5" s="63"/>
      <c r="B5" s="65" t="s">
        <v>444</v>
      </c>
      <c r="C5" s="63"/>
      <c r="D5" s="63"/>
      <c r="E5" s="63"/>
      <c r="F5" s="39"/>
      <c r="G5" s="63"/>
      <c r="H5" s="63"/>
      <c r="I5" s="63"/>
      <c r="J5" s="423"/>
      <c r="K5" s="63"/>
      <c r="L5" s="63"/>
      <c r="M5" s="3"/>
      <c r="N5" s="57"/>
      <c r="O5" s="63"/>
      <c r="P5" s="63"/>
      <c r="Q5" s="63"/>
      <c r="R5" s="63"/>
      <c r="S5" s="63"/>
      <c r="T5" s="63"/>
      <c r="U5" s="63"/>
      <c r="V5" s="63"/>
      <c r="W5" s="63"/>
      <c r="X5" s="63"/>
      <c r="Y5" s="63"/>
      <c r="Z5" s="63"/>
      <c r="AA5" s="63"/>
      <c r="AB5" s="63"/>
      <c r="AD5" s="854"/>
      <c r="AE5" s="854"/>
    </row>
    <row r="6" spans="1:38" ht="18" customHeight="1">
      <c r="A6" s="63"/>
      <c r="B6" s="541" t="str">
        <f>'Cashflow Governmental'!A6</f>
        <v>FISCAL YEAR 2026-2027</v>
      </c>
      <c r="C6" s="63"/>
      <c r="D6" s="63"/>
      <c r="E6" s="63"/>
      <c r="F6" s="39"/>
      <c r="G6" s="63"/>
      <c r="H6" s="63"/>
      <c r="I6" s="63"/>
      <c r="J6" s="423"/>
      <c r="K6" s="63"/>
      <c r="L6" s="63"/>
      <c r="M6" s="3"/>
      <c r="N6" s="57"/>
      <c r="O6" s="63"/>
      <c r="P6" s="63"/>
      <c r="Q6" s="63"/>
      <c r="R6" s="63"/>
      <c r="S6" s="63"/>
      <c r="T6" s="63"/>
      <c r="U6" s="63"/>
      <c r="V6" s="63"/>
      <c r="W6" s="63"/>
      <c r="X6" s="63"/>
      <c r="Y6" s="63"/>
      <c r="Z6" s="63"/>
      <c r="AA6" s="63"/>
      <c r="AB6" s="63"/>
      <c r="AC6" s="63"/>
      <c r="AD6" s="63"/>
      <c r="AE6" s="63"/>
      <c r="AF6" s="63"/>
      <c r="AG6" s="63"/>
    </row>
    <row r="7" spans="1:38" ht="15" customHeight="1">
      <c r="A7" s="63"/>
      <c r="B7" s="65" t="s">
        <v>102</v>
      </c>
      <c r="C7" s="63"/>
      <c r="D7" s="63"/>
      <c r="E7" s="63"/>
      <c r="F7" s="39"/>
      <c r="G7" s="63"/>
      <c r="H7" s="63"/>
      <c r="I7" s="63"/>
      <c r="J7" s="423"/>
      <c r="K7" s="63"/>
      <c r="L7" s="57"/>
      <c r="M7" s="3"/>
      <c r="N7" s="63"/>
      <c r="O7" s="63"/>
      <c r="P7" s="1275"/>
      <c r="Q7" s="63"/>
      <c r="R7" s="63"/>
      <c r="S7" s="63"/>
      <c r="T7" s="63"/>
      <c r="U7" s="63"/>
      <c r="V7" s="63"/>
      <c r="W7" s="63"/>
      <c r="X7" s="63"/>
      <c r="Y7" s="63"/>
      <c r="Z7" s="63"/>
      <c r="AA7" s="63"/>
      <c r="AB7" s="63"/>
      <c r="AC7" s="63"/>
      <c r="AD7" s="63"/>
      <c r="AE7" s="63"/>
      <c r="AF7" s="63"/>
      <c r="AG7" s="63"/>
    </row>
    <row r="8" spans="1:38" ht="15" customHeight="1">
      <c r="A8" s="63"/>
      <c r="B8" s="65"/>
      <c r="C8" s="63"/>
      <c r="D8" s="63"/>
      <c r="E8" s="63"/>
      <c r="F8" s="39"/>
      <c r="G8" s="63"/>
      <c r="H8" s="63"/>
      <c r="I8" s="63"/>
      <c r="J8" s="423"/>
      <c r="K8" s="63"/>
      <c r="L8" s="57"/>
      <c r="M8" s="3"/>
      <c r="N8" s="63"/>
      <c r="O8" s="63"/>
      <c r="P8" s="1275"/>
      <c r="Q8" s="63"/>
      <c r="R8" s="63"/>
      <c r="S8" s="63"/>
      <c r="T8" s="63"/>
      <c r="U8" s="63"/>
      <c r="V8" s="63"/>
      <c r="W8" s="63"/>
      <c r="X8" s="63"/>
      <c r="Y8" s="63"/>
      <c r="Z8" s="63"/>
      <c r="AA8" s="63"/>
      <c r="AB8" s="63"/>
      <c r="AC8" s="63"/>
      <c r="AD8" s="63"/>
      <c r="AE8" s="63"/>
      <c r="AF8" s="63"/>
      <c r="AG8" s="63"/>
    </row>
    <row r="9" spans="1:38" ht="15.5">
      <c r="A9" s="63"/>
      <c r="B9" s="63"/>
      <c r="C9" s="63"/>
      <c r="D9" s="1119"/>
      <c r="E9" s="63"/>
      <c r="F9" s="39"/>
      <c r="G9" s="63"/>
      <c r="H9" s="63"/>
      <c r="I9" s="63"/>
      <c r="J9" s="423"/>
      <c r="K9" s="63"/>
      <c r="L9" s="63"/>
      <c r="M9" s="63"/>
      <c r="N9" s="63"/>
      <c r="O9" s="63"/>
      <c r="P9" s="63"/>
      <c r="Q9" s="63"/>
      <c r="R9" s="63"/>
      <c r="S9" s="63"/>
      <c r="T9" s="63"/>
      <c r="U9" s="63"/>
      <c r="V9" s="63"/>
      <c r="W9" s="63"/>
      <c r="X9" s="63"/>
      <c r="Y9" s="63"/>
      <c r="Z9" s="63"/>
      <c r="AA9" s="63"/>
      <c r="AB9" s="2066" t="str">
        <f>'Cashflow Governmental'!$AB$12</f>
        <v>1 Month Ended April 30</v>
      </c>
      <c r="AC9" s="2066"/>
      <c r="AD9" s="2066"/>
      <c r="AE9" s="2066"/>
      <c r="AF9" s="2066"/>
      <c r="AG9" s="2066"/>
      <c r="AH9" s="2066"/>
      <c r="AI9" s="2066"/>
      <c r="AJ9" s="2066"/>
      <c r="AK9" s="2066"/>
    </row>
    <row r="10" spans="1:38" ht="15" customHeight="1">
      <c r="A10" s="63"/>
      <c r="B10" s="364"/>
      <c r="C10" s="364"/>
      <c r="D10" s="1112" t="str">
        <f>'Cashflow Governmental'!C13</f>
        <v>2026</v>
      </c>
      <c r="E10" s="187"/>
      <c r="F10" s="187"/>
      <c r="G10" s="187"/>
      <c r="H10" s="187"/>
      <c r="I10" s="187"/>
      <c r="J10" s="187"/>
      <c r="K10" s="187"/>
      <c r="L10" s="187"/>
      <c r="M10" s="187"/>
      <c r="N10" s="187"/>
      <c r="O10" s="187"/>
      <c r="P10" s="187"/>
      <c r="Q10" s="187"/>
      <c r="R10" s="187"/>
      <c r="S10" s="187"/>
      <c r="T10" s="187"/>
      <c r="U10" s="187"/>
      <c r="V10" s="559">
        <f>'Cashflow Governmental'!U13</f>
        <v>2027</v>
      </c>
      <c r="W10" s="187"/>
      <c r="X10" s="187"/>
      <c r="Y10" s="187"/>
      <c r="Z10" s="187"/>
      <c r="AA10" s="57"/>
      <c r="AB10" s="3"/>
      <c r="AC10" s="57"/>
      <c r="AD10" s="3"/>
      <c r="AE10" s="3"/>
      <c r="AF10" s="57"/>
      <c r="AG10" s="57"/>
      <c r="AH10" s="59"/>
      <c r="AI10" s="319" t="s">
        <v>110</v>
      </c>
      <c r="AJ10" s="57"/>
      <c r="AK10" s="320" t="s">
        <v>111</v>
      </c>
    </row>
    <row r="11" spans="1:38" ht="15" customHeight="1">
      <c r="A11" s="63"/>
      <c r="B11" s="364"/>
      <c r="C11" s="364"/>
      <c r="D11" s="52" t="s">
        <v>329</v>
      </c>
      <c r="E11" s="3"/>
      <c r="F11" s="1113" t="s">
        <v>330</v>
      </c>
      <c r="G11" s="3"/>
      <c r="H11" s="1113" t="s">
        <v>331</v>
      </c>
      <c r="I11" s="3"/>
      <c r="J11" s="17" t="s">
        <v>332</v>
      </c>
      <c r="K11" s="3"/>
      <c r="L11" s="320" t="s">
        <v>333</v>
      </c>
      <c r="M11" s="3"/>
      <c r="N11" s="320" t="s">
        <v>445</v>
      </c>
      <c r="O11" s="3"/>
      <c r="P11" s="320" t="s">
        <v>446</v>
      </c>
      <c r="Q11" s="3"/>
      <c r="R11" s="320" t="s">
        <v>336</v>
      </c>
      <c r="S11" s="3"/>
      <c r="T11" s="320" t="s">
        <v>337</v>
      </c>
      <c r="U11" s="3"/>
      <c r="V11" s="320" t="s">
        <v>338</v>
      </c>
      <c r="W11" s="3"/>
      <c r="X11" s="320" t="s">
        <v>339</v>
      </c>
      <c r="Y11" s="3"/>
      <c r="Z11" s="320" t="s">
        <v>447</v>
      </c>
      <c r="AA11" s="320"/>
      <c r="AB11" s="3"/>
      <c r="AC11" s="1023" t="str">
        <f>'Cashflow Governmental'!AB14</f>
        <v>2026</v>
      </c>
      <c r="AD11" s="3" t="s">
        <v>103</v>
      </c>
      <c r="AE11" s="3"/>
      <c r="AF11" s="1023" t="str">
        <f>'Cashflow Governmental'!AE14</f>
        <v>2025</v>
      </c>
      <c r="AG11" s="702"/>
      <c r="AH11" s="59"/>
      <c r="AI11" s="1221" t="s">
        <v>112</v>
      </c>
      <c r="AJ11" s="57"/>
      <c r="AK11" s="990" t="s">
        <v>113</v>
      </c>
    </row>
    <row r="12" spans="1:38" ht="5.25" customHeight="1">
      <c r="A12" s="63"/>
      <c r="B12" s="364"/>
      <c r="C12" s="364"/>
      <c r="D12" s="989" t="s">
        <v>103</v>
      </c>
      <c r="E12" s="364"/>
      <c r="F12" s="1114"/>
      <c r="G12" s="364"/>
      <c r="H12" s="989"/>
      <c r="I12" s="364"/>
      <c r="J12" s="616"/>
      <c r="K12" s="364"/>
      <c r="L12" s="989"/>
      <c r="M12" s="364"/>
      <c r="N12" s="989"/>
      <c r="O12" s="364"/>
      <c r="P12" s="989"/>
      <c r="Q12" s="364"/>
      <c r="R12" s="989"/>
      <c r="S12" s="364"/>
      <c r="T12" s="989"/>
      <c r="U12" s="364"/>
      <c r="V12" s="989"/>
      <c r="W12" s="364"/>
      <c r="X12" s="989"/>
      <c r="Y12" s="364"/>
      <c r="Z12" s="989"/>
      <c r="AA12" s="364"/>
      <c r="AB12" s="364"/>
      <c r="AC12" s="364"/>
      <c r="AD12" s="364"/>
      <c r="AE12" s="364"/>
      <c r="AF12" s="364"/>
      <c r="AG12" s="364"/>
    </row>
    <row r="13" spans="1:38" ht="15" customHeight="1">
      <c r="A13" s="35"/>
      <c r="B13" s="6" t="s">
        <v>341</v>
      </c>
      <c r="C13" s="291"/>
      <c r="D13" s="82">
        <v>56177.599999999999</v>
      </c>
      <c r="E13" s="82"/>
      <c r="F13" s="82"/>
      <c r="G13" s="82"/>
      <c r="H13" s="82"/>
      <c r="I13" s="45"/>
      <c r="J13" s="82"/>
      <c r="K13" s="45"/>
      <c r="L13" s="82"/>
      <c r="M13" s="45"/>
      <c r="N13" s="82"/>
      <c r="O13" s="45"/>
      <c r="P13" s="82"/>
      <c r="Q13" s="45"/>
      <c r="R13" s="82"/>
      <c r="S13" s="20"/>
      <c r="T13" s="82"/>
      <c r="U13" s="20"/>
      <c r="V13" s="82"/>
      <c r="W13" s="20"/>
      <c r="X13" s="82"/>
      <c r="Y13" s="20"/>
      <c r="Z13" s="82"/>
      <c r="AA13" s="45"/>
      <c r="AB13" s="704"/>
      <c r="AC13" s="20">
        <f>D13</f>
        <v>56177.599999999999</v>
      </c>
      <c r="AD13" s="45"/>
      <c r="AE13" s="704"/>
      <c r="AF13" s="1949">
        <v>56915.8</v>
      </c>
      <c r="AG13" s="45"/>
      <c r="AH13" s="705"/>
      <c r="AI13" s="20">
        <f>ROUND(SUM(+AC13-AF13),1)</f>
        <v>-738.2</v>
      </c>
      <c r="AJ13" s="706"/>
      <c r="AK13" s="281">
        <f>ROUND(IF(AF13=0,0,AI13/ABS(AF13)),3)</f>
        <v>-1.2999999999999999E-2</v>
      </c>
      <c r="AL13" s="1532"/>
    </row>
    <row r="14" spans="1:38" ht="15" customHeight="1">
      <c r="A14" s="35"/>
      <c r="B14" s="291"/>
      <c r="C14" s="291"/>
      <c r="D14" s="291"/>
      <c r="E14" s="291"/>
      <c r="F14" s="385"/>
      <c r="G14" s="291"/>
      <c r="H14" s="385"/>
      <c r="I14" s="291"/>
      <c r="J14" s="385"/>
      <c r="K14" s="291"/>
      <c r="L14" s="385"/>
      <c r="M14" s="291"/>
      <c r="N14" s="364"/>
      <c r="O14" s="291"/>
      <c r="P14" s="364"/>
      <c r="Q14" s="291"/>
      <c r="R14" s="364"/>
      <c r="S14" s="291"/>
      <c r="T14" s="364"/>
      <c r="U14" s="291"/>
      <c r="V14" s="364"/>
      <c r="W14" s="291"/>
      <c r="X14" s="364"/>
      <c r="Y14" s="291"/>
      <c r="Z14" s="364"/>
      <c r="AA14" s="364"/>
      <c r="AB14" s="855"/>
      <c r="AC14" s="364"/>
      <c r="AD14" s="291"/>
      <c r="AE14" s="855"/>
      <c r="AF14" s="364"/>
      <c r="AG14" s="364"/>
      <c r="AH14" s="703"/>
      <c r="AI14" s="63"/>
      <c r="AJ14" s="63"/>
      <c r="AK14" s="328"/>
      <c r="AL14" s="1532"/>
    </row>
    <row r="15" spans="1:38" ht="15" customHeight="1">
      <c r="A15" s="35"/>
      <c r="B15" s="3" t="s">
        <v>114</v>
      </c>
      <c r="C15" s="291"/>
      <c r="D15" s="291"/>
      <c r="E15" s="291"/>
      <c r="F15" s="364"/>
      <c r="G15" s="291"/>
      <c r="H15" s="364"/>
      <c r="I15" s="291"/>
      <c r="J15" s="364"/>
      <c r="K15" s="291"/>
      <c r="L15" s="364"/>
      <c r="M15" s="291"/>
      <c r="N15" s="364"/>
      <c r="O15" s="291"/>
      <c r="P15" s="364"/>
      <c r="Q15" s="291"/>
      <c r="R15" s="364"/>
      <c r="S15" s="291"/>
      <c r="T15" s="364"/>
      <c r="U15" s="291"/>
      <c r="V15" s="364"/>
      <c r="W15" s="291"/>
      <c r="X15" s="364"/>
      <c r="Y15" s="291"/>
      <c r="Z15" s="364"/>
      <c r="AA15" s="364"/>
      <c r="AB15" s="855"/>
      <c r="AC15" s="364"/>
      <c r="AD15" s="291"/>
      <c r="AE15" s="855"/>
      <c r="AF15" s="364"/>
      <c r="AG15" s="364"/>
      <c r="AH15" s="703"/>
      <c r="AI15" s="63"/>
      <c r="AJ15" s="63"/>
      <c r="AK15" s="328"/>
      <c r="AL15" s="1532"/>
    </row>
    <row r="16" spans="1:38" ht="15" customHeight="1">
      <c r="A16" s="35"/>
      <c r="B16" s="1218" t="s">
        <v>342</v>
      </c>
      <c r="C16" s="291"/>
      <c r="D16" s="291"/>
      <c r="E16" s="291"/>
      <c r="F16" s="364"/>
      <c r="G16" s="291"/>
      <c r="H16" s="364"/>
      <c r="I16" s="291"/>
      <c r="J16" s="364"/>
      <c r="K16" s="291"/>
      <c r="L16" s="364"/>
      <c r="M16" s="291"/>
      <c r="N16" s="364"/>
      <c r="O16" s="291"/>
      <c r="P16" s="364"/>
      <c r="Q16" s="291"/>
      <c r="R16" s="364"/>
      <c r="S16" s="291"/>
      <c r="T16" s="364"/>
      <c r="U16" s="291"/>
      <c r="V16" s="364"/>
      <c r="W16" s="291"/>
      <c r="X16" s="364"/>
      <c r="Y16" s="291"/>
      <c r="Z16" s="364"/>
      <c r="AA16" s="364"/>
      <c r="AB16" s="855"/>
      <c r="AC16" s="364"/>
      <c r="AD16" s="291"/>
      <c r="AE16" s="855"/>
      <c r="AF16" s="364"/>
      <c r="AG16" s="364"/>
      <c r="AH16" s="703"/>
      <c r="AI16" s="63"/>
      <c r="AJ16" s="63"/>
      <c r="AK16" s="328"/>
      <c r="AL16" s="1532"/>
    </row>
    <row r="17" spans="1:38" ht="15" customHeight="1">
      <c r="A17" s="35"/>
      <c r="B17" s="413" t="s">
        <v>435</v>
      </c>
      <c r="C17" s="291"/>
      <c r="D17" s="291"/>
      <c r="E17" s="291"/>
      <c r="F17" s="364"/>
      <c r="G17" s="291"/>
      <c r="H17" s="364"/>
      <c r="I17" s="291"/>
      <c r="J17" s="364"/>
      <c r="K17" s="291"/>
      <c r="L17" s="364"/>
      <c r="M17" s="291"/>
      <c r="N17" s="364"/>
      <c r="O17" s="291"/>
      <c r="P17" s="364"/>
      <c r="Q17" s="291"/>
      <c r="R17" s="364"/>
      <c r="S17" s="291"/>
      <c r="T17" s="364"/>
      <c r="U17" s="291"/>
      <c r="V17" s="364"/>
      <c r="W17" s="291"/>
      <c r="X17" s="364"/>
      <c r="Y17" s="291"/>
      <c r="Z17" s="364"/>
      <c r="AA17" s="364"/>
      <c r="AB17" s="855"/>
      <c r="AC17" s="364"/>
      <c r="AD17" s="291"/>
      <c r="AE17" s="855"/>
      <c r="AF17" s="364"/>
      <c r="AG17" s="364"/>
      <c r="AH17" s="703"/>
      <c r="AI17" s="63"/>
      <c r="AJ17" s="63"/>
      <c r="AK17" s="328"/>
      <c r="AL17" s="1532"/>
    </row>
    <row r="18" spans="1:38" ht="15" customHeight="1">
      <c r="A18" s="35"/>
      <c r="B18" s="284" t="s">
        <v>344</v>
      </c>
      <c r="C18" s="291"/>
      <c r="D18" s="532">
        <f>AC18</f>
        <v>5407.3</v>
      </c>
      <c r="E18" s="513"/>
      <c r="F18" s="532"/>
      <c r="G18" s="513"/>
      <c r="H18" s="532"/>
      <c r="I18" s="527"/>
      <c r="J18" s="532"/>
      <c r="K18" s="513"/>
      <c r="L18" s="532"/>
      <c r="M18" s="554"/>
      <c r="N18" s="532"/>
      <c r="O18" s="554"/>
      <c r="P18" s="532"/>
      <c r="Q18" s="554"/>
      <c r="R18" s="532"/>
      <c r="S18" s="513"/>
      <c r="T18" s="532"/>
      <c r="U18" s="513"/>
      <c r="V18" s="532"/>
      <c r="W18" s="513"/>
      <c r="X18" s="532"/>
      <c r="Y18" s="513"/>
      <c r="Z18" s="532"/>
      <c r="AA18" s="289"/>
      <c r="AB18" s="525"/>
      <c r="AC18" s="532">
        <v>5407.3</v>
      </c>
      <c r="AD18" s="264"/>
      <c r="AE18" s="525" t="s">
        <v>103</v>
      </c>
      <c r="AF18" s="532">
        <v>4965.8999999999996</v>
      </c>
      <c r="AG18" s="364"/>
      <c r="AH18" s="703"/>
      <c r="AI18" s="264">
        <f>ROUND(SUM(+AC18-AF18),1)</f>
        <v>441.4</v>
      </c>
      <c r="AJ18" s="63"/>
      <c r="AK18" s="266">
        <f t="shared" ref="AK18:AK22" si="0">ROUND(IF(AF18=0,0,AI18/ABS(AF18)),3)</f>
        <v>8.8999999999999996E-2</v>
      </c>
      <c r="AL18" s="1795"/>
    </row>
    <row r="19" spans="1:38" ht="15" customHeight="1">
      <c r="A19" s="35"/>
      <c r="B19" s="284" t="s">
        <v>345</v>
      </c>
      <c r="C19" s="291"/>
      <c r="D19" s="532">
        <f t="shared" ref="D19:D22" si="1">AC19</f>
        <v>7071.9</v>
      </c>
      <c r="E19" s="513"/>
      <c r="F19" s="532"/>
      <c r="G19" s="513"/>
      <c r="H19" s="532"/>
      <c r="I19" s="291"/>
      <c r="J19" s="532"/>
      <c r="K19" s="554"/>
      <c r="L19" s="532"/>
      <c r="M19" s="554"/>
      <c r="N19" s="532"/>
      <c r="O19" s="554"/>
      <c r="P19" s="532"/>
      <c r="Q19" s="554"/>
      <c r="R19" s="532"/>
      <c r="S19" s="513"/>
      <c r="T19" s="532"/>
      <c r="U19" s="554"/>
      <c r="V19" s="532"/>
      <c r="W19" s="513"/>
      <c r="X19" s="532"/>
      <c r="Y19" s="554"/>
      <c r="Z19" s="532"/>
      <c r="AA19" s="289"/>
      <c r="AB19" s="525"/>
      <c r="AC19" s="532">
        <v>7071.9</v>
      </c>
      <c r="AD19" s="264"/>
      <c r="AE19" s="525" t="s">
        <v>103</v>
      </c>
      <c r="AF19" s="532">
        <v>6505.2</v>
      </c>
      <c r="AG19" s="364"/>
      <c r="AH19" s="703"/>
      <c r="AI19" s="264">
        <f>ROUND(SUM(+AC19-AF19),1)</f>
        <v>566.70000000000005</v>
      </c>
      <c r="AJ19" s="63"/>
      <c r="AK19" s="543">
        <f t="shared" si="0"/>
        <v>8.6999999999999994E-2</v>
      </c>
      <c r="AL19" s="1795"/>
    </row>
    <row r="20" spans="1:38" ht="15" customHeight="1">
      <c r="A20" s="35"/>
      <c r="B20" s="284" t="s">
        <v>346</v>
      </c>
      <c r="C20" s="291"/>
      <c r="D20" s="532">
        <f t="shared" si="1"/>
        <v>3100.3</v>
      </c>
      <c r="E20" s="513"/>
      <c r="F20" s="532"/>
      <c r="G20" s="513"/>
      <c r="H20" s="532"/>
      <c r="I20" s="291"/>
      <c r="J20" s="532"/>
      <c r="K20" s="554"/>
      <c r="L20" s="532"/>
      <c r="M20" s="554"/>
      <c r="N20" s="532"/>
      <c r="O20" s="554"/>
      <c r="P20" s="532"/>
      <c r="Q20" s="554"/>
      <c r="R20" s="532"/>
      <c r="S20" s="513"/>
      <c r="T20" s="532"/>
      <c r="U20" s="554"/>
      <c r="V20" s="532"/>
      <c r="W20" s="513"/>
      <c r="X20" s="532"/>
      <c r="Y20" s="554"/>
      <c r="Z20" s="532"/>
      <c r="AA20" s="289"/>
      <c r="AB20" s="525"/>
      <c r="AC20" s="532">
        <v>3100.3</v>
      </c>
      <c r="AD20" s="264"/>
      <c r="AE20" s="525" t="s">
        <v>103</v>
      </c>
      <c r="AF20" s="532">
        <v>2871</v>
      </c>
      <c r="AG20" s="364"/>
      <c r="AH20" s="703"/>
      <c r="AI20" s="264">
        <f>ROUND(SUM(+AC20-AF20),1)</f>
        <v>229.3</v>
      </c>
      <c r="AJ20" s="63"/>
      <c r="AK20" s="266">
        <f t="shared" si="0"/>
        <v>0.08</v>
      </c>
      <c r="AL20" s="1795"/>
    </row>
    <row r="21" spans="1:38" s="1210" customFormat="1" ht="15" customHeight="1">
      <c r="A21" s="1201"/>
      <c r="B21" s="1202" t="s">
        <v>347</v>
      </c>
      <c r="C21" s="1203"/>
      <c r="D21" s="532">
        <f t="shared" si="1"/>
        <v>-553.5</v>
      </c>
      <c r="E21" s="1108"/>
      <c r="F21" s="532"/>
      <c r="G21" s="1108"/>
      <c r="H21" s="532"/>
      <c r="I21" s="1203"/>
      <c r="J21" s="532"/>
      <c r="K21" s="1204"/>
      <c r="L21" s="532"/>
      <c r="M21" s="1204"/>
      <c r="N21" s="532"/>
      <c r="O21" s="1204"/>
      <c r="P21" s="532"/>
      <c r="Q21" s="1204"/>
      <c r="R21" s="532"/>
      <c r="S21" s="1108"/>
      <c r="T21" s="532"/>
      <c r="U21" s="1204"/>
      <c r="V21" s="532"/>
      <c r="W21" s="1108"/>
      <c r="X21" s="532"/>
      <c r="Y21" s="1204"/>
      <c r="Z21" s="532"/>
      <c r="AA21" s="1205"/>
      <c r="AB21" s="1206"/>
      <c r="AC21" s="1194">
        <v>-553.5</v>
      </c>
      <c r="AD21" s="1195"/>
      <c r="AE21" s="1206" t="s">
        <v>103</v>
      </c>
      <c r="AF21" s="1194">
        <v>-541.79999999999995</v>
      </c>
      <c r="AG21" s="1207"/>
      <c r="AH21" s="1208"/>
      <c r="AI21" s="1195">
        <f>-ROUND(SUM(+AC21-AF21),1)</f>
        <v>11.7</v>
      </c>
      <c r="AJ21" s="1209"/>
      <c r="AK21" s="1193">
        <f t="shared" si="0"/>
        <v>2.1999999999999999E-2</v>
      </c>
      <c r="AL21" s="1795"/>
    </row>
    <row r="22" spans="1:38" ht="15" customHeight="1">
      <c r="A22" s="35"/>
      <c r="B22" s="421" t="s">
        <v>348</v>
      </c>
      <c r="C22" s="291"/>
      <c r="D22" s="532">
        <f t="shared" si="1"/>
        <v>253.6</v>
      </c>
      <c r="E22" s="513"/>
      <c r="F22" s="532"/>
      <c r="G22" s="513"/>
      <c r="H22" s="532"/>
      <c r="I22" s="291"/>
      <c r="J22" s="532"/>
      <c r="K22" s="554"/>
      <c r="L22" s="532"/>
      <c r="M22" s="554"/>
      <c r="N22" s="532"/>
      <c r="O22" s="554"/>
      <c r="P22" s="532"/>
      <c r="Q22" s="554"/>
      <c r="R22" s="532"/>
      <c r="S22" s="513"/>
      <c r="T22" s="532"/>
      <c r="U22" s="554"/>
      <c r="V22" s="532"/>
      <c r="W22" s="513"/>
      <c r="X22" s="532"/>
      <c r="Y22" s="554"/>
      <c r="Z22" s="532"/>
      <c r="AA22" s="289"/>
      <c r="AB22" s="525"/>
      <c r="AC22" s="532">
        <v>253.6</v>
      </c>
      <c r="AD22" s="264"/>
      <c r="AE22" s="525" t="s">
        <v>103</v>
      </c>
      <c r="AF22" s="532">
        <v>275.89999999999998</v>
      </c>
      <c r="AG22" s="364"/>
      <c r="AH22" s="703"/>
      <c r="AI22" s="264">
        <f>ROUND(SUM(+AC22-AF22),1)</f>
        <v>-22.3</v>
      </c>
      <c r="AJ22" s="63"/>
      <c r="AK22" s="266">
        <f t="shared" si="0"/>
        <v>-8.1000000000000003E-2</v>
      </c>
      <c r="AL22" s="1795"/>
    </row>
    <row r="23" spans="1:38" ht="15" customHeight="1">
      <c r="A23" s="35"/>
      <c r="B23" s="285" t="s">
        <v>349</v>
      </c>
      <c r="C23" s="291"/>
      <c r="D23" s="674">
        <f>ROUND(SUM(D18:D22),1)</f>
        <v>15279.6</v>
      </c>
      <c r="E23" s="291"/>
      <c r="F23" s="674">
        <f>ROUND(SUM(F18:F22),1)</f>
        <v>0</v>
      </c>
      <c r="G23" s="291"/>
      <c r="H23" s="674">
        <f>ROUND(SUM(H18:H22),1)</f>
        <v>0</v>
      </c>
      <c r="I23" s="291"/>
      <c r="J23" s="674">
        <f>ROUND(SUM(J18:J22),1)</f>
        <v>0</v>
      </c>
      <c r="K23" s="291"/>
      <c r="L23" s="674">
        <f>ROUND(SUM(L18:L22),1)</f>
        <v>0</v>
      </c>
      <c r="M23" s="291"/>
      <c r="N23" s="674">
        <f>ROUND(SUM(N18:N22),1)</f>
        <v>0</v>
      </c>
      <c r="O23" s="264"/>
      <c r="P23" s="674">
        <f>ROUND(SUM(P18:P22),1)</f>
        <v>0</v>
      </c>
      <c r="Q23" s="264"/>
      <c r="R23" s="674">
        <f>ROUND(SUM(R18:R22),1)</f>
        <v>0</v>
      </c>
      <c r="S23" s="13"/>
      <c r="T23" s="674">
        <f>ROUND(SUM(T18:T22),1)</f>
        <v>0</v>
      </c>
      <c r="U23" s="264"/>
      <c r="V23" s="674">
        <f>ROUND(SUM(V18:V22),1)</f>
        <v>0</v>
      </c>
      <c r="W23" s="264"/>
      <c r="X23" s="674">
        <f>ROUND(SUM(X18:X22),1)</f>
        <v>0</v>
      </c>
      <c r="Y23" s="264"/>
      <c r="Z23" s="674">
        <f>ROUND(SUM(Z18:Z22),1)</f>
        <v>0</v>
      </c>
      <c r="AA23" s="364"/>
      <c r="AB23" s="855"/>
      <c r="AC23" s="674">
        <f>ROUND(SUM(AC18:AC22),1)</f>
        <v>15279.6</v>
      </c>
      <c r="AD23" s="291"/>
      <c r="AE23" s="855" t="s">
        <v>103</v>
      </c>
      <c r="AF23" s="674">
        <f>ROUND(SUM(AF18:AF22),1)</f>
        <v>14076.2</v>
      </c>
      <c r="AG23" s="364"/>
      <c r="AH23" s="703"/>
      <c r="AI23" s="674">
        <f>ROUND(SUM(AC23-AF23),1)</f>
        <v>1203.4000000000001</v>
      </c>
      <c r="AJ23" s="63"/>
      <c r="AK23" s="924">
        <f>ROUND(SUM(+AI23/AF23),3)</f>
        <v>8.5000000000000006E-2</v>
      </c>
      <c r="AL23" s="1795"/>
    </row>
    <row r="24" spans="1:38" ht="15" customHeight="1">
      <c r="A24" s="35"/>
      <c r="B24" s="421" t="s">
        <v>350</v>
      </c>
      <c r="C24" s="291"/>
      <c r="D24" s="532">
        <f>AC24</f>
        <v>0</v>
      </c>
      <c r="E24" s="513"/>
      <c r="F24" s="532"/>
      <c r="G24" s="513"/>
      <c r="H24" s="532"/>
      <c r="I24" s="291"/>
      <c r="J24" s="532"/>
      <c r="K24" s="554"/>
      <c r="L24" s="532"/>
      <c r="M24" s="554"/>
      <c r="N24" s="532"/>
      <c r="O24" s="554"/>
      <c r="P24" s="532"/>
      <c r="Q24" s="554"/>
      <c r="R24" s="532"/>
      <c r="S24" s="554"/>
      <c r="T24" s="532"/>
      <c r="U24" s="554"/>
      <c r="V24" s="532"/>
      <c r="W24" s="554"/>
      <c r="X24" s="532"/>
      <c r="Y24" s="554"/>
      <c r="Z24" s="532"/>
      <c r="AA24" s="289"/>
      <c r="AB24" s="525"/>
      <c r="AC24" s="1194">
        <v>0</v>
      </c>
      <c r="AD24" s="264"/>
      <c r="AE24" s="525" t="s">
        <v>103</v>
      </c>
      <c r="AF24" s="1194">
        <v>0</v>
      </c>
      <c r="AG24" s="364"/>
      <c r="AH24" s="703"/>
      <c r="AI24" s="264">
        <f>-ROUND(SUM(+AC24-AF24),1)</f>
        <v>0</v>
      </c>
      <c r="AJ24" s="63"/>
      <c r="AK24" s="266">
        <f>ROUND(IF(AF24=0,0,AI24/ABS(AF24)),3)</f>
        <v>0</v>
      </c>
      <c r="AL24" s="1795"/>
    </row>
    <row r="25" spans="1:38" ht="15" customHeight="1">
      <c r="A25" s="35"/>
      <c r="B25" s="421" t="s">
        <v>351</v>
      </c>
      <c r="C25" s="291"/>
      <c r="D25" s="532">
        <f t="shared" ref="D25:D26" si="2">AC25</f>
        <v>-5227.2</v>
      </c>
      <c r="E25" s="513"/>
      <c r="F25" s="532"/>
      <c r="G25" s="513"/>
      <c r="H25" s="532"/>
      <c r="I25" s="291"/>
      <c r="J25" s="532"/>
      <c r="K25" s="554"/>
      <c r="L25" s="532"/>
      <c r="M25" s="554"/>
      <c r="N25" s="532"/>
      <c r="O25" s="554"/>
      <c r="P25" s="532"/>
      <c r="Q25" s="554"/>
      <c r="R25" s="532"/>
      <c r="S25" s="554"/>
      <c r="T25" s="532"/>
      <c r="U25" s="554"/>
      <c r="V25" s="532"/>
      <c r="W25" s="554"/>
      <c r="X25" s="532"/>
      <c r="Y25" s="554"/>
      <c r="Z25" s="532"/>
      <c r="AA25" s="289"/>
      <c r="AB25" s="525"/>
      <c r="AC25" s="1194">
        <v>-5227.2</v>
      </c>
      <c r="AD25" s="264"/>
      <c r="AE25" s="525" t="s">
        <v>103</v>
      </c>
      <c r="AF25" s="1194">
        <v>-4846.8</v>
      </c>
      <c r="AG25" s="364"/>
      <c r="AH25" s="703"/>
      <c r="AI25" s="264">
        <f>-ROUND(SUM(+AC25-AF25),1)</f>
        <v>380.4</v>
      </c>
      <c r="AJ25" s="63"/>
      <c r="AK25" s="266">
        <f>ROUND(IF(AF25=0,0,AI25/ABS(AF25)),3)</f>
        <v>7.8E-2</v>
      </c>
      <c r="AL25" s="1795"/>
    </row>
    <row r="26" spans="1:38" ht="15" customHeight="1">
      <c r="A26" s="35"/>
      <c r="B26" s="284" t="s">
        <v>352</v>
      </c>
      <c r="C26" s="291"/>
      <c r="D26" s="532">
        <f t="shared" si="2"/>
        <v>-4825.2</v>
      </c>
      <c r="E26" s="513"/>
      <c r="F26" s="532"/>
      <c r="G26" s="513"/>
      <c r="H26" s="532"/>
      <c r="I26" s="291"/>
      <c r="J26" s="532"/>
      <c r="K26" s="554"/>
      <c r="L26" s="532"/>
      <c r="M26" s="554"/>
      <c r="N26" s="532"/>
      <c r="O26" s="554"/>
      <c r="P26" s="532"/>
      <c r="Q26" s="554"/>
      <c r="R26" s="532"/>
      <c r="S26" s="554"/>
      <c r="T26" s="532"/>
      <c r="U26" s="554"/>
      <c r="V26" s="532"/>
      <c r="W26" s="554"/>
      <c r="X26" s="532"/>
      <c r="Y26" s="554"/>
      <c r="Z26" s="532"/>
      <c r="AA26" s="289"/>
      <c r="AB26" s="525"/>
      <c r="AC26" s="1194">
        <v>-4825.2</v>
      </c>
      <c r="AD26" s="264"/>
      <c r="AE26" s="525" t="s">
        <v>103</v>
      </c>
      <c r="AF26" s="1194">
        <v>-4382.6000000000004</v>
      </c>
      <c r="AG26" s="364"/>
      <c r="AH26" s="703"/>
      <c r="AI26" s="264">
        <f>-ROUND(SUM(+AC26-AF26),1)</f>
        <v>442.6</v>
      </c>
      <c r="AJ26" s="63"/>
      <c r="AK26" s="266">
        <f>ROUND(IF(AF26=0,0,AI26/ABS(AF26)),3)</f>
        <v>0.10100000000000001</v>
      </c>
      <c r="AL26" s="1795"/>
    </row>
    <row r="27" spans="1:38" ht="15" customHeight="1">
      <c r="A27" s="35"/>
      <c r="B27" s="83" t="s">
        <v>353</v>
      </c>
      <c r="C27" s="364"/>
      <c r="D27" s="674">
        <f>ROUND(SUM(D23:D26),1)</f>
        <v>5227.2</v>
      </c>
      <c r="E27" s="264"/>
      <c r="F27" s="674">
        <f>ROUND(SUM(F23:F26),1)</f>
        <v>0</v>
      </c>
      <c r="G27" s="264"/>
      <c r="H27" s="674">
        <f>ROUND(SUM(H23:H26),1)</f>
        <v>0</v>
      </c>
      <c r="I27" s="264"/>
      <c r="J27" s="674">
        <f>ROUND(SUM(J23:J26),1)</f>
        <v>0</v>
      </c>
      <c r="K27" s="264"/>
      <c r="L27" s="674">
        <f>ROUND(SUM(L23:L26),1)</f>
        <v>0</v>
      </c>
      <c r="M27" s="264"/>
      <c r="N27" s="674">
        <f>ROUND(SUM(N23:N26),1)</f>
        <v>0</v>
      </c>
      <c r="O27" s="264"/>
      <c r="P27" s="674">
        <f>ROUND(SUM(P23:P26),1)</f>
        <v>0</v>
      </c>
      <c r="Q27" s="264"/>
      <c r="R27" s="674">
        <f>ROUND(SUM(R23:R26),1)</f>
        <v>0</v>
      </c>
      <c r="S27" s="13"/>
      <c r="T27" s="674">
        <f>ROUND(SUM(T23:T26),1)</f>
        <v>0</v>
      </c>
      <c r="U27" s="264"/>
      <c r="V27" s="674">
        <f>ROUND(SUM(V23:V26),1)</f>
        <v>0</v>
      </c>
      <c r="W27" s="264"/>
      <c r="X27" s="674">
        <f>ROUND(SUM(X23:X26),1)</f>
        <v>0</v>
      </c>
      <c r="Y27" s="264"/>
      <c r="Z27" s="674">
        <f>ROUND(SUM(Z23:Z26),1)</f>
        <v>0</v>
      </c>
      <c r="AA27" s="268"/>
      <c r="AB27" s="855"/>
      <c r="AC27" s="674">
        <f>ROUND(SUM(AC23:AC26),1)</f>
        <v>5227.2</v>
      </c>
      <c r="AD27" s="264"/>
      <c r="AE27" s="524" t="s">
        <v>103</v>
      </c>
      <c r="AF27" s="674">
        <f>ROUND(SUM(AF23:AF26),1)</f>
        <v>4846.8</v>
      </c>
      <c r="AG27" s="264"/>
      <c r="AH27" s="707"/>
      <c r="AI27" s="674">
        <f>ROUND(SUM(AI23-AI24-AI25-AI26),1)</f>
        <v>380.4</v>
      </c>
      <c r="AJ27" s="264"/>
      <c r="AK27" s="924">
        <f>ROUND(SUM(+AI27/AF27),3)</f>
        <v>7.8E-2</v>
      </c>
      <c r="AL27" s="1795"/>
    </row>
    <row r="28" spans="1:38" ht="15" customHeight="1">
      <c r="A28" s="35"/>
      <c r="B28" s="413" t="s">
        <v>354</v>
      </c>
      <c r="C28" s="364"/>
      <c r="D28" s="13"/>
      <c r="E28" s="264"/>
      <c r="F28" s="13"/>
      <c r="G28" s="264"/>
      <c r="H28" s="13"/>
      <c r="I28" s="264"/>
      <c r="J28" s="13"/>
      <c r="K28" s="264"/>
      <c r="L28" s="13"/>
      <c r="M28" s="264"/>
      <c r="N28" s="13"/>
      <c r="O28" s="264"/>
      <c r="P28" s="13"/>
      <c r="Q28" s="264"/>
      <c r="R28" s="13"/>
      <c r="S28" s="264"/>
      <c r="T28" s="13"/>
      <c r="U28" s="264"/>
      <c r="V28" s="13"/>
      <c r="W28" s="264"/>
      <c r="X28" s="13"/>
      <c r="Y28" s="264"/>
      <c r="Z28" s="13"/>
      <c r="AA28" s="268"/>
      <c r="AB28" s="855"/>
      <c r="AC28" s="13"/>
      <c r="AD28" s="264"/>
      <c r="AE28" s="524" t="s">
        <v>103</v>
      </c>
      <c r="AF28" s="13"/>
      <c r="AG28" s="264"/>
      <c r="AH28" s="707"/>
      <c r="AI28" s="13"/>
      <c r="AJ28" s="264"/>
      <c r="AK28" s="74"/>
      <c r="AL28" s="1795"/>
    </row>
    <row r="29" spans="1:38" ht="15" customHeight="1">
      <c r="A29" s="35"/>
      <c r="B29" s="284" t="s">
        <v>355</v>
      </c>
      <c r="C29" s="364"/>
      <c r="D29" s="532">
        <f>AC29</f>
        <v>803.8</v>
      </c>
      <c r="E29" s="513"/>
      <c r="F29" s="532"/>
      <c r="G29" s="513"/>
      <c r="H29" s="532"/>
      <c r="I29" s="264"/>
      <c r="J29" s="532"/>
      <c r="K29" s="554"/>
      <c r="L29" s="532"/>
      <c r="M29" s="554"/>
      <c r="N29" s="532"/>
      <c r="O29" s="554"/>
      <c r="P29" s="532"/>
      <c r="Q29" s="554"/>
      <c r="R29" s="532"/>
      <c r="S29" s="554"/>
      <c r="T29" s="532"/>
      <c r="U29" s="554"/>
      <c r="V29" s="532"/>
      <c r="W29" s="554"/>
      <c r="X29" s="532"/>
      <c r="Y29" s="554"/>
      <c r="Z29" s="532"/>
      <c r="AA29" s="289"/>
      <c r="AB29" s="525"/>
      <c r="AC29" s="1194">
        <v>803.8</v>
      </c>
      <c r="AD29" s="264"/>
      <c r="AE29" s="525" t="s">
        <v>103</v>
      </c>
      <c r="AF29" s="1194">
        <v>738.2</v>
      </c>
      <c r="AG29" s="264"/>
      <c r="AH29" s="707"/>
      <c r="AI29" s="264">
        <f t="shared" ref="AI29:AI35" si="3">ROUND(SUM(+AC29-AF29),1)</f>
        <v>65.599999999999994</v>
      </c>
      <c r="AJ29" s="264"/>
      <c r="AK29" s="266">
        <f t="shared" ref="AK29:AK37" si="4">ROUND(IF(AF29=0,0,AI29/ABS(AF29)),3)</f>
        <v>8.8999999999999996E-2</v>
      </c>
      <c r="AL29" s="1795"/>
    </row>
    <row r="30" spans="1:38" ht="15" customHeight="1">
      <c r="A30" s="35"/>
      <c r="B30" s="284" t="s">
        <v>356</v>
      </c>
      <c r="C30" s="364"/>
      <c r="D30" s="532">
        <f t="shared" ref="D30:D37" si="5">AC30</f>
        <v>0</v>
      </c>
      <c r="E30" s="513"/>
      <c r="F30" s="532"/>
      <c r="G30" s="513"/>
      <c r="H30" s="532"/>
      <c r="I30" s="264"/>
      <c r="J30" s="532"/>
      <c r="K30" s="554"/>
      <c r="L30" s="532"/>
      <c r="M30" s="554"/>
      <c r="N30" s="532"/>
      <c r="O30" s="554"/>
      <c r="P30" s="532"/>
      <c r="Q30" s="554"/>
      <c r="R30" s="532"/>
      <c r="S30" s="554"/>
      <c r="T30" s="532"/>
      <c r="U30" s="554"/>
      <c r="V30" s="532"/>
      <c r="W30" s="554"/>
      <c r="X30" s="532"/>
      <c r="Y30" s="554"/>
      <c r="Z30" s="532"/>
      <c r="AA30" s="289"/>
      <c r="AB30" s="525"/>
      <c r="AC30" s="532">
        <v>0</v>
      </c>
      <c r="AD30" s="264"/>
      <c r="AE30" s="525" t="s">
        <v>103</v>
      </c>
      <c r="AF30" s="532">
        <v>0</v>
      </c>
      <c r="AG30" s="264"/>
      <c r="AH30" s="707"/>
      <c r="AI30" s="264">
        <f t="shared" si="3"/>
        <v>0</v>
      </c>
      <c r="AJ30" s="264"/>
      <c r="AK30" s="266">
        <f t="shared" si="4"/>
        <v>0</v>
      </c>
      <c r="AL30" s="1795"/>
    </row>
    <row r="31" spans="1:38" ht="15" customHeight="1">
      <c r="A31" s="35"/>
      <c r="B31" s="284" t="s">
        <v>357</v>
      </c>
      <c r="C31" s="364"/>
      <c r="D31" s="532">
        <f t="shared" si="5"/>
        <v>22.99</v>
      </c>
      <c r="E31" s="513"/>
      <c r="F31" s="532"/>
      <c r="G31" s="513"/>
      <c r="H31" s="532"/>
      <c r="I31" s="264"/>
      <c r="J31" s="532"/>
      <c r="K31" s="554"/>
      <c r="L31" s="532"/>
      <c r="M31" s="554"/>
      <c r="N31" s="532"/>
      <c r="O31" s="554"/>
      <c r="P31" s="532"/>
      <c r="Q31" s="554"/>
      <c r="R31" s="532"/>
      <c r="S31" s="554"/>
      <c r="T31" s="532"/>
      <c r="U31" s="554"/>
      <c r="V31" s="532"/>
      <c r="W31" s="554"/>
      <c r="X31" s="532"/>
      <c r="Y31" s="554"/>
      <c r="Z31" s="532"/>
      <c r="AA31" s="289"/>
      <c r="AB31" s="525"/>
      <c r="AC31" s="532">
        <v>22.99</v>
      </c>
      <c r="AD31" s="264"/>
      <c r="AE31" s="525" t="s">
        <v>103</v>
      </c>
      <c r="AF31" s="532">
        <v>25.3</v>
      </c>
      <c r="AG31" s="264"/>
      <c r="AH31" s="707"/>
      <c r="AI31" s="264">
        <f t="shared" si="3"/>
        <v>-2.2999999999999998</v>
      </c>
      <c r="AJ31" s="264"/>
      <c r="AK31" s="266">
        <f t="shared" si="4"/>
        <v>-9.0999999999999998E-2</v>
      </c>
      <c r="AL31" s="1795"/>
    </row>
    <row r="32" spans="1:38" ht="15" customHeight="1">
      <c r="A32" s="35"/>
      <c r="B32" s="284" t="s">
        <v>359</v>
      </c>
      <c r="C32" s="364"/>
      <c r="D32" s="532">
        <f t="shared" si="5"/>
        <v>0</v>
      </c>
      <c r="E32" s="513"/>
      <c r="F32" s="532"/>
      <c r="G32" s="513"/>
      <c r="H32" s="532"/>
      <c r="I32" s="264"/>
      <c r="J32" s="532"/>
      <c r="K32" s="554"/>
      <c r="L32" s="532"/>
      <c r="M32" s="554"/>
      <c r="N32" s="532"/>
      <c r="O32" s="554"/>
      <c r="P32" s="532"/>
      <c r="Q32" s="554"/>
      <c r="R32" s="532"/>
      <c r="S32" s="554"/>
      <c r="T32" s="532"/>
      <c r="U32" s="554"/>
      <c r="V32" s="532"/>
      <c r="W32" s="554"/>
      <c r="X32" s="532"/>
      <c r="Y32" s="554"/>
      <c r="Z32" s="532"/>
      <c r="AA32" s="289"/>
      <c r="AB32" s="525"/>
      <c r="AC32" s="532">
        <v>0</v>
      </c>
      <c r="AD32" s="264"/>
      <c r="AE32" s="525" t="s">
        <v>103</v>
      </c>
      <c r="AF32" s="532">
        <v>0</v>
      </c>
      <c r="AG32" s="264"/>
      <c r="AH32" s="707"/>
      <c r="AI32" s="264">
        <f t="shared" si="3"/>
        <v>0</v>
      </c>
      <c r="AJ32" s="264"/>
      <c r="AK32" s="266">
        <f t="shared" si="4"/>
        <v>0</v>
      </c>
      <c r="AL32" s="1795"/>
    </row>
    <row r="33" spans="1:38" ht="15" customHeight="1">
      <c r="A33" s="35"/>
      <c r="B33" s="422" t="s">
        <v>360</v>
      </c>
      <c r="C33" s="364"/>
      <c r="D33" s="532">
        <f t="shared" si="5"/>
        <v>-0.4</v>
      </c>
      <c r="E33" s="513"/>
      <c r="F33" s="532"/>
      <c r="G33" s="513"/>
      <c r="H33" s="532"/>
      <c r="I33" s="264"/>
      <c r="J33" s="532"/>
      <c r="K33" s="554"/>
      <c r="L33" s="532"/>
      <c r="M33" s="554"/>
      <c r="N33" s="532"/>
      <c r="O33" s="554"/>
      <c r="P33" s="532"/>
      <c r="Q33" s="554"/>
      <c r="R33" s="532"/>
      <c r="S33" s="554"/>
      <c r="T33" s="532"/>
      <c r="U33" s="554"/>
      <c r="V33" s="532"/>
      <c r="W33" s="554"/>
      <c r="X33" s="532"/>
      <c r="Y33" s="554"/>
      <c r="Z33" s="532"/>
      <c r="AA33" s="289"/>
      <c r="AB33" s="525"/>
      <c r="AC33" s="532">
        <v>-0.4</v>
      </c>
      <c r="AD33" s="264"/>
      <c r="AE33" s="525" t="s">
        <v>103</v>
      </c>
      <c r="AF33" s="532">
        <v>0.1</v>
      </c>
      <c r="AG33" s="264"/>
      <c r="AH33" s="707"/>
      <c r="AI33" s="264">
        <f t="shared" ref="AI33" si="6">ROUND(SUM(+AC33-AF33),1)</f>
        <v>-0.5</v>
      </c>
      <c r="AJ33" s="264"/>
      <c r="AK33" s="543">
        <f>ROUND(IF(AF33=0,1,AI33/ABS(AF33)),3)</f>
        <v>-5</v>
      </c>
      <c r="AL33" s="1795"/>
    </row>
    <row r="34" spans="1:38" ht="15" customHeight="1">
      <c r="A34" s="35"/>
      <c r="B34" s="284" t="s">
        <v>361</v>
      </c>
      <c r="C34" s="364"/>
      <c r="D34" s="532">
        <f t="shared" si="5"/>
        <v>22.1</v>
      </c>
      <c r="E34" s="513"/>
      <c r="F34" s="532"/>
      <c r="G34" s="513"/>
      <c r="H34" s="532"/>
      <c r="I34" s="264"/>
      <c r="J34" s="532"/>
      <c r="K34" s="554"/>
      <c r="L34" s="532"/>
      <c r="M34" s="554"/>
      <c r="N34" s="532"/>
      <c r="O34" s="554"/>
      <c r="P34" s="532"/>
      <c r="Q34" s="554"/>
      <c r="R34" s="532"/>
      <c r="S34" s="554"/>
      <c r="T34" s="532"/>
      <c r="U34" s="554"/>
      <c r="V34" s="532"/>
      <c r="W34" s="554"/>
      <c r="X34" s="532"/>
      <c r="Y34" s="554"/>
      <c r="Z34" s="532"/>
      <c r="AA34" s="289"/>
      <c r="AB34" s="525"/>
      <c r="AC34" s="532">
        <v>22.1</v>
      </c>
      <c r="AD34" s="264"/>
      <c r="AE34" s="525" t="s">
        <v>103</v>
      </c>
      <c r="AF34" s="532">
        <v>21.7</v>
      </c>
      <c r="AG34" s="264"/>
      <c r="AH34" s="707"/>
      <c r="AI34" s="264">
        <f t="shared" si="3"/>
        <v>0.4</v>
      </c>
      <c r="AJ34" s="264"/>
      <c r="AK34" s="266">
        <f t="shared" si="4"/>
        <v>1.7999999999999999E-2</v>
      </c>
      <c r="AL34" s="1795"/>
    </row>
    <row r="35" spans="1:38" ht="15" customHeight="1">
      <c r="A35" s="35"/>
      <c r="B35" s="284" t="s">
        <v>362</v>
      </c>
      <c r="C35" s="364"/>
      <c r="D35" s="532">
        <f t="shared" si="5"/>
        <v>0</v>
      </c>
      <c r="E35" s="513"/>
      <c r="F35" s="532"/>
      <c r="G35" s="513"/>
      <c r="H35" s="532"/>
      <c r="I35" s="264"/>
      <c r="J35" s="532"/>
      <c r="K35" s="554"/>
      <c r="L35" s="532"/>
      <c r="M35" s="554"/>
      <c r="N35" s="532"/>
      <c r="O35" s="554"/>
      <c r="P35" s="532"/>
      <c r="Q35" s="554"/>
      <c r="R35" s="532"/>
      <c r="S35" s="554"/>
      <c r="T35" s="532"/>
      <c r="U35" s="554"/>
      <c r="V35" s="532"/>
      <c r="W35" s="554"/>
      <c r="X35" s="532"/>
      <c r="Y35" s="554"/>
      <c r="Z35" s="532"/>
      <c r="AA35" s="289"/>
      <c r="AB35" s="525"/>
      <c r="AC35" s="532">
        <v>0</v>
      </c>
      <c r="AD35" s="264"/>
      <c r="AE35" s="525" t="s">
        <v>103</v>
      </c>
      <c r="AF35" s="532">
        <v>0</v>
      </c>
      <c r="AG35" s="264"/>
      <c r="AH35" s="707"/>
      <c r="AI35" s="264">
        <f t="shared" si="3"/>
        <v>0</v>
      </c>
      <c r="AJ35" s="264"/>
      <c r="AK35" s="266">
        <f t="shared" si="4"/>
        <v>0</v>
      </c>
      <c r="AL35" s="1795"/>
    </row>
    <row r="36" spans="1:38" ht="15" customHeight="1">
      <c r="A36" s="35"/>
      <c r="B36" s="284" t="s">
        <v>437</v>
      </c>
      <c r="C36" s="364"/>
      <c r="D36" s="532">
        <f t="shared" si="5"/>
        <v>0</v>
      </c>
      <c r="E36" s="513"/>
      <c r="F36" s="532"/>
      <c r="G36" s="513"/>
      <c r="H36" s="532"/>
      <c r="I36" s="264"/>
      <c r="J36" s="532"/>
      <c r="K36" s="554"/>
      <c r="L36" s="532"/>
      <c r="M36" s="554"/>
      <c r="N36" s="532"/>
      <c r="O36" s="554"/>
      <c r="P36" s="532"/>
      <c r="Q36" s="554"/>
      <c r="R36" s="532"/>
      <c r="S36" s="554"/>
      <c r="T36" s="532"/>
      <c r="U36" s="554"/>
      <c r="V36" s="532"/>
      <c r="W36" s="554"/>
      <c r="X36" s="532"/>
      <c r="Y36" s="554"/>
      <c r="Z36" s="532"/>
      <c r="AA36" s="289"/>
      <c r="AB36" s="525"/>
      <c r="AC36" s="532">
        <v>0</v>
      </c>
      <c r="AD36" s="264"/>
      <c r="AE36" s="525" t="s">
        <v>103</v>
      </c>
      <c r="AF36" s="532">
        <v>0</v>
      </c>
      <c r="AG36" s="264"/>
      <c r="AH36" s="707"/>
      <c r="AI36" s="264">
        <f>ROUND(SUM(+AC36-AF36),1)</f>
        <v>0</v>
      </c>
      <c r="AJ36" s="264"/>
      <c r="AK36" s="266">
        <f>ROUND(IF(AF36=0,0,AI36/ABS(AF36)),3)</f>
        <v>0</v>
      </c>
      <c r="AL36" s="1795"/>
    </row>
    <row r="37" spans="1:38" ht="15" customHeight="1">
      <c r="A37" s="35"/>
      <c r="B37" s="284" t="s">
        <v>364</v>
      </c>
      <c r="C37" s="364"/>
      <c r="D37" s="532">
        <f t="shared" si="5"/>
        <v>4.5999999999999996</v>
      </c>
      <c r="E37" s="513"/>
      <c r="F37" s="532"/>
      <c r="G37" s="513"/>
      <c r="H37" s="532"/>
      <c r="I37" s="264"/>
      <c r="J37" s="532"/>
      <c r="K37" s="554"/>
      <c r="L37" s="532"/>
      <c r="M37" s="554"/>
      <c r="N37" s="532"/>
      <c r="O37" s="554"/>
      <c r="P37" s="532"/>
      <c r="Q37" s="554"/>
      <c r="R37" s="532"/>
      <c r="S37" s="554"/>
      <c r="T37" s="532"/>
      <c r="U37" s="554"/>
      <c r="V37" s="532"/>
      <c r="W37" s="554"/>
      <c r="X37" s="532"/>
      <c r="Y37" s="554"/>
      <c r="Z37" s="532"/>
      <c r="AA37" s="289"/>
      <c r="AB37" s="525"/>
      <c r="AC37" s="532">
        <v>4.5999999999999996</v>
      </c>
      <c r="AD37" s="264"/>
      <c r="AE37" s="525" t="s">
        <v>103</v>
      </c>
      <c r="AF37" s="532">
        <v>4.9000000000000004</v>
      </c>
      <c r="AG37" s="264"/>
      <c r="AH37" s="707"/>
      <c r="AI37" s="264">
        <f t="shared" ref="AI37" si="7">ROUND(SUM(+AC37-AF37),1)</f>
        <v>-0.3</v>
      </c>
      <c r="AJ37" s="264"/>
      <c r="AK37" s="266">
        <f t="shared" si="4"/>
        <v>-6.0999999999999999E-2</v>
      </c>
      <c r="AL37" s="1795"/>
    </row>
    <row r="38" spans="1:38" s="59" customFormat="1" ht="15" customHeight="1">
      <c r="A38" s="418"/>
      <c r="B38" s="83" t="s">
        <v>365</v>
      </c>
      <c r="C38" s="57"/>
      <c r="D38" s="674">
        <f>ROUND(SUM(D29:D37),1)</f>
        <v>853.1</v>
      </c>
      <c r="E38" s="13"/>
      <c r="F38" s="674">
        <f>ROUND(SUM(F29:F37),1)</f>
        <v>0</v>
      </c>
      <c r="G38" s="13"/>
      <c r="H38" s="674">
        <f>ROUND(SUM(H29:H37),1)</f>
        <v>0</v>
      </c>
      <c r="I38" s="13"/>
      <c r="J38" s="674">
        <f>ROUND(SUM(J29:J37),1)</f>
        <v>0</v>
      </c>
      <c r="K38" s="13"/>
      <c r="L38" s="674">
        <f>ROUND(SUM(L29:L37),1)</f>
        <v>0</v>
      </c>
      <c r="M38" s="13"/>
      <c r="N38" s="674">
        <f>ROUND(SUM(N29:N37),1)</f>
        <v>0</v>
      </c>
      <c r="O38" s="13"/>
      <c r="P38" s="674">
        <f>ROUND(SUM(P29:P37),1)</f>
        <v>0</v>
      </c>
      <c r="Q38" s="13"/>
      <c r="R38" s="674">
        <f>ROUND(SUM(R29:R37),1)</f>
        <v>0</v>
      </c>
      <c r="S38" s="13"/>
      <c r="T38" s="674">
        <f>ROUND(SUM(T29:T37),1)</f>
        <v>0</v>
      </c>
      <c r="U38" s="13"/>
      <c r="V38" s="674">
        <f>ROUND(SUM(V29:V37),1)</f>
        <v>0</v>
      </c>
      <c r="W38" s="13"/>
      <c r="X38" s="674">
        <f>ROUND(SUM(X29:X37),1)</f>
        <v>0</v>
      </c>
      <c r="Y38" s="13"/>
      <c r="Z38" s="674">
        <f>ROUND(SUM(Z29:Z37),1)</f>
        <v>0</v>
      </c>
      <c r="AA38" s="40"/>
      <c r="AB38" s="69"/>
      <c r="AC38" s="674">
        <f>ROUND(SUM(AC29:AC37),1)</f>
        <v>853.1</v>
      </c>
      <c r="AD38" s="13"/>
      <c r="AE38" s="14"/>
      <c r="AF38" s="674">
        <f>ROUND(SUM(AF29:AF37),1)</f>
        <v>790.2</v>
      </c>
      <c r="AG38" s="13"/>
      <c r="AH38" s="708"/>
      <c r="AI38" s="674">
        <f>ROUND(SUM(AI29:AI37),1)</f>
        <v>62.9</v>
      </c>
      <c r="AJ38" s="13"/>
      <c r="AK38" s="924">
        <f>ROUND(SUM(+AI38/AF38),3)</f>
        <v>0.08</v>
      </c>
      <c r="AL38" s="1795"/>
    </row>
    <row r="39" spans="1:38" s="59" customFormat="1" ht="15" customHeight="1">
      <c r="A39" s="418"/>
      <c r="B39" s="413" t="s">
        <v>366</v>
      </c>
      <c r="C39" s="57"/>
      <c r="D39" s="13"/>
      <c r="E39" s="13"/>
      <c r="F39" s="13"/>
      <c r="G39" s="13"/>
      <c r="H39" s="13"/>
      <c r="I39" s="13"/>
      <c r="J39" s="264"/>
      <c r="K39" s="13"/>
      <c r="L39" s="13"/>
      <c r="M39" s="13"/>
      <c r="N39" s="13"/>
      <c r="O39" s="13"/>
      <c r="P39" s="13"/>
      <c r="Q39" s="13"/>
      <c r="R39" s="13"/>
      <c r="S39" s="13"/>
      <c r="T39" s="13"/>
      <c r="U39" s="13"/>
      <c r="V39" s="13"/>
      <c r="W39" s="13"/>
      <c r="X39" s="13"/>
      <c r="Y39" s="13"/>
      <c r="Z39" s="13"/>
      <c r="AA39" s="40"/>
      <c r="AB39" s="69"/>
      <c r="AC39" s="13"/>
      <c r="AD39" s="13"/>
      <c r="AE39" s="14" t="s">
        <v>103</v>
      </c>
      <c r="AF39" s="13"/>
      <c r="AG39" s="13"/>
      <c r="AH39" s="708"/>
      <c r="AI39" s="13"/>
      <c r="AJ39" s="13"/>
      <c r="AK39" s="74"/>
      <c r="AL39" s="1795"/>
    </row>
    <row r="40" spans="1:38" s="59" customFormat="1" ht="15" customHeight="1">
      <c r="A40" s="418"/>
      <c r="B40" s="284" t="s">
        <v>367</v>
      </c>
      <c r="C40" s="57"/>
      <c r="D40" s="532">
        <f>AC40</f>
        <v>755.1</v>
      </c>
      <c r="E40" s="513"/>
      <c r="F40" s="532"/>
      <c r="G40" s="513"/>
      <c r="H40" s="532"/>
      <c r="I40" s="13"/>
      <c r="J40" s="532"/>
      <c r="K40" s="554"/>
      <c r="L40" s="532"/>
      <c r="M40" s="554"/>
      <c r="N40" s="532"/>
      <c r="O40" s="554"/>
      <c r="P40" s="532"/>
      <c r="Q40" s="554"/>
      <c r="R40" s="532"/>
      <c r="S40" s="554"/>
      <c r="T40" s="532"/>
      <c r="U40" s="554"/>
      <c r="V40" s="532"/>
      <c r="W40" s="554"/>
      <c r="X40" s="532"/>
      <c r="Y40" s="554"/>
      <c r="Z40" s="532"/>
      <c r="AA40" s="289"/>
      <c r="AB40" s="525"/>
      <c r="AC40" s="532">
        <v>755.1</v>
      </c>
      <c r="AD40" s="264"/>
      <c r="AE40" s="525" t="s">
        <v>103</v>
      </c>
      <c r="AF40" s="532">
        <v>859.4</v>
      </c>
      <c r="AG40" s="13"/>
      <c r="AH40" s="708"/>
      <c r="AI40" s="264">
        <f t="shared" ref="AI40:AI45" si="8">ROUND(SUM(+AC40-AF40),1)</f>
        <v>-104.3</v>
      </c>
      <c r="AJ40" s="13"/>
      <c r="AK40" s="266">
        <f t="shared" ref="AK40:AK42" si="9">ROUND(IF(AF40=0,0,AI40/ABS(AF40)),3)</f>
        <v>-0.121</v>
      </c>
      <c r="AL40" s="1795"/>
    </row>
    <row r="41" spans="1:38" s="59" customFormat="1" ht="15" customHeight="1">
      <c r="A41" s="418"/>
      <c r="B41" s="284" t="s">
        <v>368</v>
      </c>
      <c r="C41" s="57"/>
      <c r="D41" s="532">
        <f t="shared" ref="D41:D45" si="10">AC41</f>
        <v>27.8</v>
      </c>
      <c r="E41" s="513"/>
      <c r="F41" s="532"/>
      <c r="G41" s="513"/>
      <c r="H41" s="532"/>
      <c r="I41" s="13"/>
      <c r="J41" s="532"/>
      <c r="K41" s="554"/>
      <c r="L41" s="532"/>
      <c r="M41" s="554"/>
      <c r="N41" s="532"/>
      <c r="O41" s="554"/>
      <c r="P41" s="532"/>
      <c r="Q41" s="554"/>
      <c r="R41" s="532"/>
      <c r="S41" s="554"/>
      <c r="T41" s="532"/>
      <c r="U41" s="554"/>
      <c r="V41" s="532"/>
      <c r="W41" s="554"/>
      <c r="X41" s="532"/>
      <c r="Y41" s="554"/>
      <c r="Z41" s="532"/>
      <c r="AA41" s="289"/>
      <c r="AB41" s="525"/>
      <c r="AC41" s="532">
        <v>27.8</v>
      </c>
      <c r="AD41" s="264"/>
      <c r="AE41" s="525" t="s">
        <v>103</v>
      </c>
      <c r="AF41" s="532">
        <v>18.7</v>
      </c>
      <c r="AG41" s="13"/>
      <c r="AH41" s="708"/>
      <c r="AI41" s="264">
        <f t="shared" si="8"/>
        <v>9.1</v>
      </c>
      <c r="AJ41" s="13"/>
      <c r="AK41" s="543">
        <f t="shared" si="9"/>
        <v>0.48699999999999999</v>
      </c>
      <c r="AL41" s="1795"/>
    </row>
    <row r="42" spans="1:38" s="59" customFormat="1" ht="15" customHeight="1">
      <c r="A42" s="418"/>
      <c r="B42" s="284" t="s">
        <v>369</v>
      </c>
      <c r="C42" s="57"/>
      <c r="D42" s="532">
        <f t="shared" si="10"/>
        <v>81.8</v>
      </c>
      <c r="E42" s="513"/>
      <c r="F42" s="532"/>
      <c r="G42" s="513"/>
      <c r="H42" s="532"/>
      <c r="I42" s="13"/>
      <c r="J42" s="532"/>
      <c r="K42" s="554"/>
      <c r="L42" s="532"/>
      <c r="M42" s="554"/>
      <c r="N42" s="532"/>
      <c r="O42" s="554"/>
      <c r="P42" s="532"/>
      <c r="Q42" s="554"/>
      <c r="R42" s="532"/>
      <c r="S42" s="554"/>
      <c r="T42" s="532"/>
      <c r="U42" s="554"/>
      <c r="V42" s="532"/>
      <c r="W42" s="554"/>
      <c r="X42" s="532"/>
      <c r="Y42" s="554"/>
      <c r="Z42" s="532"/>
      <c r="AA42" s="289"/>
      <c r="AB42" s="525"/>
      <c r="AC42" s="532">
        <v>81.8</v>
      </c>
      <c r="AD42" s="264"/>
      <c r="AE42" s="525" t="s">
        <v>103</v>
      </c>
      <c r="AF42" s="532">
        <v>78.599999999999994</v>
      </c>
      <c r="AG42" s="13"/>
      <c r="AH42" s="708"/>
      <c r="AI42" s="264">
        <f t="shared" si="8"/>
        <v>3.2</v>
      </c>
      <c r="AJ42" s="13"/>
      <c r="AK42" s="266">
        <f t="shared" si="9"/>
        <v>4.1000000000000002E-2</v>
      </c>
      <c r="AL42" s="1795"/>
    </row>
    <row r="43" spans="1:38" s="59" customFormat="1" ht="15" customHeight="1">
      <c r="A43" s="418"/>
      <c r="B43" s="284" t="s">
        <v>370</v>
      </c>
      <c r="C43" s="57"/>
      <c r="D43" s="532">
        <f t="shared" si="10"/>
        <v>22.7</v>
      </c>
      <c r="E43" s="513"/>
      <c r="F43" s="532"/>
      <c r="G43" s="513"/>
      <c r="H43" s="532"/>
      <c r="I43" s="13"/>
      <c r="J43" s="532"/>
      <c r="K43" s="554"/>
      <c r="L43" s="532"/>
      <c r="M43" s="554"/>
      <c r="N43" s="532"/>
      <c r="O43" s="554"/>
      <c r="P43" s="532"/>
      <c r="Q43" s="554"/>
      <c r="R43" s="532"/>
      <c r="S43" s="554"/>
      <c r="T43" s="532"/>
      <c r="U43" s="554"/>
      <c r="V43" s="532"/>
      <c r="W43" s="554"/>
      <c r="X43" s="532"/>
      <c r="Y43" s="554"/>
      <c r="Z43" s="532"/>
      <c r="AA43" s="289"/>
      <c r="AB43" s="525"/>
      <c r="AC43" s="532">
        <v>22.7</v>
      </c>
      <c r="AD43" s="264"/>
      <c r="AE43" s="525" t="s">
        <v>103</v>
      </c>
      <c r="AF43" s="532">
        <v>-3.4</v>
      </c>
      <c r="AG43" s="13"/>
      <c r="AH43" s="708"/>
      <c r="AI43" s="264">
        <f t="shared" si="8"/>
        <v>26.1</v>
      </c>
      <c r="AJ43" s="13"/>
      <c r="AK43" s="266">
        <f>ROUND(IF(AF43=0,0,AI43/ABS(AF43)),3)</f>
        <v>7.6760000000000002</v>
      </c>
      <c r="AL43" s="1795"/>
    </row>
    <row r="44" spans="1:38" s="59" customFormat="1" ht="15" customHeight="1">
      <c r="A44" s="418"/>
      <c r="B44" s="284" t="s">
        <v>371</v>
      </c>
      <c r="C44" s="57"/>
      <c r="D44" s="532">
        <f t="shared" si="10"/>
        <v>24.4</v>
      </c>
      <c r="E44" s="513"/>
      <c r="F44" s="532"/>
      <c r="G44" s="513"/>
      <c r="H44" s="532"/>
      <c r="I44" s="13"/>
      <c r="J44" s="532"/>
      <c r="K44" s="554"/>
      <c r="L44" s="532"/>
      <c r="M44" s="554"/>
      <c r="N44" s="532"/>
      <c r="O44" s="554"/>
      <c r="P44" s="532"/>
      <c r="Q44" s="554"/>
      <c r="R44" s="532"/>
      <c r="S44" s="554"/>
      <c r="T44" s="532"/>
      <c r="U44" s="554"/>
      <c r="V44" s="532"/>
      <c r="W44" s="554"/>
      <c r="X44" s="532"/>
      <c r="Y44" s="554"/>
      <c r="Z44" s="532"/>
      <c r="AA44" s="289"/>
      <c r="AB44" s="525"/>
      <c r="AC44" s="532">
        <v>24.4</v>
      </c>
      <c r="AD44" s="264"/>
      <c r="AE44" s="525" t="s">
        <v>103</v>
      </c>
      <c r="AF44" s="532">
        <v>40.200000000000003</v>
      </c>
      <c r="AG44" s="13"/>
      <c r="AH44" s="708"/>
      <c r="AI44" s="264">
        <f t="shared" si="8"/>
        <v>-15.8</v>
      </c>
      <c r="AJ44" s="13"/>
      <c r="AK44" s="543">
        <f>ROUND(IF(AF44=0,1,AI44/ABS(AF44)),3)</f>
        <v>-0.39300000000000002</v>
      </c>
      <c r="AL44" s="1795"/>
    </row>
    <row r="45" spans="1:38" s="59" customFormat="1" ht="15" customHeight="1">
      <c r="A45" s="418"/>
      <c r="B45" s="284" t="s">
        <v>372</v>
      </c>
      <c r="C45" s="57"/>
      <c r="D45" s="532">
        <f t="shared" si="10"/>
        <v>0</v>
      </c>
      <c r="E45" s="513"/>
      <c r="F45" s="532"/>
      <c r="G45" s="513"/>
      <c r="H45" s="532"/>
      <c r="I45" s="13"/>
      <c r="J45" s="532"/>
      <c r="K45" s="554"/>
      <c r="L45" s="532"/>
      <c r="M45" s="554"/>
      <c r="N45" s="532"/>
      <c r="O45" s="554"/>
      <c r="P45" s="532"/>
      <c r="Q45" s="554"/>
      <c r="R45" s="532"/>
      <c r="S45" s="554"/>
      <c r="T45" s="532"/>
      <c r="U45" s="554"/>
      <c r="V45" s="532"/>
      <c r="W45" s="554"/>
      <c r="X45" s="532"/>
      <c r="Y45" s="554"/>
      <c r="Z45" s="532"/>
      <c r="AA45" s="289"/>
      <c r="AB45" s="525"/>
      <c r="AC45" s="532">
        <v>0</v>
      </c>
      <c r="AD45" s="264"/>
      <c r="AE45" s="525" t="s">
        <v>103</v>
      </c>
      <c r="AF45" s="532">
        <v>0</v>
      </c>
      <c r="AG45" s="13"/>
      <c r="AH45" s="708"/>
      <c r="AI45" s="264">
        <f t="shared" si="8"/>
        <v>0</v>
      </c>
      <c r="AJ45" s="13"/>
      <c r="AK45" s="543">
        <f>ROUND(IF(AF45=0,0,AI45/ABS(AF45)),3)</f>
        <v>0</v>
      </c>
      <c r="AL45" s="1795"/>
    </row>
    <row r="46" spans="1:38" s="59" customFormat="1" ht="15" customHeight="1">
      <c r="A46" s="418"/>
      <c r="B46" s="83" t="s">
        <v>373</v>
      </c>
      <c r="C46" s="57"/>
      <c r="D46" s="674">
        <f>ROUND(SUM(D40:D45),1)</f>
        <v>911.8</v>
      </c>
      <c r="E46" s="13"/>
      <c r="F46" s="674">
        <f>ROUND(SUM(F40:F45),1)</f>
        <v>0</v>
      </c>
      <c r="G46" s="13"/>
      <c r="H46" s="674">
        <f>ROUND(SUM(H40:H45),1)</f>
        <v>0</v>
      </c>
      <c r="I46" s="13"/>
      <c r="J46" s="674">
        <f>ROUND(SUM(J40:J45),1)</f>
        <v>0</v>
      </c>
      <c r="K46" s="13"/>
      <c r="L46" s="674">
        <f>ROUND(SUM(L40:L45),1)</f>
        <v>0</v>
      </c>
      <c r="M46" s="13"/>
      <c r="N46" s="674">
        <f>ROUND(SUM(N40:N45),1)</f>
        <v>0</v>
      </c>
      <c r="O46" s="13"/>
      <c r="P46" s="674">
        <f>ROUND(SUM(P40:P45),1)</f>
        <v>0</v>
      </c>
      <c r="Q46" s="13"/>
      <c r="R46" s="674">
        <f>ROUND(SUM(R40:R45),1)</f>
        <v>0</v>
      </c>
      <c r="S46" s="13"/>
      <c r="T46" s="674">
        <f>ROUND(SUM(T40:T45),1)</f>
        <v>0</v>
      </c>
      <c r="U46" s="13"/>
      <c r="V46" s="674">
        <f>ROUND(SUM(V40:V45),1)</f>
        <v>0</v>
      </c>
      <c r="W46" s="13"/>
      <c r="X46" s="674">
        <f>ROUND(SUM(X40:X45),1)</f>
        <v>0</v>
      </c>
      <c r="Y46" s="13"/>
      <c r="Z46" s="674">
        <f>ROUND(SUM(Z40:Z45),1)</f>
        <v>0</v>
      </c>
      <c r="AA46" s="40"/>
      <c r="AB46" s="69"/>
      <c r="AC46" s="674">
        <f>ROUND(SUM(AC40:AC45),1)</f>
        <v>911.8</v>
      </c>
      <c r="AD46" s="13"/>
      <c r="AE46" s="14"/>
      <c r="AF46" s="674">
        <f>ROUND(SUM(AF40:AF45),1)</f>
        <v>993.5</v>
      </c>
      <c r="AG46" s="13"/>
      <c r="AH46" s="708"/>
      <c r="AI46" s="674">
        <f>ROUND(SUM(AI40:AI45),1)</f>
        <v>-81.7</v>
      </c>
      <c r="AJ46" s="13"/>
      <c r="AK46" s="924">
        <f>ROUND(SUM(+AI46/AF46),3)</f>
        <v>-8.2000000000000003E-2</v>
      </c>
      <c r="AL46" s="1795"/>
    </row>
    <row r="47" spans="1:38" s="59" customFormat="1" ht="15" customHeight="1">
      <c r="A47" s="418"/>
      <c r="B47" s="413" t="s">
        <v>374</v>
      </c>
      <c r="C47" s="57"/>
      <c r="D47" s="13"/>
      <c r="E47" s="13"/>
      <c r="F47" s="13"/>
      <c r="G47" s="13"/>
      <c r="H47" s="13"/>
      <c r="I47" s="13"/>
      <c r="J47" s="13"/>
      <c r="K47" s="13"/>
      <c r="L47" s="13"/>
      <c r="M47" s="13"/>
      <c r="N47" s="13"/>
      <c r="O47" s="13"/>
      <c r="P47" s="13"/>
      <c r="Q47" s="13"/>
      <c r="R47" s="13"/>
      <c r="S47" s="13"/>
      <c r="T47" s="13"/>
      <c r="U47" s="13"/>
      <c r="V47" s="13"/>
      <c r="W47" s="13"/>
      <c r="X47" s="13"/>
      <c r="Y47" s="13"/>
      <c r="Z47" s="13"/>
      <c r="AA47" s="40"/>
      <c r="AB47" s="69"/>
      <c r="AC47" s="13"/>
      <c r="AD47" s="13"/>
      <c r="AE47" s="14"/>
      <c r="AF47" s="13"/>
      <c r="AG47" s="13"/>
      <c r="AH47" s="708"/>
      <c r="AI47" s="13"/>
      <c r="AJ47" s="13"/>
      <c r="AK47" s="74"/>
      <c r="AL47" s="1795"/>
    </row>
    <row r="48" spans="1:38" s="59" customFormat="1" ht="15" customHeight="1">
      <c r="A48" s="418"/>
      <c r="B48" s="284" t="s">
        <v>375</v>
      </c>
      <c r="C48" s="57"/>
      <c r="D48" s="532">
        <f>AC48</f>
        <v>0</v>
      </c>
      <c r="E48" s="513"/>
      <c r="F48" s="532"/>
      <c r="G48" s="513"/>
      <c r="H48" s="532"/>
      <c r="I48" s="13"/>
      <c r="J48" s="532"/>
      <c r="K48" s="554"/>
      <c r="L48" s="532"/>
      <c r="M48" s="554"/>
      <c r="N48" s="532"/>
      <c r="O48" s="554"/>
      <c r="P48" s="532"/>
      <c r="Q48" s="554"/>
      <c r="R48" s="532"/>
      <c r="S48" s="554"/>
      <c r="T48" s="532"/>
      <c r="U48" s="554"/>
      <c r="V48" s="532"/>
      <c r="W48" s="554"/>
      <c r="X48" s="532"/>
      <c r="Y48" s="554"/>
      <c r="Z48" s="532"/>
      <c r="AA48" s="289"/>
      <c r="AB48" s="525"/>
      <c r="AC48" s="532">
        <v>0</v>
      </c>
      <c r="AD48" s="264"/>
      <c r="AE48" s="525" t="s">
        <v>103</v>
      </c>
      <c r="AF48" s="532">
        <v>0</v>
      </c>
      <c r="AG48" s="13"/>
      <c r="AH48" s="708"/>
      <c r="AI48" s="264">
        <f t="shared" ref="AI48:AI52" si="11">ROUND(SUM(+AC48-AF48),1)</f>
        <v>0</v>
      </c>
      <c r="AJ48" s="13"/>
      <c r="AK48" s="266">
        <f t="shared" ref="AK48:AK51" si="12">ROUND(IF(AF48=0,0,AI48/ABS(AF48)),3)</f>
        <v>0</v>
      </c>
      <c r="AL48" s="1795"/>
    </row>
    <row r="49" spans="1:38" s="59" customFormat="1" ht="15" customHeight="1">
      <c r="A49" s="418"/>
      <c r="B49" s="284" t="s">
        <v>376</v>
      </c>
      <c r="C49" s="57"/>
      <c r="D49" s="532">
        <f t="shared" ref="D49:D53" si="13">AC49</f>
        <v>165.8</v>
      </c>
      <c r="E49" s="513"/>
      <c r="F49" s="532"/>
      <c r="G49" s="513"/>
      <c r="H49" s="532"/>
      <c r="I49" s="13"/>
      <c r="J49" s="532"/>
      <c r="K49" s="554"/>
      <c r="L49" s="532"/>
      <c r="M49" s="554"/>
      <c r="N49" s="532"/>
      <c r="O49" s="554"/>
      <c r="P49" s="532"/>
      <c r="Q49" s="554"/>
      <c r="R49" s="532"/>
      <c r="S49" s="554"/>
      <c r="T49" s="532"/>
      <c r="U49" s="554"/>
      <c r="V49" s="532"/>
      <c r="W49" s="554"/>
      <c r="X49" s="532"/>
      <c r="Y49" s="554"/>
      <c r="Z49" s="532"/>
      <c r="AA49" s="289"/>
      <c r="AB49" s="525"/>
      <c r="AC49" s="532">
        <v>165.8</v>
      </c>
      <c r="AD49" s="264"/>
      <c r="AE49" s="525" t="s">
        <v>103</v>
      </c>
      <c r="AF49" s="532">
        <v>167.2</v>
      </c>
      <c r="AG49" s="13"/>
      <c r="AH49" s="708"/>
      <c r="AI49" s="264">
        <f t="shared" si="11"/>
        <v>-1.4</v>
      </c>
      <c r="AJ49" s="13"/>
      <c r="AK49" s="266">
        <f t="shared" si="12"/>
        <v>-8.0000000000000002E-3</v>
      </c>
      <c r="AL49" s="1795"/>
    </row>
    <row r="50" spans="1:38" s="59" customFormat="1" ht="15" customHeight="1">
      <c r="A50" s="418"/>
      <c r="B50" s="284" t="s">
        <v>377</v>
      </c>
      <c r="C50" s="57"/>
      <c r="D50" s="532">
        <f t="shared" si="13"/>
        <v>1</v>
      </c>
      <c r="E50" s="513"/>
      <c r="F50" s="532"/>
      <c r="G50" s="513"/>
      <c r="H50" s="532"/>
      <c r="I50" s="13"/>
      <c r="J50" s="532"/>
      <c r="K50" s="554"/>
      <c r="L50" s="532"/>
      <c r="M50" s="554"/>
      <c r="N50" s="532"/>
      <c r="O50" s="554"/>
      <c r="P50" s="532"/>
      <c r="Q50" s="554"/>
      <c r="R50" s="532"/>
      <c r="S50" s="554"/>
      <c r="T50" s="532"/>
      <c r="U50" s="554"/>
      <c r="V50" s="532"/>
      <c r="W50" s="554"/>
      <c r="X50" s="532"/>
      <c r="Y50" s="554"/>
      <c r="Z50" s="532"/>
      <c r="AA50" s="289"/>
      <c r="AB50" s="525"/>
      <c r="AC50" s="532">
        <v>1</v>
      </c>
      <c r="AD50" s="264"/>
      <c r="AE50" s="525" t="s">
        <v>103</v>
      </c>
      <c r="AF50" s="532">
        <v>1.2</v>
      </c>
      <c r="AG50" s="13"/>
      <c r="AH50" s="708"/>
      <c r="AI50" s="264">
        <f t="shared" si="11"/>
        <v>-0.2</v>
      </c>
      <c r="AJ50" s="13"/>
      <c r="AK50" s="266">
        <f t="shared" si="12"/>
        <v>-0.16700000000000001</v>
      </c>
      <c r="AL50" s="1795"/>
    </row>
    <row r="51" spans="1:38" s="59" customFormat="1" ht="15" customHeight="1">
      <c r="A51" s="418"/>
      <c r="B51" s="284" t="s">
        <v>378</v>
      </c>
      <c r="C51" s="57"/>
      <c r="D51" s="532">
        <f t="shared" si="13"/>
        <v>0</v>
      </c>
      <c r="E51" s="513"/>
      <c r="F51" s="532"/>
      <c r="G51" s="513"/>
      <c r="H51" s="532"/>
      <c r="I51" s="13"/>
      <c r="J51" s="532"/>
      <c r="K51" s="554"/>
      <c r="L51" s="532"/>
      <c r="M51" s="554"/>
      <c r="N51" s="532"/>
      <c r="O51" s="554"/>
      <c r="P51" s="532"/>
      <c r="Q51" s="554"/>
      <c r="R51" s="532"/>
      <c r="S51" s="554"/>
      <c r="T51" s="532"/>
      <c r="U51" s="554"/>
      <c r="V51" s="532"/>
      <c r="W51" s="554"/>
      <c r="X51" s="532"/>
      <c r="Y51" s="554"/>
      <c r="Z51" s="532"/>
      <c r="AA51" s="289"/>
      <c r="AB51" s="525"/>
      <c r="AC51" s="532">
        <v>0</v>
      </c>
      <c r="AD51" s="264">
        <f>'Exhibit F'!AF1146</f>
        <v>0</v>
      </c>
      <c r="AE51" s="525" t="s">
        <v>103</v>
      </c>
      <c r="AF51" s="532">
        <v>0</v>
      </c>
      <c r="AG51" s="13"/>
      <c r="AH51" s="708"/>
      <c r="AI51" s="264">
        <f t="shared" si="11"/>
        <v>0</v>
      </c>
      <c r="AJ51" s="13"/>
      <c r="AK51" s="266">
        <f t="shared" si="12"/>
        <v>0</v>
      </c>
      <c r="AL51" s="1795"/>
    </row>
    <row r="52" spans="1:38" s="59" customFormat="1" ht="15" customHeight="1">
      <c r="A52" s="418"/>
      <c r="B52" s="284" t="s">
        <v>379</v>
      </c>
      <c r="C52" s="57"/>
      <c r="D52" s="532">
        <f t="shared" si="13"/>
        <v>0.1</v>
      </c>
      <c r="E52" s="513"/>
      <c r="F52" s="532"/>
      <c r="G52" s="513"/>
      <c r="H52" s="532"/>
      <c r="I52" s="13"/>
      <c r="J52" s="532"/>
      <c r="K52" s="554"/>
      <c r="L52" s="532"/>
      <c r="M52" s="554"/>
      <c r="N52" s="532"/>
      <c r="O52" s="554"/>
      <c r="P52" s="532"/>
      <c r="Q52" s="554"/>
      <c r="R52" s="532"/>
      <c r="S52" s="554"/>
      <c r="T52" s="532"/>
      <c r="U52" s="554"/>
      <c r="V52" s="532"/>
      <c r="W52" s="554"/>
      <c r="X52" s="532"/>
      <c r="Y52" s="554"/>
      <c r="Z52" s="532"/>
      <c r="AA52" s="289"/>
      <c r="AB52" s="525"/>
      <c r="AC52" s="532">
        <v>0.1</v>
      </c>
      <c r="AD52" s="264"/>
      <c r="AE52" s="525" t="s">
        <v>103</v>
      </c>
      <c r="AF52" s="532">
        <v>0.1</v>
      </c>
      <c r="AG52" s="13"/>
      <c r="AH52" s="708"/>
      <c r="AI52" s="264">
        <f t="shared" si="11"/>
        <v>0</v>
      </c>
      <c r="AJ52" s="13"/>
      <c r="AK52" s="266">
        <f>ROUND(IF(AF52=0,1,AI52/ABS(AF52)),3)</f>
        <v>0</v>
      </c>
      <c r="AL52" s="1795"/>
    </row>
    <row r="53" spans="1:38" s="59" customFormat="1" ht="15" customHeight="1">
      <c r="A53" s="418"/>
      <c r="B53" s="421" t="s">
        <v>380</v>
      </c>
      <c r="C53" s="291"/>
      <c r="D53" s="532">
        <f t="shared" si="13"/>
        <v>0.1</v>
      </c>
      <c r="E53" s="513"/>
      <c r="F53" s="532"/>
      <c r="G53" s="513"/>
      <c r="H53" s="532"/>
      <c r="I53" s="291"/>
      <c r="J53" s="532"/>
      <c r="K53" s="554"/>
      <c r="L53" s="532"/>
      <c r="M53" s="554"/>
      <c r="N53" s="532"/>
      <c r="O53" s="554"/>
      <c r="P53" s="532"/>
      <c r="Q53" s="554"/>
      <c r="R53" s="532"/>
      <c r="S53" s="554"/>
      <c r="T53" s="532"/>
      <c r="U53" s="554"/>
      <c r="V53" s="532"/>
      <c r="W53" s="554"/>
      <c r="X53" s="532"/>
      <c r="Y53" s="554"/>
      <c r="Z53" s="532"/>
      <c r="AA53" s="289"/>
      <c r="AB53" s="525"/>
      <c r="AC53" s="532">
        <v>0.1</v>
      </c>
      <c r="AD53" s="264"/>
      <c r="AE53" s="525" t="s">
        <v>103</v>
      </c>
      <c r="AF53" s="532">
        <v>0.2</v>
      </c>
      <c r="AG53" s="364"/>
      <c r="AH53" s="703"/>
      <c r="AI53" s="264">
        <f>ROUND(SUM(+AC53-AF53),1)</f>
        <v>-0.1</v>
      </c>
      <c r="AJ53" s="63"/>
      <c r="AK53" s="266">
        <f>ROUND(IF(AF53=0,1,AI53/ABS(AF53)),3)</f>
        <v>-0.5</v>
      </c>
      <c r="AL53" s="1795"/>
    </row>
    <row r="54" spans="1:38" s="59" customFormat="1" ht="15" customHeight="1">
      <c r="A54" s="418"/>
      <c r="B54" s="83" t="s">
        <v>381</v>
      </c>
      <c r="C54" s="57"/>
      <c r="D54" s="674">
        <f>ROUND(SUM(D48:D53),1)</f>
        <v>167</v>
      </c>
      <c r="E54" s="13"/>
      <c r="F54" s="674">
        <f>ROUND(SUM(F48:F53),1)</f>
        <v>0</v>
      </c>
      <c r="G54" s="13"/>
      <c r="H54" s="674">
        <f>ROUND(SUM(H48:H53),1)</f>
        <v>0</v>
      </c>
      <c r="I54" s="13"/>
      <c r="J54" s="674">
        <f>ROUND(SUM(J48:J53),1)</f>
        <v>0</v>
      </c>
      <c r="K54" s="13"/>
      <c r="L54" s="674">
        <f>ROUND(SUM(L48:L53),1)</f>
        <v>0</v>
      </c>
      <c r="M54" s="13"/>
      <c r="N54" s="674">
        <f>ROUND(SUM(N48:N53),1)</f>
        <v>0</v>
      </c>
      <c r="O54" s="13"/>
      <c r="P54" s="674">
        <f>ROUND(SUM(P48:P53),1)</f>
        <v>0</v>
      </c>
      <c r="Q54" s="13"/>
      <c r="R54" s="674">
        <f>ROUND(SUM(R48:R53),1)</f>
        <v>0</v>
      </c>
      <c r="S54" s="13"/>
      <c r="T54" s="674">
        <f>ROUND(SUM(T48:T53),1)</f>
        <v>0</v>
      </c>
      <c r="U54" s="13"/>
      <c r="V54" s="674">
        <f>ROUND(SUM(V48:V53),1)</f>
        <v>0</v>
      </c>
      <c r="W54" s="13"/>
      <c r="X54" s="674">
        <f>ROUND(SUM(X48:X53),1)</f>
        <v>0</v>
      </c>
      <c r="Y54" s="13"/>
      <c r="Z54" s="674">
        <f>ROUND(SUM(Z48:Z53),1)</f>
        <v>0</v>
      </c>
      <c r="AA54" s="40"/>
      <c r="AB54" s="69"/>
      <c r="AC54" s="674">
        <f>ROUND(SUM(AC48:AC53),1)</f>
        <v>167</v>
      </c>
      <c r="AD54" s="13"/>
      <c r="AE54" s="14"/>
      <c r="AF54" s="674">
        <f>ROUND(SUM(AF48:AF53),1)</f>
        <v>168.7</v>
      </c>
      <c r="AG54" s="13"/>
      <c r="AH54" s="708"/>
      <c r="AI54" s="674">
        <f>ROUND(SUM(AI48:AI53),1)</f>
        <v>-1.7</v>
      </c>
      <c r="AJ54" s="13"/>
      <c r="AK54" s="924">
        <f>ROUND(SUM(+AI54/AF54),3)</f>
        <v>-0.01</v>
      </c>
      <c r="AL54" s="1795"/>
    </row>
    <row r="55" spans="1:38" s="59" customFormat="1" ht="15" customHeight="1">
      <c r="A55" s="418"/>
      <c r="B55" s="83"/>
      <c r="C55" s="57"/>
      <c r="D55" s="13"/>
      <c r="E55" s="13"/>
      <c r="F55" s="13"/>
      <c r="G55" s="13"/>
      <c r="H55" s="13"/>
      <c r="I55" s="13"/>
      <c r="J55" s="13"/>
      <c r="K55" s="13"/>
      <c r="L55" s="13"/>
      <c r="M55" s="13"/>
      <c r="N55" s="13"/>
      <c r="O55" s="13"/>
      <c r="P55" s="13"/>
      <c r="Q55" s="13"/>
      <c r="R55" s="13"/>
      <c r="S55" s="13"/>
      <c r="T55" s="13"/>
      <c r="U55" s="13"/>
      <c r="V55" s="13"/>
      <c r="W55" s="13"/>
      <c r="X55" s="13"/>
      <c r="Y55" s="13"/>
      <c r="Z55" s="13"/>
      <c r="AA55" s="40"/>
      <c r="AB55" s="69"/>
      <c r="AC55" s="13"/>
      <c r="AD55" s="13"/>
      <c r="AE55" s="14"/>
      <c r="AF55" s="13"/>
      <c r="AG55" s="13"/>
      <c r="AH55" s="708"/>
      <c r="AI55" s="13"/>
      <c r="AJ55" s="13"/>
      <c r="AK55" s="74"/>
      <c r="AL55" s="1795"/>
    </row>
    <row r="56" spans="1:38" ht="15" customHeight="1">
      <c r="A56" s="35"/>
      <c r="B56" s="83" t="s">
        <v>382</v>
      </c>
      <c r="C56" s="364"/>
      <c r="D56" s="709">
        <f>ROUND(SUM(D27+D38+D46+D54),1)</f>
        <v>7159.1</v>
      </c>
      <c r="E56" s="264"/>
      <c r="F56" s="709">
        <f>ROUND(SUM(F27+F38+F46+F54),1)</f>
        <v>0</v>
      </c>
      <c r="G56" s="264"/>
      <c r="H56" s="709">
        <f>ROUND(SUM(H27+H38+H46+H54),1)</f>
        <v>0</v>
      </c>
      <c r="I56" s="264"/>
      <c r="J56" s="709">
        <f>ROUND(SUM(J27+J38+J46+J54),1)</f>
        <v>0</v>
      </c>
      <c r="K56" s="264"/>
      <c r="L56" s="1019">
        <f>ROUND(SUM(L27+L38+L46+L54),1)</f>
        <v>0</v>
      </c>
      <c r="M56" s="264"/>
      <c r="N56" s="1019">
        <f>ROUND(SUM(N27+N38+N46+N54),1)</f>
        <v>0</v>
      </c>
      <c r="O56" s="264"/>
      <c r="P56" s="1019">
        <f>ROUND(SUM(P27+P38+P46+P54),1)</f>
        <v>0</v>
      </c>
      <c r="Q56" s="264"/>
      <c r="R56" s="1019">
        <f>ROUND(SUM(R27+R38+R46+R54),1)</f>
        <v>0</v>
      </c>
      <c r="S56" s="671"/>
      <c r="T56" s="1019">
        <f>ROUND(SUM(T27+T38+T46+T54),1)</f>
        <v>0</v>
      </c>
      <c r="U56" s="264"/>
      <c r="V56" s="1019">
        <f>ROUND(SUM(V27+V38+V46+V54),1)</f>
        <v>0</v>
      </c>
      <c r="W56" s="264"/>
      <c r="X56" s="1019">
        <f>ROUND(SUM(X27+X38+X46+X54),1)</f>
        <v>0</v>
      </c>
      <c r="Y56" s="264"/>
      <c r="Z56" s="1019">
        <f>ROUND(SUM(Z27+Z38+Z46+Z54),1)</f>
        <v>0</v>
      </c>
      <c r="AA56" s="268"/>
      <c r="AB56" s="855"/>
      <c r="AC56" s="709">
        <f>ROUND(SUM(AC27+AC38+AC46+AC54),1)</f>
        <v>7159.1</v>
      </c>
      <c r="AD56" s="264"/>
      <c r="AE56" s="524"/>
      <c r="AF56" s="709">
        <f>ROUND(SUM(AF27+AF38+AF46+AF54),1)</f>
        <v>6799.2</v>
      </c>
      <c r="AG56" s="264"/>
      <c r="AH56" s="707"/>
      <c r="AI56" s="1019">
        <f>ROUND(SUM(AI27+AI38+AI46+AI54),1)</f>
        <v>359.9</v>
      </c>
      <c r="AJ56" s="264"/>
      <c r="AK56" s="368">
        <f>ROUND(SUM(+AI56/AF56),3)</f>
        <v>5.2999999999999999E-2</v>
      </c>
      <c r="AL56" s="1795"/>
    </row>
    <row r="57" spans="1:38" ht="8.25" customHeight="1">
      <c r="A57" s="35"/>
      <c r="B57" s="291"/>
      <c r="C57" s="3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8"/>
      <c r="AB57" s="855"/>
      <c r="AC57" s="264"/>
      <c r="AD57" s="264"/>
      <c r="AE57" s="524"/>
      <c r="AF57" s="264"/>
      <c r="AG57" s="264"/>
      <c r="AH57" s="707"/>
      <c r="AI57" s="264"/>
      <c r="AJ57" s="264"/>
      <c r="AK57" s="283"/>
      <c r="AL57" s="1795"/>
    </row>
    <row r="58" spans="1:38" ht="15" customHeight="1">
      <c r="A58" s="35"/>
      <c r="B58" s="1218" t="s">
        <v>383</v>
      </c>
      <c r="C58" s="366"/>
      <c r="D58" s="264"/>
      <c r="E58" s="1115"/>
      <c r="F58" s="264"/>
      <c r="G58" s="1115"/>
      <c r="H58" s="264"/>
      <c r="I58" s="264"/>
      <c r="J58" s="264"/>
      <c r="K58" s="264"/>
      <c r="L58" s="264"/>
      <c r="M58" s="264"/>
      <c r="N58" s="264"/>
      <c r="O58" s="264"/>
      <c r="P58" s="264"/>
      <c r="Q58" s="264"/>
      <c r="R58" s="264"/>
      <c r="S58" s="264"/>
      <c r="T58" s="264"/>
      <c r="U58" s="264"/>
      <c r="V58" s="264"/>
      <c r="W58" s="264"/>
      <c r="X58" s="264"/>
      <c r="Y58" s="264"/>
      <c r="Z58" s="264"/>
      <c r="AA58" s="268"/>
      <c r="AB58" s="855"/>
      <c r="AC58" s="264"/>
      <c r="AD58" s="264"/>
      <c r="AE58" s="524"/>
      <c r="AF58" s="264"/>
      <c r="AG58" s="264"/>
      <c r="AH58" s="707"/>
      <c r="AI58" s="264"/>
      <c r="AJ58" s="264"/>
      <c r="AK58" s="283"/>
      <c r="AL58" s="1795"/>
    </row>
    <row r="59" spans="1:38" ht="15" customHeight="1">
      <c r="A59" s="35"/>
      <c r="B59" s="350" t="s">
        <v>384</v>
      </c>
      <c r="C59" s="366"/>
      <c r="D59" s="264"/>
      <c r="E59" s="1115"/>
      <c r="F59" s="264"/>
      <c r="G59" s="1115"/>
      <c r="H59" s="264"/>
      <c r="I59" s="264"/>
      <c r="J59" s="264"/>
      <c r="K59" s="264"/>
      <c r="L59" s="264"/>
      <c r="M59" s="264"/>
      <c r="N59" s="264"/>
      <c r="O59" s="264"/>
      <c r="P59" s="264"/>
      <c r="Q59" s="264"/>
      <c r="R59" s="264"/>
      <c r="S59" s="264"/>
      <c r="T59" s="264"/>
      <c r="U59" s="264"/>
      <c r="V59" s="264"/>
      <c r="W59" s="264"/>
      <c r="X59" s="264"/>
      <c r="Y59" s="264"/>
      <c r="Z59" s="264"/>
      <c r="AA59" s="268"/>
      <c r="AB59" s="1024"/>
      <c r="AC59" s="264"/>
      <c r="AD59" s="264"/>
      <c r="AE59" s="524"/>
      <c r="AF59" s="264"/>
      <c r="AG59" s="264"/>
      <c r="AH59" s="707"/>
      <c r="AI59" s="264"/>
      <c r="AJ59" s="264"/>
      <c r="AK59" s="283"/>
      <c r="AL59" s="1795"/>
    </row>
    <row r="60" spans="1:38" ht="15" customHeight="1">
      <c r="A60" s="35"/>
      <c r="B60" s="350" t="s">
        <v>385</v>
      </c>
      <c r="C60" s="350"/>
      <c r="D60" s="532">
        <f>AC60</f>
        <v>0.9</v>
      </c>
      <c r="E60" s="513"/>
      <c r="F60" s="532"/>
      <c r="G60" s="513"/>
      <c r="H60" s="532"/>
      <c r="I60" s="264"/>
      <c r="J60" s="532"/>
      <c r="K60" s="554"/>
      <c r="L60" s="532"/>
      <c r="M60" s="554"/>
      <c r="N60" s="532"/>
      <c r="O60" s="554"/>
      <c r="P60" s="532"/>
      <c r="Q60" s="554"/>
      <c r="R60" s="532"/>
      <c r="S60" s="554"/>
      <c r="T60" s="532"/>
      <c r="U60" s="554"/>
      <c r="V60" s="532"/>
      <c r="W60" s="554"/>
      <c r="X60" s="532"/>
      <c r="Y60" s="554"/>
      <c r="Z60" s="532"/>
      <c r="AA60" s="289"/>
      <c r="AB60" s="525"/>
      <c r="AC60" s="532">
        <v>0.9</v>
      </c>
      <c r="AD60" s="264"/>
      <c r="AE60" s="525" t="s">
        <v>103</v>
      </c>
      <c r="AF60" s="532">
        <v>0.6</v>
      </c>
      <c r="AG60" s="287"/>
      <c r="AH60" s="710"/>
      <c r="AI60" s="264">
        <f>ROUND(SUM(+AC60-AF60),1)</f>
        <v>0.3</v>
      </c>
      <c r="AJ60" s="264"/>
      <c r="AK60" s="266">
        <f>ROUND(IF(AF60=0,1,AI60/ABS(AF60)),3)</f>
        <v>0.5</v>
      </c>
      <c r="AL60" s="1795"/>
    </row>
    <row r="61" spans="1:38" ht="15" customHeight="1">
      <c r="A61" s="35"/>
      <c r="B61" s="350" t="s">
        <v>386</v>
      </c>
      <c r="C61" s="350"/>
      <c r="D61" s="532">
        <f t="shared" ref="D61:D96" si="14">AC61</f>
        <v>2.8</v>
      </c>
      <c r="E61" s="513"/>
      <c r="F61" s="532"/>
      <c r="G61" s="513"/>
      <c r="H61" s="532"/>
      <c r="I61" s="264"/>
      <c r="J61" s="532"/>
      <c r="K61" s="554"/>
      <c r="L61" s="532"/>
      <c r="M61" s="554"/>
      <c r="N61" s="532"/>
      <c r="O61" s="554"/>
      <c r="P61" s="532"/>
      <c r="Q61" s="554"/>
      <c r="R61" s="532"/>
      <c r="S61" s="554"/>
      <c r="T61" s="532"/>
      <c r="U61" s="554"/>
      <c r="V61" s="532"/>
      <c r="W61" s="554"/>
      <c r="X61" s="532"/>
      <c r="Y61" s="554"/>
      <c r="Z61" s="532"/>
      <c r="AA61" s="289"/>
      <c r="AB61" s="525"/>
      <c r="AC61" s="532">
        <v>2.8</v>
      </c>
      <c r="AD61" s="264"/>
      <c r="AE61" s="525" t="s">
        <v>103</v>
      </c>
      <c r="AF61" s="532">
        <v>4.7</v>
      </c>
      <c r="AG61" s="264"/>
      <c r="AH61" s="707"/>
      <c r="AI61" s="264">
        <f>ROUND(SUM(+AC61-AF61),1)</f>
        <v>-1.9</v>
      </c>
      <c r="AJ61" s="264"/>
      <c r="AK61" s="543">
        <f>ROUND(IF(AF61=0,0,AI61/ABS(AF61)),3)</f>
        <v>-0.40400000000000003</v>
      </c>
      <c r="AL61" s="1795"/>
    </row>
    <row r="62" spans="1:38" ht="15" customHeight="1">
      <c r="A62" s="35"/>
      <c r="B62" s="350" t="s">
        <v>387</v>
      </c>
      <c r="C62" s="350"/>
      <c r="D62" s="532"/>
      <c r="E62" s="513"/>
      <c r="F62" s="532"/>
      <c r="G62" s="513"/>
      <c r="H62" s="532"/>
      <c r="I62" s="264"/>
      <c r="J62" s="532"/>
      <c r="K62" s="264"/>
      <c r="L62" s="532"/>
      <c r="M62" s="264"/>
      <c r="N62" s="532"/>
      <c r="O62" s="264"/>
      <c r="P62" s="532"/>
      <c r="Q62" s="264"/>
      <c r="R62" s="532"/>
      <c r="S62" s="264"/>
      <c r="T62" s="532"/>
      <c r="U62" s="264"/>
      <c r="V62" s="532"/>
      <c r="W62" s="264"/>
      <c r="X62" s="532"/>
      <c r="Y62" s="264"/>
      <c r="Z62" s="532"/>
      <c r="AA62" s="268"/>
      <c r="AB62" s="1024"/>
      <c r="AC62" s="699" t="s">
        <v>103</v>
      </c>
      <c r="AD62" s="264"/>
      <c r="AE62" s="525"/>
      <c r="AF62" s="699" t="s">
        <v>103</v>
      </c>
      <c r="AG62" s="264"/>
      <c r="AH62" s="707"/>
      <c r="AI62" s="264"/>
      <c r="AJ62" s="264"/>
      <c r="AK62" s="283"/>
      <c r="AL62" s="1795"/>
    </row>
    <row r="63" spans="1:38" ht="15" customHeight="1">
      <c r="A63" s="35"/>
      <c r="B63" s="350" t="s">
        <v>388</v>
      </c>
      <c r="C63" s="350"/>
      <c r="D63" s="532">
        <f t="shared" si="14"/>
        <v>0</v>
      </c>
      <c r="E63" s="513"/>
      <c r="F63" s="532"/>
      <c r="G63" s="513"/>
      <c r="H63" s="532"/>
      <c r="I63" s="264"/>
      <c r="J63" s="532"/>
      <c r="K63" s="554"/>
      <c r="L63" s="532"/>
      <c r="M63" s="554"/>
      <c r="N63" s="532"/>
      <c r="O63" s="554"/>
      <c r="P63" s="532"/>
      <c r="Q63" s="554"/>
      <c r="R63" s="532"/>
      <c r="S63" s="554"/>
      <c r="T63" s="532"/>
      <c r="U63" s="554"/>
      <c r="V63" s="532"/>
      <c r="W63" s="554"/>
      <c r="X63" s="532"/>
      <c r="Y63" s="554"/>
      <c r="Z63" s="532"/>
      <c r="AA63" s="289"/>
      <c r="AB63" s="525"/>
      <c r="AC63" s="532">
        <v>0</v>
      </c>
      <c r="AD63" s="264"/>
      <c r="AE63" s="525" t="s">
        <v>103</v>
      </c>
      <c r="AF63" s="532">
        <v>0</v>
      </c>
      <c r="AG63" s="287"/>
      <c r="AH63" s="710"/>
      <c r="AI63" s="264">
        <f>ROUND(SUM(+AC63-AF63),1)</f>
        <v>0</v>
      </c>
      <c r="AJ63" s="264"/>
      <c r="AK63" s="543">
        <f>ROUND(IF(AF63=0,0,AI63/ABS(AF63)),3)</f>
        <v>0</v>
      </c>
      <c r="AL63" s="1795"/>
    </row>
    <row r="64" spans="1:38" ht="15" customHeight="1">
      <c r="A64" s="35"/>
      <c r="B64" s="350" t="s">
        <v>389</v>
      </c>
      <c r="C64" s="350"/>
      <c r="D64" s="532">
        <f t="shared" si="14"/>
        <v>2.7</v>
      </c>
      <c r="E64" s="513"/>
      <c r="F64" s="532"/>
      <c r="G64" s="513"/>
      <c r="H64" s="532"/>
      <c r="I64" s="264"/>
      <c r="J64" s="532"/>
      <c r="K64" s="554"/>
      <c r="L64" s="532"/>
      <c r="M64" s="554"/>
      <c r="N64" s="532"/>
      <c r="O64" s="554"/>
      <c r="P64" s="532"/>
      <c r="Q64" s="554"/>
      <c r="R64" s="532"/>
      <c r="S64" s="554"/>
      <c r="T64" s="532"/>
      <c r="U64" s="554"/>
      <c r="V64" s="532"/>
      <c r="W64" s="554"/>
      <c r="X64" s="532"/>
      <c r="Y64" s="554"/>
      <c r="Z64" s="532"/>
      <c r="AA64" s="289"/>
      <c r="AB64" s="525"/>
      <c r="AC64" s="532">
        <v>2.7</v>
      </c>
      <c r="AD64" s="264"/>
      <c r="AE64" s="525" t="s">
        <v>103</v>
      </c>
      <c r="AF64" s="532">
        <v>2.7</v>
      </c>
      <c r="AG64" s="287"/>
      <c r="AH64" s="710"/>
      <c r="AI64" s="264">
        <f>ROUND(SUM(+AC64-AF64),1)</f>
        <v>0</v>
      </c>
      <c r="AJ64" s="264"/>
      <c r="AK64" s="266">
        <f>ROUND(IF(AF64=0,1,AI64/ABS(AF64)),3)</f>
        <v>0</v>
      </c>
      <c r="AL64" s="1795"/>
    </row>
    <row r="65" spans="1:38" ht="15" customHeight="1">
      <c r="A65" s="35"/>
      <c r="B65" s="350" t="s">
        <v>390</v>
      </c>
      <c r="C65" s="350"/>
      <c r="D65" s="532">
        <f t="shared" si="14"/>
        <v>0</v>
      </c>
      <c r="E65" s="513"/>
      <c r="F65" s="532"/>
      <c r="G65" s="513"/>
      <c r="H65" s="532"/>
      <c r="I65" s="264"/>
      <c r="J65" s="532"/>
      <c r="K65" s="554"/>
      <c r="L65" s="532"/>
      <c r="M65" s="554"/>
      <c r="N65" s="532"/>
      <c r="O65" s="554"/>
      <c r="P65" s="532"/>
      <c r="Q65" s="554"/>
      <c r="R65" s="532"/>
      <c r="S65" s="554"/>
      <c r="T65" s="532"/>
      <c r="U65" s="554"/>
      <c r="V65" s="532"/>
      <c r="W65" s="554"/>
      <c r="X65" s="532"/>
      <c r="Y65" s="554"/>
      <c r="Z65" s="532"/>
      <c r="AA65" s="289"/>
      <c r="AB65" s="525"/>
      <c r="AC65" s="532">
        <v>0</v>
      </c>
      <c r="AD65" s="264"/>
      <c r="AE65" s="525" t="s">
        <v>103</v>
      </c>
      <c r="AF65" s="532">
        <v>0</v>
      </c>
      <c r="AG65" s="287"/>
      <c r="AH65" s="710"/>
      <c r="AI65" s="264">
        <f>ROUND(SUM(+AC65-AF65),1)</f>
        <v>0</v>
      </c>
      <c r="AJ65" s="264"/>
      <c r="AK65" s="266">
        <f>ROUND(IF(AF65=0,0,AI65/ABS(AF65)),3)</f>
        <v>0</v>
      </c>
      <c r="AL65" s="1795"/>
    </row>
    <row r="66" spans="1:38" ht="15.5">
      <c r="A66" s="35"/>
      <c r="B66" s="350" t="s">
        <v>391</v>
      </c>
      <c r="C66" s="350"/>
      <c r="D66" s="532">
        <f t="shared" si="14"/>
        <v>0</v>
      </c>
      <c r="E66" s="513"/>
      <c r="F66" s="532"/>
      <c r="G66" s="513"/>
      <c r="H66" s="532"/>
      <c r="I66" s="264"/>
      <c r="J66" s="532"/>
      <c r="K66" s="554"/>
      <c r="L66" s="532"/>
      <c r="M66" s="554"/>
      <c r="N66" s="532"/>
      <c r="O66" s="554"/>
      <c r="P66" s="532"/>
      <c r="Q66" s="554"/>
      <c r="R66" s="532"/>
      <c r="S66" s="554"/>
      <c r="T66" s="532"/>
      <c r="U66" s="554"/>
      <c r="V66" s="532"/>
      <c r="W66" s="554"/>
      <c r="X66" s="532"/>
      <c r="Y66" s="554"/>
      <c r="Z66" s="532"/>
      <c r="AA66" s="289"/>
      <c r="AB66" s="525"/>
      <c r="AC66" s="532">
        <v>0</v>
      </c>
      <c r="AD66" s="264"/>
      <c r="AE66" s="525" t="s">
        <v>103</v>
      </c>
      <c r="AF66" s="532">
        <v>0</v>
      </c>
      <c r="AG66" s="287"/>
      <c r="AH66" s="710"/>
      <c r="AI66" s="264">
        <f>ROUND(SUM(+AC66-AF66),1)</f>
        <v>0</v>
      </c>
      <c r="AJ66" s="264"/>
      <c r="AK66" s="543">
        <f>ROUND(IF(AF66=0,0,AI66/ABS(AF66)),3)</f>
        <v>0</v>
      </c>
      <c r="AL66" s="1795"/>
    </row>
    <row r="67" spans="1:38" ht="15" customHeight="1">
      <c r="A67" s="35"/>
      <c r="B67" s="350" t="s">
        <v>392</v>
      </c>
      <c r="C67" s="350"/>
      <c r="D67" s="532"/>
      <c r="E67" s="513"/>
      <c r="F67" s="532"/>
      <c r="G67" s="513"/>
      <c r="H67" s="532"/>
      <c r="I67" s="264"/>
      <c r="J67" s="532"/>
      <c r="K67" s="264"/>
      <c r="L67" s="532"/>
      <c r="M67" s="264"/>
      <c r="N67" s="532"/>
      <c r="O67" s="264"/>
      <c r="P67" s="532"/>
      <c r="Q67" s="264"/>
      <c r="R67" s="532"/>
      <c r="S67" s="264"/>
      <c r="T67" s="532"/>
      <c r="U67" s="264"/>
      <c r="V67" s="532"/>
      <c r="W67" s="264"/>
      <c r="X67" s="532"/>
      <c r="Y67" s="264"/>
      <c r="Z67" s="532"/>
      <c r="AA67" s="268"/>
      <c r="AB67" s="1024"/>
      <c r="AC67" s="699" t="s">
        <v>103</v>
      </c>
      <c r="AD67" s="264"/>
      <c r="AE67" s="525"/>
      <c r="AF67" s="699" t="s">
        <v>103</v>
      </c>
      <c r="AG67" s="264"/>
      <c r="AH67" s="707"/>
      <c r="AI67" s="264"/>
      <c r="AJ67" s="264"/>
      <c r="AK67" s="283"/>
      <c r="AL67" s="1795"/>
    </row>
    <row r="68" spans="1:38" ht="15" customHeight="1">
      <c r="A68" s="35"/>
      <c r="B68" s="350" t="s">
        <v>393</v>
      </c>
      <c r="C68" s="350"/>
      <c r="D68" s="532">
        <f t="shared" si="14"/>
        <v>5.4</v>
      </c>
      <c r="E68" s="513"/>
      <c r="F68" s="532"/>
      <c r="G68" s="513"/>
      <c r="H68" s="532"/>
      <c r="I68" s="264"/>
      <c r="J68" s="532"/>
      <c r="K68" s="554"/>
      <c r="L68" s="532"/>
      <c r="M68" s="554"/>
      <c r="N68" s="532"/>
      <c r="O68" s="554"/>
      <c r="P68" s="532"/>
      <c r="Q68" s="554"/>
      <c r="R68" s="532"/>
      <c r="S68" s="554"/>
      <c r="T68" s="532"/>
      <c r="U68" s="554"/>
      <c r="V68" s="532"/>
      <c r="W68" s="554"/>
      <c r="X68" s="532"/>
      <c r="Y68" s="554"/>
      <c r="Z68" s="532"/>
      <c r="AA68" s="289"/>
      <c r="AB68" s="525"/>
      <c r="AC68" s="532">
        <v>5.4</v>
      </c>
      <c r="AD68" s="264"/>
      <c r="AE68" s="525" t="s">
        <v>103</v>
      </c>
      <c r="AF68" s="532">
        <v>4.7</v>
      </c>
      <c r="AG68" s="264"/>
      <c r="AH68" s="707"/>
      <c r="AI68" s="264">
        <f t="shared" ref="AI68:AI77" si="15">ROUND(SUM(+AC68-AF68),1)</f>
        <v>0.7</v>
      </c>
      <c r="AJ68" s="264"/>
      <c r="AK68" s="266">
        <f>ROUND(IF(AF68=0,0,AI68/ABS(AF68)),3)</f>
        <v>0.14899999999999999</v>
      </c>
      <c r="AL68" s="1795"/>
    </row>
    <row r="69" spans="1:38" ht="15" customHeight="1">
      <c r="A69" s="35"/>
      <c r="B69" s="350" t="s">
        <v>394</v>
      </c>
      <c r="C69" s="350"/>
      <c r="D69" s="532">
        <f t="shared" si="14"/>
        <v>0</v>
      </c>
      <c r="E69" s="513"/>
      <c r="F69" s="532"/>
      <c r="G69" s="513"/>
      <c r="H69" s="532"/>
      <c r="I69" s="264"/>
      <c r="J69" s="532"/>
      <c r="K69" s="554"/>
      <c r="L69" s="532"/>
      <c r="M69" s="554"/>
      <c r="N69" s="532"/>
      <c r="O69" s="554"/>
      <c r="P69" s="532"/>
      <c r="Q69" s="554"/>
      <c r="R69" s="532"/>
      <c r="S69" s="554"/>
      <c r="T69" s="532"/>
      <c r="U69" s="554"/>
      <c r="V69" s="532"/>
      <c r="W69" s="554"/>
      <c r="X69" s="532"/>
      <c r="Y69" s="554"/>
      <c r="Z69" s="532"/>
      <c r="AA69" s="289"/>
      <c r="AB69" s="525"/>
      <c r="AC69" s="532">
        <v>0</v>
      </c>
      <c r="AD69" s="264"/>
      <c r="AE69" s="525" t="s">
        <v>103</v>
      </c>
      <c r="AF69" s="532">
        <v>0</v>
      </c>
      <c r="AG69" s="264"/>
      <c r="AH69" s="707"/>
      <c r="AI69" s="264">
        <f>ROUND(SUM(+AC69-AF69),1)</f>
        <v>0</v>
      </c>
      <c r="AJ69" s="264"/>
      <c r="AK69" s="266">
        <f>ROUND(IF(AF69=0,0,AI69/ABS(AF69)),3)</f>
        <v>0</v>
      </c>
      <c r="AL69" s="1795"/>
    </row>
    <row r="70" spans="1:38" ht="15" customHeight="1">
      <c r="A70" s="35"/>
      <c r="B70" s="350" t="s">
        <v>395</v>
      </c>
      <c r="C70" s="350"/>
      <c r="D70" s="532">
        <f t="shared" si="14"/>
        <v>32</v>
      </c>
      <c r="E70" s="513"/>
      <c r="F70" s="532"/>
      <c r="G70" s="513"/>
      <c r="H70" s="532"/>
      <c r="I70" s="264"/>
      <c r="J70" s="532"/>
      <c r="K70" s="554"/>
      <c r="L70" s="532"/>
      <c r="M70" s="554"/>
      <c r="N70" s="532"/>
      <c r="O70" s="554"/>
      <c r="P70" s="532"/>
      <c r="Q70" s="554"/>
      <c r="R70" s="532"/>
      <c r="S70" s="554"/>
      <c r="T70" s="532"/>
      <c r="U70" s="554"/>
      <c r="V70" s="532"/>
      <c r="W70" s="554"/>
      <c r="X70" s="532"/>
      <c r="Y70" s="554"/>
      <c r="Z70" s="532"/>
      <c r="AA70" s="289"/>
      <c r="AB70" s="525"/>
      <c r="AC70" s="532">
        <v>32</v>
      </c>
      <c r="AD70" s="264"/>
      <c r="AE70" s="525" t="s">
        <v>103</v>
      </c>
      <c r="AF70" s="532">
        <v>35.1</v>
      </c>
      <c r="AG70" s="287"/>
      <c r="AH70" s="710"/>
      <c r="AI70" s="264">
        <f t="shared" si="15"/>
        <v>-3.1</v>
      </c>
      <c r="AJ70" s="264"/>
      <c r="AK70" s="266">
        <f>ROUND(IF(AF70=0,0,AI70/ABS(AF70)),3)</f>
        <v>-8.7999999999999995E-2</v>
      </c>
      <c r="AL70" s="1795"/>
    </row>
    <row r="71" spans="1:38" ht="15" customHeight="1">
      <c r="A71" s="35"/>
      <c r="B71" s="350" t="s">
        <v>396</v>
      </c>
      <c r="C71" s="350"/>
      <c r="D71" s="532">
        <f t="shared" si="14"/>
        <v>29.7</v>
      </c>
      <c r="E71" s="513"/>
      <c r="F71" s="532"/>
      <c r="G71" s="513"/>
      <c r="H71" s="532"/>
      <c r="I71" s="264"/>
      <c r="J71" s="532"/>
      <c r="K71" s="554"/>
      <c r="L71" s="532"/>
      <c r="M71" s="554"/>
      <c r="N71" s="532"/>
      <c r="O71" s="554"/>
      <c r="P71" s="532"/>
      <c r="Q71" s="554"/>
      <c r="R71" s="532"/>
      <c r="S71" s="554"/>
      <c r="T71" s="532"/>
      <c r="U71" s="554"/>
      <c r="V71" s="532"/>
      <c r="W71" s="554"/>
      <c r="X71" s="532"/>
      <c r="Y71" s="554"/>
      <c r="Z71" s="532"/>
      <c r="AA71" s="289"/>
      <c r="AB71" s="525"/>
      <c r="AC71" s="532">
        <v>29.7</v>
      </c>
      <c r="AD71" s="264"/>
      <c r="AE71" s="525" t="s">
        <v>103</v>
      </c>
      <c r="AF71" s="532">
        <v>19.3</v>
      </c>
      <c r="AG71" s="287"/>
      <c r="AH71" s="710"/>
      <c r="AI71" s="264">
        <f t="shared" si="15"/>
        <v>10.4</v>
      </c>
      <c r="AJ71" s="264"/>
      <c r="AK71" s="543">
        <f>ROUND(IF(AF71=0,0,AI71/ABS(AF71)),3)</f>
        <v>0.53900000000000003</v>
      </c>
      <c r="AL71" s="1795"/>
    </row>
    <row r="72" spans="1:38" ht="15" customHeight="1">
      <c r="A72" s="35"/>
      <c r="B72" s="350" t="s">
        <v>397</v>
      </c>
      <c r="C72" s="350"/>
      <c r="D72" s="532">
        <f t="shared" si="14"/>
        <v>0.1</v>
      </c>
      <c r="E72" s="513"/>
      <c r="F72" s="532"/>
      <c r="G72" s="513"/>
      <c r="H72" s="532"/>
      <c r="I72" s="264"/>
      <c r="J72" s="532"/>
      <c r="K72" s="554"/>
      <c r="L72" s="532"/>
      <c r="M72" s="554"/>
      <c r="N72" s="532"/>
      <c r="O72" s="554"/>
      <c r="P72" s="532"/>
      <c r="Q72" s="554"/>
      <c r="R72" s="532"/>
      <c r="S72" s="554"/>
      <c r="T72" s="532"/>
      <c r="U72" s="554"/>
      <c r="V72" s="532"/>
      <c r="W72" s="554"/>
      <c r="X72" s="532"/>
      <c r="Y72" s="554"/>
      <c r="Z72" s="532"/>
      <c r="AA72" s="289"/>
      <c r="AB72" s="525"/>
      <c r="AC72" s="532">
        <v>0.1</v>
      </c>
      <c r="AD72" s="264"/>
      <c r="AE72" s="525" t="s">
        <v>103</v>
      </c>
      <c r="AF72" s="532">
        <v>0.1</v>
      </c>
      <c r="AG72" s="287"/>
      <c r="AH72" s="710"/>
      <c r="AI72" s="264">
        <f t="shared" si="15"/>
        <v>0</v>
      </c>
      <c r="AJ72" s="264"/>
      <c r="AK72" s="543">
        <f>ROUND(IF(AF72=0,1,AI72/ABS(AF72)),3)</f>
        <v>0</v>
      </c>
      <c r="AL72" s="1795"/>
    </row>
    <row r="73" spans="1:38" ht="15" customHeight="1">
      <c r="A73" s="35"/>
      <c r="B73" s="350" t="s">
        <v>398</v>
      </c>
      <c r="C73" s="350"/>
      <c r="D73" s="532">
        <f t="shared" si="14"/>
        <v>186.7</v>
      </c>
      <c r="E73" s="513"/>
      <c r="F73" s="532"/>
      <c r="G73" s="513"/>
      <c r="H73" s="532"/>
      <c r="I73" s="264"/>
      <c r="J73" s="532"/>
      <c r="K73" s="554"/>
      <c r="L73" s="532"/>
      <c r="M73" s="554"/>
      <c r="N73" s="532"/>
      <c r="O73" s="554"/>
      <c r="P73" s="532"/>
      <c r="Q73" s="554"/>
      <c r="R73" s="532"/>
      <c r="S73" s="554"/>
      <c r="T73" s="532"/>
      <c r="U73" s="554"/>
      <c r="V73" s="532"/>
      <c r="W73" s="554"/>
      <c r="X73" s="532"/>
      <c r="Y73" s="554"/>
      <c r="Z73" s="532"/>
      <c r="AA73" s="289"/>
      <c r="AB73" s="525"/>
      <c r="AC73" s="532">
        <v>186.7</v>
      </c>
      <c r="AD73" s="264"/>
      <c r="AE73" s="525" t="s">
        <v>103</v>
      </c>
      <c r="AF73" s="532">
        <v>24.3</v>
      </c>
      <c r="AG73" s="287"/>
      <c r="AH73" s="710"/>
      <c r="AI73" s="264">
        <f t="shared" si="15"/>
        <v>162.4</v>
      </c>
      <c r="AJ73" s="264"/>
      <c r="AK73" s="543">
        <f>ROUND(IF(AF73=0,1,AI73/ABS(AF73)),3)</f>
        <v>6.6829999999999998</v>
      </c>
      <c r="AL73" s="1795"/>
    </row>
    <row r="74" spans="1:38" ht="15" customHeight="1">
      <c r="A74" s="35"/>
      <c r="B74" s="350" t="s">
        <v>399</v>
      </c>
      <c r="C74" s="350"/>
      <c r="D74" s="532">
        <f t="shared" si="14"/>
        <v>2.6</v>
      </c>
      <c r="E74" s="513"/>
      <c r="F74" s="532"/>
      <c r="G74" s="513"/>
      <c r="H74" s="532"/>
      <c r="I74" s="264"/>
      <c r="J74" s="532"/>
      <c r="K74" s="554"/>
      <c r="L74" s="532"/>
      <c r="M74" s="554"/>
      <c r="N74" s="532"/>
      <c r="O74" s="554"/>
      <c r="P74" s="532"/>
      <c r="Q74" s="554"/>
      <c r="R74" s="532"/>
      <c r="S74" s="554"/>
      <c r="T74" s="532"/>
      <c r="U74" s="554"/>
      <c r="V74" s="532"/>
      <c r="W74" s="554"/>
      <c r="X74" s="532"/>
      <c r="Y74" s="554"/>
      <c r="Z74" s="532"/>
      <c r="AA74" s="1233"/>
      <c r="AB74" s="264"/>
      <c r="AC74" s="532">
        <v>2.6</v>
      </c>
      <c r="AD74" s="264"/>
      <c r="AE74" s="525" t="s">
        <v>103</v>
      </c>
      <c r="AF74" s="532">
        <v>2</v>
      </c>
      <c r="AG74" s="287"/>
      <c r="AH74" s="710"/>
      <c r="AI74" s="264">
        <f t="shared" si="15"/>
        <v>0.6</v>
      </c>
      <c r="AJ74" s="264"/>
      <c r="AK74" s="543">
        <f>ROUND(IF(AF74=0,1,AI74/ABS(AF74)),3)</f>
        <v>0.3</v>
      </c>
      <c r="AL74" s="1795"/>
    </row>
    <row r="75" spans="1:38" ht="15" customHeight="1">
      <c r="A75" s="35"/>
      <c r="B75" s="350" t="s">
        <v>400</v>
      </c>
      <c r="C75" s="350"/>
      <c r="D75" s="532">
        <f t="shared" si="14"/>
        <v>22.400000000000002</v>
      </c>
      <c r="E75" s="513"/>
      <c r="F75" s="532"/>
      <c r="G75" s="513"/>
      <c r="H75" s="532"/>
      <c r="I75" s="264"/>
      <c r="J75" s="532"/>
      <c r="K75" s="554"/>
      <c r="L75" s="532"/>
      <c r="M75" s="554"/>
      <c r="N75" s="532"/>
      <c r="O75" s="554"/>
      <c r="P75" s="532"/>
      <c r="Q75" s="554"/>
      <c r="R75" s="532"/>
      <c r="S75" s="554"/>
      <c r="T75" s="532"/>
      <c r="U75" s="554"/>
      <c r="V75" s="532"/>
      <c r="W75" s="554"/>
      <c r="X75" s="532"/>
      <c r="Y75" s="554"/>
      <c r="Z75" s="532"/>
      <c r="AA75" s="1233"/>
      <c r="AB75" s="264"/>
      <c r="AC75" s="532">
        <v>22.400000000000002</v>
      </c>
      <c r="AD75" s="1234"/>
      <c r="AE75" s="264" t="s">
        <v>103</v>
      </c>
      <c r="AF75" s="532">
        <v>50.4</v>
      </c>
      <c r="AG75" s="287"/>
      <c r="AH75" s="710"/>
      <c r="AI75" s="264">
        <f t="shared" si="15"/>
        <v>-28</v>
      </c>
      <c r="AJ75" s="264"/>
      <c r="AK75" s="543">
        <f>ROUND(IF(AF75=0,0,AI75/ABS(AF75)),3)</f>
        <v>-0.55600000000000005</v>
      </c>
      <c r="AL75" s="1795"/>
    </row>
    <row r="76" spans="1:38" s="63" customFormat="1" ht="15" customHeight="1">
      <c r="A76" s="35"/>
      <c r="B76" s="350" t="s">
        <v>401</v>
      </c>
      <c r="C76" s="291"/>
      <c r="D76" s="532" t="str">
        <f t="shared" si="14"/>
        <v xml:space="preserve"> </v>
      </c>
      <c r="E76" s="513"/>
      <c r="F76" s="532"/>
      <c r="G76" s="513"/>
      <c r="H76" s="532"/>
      <c r="I76" s="264"/>
      <c r="J76" s="532"/>
      <c r="K76" s="264"/>
      <c r="L76" s="532"/>
      <c r="M76" s="264"/>
      <c r="N76" s="532"/>
      <c r="O76" s="264"/>
      <c r="P76" s="532"/>
      <c r="Q76" s="264"/>
      <c r="R76" s="532"/>
      <c r="S76" s="264"/>
      <c r="T76" s="532"/>
      <c r="U76" s="264"/>
      <c r="V76" s="532"/>
      <c r="W76" s="264"/>
      <c r="X76" s="532"/>
      <c r="Y76" s="264"/>
      <c r="Z76" s="532"/>
      <c r="AA76" s="1235"/>
      <c r="AB76" s="264"/>
      <c r="AC76" s="264" t="s">
        <v>103</v>
      </c>
      <c r="AD76" s="1234"/>
      <c r="AE76" s="264"/>
      <c r="AF76" s="264" t="s">
        <v>103</v>
      </c>
      <c r="AG76" s="287"/>
      <c r="AH76" s="710"/>
      <c r="AI76" s="264"/>
      <c r="AJ76" s="264"/>
      <c r="AK76" s="264"/>
      <c r="AL76" s="1795"/>
    </row>
    <row r="77" spans="1:38" s="63" customFormat="1" ht="15" customHeight="1">
      <c r="A77" s="35"/>
      <c r="B77" s="350" t="s">
        <v>448</v>
      </c>
      <c r="C77" s="291"/>
      <c r="D77" s="532">
        <f t="shared" si="14"/>
        <v>5</v>
      </c>
      <c r="E77" s="513"/>
      <c r="F77" s="532"/>
      <c r="G77" s="513"/>
      <c r="H77" s="532"/>
      <c r="I77" s="264"/>
      <c r="J77" s="532"/>
      <c r="K77" s="554"/>
      <c r="L77" s="532"/>
      <c r="M77" s="554"/>
      <c r="N77" s="532"/>
      <c r="O77" s="554"/>
      <c r="P77" s="532"/>
      <c r="Q77" s="554"/>
      <c r="R77" s="532"/>
      <c r="S77" s="554"/>
      <c r="T77" s="532"/>
      <c r="U77" s="554"/>
      <c r="V77" s="532"/>
      <c r="W77" s="554"/>
      <c r="X77" s="532"/>
      <c r="Y77" s="554"/>
      <c r="Z77" s="532"/>
      <c r="AA77" s="1233"/>
      <c r="AB77" s="264"/>
      <c r="AC77" s="532">
        <v>5</v>
      </c>
      <c r="AD77" s="1794" t="s">
        <v>103</v>
      </c>
      <c r="AE77" s="287"/>
      <c r="AF77" s="532">
        <v>5</v>
      </c>
      <c r="AG77" s="287"/>
      <c r="AH77" s="710"/>
      <c r="AI77" s="264">
        <f t="shared" si="15"/>
        <v>0</v>
      </c>
      <c r="AJ77" s="264"/>
      <c r="AK77" s="283">
        <f>ROUND(IF(AF77=0,1,AI77/ABS(AF77)),3)</f>
        <v>0</v>
      </c>
      <c r="AL77" s="1795"/>
    </row>
    <row r="78" spans="1:38" ht="15" customHeight="1">
      <c r="A78" s="35"/>
      <c r="B78" s="350" t="s">
        <v>406</v>
      </c>
      <c r="C78" s="350"/>
      <c r="D78" s="532">
        <f t="shared" si="14"/>
        <v>187</v>
      </c>
      <c r="E78" s="513"/>
      <c r="F78" s="532"/>
      <c r="G78" s="513"/>
      <c r="H78" s="532"/>
      <c r="I78" s="264"/>
      <c r="J78" s="532"/>
      <c r="K78" s="554"/>
      <c r="L78" s="532"/>
      <c r="M78" s="554"/>
      <c r="N78" s="532"/>
      <c r="O78" s="554"/>
      <c r="P78" s="532"/>
      <c r="Q78" s="554"/>
      <c r="R78" s="532"/>
      <c r="S78" s="554"/>
      <c r="T78" s="532"/>
      <c r="U78" s="554"/>
      <c r="V78" s="532"/>
      <c r="W78" s="554"/>
      <c r="X78" s="532"/>
      <c r="Y78" s="554"/>
      <c r="Z78" s="532"/>
      <c r="AA78" s="1233"/>
      <c r="AB78" s="264"/>
      <c r="AC78" s="532">
        <v>187</v>
      </c>
      <c r="AD78" s="1234"/>
      <c r="AE78" s="264" t="s">
        <v>103</v>
      </c>
      <c r="AF78" s="532">
        <v>221.9</v>
      </c>
      <c r="AG78" s="287"/>
      <c r="AH78" s="710"/>
      <c r="AI78" s="264">
        <f>ROUND(SUM(+AC78-AF78),1)</f>
        <v>-34.9</v>
      </c>
      <c r="AJ78" s="264"/>
      <c r="AK78" s="543">
        <f>ROUND(IF(AF78=0,1,AI78/ABS(AF78)),3)</f>
        <v>-0.157</v>
      </c>
      <c r="AL78" s="1795"/>
    </row>
    <row r="79" spans="1:38" ht="15" customHeight="1">
      <c r="A79" s="35"/>
      <c r="B79" s="350" t="s">
        <v>407</v>
      </c>
      <c r="C79" s="350"/>
      <c r="D79" s="532">
        <f t="shared" si="14"/>
        <v>0</v>
      </c>
      <c r="E79" s="513"/>
      <c r="F79" s="532"/>
      <c r="G79" s="513"/>
      <c r="H79" s="532"/>
      <c r="I79" s="264"/>
      <c r="J79" s="532"/>
      <c r="K79" s="554"/>
      <c r="L79" s="532"/>
      <c r="M79" s="554"/>
      <c r="N79" s="532"/>
      <c r="O79" s="554"/>
      <c r="P79" s="532"/>
      <c r="Q79" s="554"/>
      <c r="R79" s="532"/>
      <c r="S79" s="554"/>
      <c r="T79" s="532"/>
      <c r="U79" s="554"/>
      <c r="V79" s="532"/>
      <c r="W79" s="554"/>
      <c r="X79" s="532"/>
      <c r="Y79" s="554"/>
      <c r="Z79" s="532"/>
      <c r="AA79" s="289"/>
      <c r="AB79" s="525"/>
      <c r="AC79" s="532">
        <v>0</v>
      </c>
      <c r="AD79" s="264"/>
      <c r="AE79" s="525" t="s">
        <v>103</v>
      </c>
      <c r="AF79" s="532">
        <v>0</v>
      </c>
      <c r="AG79" s="287"/>
      <c r="AH79" s="710"/>
      <c r="AI79" s="264">
        <f>ROUND(SUM(+AC79-AF79),1)</f>
        <v>0</v>
      </c>
      <c r="AJ79" s="264"/>
      <c r="AK79" s="543">
        <f>ROUND(IF(AF79=0,0,AI79/ABS(AF79)),3)</f>
        <v>0</v>
      </c>
      <c r="AL79" s="1795"/>
    </row>
    <row r="80" spans="1:38" ht="15" customHeight="1">
      <c r="A80" s="35"/>
      <c r="B80" s="350" t="s">
        <v>408</v>
      </c>
      <c r="C80" s="350"/>
      <c r="D80" s="532"/>
      <c r="E80" s="513"/>
      <c r="F80" s="532"/>
      <c r="G80" s="513"/>
      <c r="H80" s="532"/>
      <c r="I80" s="264"/>
      <c r="J80" s="532"/>
      <c r="K80" s="264"/>
      <c r="L80" s="532"/>
      <c r="M80" s="264"/>
      <c r="N80" s="532"/>
      <c r="O80" s="264"/>
      <c r="P80" s="532"/>
      <c r="Q80" s="264"/>
      <c r="R80" s="532"/>
      <c r="S80" s="264"/>
      <c r="T80" s="532"/>
      <c r="U80" s="264"/>
      <c r="V80" s="532"/>
      <c r="W80" s="264"/>
      <c r="X80" s="532"/>
      <c r="Y80" s="264"/>
      <c r="Z80" s="532"/>
      <c r="AA80" s="268"/>
      <c r="AB80" s="1024"/>
      <c r="AC80" s="699" t="s">
        <v>103</v>
      </c>
      <c r="AD80" s="264"/>
      <c r="AE80" s="525"/>
      <c r="AF80" s="699" t="s">
        <v>103</v>
      </c>
      <c r="AG80" s="264"/>
      <c r="AH80" s="707"/>
      <c r="AI80" s="264"/>
      <c r="AJ80" s="264"/>
      <c r="AK80" s="283"/>
      <c r="AL80" s="1795"/>
    </row>
    <row r="81" spans="1:38" ht="15" customHeight="1">
      <c r="A81" s="35"/>
      <c r="B81" s="350" t="s">
        <v>409</v>
      </c>
      <c r="C81" s="350"/>
      <c r="D81" s="532">
        <f t="shared" si="14"/>
        <v>0</v>
      </c>
      <c r="E81" s="513"/>
      <c r="F81" s="532"/>
      <c r="G81" s="513"/>
      <c r="H81" s="532"/>
      <c r="I81" s="264"/>
      <c r="J81" s="532"/>
      <c r="K81" s="264"/>
      <c r="L81" s="532"/>
      <c r="M81" s="264"/>
      <c r="N81" s="532"/>
      <c r="O81" s="264"/>
      <c r="P81" s="532"/>
      <c r="Q81" s="264"/>
      <c r="R81" s="532"/>
      <c r="S81" s="264"/>
      <c r="T81" s="532"/>
      <c r="U81" s="264"/>
      <c r="V81" s="532"/>
      <c r="W81" s="264"/>
      <c r="X81" s="532"/>
      <c r="Y81" s="264"/>
      <c r="Z81" s="532"/>
      <c r="AA81" s="268"/>
      <c r="AB81" s="1024"/>
      <c r="AC81" s="532">
        <v>0</v>
      </c>
      <c r="AD81" s="264"/>
      <c r="AE81" s="525"/>
      <c r="AF81" s="532">
        <v>0</v>
      </c>
      <c r="AG81" s="264"/>
      <c r="AH81" s="707"/>
      <c r="AI81" s="264">
        <f t="shared" ref="AI81:AI85" si="16">ROUND(SUM(+AC81-AF81),1)</f>
        <v>0</v>
      </c>
      <c r="AJ81" s="264"/>
      <c r="AK81" s="266">
        <f>ROUND(IF(AF81=0,0,AI81/ABS(AF81)),3)</f>
        <v>0</v>
      </c>
      <c r="AL81" s="1795"/>
    </row>
    <row r="82" spans="1:38" ht="15" customHeight="1">
      <c r="A82" s="35"/>
      <c r="B82" s="350" t="s">
        <v>410</v>
      </c>
      <c r="C82" s="350"/>
      <c r="D82" s="532">
        <f t="shared" si="14"/>
        <v>0</v>
      </c>
      <c r="E82" s="513"/>
      <c r="F82" s="532"/>
      <c r="G82" s="513"/>
      <c r="H82" s="532"/>
      <c r="I82" s="264"/>
      <c r="J82" s="532"/>
      <c r="K82" s="554"/>
      <c r="L82" s="532"/>
      <c r="M82" s="554"/>
      <c r="N82" s="532"/>
      <c r="O82" s="554"/>
      <c r="P82" s="532"/>
      <c r="Q82" s="554"/>
      <c r="R82" s="532"/>
      <c r="S82" s="554"/>
      <c r="T82" s="532"/>
      <c r="U82" s="554"/>
      <c r="V82" s="532"/>
      <c r="W82" s="554"/>
      <c r="X82" s="532"/>
      <c r="Y82" s="554"/>
      <c r="Z82" s="532"/>
      <c r="AA82" s="289"/>
      <c r="AB82" s="525"/>
      <c r="AC82" s="532">
        <v>0</v>
      </c>
      <c r="AD82" s="264"/>
      <c r="AE82" s="525" t="s">
        <v>103</v>
      </c>
      <c r="AF82" s="532">
        <v>0</v>
      </c>
      <c r="AG82" s="287"/>
      <c r="AH82" s="710"/>
      <c r="AI82" s="264">
        <f t="shared" si="16"/>
        <v>0</v>
      </c>
      <c r="AJ82" s="264"/>
      <c r="AK82" s="266">
        <f>ROUND(IF(AF82=0,0,AI82/ABS(AF82)),3)</f>
        <v>0</v>
      </c>
      <c r="AL82" s="1795"/>
    </row>
    <row r="83" spans="1:38" ht="15" customHeight="1">
      <c r="A83" s="35"/>
      <c r="B83" s="350" t="s">
        <v>411</v>
      </c>
      <c r="C83" s="350"/>
      <c r="D83" s="532">
        <f t="shared" si="14"/>
        <v>0.8</v>
      </c>
      <c r="E83" s="513"/>
      <c r="F83" s="532"/>
      <c r="G83" s="513"/>
      <c r="H83" s="532"/>
      <c r="I83" s="264"/>
      <c r="J83" s="532"/>
      <c r="K83" s="554"/>
      <c r="L83" s="532"/>
      <c r="M83" s="554"/>
      <c r="N83" s="532"/>
      <c r="O83" s="554"/>
      <c r="P83" s="532"/>
      <c r="Q83" s="554"/>
      <c r="R83" s="532"/>
      <c r="S83" s="554"/>
      <c r="T83" s="532"/>
      <c r="U83" s="554"/>
      <c r="V83" s="532"/>
      <c r="W83" s="554"/>
      <c r="X83" s="532"/>
      <c r="Y83" s="554"/>
      <c r="Z83" s="532"/>
      <c r="AA83" s="289"/>
      <c r="AB83" s="525"/>
      <c r="AC83" s="532">
        <v>0.8</v>
      </c>
      <c r="AD83" s="264"/>
      <c r="AE83" s="525" t="s">
        <v>103</v>
      </c>
      <c r="AF83" s="532">
        <v>0</v>
      </c>
      <c r="AG83" s="287"/>
      <c r="AH83" s="710"/>
      <c r="AI83" s="264">
        <f t="shared" si="16"/>
        <v>0.8</v>
      </c>
      <c r="AJ83" s="264"/>
      <c r="AK83" s="266">
        <f>ROUND(IF(AF83=0,1,AI83/ABS(AF83)),3)</f>
        <v>1</v>
      </c>
      <c r="AL83" s="1795"/>
    </row>
    <row r="84" spans="1:38" ht="15" customHeight="1">
      <c r="A84" s="35"/>
      <c r="B84" s="350" t="s">
        <v>412</v>
      </c>
      <c r="C84" s="350"/>
      <c r="D84" s="532">
        <f t="shared" si="14"/>
        <v>0</v>
      </c>
      <c r="E84" s="513"/>
      <c r="F84" s="532"/>
      <c r="G84" s="513"/>
      <c r="H84" s="532"/>
      <c r="I84" s="264"/>
      <c r="J84" s="532"/>
      <c r="K84" s="554"/>
      <c r="L84" s="532"/>
      <c r="M84" s="554"/>
      <c r="N84" s="532"/>
      <c r="O84" s="554"/>
      <c r="P84" s="532"/>
      <c r="Q84" s="554"/>
      <c r="R84" s="532"/>
      <c r="S84" s="554"/>
      <c r="T84" s="532"/>
      <c r="U84" s="554"/>
      <c r="V84" s="532"/>
      <c r="W84" s="554"/>
      <c r="X84" s="532"/>
      <c r="Y84" s="554"/>
      <c r="Z84" s="532"/>
      <c r="AA84" s="289"/>
      <c r="AB84" s="525"/>
      <c r="AC84" s="532">
        <v>0</v>
      </c>
      <c r="AD84" s="264"/>
      <c r="AE84" s="525" t="s">
        <v>103</v>
      </c>
      <c r="AF84" s="532">
        <v>0</v>
      </c>
      <c r="AG84" s="287"/>
      <c r="AH84" s="710"/>
      <c r="AI84" s="264">
        <f t="shared" si="16"/>
        <v>0</v>
      </c>
      <c r="AJ84" s="264"/>
      <c r="AK84" s="266">
        <f>ROUND(IF(AF84=0,0,AI84/ABS(AF84)),3)</f>
        <v>0</v>
      </c>
      <c r="AL84" s="1795"/>
    </row>
    <row r="85" spans="1:38" ht="15" customHeight="1">
      <c r="A85" s="35"/>
      <c r="B85" s="350" t="s">
        <v>413</v>
      </c>
      <c r="C85" s="350"/>
      <c r="D85" s="532">
        <f t="shared" si="14"/>
        <v>0.2</v>
      </c>
      <c r="E85" s="513"/>
      <c r="F85" s="532"/>
      <c r="G85" s="513"/>
      <c r="H85" s="532"/>
      <c r="I85" s="264"/>
      <c r="J85" s="532"/>
      <c r="K85" s="554"/>
      <c r="L85" s="532"/>
      <c r="M85" s="554"/>
      <c r="N85" s="532"/>
      <c r="O85" s="554"/>
      <c r="P85" s="532"/>
      <c r="Q85" s="554"/>
      <c r="R85" s="532"/>
      <c r="S85" s="554"/>
      <c r="T85" s="532"/>
      <c r="U85" s="554"/>
      <c r="V85" s="532"/>
      <c r="W85" s="554"/>
      <c r="X85" s="532"/>
      <c r="Y85" s="554"/>
      <c r="Z85" s="532"/>
      <c r="AA85" s="289"/>
      <c r="AB85" s="525"/>
      <c r="AC85" s="532">
        <v>0.2</v>
      </c>
      <c r="AD85" s="264"/>
      <c r="AE85" s="525" t="s">
        <v>103</v>
      </c>
      <c r="AF85" s="532">
        <v>0.1</v>
      </c>
      <c r="AG85" s="287"/>
      <c r="AH85" s="710"/>
      <c r="AI85" s="264">
        <f t="shared" si="16"/>
        <v>0.1</v>
      </c>
      <c r="AJ85" s="264"/>
      <c r="AK85" s="266">
        <f t="shared" ref="AK85" si="17">ROUND(IF(AF85=0,0,AI85/ABS(AF85)),3)</f>
        <v>1</v>
      </c>
      <c r="AL85" s="1795"/>
    </row>
    <row r="86" spans="1:38" ht="15" customHeight="1">
      <c r="A86" s="35"/>
      <c r="B86" s="350" t="s">
        <v>414</v>
      </c>
      <c r="C86" s="350"/>
      <c r="D86" s="532" t="str">
        <f t="shared" si="14"/>
        <v xml:space="preserve">      </v>
      </c>
      <c r="E86" s="513"/>
      <c r="F86" s="532"/>
      <c r="G86" s="513"/>
      <c r="H86" s="532"/>
      <c r="I86" s="264"/>
      <c r="J86" s="532"/>
      <c r="K86" s="264"/>
      <c r="L86" s="532"/>
      <c r="M86" s="264"/>
      <c r="N86" s="532"/>
      <c r="O86" s="264"/>
      <c r="P86" s="532"/>
      <c r="Q86" s="264"/>
      <c r="R86" s="532"/>
      <c r="S86" s="264"/>
      <c r="T86" s="532"/>
      <c r="U86" s="264"/>
      <c r="V86" s="532"/>
      <c r="W86" s="264"/>
      <c r="X86" s="532"/>
      <c r="Y86" s="264"/>
      <c r="Z86" s="532"/>
      <c r="AA86" s="268"/>
      <c r="AB86" s="1024"/>
      <c r="AC86" s="699" t="s">
        <v>449</v>
      </c>
      <c r="AD86" s="264"/>
      <c r="AE86" s="525" t="s">
        <v>103</v>
      </c>
      <c r="AF86" s="699" t="s">
        <v>449</v>
      </c>
      <c r="AG86" s="264"/>
      <c r="AH86" s="707"/>
      <c r="AI86" s="264"/>
      <c r="AJ86" s="264"/>
      <c r="AK86" s="283"/>
      <c r="AL86" s="1795"/>
    </row>
    <row r="87" spans="1:38" ht="15" customHeight="1">
      <c r="A87" s="35"/>
      <c r="B87" s="350" t="s">
        <v>415</v>
      </c>
      <c r="C87" s="350"/>
      <c r="D87" s="532">
        <f t="shared" si="14"/>
        <v>0.1</v>
      </c>
      <c r="E87" s="513"/>
      <c r="F87" s="532"/>
      <c r="G87" s="513"/>
      <c r="H87" s="532"/>
      <c r="I87" s="264"/>
      <c r="J87" s="532"/>
      <c r="K87" s="554"/>
      <c r="L87" s="532"/>
      <c r="M87" s="554"/>
      <c r="N87" s="532"/>
      <c r="O87" s="554"/>
      <c r="P87" s="532"/>
      <c r="Q87" s="554"/>
      <c r="R87" s="532"/>
      <c r="S87" s="554"/>
      <c r="T87" s="532"/>
      <c r="U87" s="554"/>
      <c r="V87" s="532"/>
      <c r="W87" s="554"/>
      <c r="X87" s="532"/>
      <c r="Y87" s="554"/>
      <c r="Z87" s="532"/>
      <c r="AA87" s="289"/>
      <c r="AB87" s="525"/>
      <c r="AC87" s="532">
        <v>0.1</v>
      </c>
      <c r="AD87" s="264"/>
      <c r="AE87" s="525" t="s">
        <v>103</v>
      </c>
      <c r="AF87" s="532">
        <v>0.3</v>
      </c>
      <c r="AG87" s="287"/>
      <c r="AH87" s="710"/>
      <c r="AI87" s="264">
        <f t="shared" ref="AI87:AI96" si="18">ROUND(SUM(+AC87-AF87),1)</f>
        <v>-0.2</v>
      </c>
      <c r="AJ87" s="264"/>
      <c r="AK87" s="266">
        <f t="shared" ref="AK87" si="19">ROUND(IF(AF87=0,1,AI87/ABS(AF87)),3)</f>
        <v>-0.66700000000000004</v>
      </c>
      <c r="AL87" s="1795"/>
    </row>
    <row r="88" spans="1:38" ht="15" customHeight="1">
      <c r="A88" s="35"/>
      <c r="B88" s="350" t="s">
        <v>416</v>
      </c>
      <c r="C88" s="350"/>
      <c r="D88" s="532">
        <f t="shared" si="14"/>
        <v>-0.2</v>
      </c>
      <c r="E88" s="513"/>
      <c r="F88" s="532"/>
      <c r="G88" s="513"/>
      <c r="H88" s="532"/>
      <c r="I88" s="264"/>
      <c r="J88" s="532"/>
      <c r="K88" s="554"/>
      <c r="L88" s="532"/>
      <c r="M88" s="554"/>
      <c r="N88" s="532"/>
      <c r="O88" s="554"/>
      <c r="P88" s="532"/>
      <c r="Q88" s="554"/>
      <c r="R88" s="532"/>
      <c r="S88" s="554"/>
      <c r="T88" s="532"/>
      <c r="U88" s="554"/>
      <c r="V88" s="532"/>
      <c r="W88" s="554"/>
      <c r="X88" s="532"/>
      <c r="Y88" s="554"/>
      <c r="Z88" s="532"/>
      <c r="AA88" s="289"/>
      <c r="AB88" s="525"/>
      <c r="AC88" s="532">
        <v>-0.2</v>
      </c>
      <c r="AD88" s="264"/>
      <c r="AE88" s="525" t="s">
        <v>103</v>
      </c>
      <c r="AF88" s="532">
        <v>-0.1</v>
      </c>
      <c r="AG88" s="287"/>
      <c r="AH88" s="710"/>
      <c r="AI88" s="264">
        <f t="shared" ref="AI88" si="20">ROUND(SUM(+AC88-AF88),1)</f>
        <v>-0.1</v>
      </c>
      <c r="AJ88" s="264"/>
      <c r="AK88" s="543">
        <f>ROUND(IF(AF88=0,1,AI88/ABS(AF88)),3)</f>
        <v>-1</v>
      </c>
      <c r="AL88" s="1795"/>
    </row>
    <row r="89" spans="1:38" ht="15" customHeight="1">
      <c r="A89" s="35"/>
      <c r="B89" s="350" t="s">
        <v>417</v>
      </c>
      <c r="C89" s="350"/>
      <c r="D89" s="532">
        <f t="shared" si="14"/>
        <v>0</v>
      </c>
      <c r="E89" s="513"/>
      <c r="F89" s="532"/>
      <c r="G89" s="513"/>
      <c r="H89" s="532"/>
      <c r="I89" s="264"/>
      <c r="J89" s="532"/>
      <c r="K89" s="554"/>
      <c r="L89" s="532"/>
      <c r="M89" s="554"/>
      <c r="N89" s="532"/>
      <c r="O89" s="554"/>
      <c r="P89" s="532"/>
      <c r="Q89" s="554"/>
      <c r="R89" s="532"/>
      <c r="S89" s="554"/>
      <c r="T89" s="532"/>
      <c r="U89" s="554"/>
      <c r="V89" s="532"/>
      <c r="W89" s="554"/>
      <c r="X89" s="532"/>
      <c r="Y89" s="554"/>
      <c r="Z89" s="532"/>
      <c r="AA89" s="289"/>
      <c r="AB89" s="525"/>
      <c r="AC89" s="532">
        <v>0</v>
      </c>
      <c r="AD89" s="264"/>
      <c r="AE89" s="525" t="s">
        <v>103</v>
      </c>
      <c r="AF89" s="532">
        <v>0</v>
      </c>
      <c r="AG89" s="287"/>
      <c r="AH89" s="710"/>
      <c r="AI89" s="264">
        <f t="shared" si="18"/>
        <v>0</v>
      </c>
      <c r="AJ89" s="264"/>
      <c r="AK89" s="543">
        <f>ROUND(IF(AF89=0,0,AI89/ABS(AF89)),3)</f>
        <v>0</v>
      </c>
      <c r="AL89" s="1795"/>
    </row>
    <row r="90" spans="1:38" ht="15" customHeight="1">
      <c r="A90" s="35"/>
      <c r="B90" s="350" t="s">
        <v>418</v>
      </c>
      <c r="C90" s="350"/>
      <c r="D90" s="532">
        <f t="shared" si="14"/>
        <v>0</v>
      </c>
      <c r="E90" s="513"/>
      <c r="F90" s="532"/>
      <c r="G90" s="513"/>
      <c r="H90" s="532"/>
      <c r="I90" s="264"/>
      <c r="J90" s="532"/>
      <c r="K90" s="554"/>
      <c r="L90" s="532"/>
      <c r="M90" s="554"/>
      <c r="N90" s="532"/>
      <c r="O90" s="554"/>
      <c r="P90" s="532"/>
      <c r="Q90" s="554"/>
      <c r="R90" s="532"/>
      <c r="S90" s="554"/>
      <c r="T90" s="532"/>
      <c r="U90" s="554"/>
      <c r="V90" s="532"/>
      <c r="W90" s="554"/>
      <c r="X90" s="532"/>
      <c r="Y90" s="554"/>
      <c r="Z90" s="532"/>
      <c r="AA90" s="289"/>
      <c r="AB90" s="525"/>
      <c r="AC90" s="532">
        <v>0</v>
      </c>
      <c r="AD90" s="264"/>
      <c r="AE90" s="525" t="s">
        <v>103</v>
      </c>
      <c r="AF90" s="532">
        <v>0</v>
      </c>
      <c r="AG90" s="287"/>
      <c r="AH90" s="710"/>
      <c r="AI90" s="264">
        <f t="shared" si="18"/>
        <v>0</v>
      </c>
      <c r="AJ90" s="264"/>
      <c r="AK90" s="543">
        <f>ROUND(IF(AF90=0,0,AI90/ABS(AF90)),3)</f>
        <v>0</v>
      </c>
      <c r="AL90" s="1795"/>
    </row>
    <row r="91" spans="1:38" ht="15" customHeight="1">
      <c r="A91" s="35"/>
      <c r="B91" s="350" t="s">
        <v>419</v>
      </c>
      <c r="C91" s="350"/>
      <c r="D91" s="532">
        <f t="shared" si="14"/>
        <v>17.8</v>
      </c>
      <c r="E91" s="513"/>
      <c r="F91" s="532"/>
      <c r="G91" s="513"/>
      <c r="H91" s="532"/>
      <c r="I91" s="264"/>
      <c r="J91" s="532"/>
      <c r="K91" s="554"/>
      <c r="L91" s="532"/>
      <c r="M91" s="554"/>
      <c r="N91" s="532"/>
      <c r="O91" s="554"/>
      <c r="P91" s="532"/>
      <c r="Q91" s="554"/>
      <c r="R91" s="532"/>
      <c r="S91" s="554"/>
      <c r="T91" s="532"/>
      <c r="U91" s="554"/>
      <c r="V91" s="532"/>
      <c r="W91" s="554"/>
      <c r="X91" s="532"/>
      <c r="Y91" s="554"/>
      <c r="Z91" s="532"/>
      <c r="AA91" s="289"/>
      <c r="AB91" s="525"/>
      <c r="AC91" s="532">
        <v>17.8</v>
      </c>
      <c r="AD91" s="264"/>
      <c r="AE91" s="525" t="s">
        <v>103</v>
      </c>
      <c r="AF91" s="532">
        <v>-24.4</v>
      </c>
      <c r="AG91" s="287"/>
      <c r="AH91" s="710"/>
      <c r="AI91" s="264">
        <f>ROUND(SUM(+AC91-AF91),1)</f>
        <v>42.2</v>
      </c>
      <c r="AJ91" s="264"/>
      <c r="AK91" s="543">
        <f>ROUND(IF(AF91=0,1,AI91/ABS(AF91)),3)</f>
        <v>1.73</v>
      </c>
      <c r="AL91" s="1795"/>
    </row>
    <row r="92" spans="1:38" ht="15" customHeight="1">
      <c r="A92" s="35"/>
      <c r="B92" s="350" t="s">
        <v>420</v>
      </c>
      <c r="C92" s="350"/>
      <c r="D92" s="532">
        <f t="shared" si="14"/>
        <v>3.2</v>
      </c>
      <c r="E92" s="513"/>
      <c r="F92" s="532"/>
      <c r="G92" s="513"/>
      <c r="H92" s="532"/>
      <c r="I92" s="264"/>
      <c r="J92" s="532"/>
      <c r="K92" s="554"/>
      <c r="L92" s="532"/>
      <c r="M92" s="554"/>
      <c r="N92" s="532"/>
      <c r="O92" s="554"/>
      <c r="P92" s="532"/>
      <c r="Q92" s="554"/>
      <c r="R92" s="532"/>
      <c r="S92" s="554"/>
      <c r="T92" s="532"/>
      <c r="U92" s="554"/>
      <c r="V92" s="532"/>
      <c r="W92" s="554"/>
      <c r="X92" s="532"/>
      <c r="Y92" s="554"/>
      <c r="Z92" s="532"/>
      <c r="AA92" s="289"/>
      <c r="AB92" s="525"/>
      <c r="AC92" s="532">
        <v>3.2</v>
      </c>
      <c r="AD92" s="264"/>
      <c r="AE92" s="525" t="s">
        <v>103</v>
      </c>
      <c r="AF92" s="532">
        <v>0</v>
      </c>
      <c r="AG92" s="287"/>
      <c r="AH92" s="710"/>
      <c r="AI92" s="264">
        <f t="shared" si="18"/>
        <v>3.2</v>
      </c>
      <c r="AJ92" s="264"/>
      <c r="AK92" s="543">
        <f>ROUND(IF(AF92=0,1,AI92/ABS(AF92)),3)</f>
        <v>1</v>
      </c>
      <c r="AL92" s="1795"/>
    </row>
    <row r="93" spans="1:38" ht="15" customHeight="1">
      <c r="A93" s="35"/>
      <c r="B93" s="350" t="s">
        <v>421</v>
      </c>
      <c r="C93" s="350"/>
      <c r="D93" s="532">
        <f t="shared" si="14"/>
        <v>0</v>
      </c>
      <c r="E93" s="513"/>
      <c r="F93" s="532"/>
      <c r="G93" s="513"/>
      <c r="H93" s="532"/>
      <c r="I93" s="264"/>
      <c r="J93" s="532"/>
      <c r="K93" s="554"/>
      <c r="L93" s="532"/>
      <c r="M93" s="554"/>
      <c r="N93" s="532"/>
      <c r="O93" s="554"/>
      <c r="P93" s="532"/>
      <c r="Q93" s="554"/>
      <c r="R93" s="532"/>
      <c r="S93" s="554"/>
      <c r="T93" s="532"/>
      <c r="U93" s="554"/>
      <c r="V93" s="532"/>
      <c r="W93" s="554"/>
      <c r="X93" s="532"/>
      <c r="Y93" s="554"/>
      <c r="Z93" s="532"/>
      <c r="AA93" s="289"/>
      <c r="AB93" s="525"/>
      <c r="AC93" s="532">
        <v>0</v>
      </c>
      <c r="AD93" s="264"/>
      <c r="AE93" s="525" t="s">
        <v>103</v>
      </c>
      <c r="AF93" s="532">
        <v>0</v>
      </c>
      <c r="AG93" s="287"/>
      <c r="AH93" s="710"/>
      <c r="AI93" s="264">
        <f t="shared" si="18"/>
        <v>0</v>
      </c>
      <c r="AJ93" s="264"/>
      <c r="AK93" s="543">
        <f>ROUND(IF(AF93=0,0,AI93/ABS(AF93)),3)</f>
        <v>0</v>
      </c>
      <c r="AL93" s="1795"/>
    </row>
    <row r="94" spans="1:38" ht="15" customHeight="1">
      <c r="A94" s="35"/>
      <c r="B94" s="350" t="s">
        <v>422</v>
      </c>
      <c r="C94" s="350"/>
      <c r="D94" s="532">
        <f t="shared" si="14"/>
        <v>0</v>
      </c>
      <c r="E94" s="513"/>
      <c r="F94" s="532"/>
      <c r="G94" s="513"/>
      <c r="H94" s="532"/>
      <c r="I94" s="264"/>
      <c r="J94" s="532"/>
      <c r="K94" s="554"/>
      <c r="L94" s="532"/>
      <c r="M94" s="554"/>
      <c r="N94" s="532"/>
      <c r="O94" s="554"/>
      <c r="P94" s="532"/>
      <c r="Q94" s="554"/>
      <c r="R94" s="532"/>
      <c r="S94" s="554"/>
      <c r="T94" s="532"/>
      <c r="U94" s="554"/>
      <c r="V94" s="532"/>
      <c r="W94" s="554"/>
      <c r="X94" s="532"/>
      <c r="Y94" s="554"/>
      <c r="Z94" s="532"/>
      <c r="AA94" s="289"/>
      <c r="AB94" s="525"/>
      <c r="AC94" s="532">
        <v>0</v>
      </c>
      <c r="AD94" s="264"/>
      <c r="AE94" s="525" t="s">
        <v>103</v>
      </c>
      <c r="AF94" s="532">
        <v>0</v>
      </c>
      <c r="AG94" s="287"/>
      <c r="AH94" s="710"/>
      <c r="AI94" s="264">
        <f t="shared" si="18"/>
        <v>0</v>
      </c>
      <c r="AJ94" s="264"/>
      <c r="AK94" s="266">
        <f>ROUND(IF(AF94=0,0,AI94/ABS(AF94)),3)</f>
        <v>0</v>
      </c>
      <c r="AL94" s="1795"/>
    </row>
    <row r="95" spans="1:38" ht="15" customHeight="1">
      <c r="A95" s="35"/>
      <c r="B95" s="350" t="s">
        <v>423</v>
      </c>
      <c r="C95" s="350"/>
      <c r="D95" s="532">
        <f t="shared" si="14"/>
        <v>-8.8000000000000007</v>
      </c>
      <c r="E95" s="513"/>
      <c r="F95" s="532"/>
      <c r="G95" s="513"/>
      <c r="H95" s="532"/>
      <c r="I95" s="264"/>
      <c r="J95" s="532"/>
      <c r="K95" s="554"/>
      <c r="L95" s="532"/>
      <c r="M95" s="554"/>
      <c r="N95" s="532"/>
      <c r="O95" s="554"/>
      <c r="P95" s="532"/>
      <c r="Q95" s="554"/>
      <c r="R95" s="532"/>
      <c r="S95" s="554"/>
      <c r="T95" s="532"/>
      <c r="U95" s="554"/>
      <c r="V95" s="532"/>
      <c r="W95" s="554"/>
      <c r="X95" s="532"/>
      <c r="Y95" s="554"/>
      <c r="Z95" s="532"/>
      <c r="AA95" s="289"/>
      <c r="AB95" s="525"/>
      <c r="AC95" s="532">
        <v>-8.8000000000000007</v>
      </c>
      <c r="AD95" s="264"/>
      <c r="AE95" s="525" t="s">
        <v>103</v>
      </c>
      <c r="AF95" s="532">
        <v>8.3000000000000007</v>
      </c>
      <c r="AG95" s="264"/>
      <c r="AH95" s="710"/>
      <c r="AI95" s="264">
        <f t="shared" si="18"/>
        <v>-17.100000000000001</v>
      </c>
      <c r="AJ95" s="264"/>
      <c r="AK95" s="543">
        <f>ROUND(IF(AF95=0,0,AI95/ABS(AF95)),3)</f>
        <v>-2.06</v>
      </c>
      <c r="AL95" s="1795"/>
    </row>
    <row r="96" spans="1:38" ht="15" customHeight="1">
      <c r="A96" s="35"/>
      <c r="B96" s="350" t="s">
        <v>424</v>
      </c>
      <c r="C96" s="350"/>
      <c r="D96" s="532">
        <f t="shared" si="14"/>
        <v>0</v>
      </c>
      <c r="E96" s="513"/>
      <c r="F96" s="532"/>
      <c r="G96" s="513"/>
      <c r="H96" s="532"/>
      <c r="I96" s="264"/>
      <c r="J96" s="532"/>
      <c r="K96" s="554"/>
      <c r="L96" s="532"/>
      <c r="M96" s="554"/>
      <c r="N96" s="532"/>
      <c r="O96" s="554"/>
      <c r="P96" s="532"/>
      <c r="Q96" s="554"/>
      <c r="R96" s="532"/>
      <c r="S96" s="554"/>
      <c r="T96" s="532"/>
      <c r="U96" s="554"/>
      <c r="V96" s="532"/>
      <c r="W96" s="554"/>
      <c r="X96" s="532"/>
      <c r="Y96" s="554"/>
      <c r="Z96" s="532"/>
      <c r="AA96" s="289"/>
      <c r="AB96" s="525"/>
      <c r="AC96" s="532">
        <v>0</v>
      </c>
      <c r="AD96" s="264"/>
      <c r="AE96" s="525" t="s">
        <v>103</v>
      </c>
      <c r="AF96" s="532">
        <v>0</v>
      </c>
      <c r="AG96" s="264"/>
      <c r="AH96" s="710"/>
      <c r="AI96" s="264">
        <f t="shared" si="18"/>
        <v>0</v>
      </c>
      <c r="AJ96" s="264"/>
      <c r="AK96" s="543">
        <f>ROUND(IF(AF96=0,0,AI96/ABS(AF96)),3)</f>
        <v>0</v>
      </c>
      <c r="AL96" s="1795"/>
    </row>
    <row r="97" spans="1:38" s="59" customFormat="1" ht="15" customHeight="1">
      <c r="A97" s="418"/>
      <c r="B97" s="83" t="s">
        <v>426</v>
      </c>
      <c r="C97" s="57"/>
      <c r="D97" s="674">
        <f>ROUND(SUM(D60:D96),1)</f>
        <v>490.4</v>
      </c>
      <c r="E97" s="419"/>
      <c r="F97" s="674">
        <f>ROUND(SUM(F60:F96),1)</f>
        <v>0</v>
      </c>
      <c r="G97" s="419"/>
      <c r="H97" s="674">
        <f>ROUND(SUM(H60:H96),1)</f>
        <v>0</v>
      </c>
      <c r="I97" s="13"/>
      <c r="J97" s="674">
        <f>ROUND(SUM(J60:J96),1)</f>
        <v>0</v>
      </c>
      <c r="K97" s="13"/>
      <c r="L97" s="674">
        <f>ROUND(SUM(L60:L96),1)</f>
        <v>0</v>
      </c>
      <c r="M97" s="13"/>
      <c r="N97" s="674">
        <f>ROUND(SUM(N60:N96),1)</f>
        <v>0</v>
      </c>
      <c r="O97" s="13"/>
      <c r="P97" s="674">
        <f>ROUND(SUM(P60:P96),1)</f>
        <v>0</v>
      </c>
      <c r="Q97" s="13"/>
      <c r="R97" s="674">
        <f>ROUND(SUM(R60:R96),1)</f>
        <v>0</v>
      </c>
      <c r="S97" s="13"/>
      <c r="T97" s="674">
        <f>ROUND(SUM(T60:T96),1)</f>
        <v>0</v>
      </c>
      <c r="U97" s="13"/>
      <c r="V97" s="674">
        <f>ROUND(SUM(V60:V96),1)</f>
        <v>0</v>
      </c>
      <c r="W97" s="13"/>
      <c r="X97" s="674">
        <f>ROUND(SUM(X60:X96),1)</f>
        <v>0</v>
      </c>
      <c r="Y97" s="13"/>
      <c r="Z97" s="674">
        <f>ROUND(SUM(Z60:Z96),1)</f>
        <v>0</v>
      </c>
      <c r="AA97" s="40"/>
      <c r="AB97" s="672"/>
      <c r="AC97" s="674">
        <f>ROUND(SUM(AC60:AC96),1)</f>
        <v>490.4</v>
      </c>
      <c r="AD97" s="13"/>
      <c r="AE97" s="670" t="s">
        <v>103</v>
      </c>
      <c r="AF97" s="674">
        <f>ROUND(SUM(AF60:AF96),1)</f>
        <v>355</v>
      </c>
      <c r="AG97" s="13"/>
      <c r="AH97" s="708"/>
      <c r="AI97" s="674">
        <f>ROUND(SUM(AI60:AI96),1)</f>
        <v>135.4</v>
      </c>
      <c r="AJ97" s="13"/>
      <c r="AK97" s="924">
        <f>ROUND(SUM(+AI97/AF97),3)</f>
        <v>0.38100000000000001</v>
      </c>
      <c r="AL97" s="1795"/>
    </row>
    <row r="98" spans="1:38" s="59" customFormat="1" ht="8.25" customHeight="1">
      <c r="A98" s="418"/>
      <c r="B98" s="3"/>
      <c r="C98" s="57"/>
      <c r="D98" s="13"/>
      <c r="E98" s="419"/>
      <c r="F98" s="13"/>
      <c r="G98" s="419"/>
      <c r="H98" s="13"/>
      <c r="I98" s="13"/>
      <c r="J98" s="13"/>
      <c r="K98" s="13"/>
      <c r="L98" s="13"/>
      <c r="M98" s="13"/>
      <c r="N98" s="13"/>
      <c r="O98" s="13"/>
      <c r="P98" s="13"/>
      <c r="Q98" s="13"/>
      <c r="R98" s="13"/>
      <c r="S98" s="13"/>
      <c r="T98" s="13"/>
      <c r="U98" s="13"/>
      <c r="V98" s="13"/>
      <c r="W98" s="13"/>
      <c r="X98" s="13"/>
      <c r="Y98" s="13"/>
      <c r="Z98" s="13"/>
      <c r="AA98" s="40"/>
      <c r="AB98" s="672"/>
      <c r="AC98" s="13"/>
      <c r="AD98" s="13"/>
      <c r="AE98" s="670"/>
      <c r="AF98" s="13"/>
      <c r="AG98" s="13"/>
      <c r="AH98" s="708"/>
      <c r="AI98" s="13"/>
      <c r="AJ98" s="13"/>
      <c r="AK98" s="74"/>
      <c r="AL98" s="1795"/>
    </row>
    <row r="99" spans="1:38" ht="15" customHeight="1">
      <c r="A99" s="35"/>
      <c r="B99" s="291" t="s">
        <v>450</v>
      </c>
      <c r="C99" s="364"/>
      <c r="D99" s="532">
        <f>AC99</f>
        <v>0</v>
      </c>
      <c r="E99" s="264"/>
      <c r="F99" s="532"/>
      <c r="G99" s="264"/>
      <c r="H99" s="532"/>
      <c r="I99" s="264"/>
      <c r="J99" s="532"/>
      <c r="K99" s="554"/>
      <c r="L99" s="532"/>
      <c r="M99" s="554"/>
      <c r="N99" s="532"/>
      <c r="O99" s="554"/>
      <c r="P99" s="532"/>
      <c r="Q99" s="554"/>
      <c r="R99" s="532"/>
      <c r="S99" s="554"/>
      <c r="T99" s="532"/>
      <c r="U99" s="554"/>
      <c r="V99" s="532"/>
      <c r="W99" s="554"/>
      <c r="X99" s="532"/>
      <c r="Y99" s="554"/>
      <c r="Z99" s="532"/>
      <c r="AA99" s="289"/>
      <c r="AB99" s="525"/>
      <c r="AC99" s="532">
        <v>0</v>
      </c>
      <c r="AD99" s="264"/>
      <c r="AE99" s="525" t="s">
        <v>103</v>
      </c>
      <c r="AF99" s="532">
        <v>0.1</v>
      </c>
      <c r="AG99" s="264"/>
      <c r="AH99" s="707"/>
      <c r="AI99" s="383">
        <f>ROUND(SUM(+AC99-AF99),1)</f>
        <v>-0.1</v>
      </c>
      <c r="AJ99" s="264"/>
      <c r="AK99" s="1026">
        <f>ROUND(IF(AF99=0,1,AI99/ABS(AF99)),3)</f>
        <v>-1</v>
      </c>
      <c r="AL99" s="1795"/>
    </row>
    <row r="100" spans="1:38" ht="4.4000000000000004" customHeight="1">
      <c r="A100" s="35"/>
      <c r="B100" s="291"/>
      <c r="C100" s="364"/>
      <c r="D100" s="616"/>
      <c r="E100" s="264"/>
      <c r="F100" s="616"/>
      <c r="G100" s="264"/>
      <c r="H100" s="616"/>
      <c r="I100" s="264"/>
      <c r="J100" s="616"/>
      <c r="K100" s="264"/>
      <c r="L100" s="616"/>
      <c r="M100" s="264"/>
      <c r="N100" s="616"/>
      <c r="O100" s="264"/>
      <c r="P100" s="1027"/>
      <c r="Q100" s="264"/>
      <c r="R100" s="616"/>
      <c r="S100" s="264"/>
      <c r="T100" s="616"/>
      <c r="U100" s="264"/>
      <c r="V100" s="616"/>
      <c r="W100" s="264"/>
      <c r="X100" s="616"/>
      <c r="Y100" s="264"/>
      <c r="Z100" s="616"/>
      <c r="AA100" s="364"/>
      <c r="AB100" s="1024"/>
      <c r="AC100" s="616"/>
      <c r="AD100" s="264"/>
      <c r="AE100" s="525" t="s">
        <v>103</v>
      </c>
      <c r="AF100" s="616"/>
      <c r="AG100" s="264"/>
      <c r="AH100" s="707"/>
      <c r="AI100" s="264"/>
      <c r="AJ100" s="264"/>
      <c r="AK100" s="283"/>
      <c r="AL100" s="1795"/>
    </row>
    <row r="101" spans="1:38" ht="15" customHeight="1">
      <c r="A101" s="35"/>
      <c r="B101" s="3" t="s">
        <v>427</v>
      </c>
      <c r="C101" s="364"/>
      <c r="D101" s="357">
        <f>ROUND(SUM(D99+D97+D56),1)</f>
        <v>7649.5</v>
      </c>
      <c r="E101" s="13"/>
      <c r="F101" s="357">
        <f>ROUND(SUM(F99+F97+F56),1)</f>
        <v>0</v>
      </c>
      <c r="G101" s="13"/>
      <c r="H101" s="357">
        <f>ROUND(SUM(H99+H97+H56),1)</f>
        <v>0</v>
      </c>
      <c r="I101" s="13"/>
      <c r="J101" s="357">
        <f>ROUND(SUM(J99+J97+J56),1)</f>
        <v>0</v>
      </c>
      <c r="K101" s="13"/>
      <c r="L101" s="357">
        <f>ROUND(SUM(L99+L97+L56),1)</f>
        <v>0</v>
      </c>
      <c r="M101" s="13"/>
      <c r="N101" s="357">
        <f>ROUND(SUM(N99+N97+N56),1)</f>
        <v>0</v>
      </c>
      <c r="O101" s="13"/>
      <c r="P101" s="357">
        <f>ROUND(SUM(P99+P97+P56),1)</f>
        <v>0</v>
      </c>
      <c r="Q101" s="13"/>
      <c r="R101" s="357">
        <f>ROUND(SUM(R99+R97+R56),1)</f>
        <v>0</v>
      </c>
      <c r="S101" s="13"/>
      <c r="T101" s="357">
        <f>ROUND(SUM(T99+T97+T56),1)</f>
        <v>0</v>
      </c>
      <c r="U101" s="13"/>
      <c r="V101" s="357">
        <f>ROUND(SUM(V99+V97+V56),1)</f>
        <v>0</v>
      </c>
      <c r="W101" s="13"/>
      <c r="X101" s="357">
        <f>ROUND(SUM(X99+X97+X56),1)</f>
        <v>0</v>
      </c>
      <c r="Y101" s="13"/>
      <c r="Z101" s="357">
        <f>ROUND(SUM(Z99+Z97+Z56),1)</f>
        <v>0</v>
      </c>
      <c r="AA101" s="40"/>
      <c r="AB101" s="672"/>
      <c r="AC101" s="357">
        <f>ROUND(SUM(AC99+AC97+AC56),1)</f>
        <v>7649.5</v>
      </c>
      <c r="AD101" s="13"/>
      <c r="AE101" s="670"/>
      <c r="AF101" s="357">
        <f>ROUND(SUM(AF99+AF97+AF56),1)</f>
        <v>7154.3</v>
      </c>
      <c r="AG101" s="13"/>
      <c r="AH101" s="708"/>
      <c r="AI101" s="357">
        <f>ROUND(SUM(AI99+AI97+AI56),1)</f>
        <v>495.2</v>
      </c>
      <c r="AJ101" s="13"/>
      <c r="AK101" s="368">
        <f>ROUND(SUM(+AI101/AF101),3)</f>
        <v>6.9000000000000006E-2</v>
      </c>
      <c r="AL101" s="1795"/>
    </row>
    <row r="102" spans="1:38" ht="15" customHeight="1">
      <c r="A102" s="35"/>
      <c r="B102" s="291"/>
      <c r="C102" s="364"/>
      <c r="D102" s="264"/>
      <c r="E102" s="264"/>
      <c r="F102" s="264"/>
      <c r="G102" s="264"/>
      <c r="H102" s="264"/>
      <c r="I102" s="264"/>
      <c r="J102" s="264"/>
      <c r="K102" s="264"/>
      <c r="L102" s="616"/>
      <c r="M102" s="264"/>
      <c r="N102" s="616"/>
      <c r="O102" s="264"/>
      <c r="P102" s="264"/>
      <c r="Q102" s="264"/>
      <c r="R102" s="264"/>
      <c r="S102" s="264"/>
      <c r="T102" s="264"/>
      <c r="U102" s="264"/>
      <c r="V102" s="264"/>
      <c r="W102" s="264"/>
      <c r="X102" s="264"/>
      <c r="Y102" s="264"/>
      <c r="Z102" s="264"/>
      <c r="AA102" s="268"/>
      <c r="AB102" s="1024"/>
      <c r="AC102" s="264"/>
      <c r="AD102" s="264"/>
      <c r="AE102" s="525"/>
      <c r="AF102" s="264"/>
      <c r="AG102" s="264"/>
      <c r="AH102" s="707"/>
      <c r="AI102" s="264"/>
      <c r="AJ102" s="264"/>
      <c r="AK102" s="283"/>
      <c r="AL102" s="1795"/>
    </row>
    <row r="103" spans="1:38" ht="15" customHeight="1">
      <c r="A103" s="35"/>
      <c r="B103" s="3" t="s">
        <v>122</v>
      </c>
      <c r="C103" s="3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8"/>
      <c r="AB103" s="1024"/>
      <c r="AC103" s="264"/>
      <c r="AD103" s="264"/>
      <c r="AE103" s="525"/>
      <c r="AF103" s="264"/>
      <c r="AG103" s="264"/>
      <c r="AH103" s="707"/>
      <c r="AI103" s="264"/>
      <c r="AJ103" s="264"/>
      <c r="AK103" s="283"/>
      <c r="AL103" s="1795"/>
    </row>
    <row r="104" spans="1:38" ht="15" customHeight="1">
      <c r="A104" s="35"/>
      <c r="B104" s="291" t="s">
        <v>451</v>
      </c>
      <c r="C104" s="3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513"/>
      <c r="AA104" s="268"/>
      <c r="AB104" s="1024"/>
      <c r="AC104" s="288"/>
      <c r="AD104" s="264"/>
      <c r="AE104" s="525"/>
      <c r="AF104" s="288"/>
      <c r="AG104" s="711"/>
      <c r="AH104" s="707"/>
      <c r="AI104" s="264"/>
      <c r="AJ104" s="264"/>
      <c r="AK104" s="283"/>
      <c r="AL104" s="1795"/>
    </row>
    <row r="105" spans="1:38" ht="15" customHeight="1">
      <c r="A105" s="35"/>
      <c r="B105" s="385" t="s">
        <v>124</v>
      </c>
      <c r="C105" s="364"/>
      <c r="D105" s="532">
        <f>AC105</f>
        <v>2528.3000000000002</v>
      </c>
      <c r="E105" s="513"/>
      <c r="F105" s="532"/>
      <c r="G105" s="513"/>
      <c r="H105" s="532"/>
      <c r="I105" s="264"/>
      <c r="J105" s="532"/>
      <c r="K105" s="554"/>
      <c r="L105" s="532"/>
      <c r="M105" s="554"/>
      <c r="N105" s="532"/>
      <c r="O105" s="554"/>
      <c r="P105" s="532"/>
      <c r="Q105" s="554"/>
      <c r="R105" s="532"/>
      <c r="S105" s="554"/>
      <c r="T105" s="532"/>
      <c r="U105" s="554"/>
      <c r="V105" s="532"/>
      <c r="W105" s="554"/>
      <c r="X105" s="532"/>
      <c r="Y105" s="554"/>
      <c r="Z105" s="532"/>
      <c r="AA105" s="289"/>
      <c r="AB105" s="525"/>
      <c r="AC105" s="532">
        <v>2528.3000000000002</v>
      </c>
      <c r="AD105" s="264"/>
      <c r="AE105" s="525" t="s">
        <v>103</v>
      </c>
      <c r="AF105" s="532">
        <v>2466.3000000000002</v>
      </c>
      <c r="AG105" s="711"/>
      <c r="AH105" s="707"/>
      <c r="AI105" s="264">
        <f>ROUND(SUM(+AC105-AF105),1)</f>
        <v>62</v>
      </c>
      <c r="AJ105" s="264"/>
      <c r="AK105" s="266">
        <f>ROUND(IF(AF105=0,0,AI105/ABS(AF105)),3)</f>
        <v>2.5000000000000001E-2</v>
      </c>
      <c r="AL105" s="1795"/>
    </row>
    <row r="106" spans="1:38" ht="15" customHeight="1">
      <c r="A106" s="35"/>
      <c r="B106" s="385" t="s">
        <v>125</v>
      </c>
      <c r="C106" s="364"/>
      <c r="D106" s="532">
        <f t="shared" ref="D106:D114" si="21">AC106</f>
        <v>0.3</v>
      </c>
      <c r="E106" s="513"/>
      <c r="F106" s="532"/>
      <c r="G106" s="513"/>
      <c r="H106" s="532"/>
      <c r="I106" s="264"/>
      <c r="J106" s="532"/>
      <c r="K106" s="554"/>
      <c r="L106" s="532"/>
      <c r="M106" s="554"/>
      <c r="N106" s="532"/>
      <c r="O106" s="554"/>
      <c r="P106" s="532"/>
      <c r="Q106" s="554"/>
      <c r="R106" s="532"/>
      <c r="S106" s="554"/>
      <c r="T106" s="532"/>
      <c r="U106" s="554"/>
      <c r="V106" s="532"/>
      <c r="W106" s="554"/>
      <c r="X106" s="532"/>
      <c r="Y106" s="554"/>
      <c r="Z106" s="532"/>
      <c r="AA106" s="289"/>
      <c r="AB106" s="525"/>
      <c r="AC106" s="532">
        <v>0.3</v>
      </c>
      <c r="AD106" s="264"/>
      <c r="AE106" s="525" t="s">
        <v>103</v>
      </c>
      <c r="AF106" s="532">
        <v>0</v>
      </c>
      <c r="AG106" s="264"/>
      <c r="AH106" s="707"/>
      <c r="AI106" s="264">
        <f t="shared" ref="AI106:AI114" si="22">ROUND(SUM(+AC106-AF106),1)</f>
        <v>0.3</v>
      </c>
      <c r="AJ106" s="264"/>
      <c r="AK106" s="543">
        <f>ROUND(IF(AF106=0,1,AI106/ABS(AF106)),3)</f>
        <v>1</v>
      </c>
      <c r="AL106" s="1795"/>
    </row>
    <row r="107" spans="1:38" ht="15" customHeight="1">
      <c r="A107" s="35"/>
      <c r="B107" s="385" t="s">
        <v>126</v>
      </c>
      <c r="C107" s="364"/>
      <c r="D107" s="532">
        <f t="shared" si="21"/>
        <v>28.2</v>
      </c>
      <c r="E107" s="513"/>
      <c r="F107" s="532"/>
      <c r="G107" s="513"/>
      <c r="H107" s="532"/>
      <c r="I107" s="264"/>
      <c r="J107" s="532"/>
      <c r="K107" s="554"/>
      <c r="L107" s="532"/>
      <c r="M107" s="554"/>
      <c r="N107" s="532"/>
      <c r="O107" s="554"/>
      <c r="P107" s="532"/>
      <c r="Q107" s="554"/>
      <c r="R107" s="532"/>
      <c r="S107" s="554"/>
      <c r="T107" s="532"/>
      <c r="U107" s="554"/>
      <c r="V107" s="532"/>
      <c r="W107" s="554"/>
      <c r="X107" s="532"/>
      <c r="Y107" s="554"/>
      <c r="Z107" s="532"/>
      <c r="AA107" s="289"/>
      <c r="AB107" s="525"/>
      <c r="AC107" s="532">
        <v>28.2</v>
      </c>
      <c r="AD107" s="264"/>
      <c r="AE107" s="525" t="s">
        <v>103</v>
      </c>
      <c r="AF107" s="532">
        <v>61.1</v>
      </c>
      <c r="AG107" s="264"/>
      <c r="AH107" s="707"/>
      <c r="AI107" s="264">
        <f t="shared" si="22"/>
        <v>-32.9</v>
      </c>
      <c r="AJ107" s="264"/>
      <c r="AK107" s="266">
        <f>ROUND(IF(AF107=0,0,AI107/ABS(AF107)),3)</f>
        <v>-0.53800000000000003</v>
      </c>
      <c r="AL107" s="1795"/>
    </row>
    <row r="108" spans="1:38" ht="15" customHeight="1">
      <c r="A108" s="35"/>
      <c r="B108" s="385" t="s">
        <v>127</v>
      </c>
      <c r="C108" s="364"/>
      <c r="D108" s="532"/>
      <c r="E108" s="513"/>
      <c r="F108" s="532"/>
      <c r="G108" s="513"/>
      <c r="H108" s="532"/>
      <c r="I108" s="264"/>
      <c r="J108" s="532"/>
      <c r="K108" s="554"/>
      <c r="L108" s="532"/>
      <c r="M108" s="554"/>
      <c r="N108" s="532"/>
      <c r="O108" s="554"/>
      <c r="P108" s="532"/>
      <c r="Q108" s="554"/>
      <c r="R108" s="532"/>
      <c r="S108" s="554"/>
      <c r="T108" s="532"/>
      <c r="U108" s="554"/>
      <c r="V108" s="532"/>
      <c r="W108" s="554"/>
      <c r="X108" s="532"/>
      <c r="Y108" s="554"/>
      <c r="Z108" s="532"/>
      <c r="AA108" s="289"/>
      <c r="AB108" s="525"/>
      <c r="AC108" s="513"/>
      <c r="AD108" s="264"/>
      <c r="AE108" s="525" t="s">
        <v>103</v>
      </c>
      <c r="AF108" s="513"/>
      <c r="AG108" s="264"/>
      <c r="AH108" s="707"/>
      <c r="AI108" s="264" t="s">
        <v>103</v>
      </c>
      <c r="AJ108" s="264"/>
      <c r="AK108" s="283" t="s">
        <v>103</v>
      </c>
      <c r="AL108" s="1795"/>
    </row>
    <row r="109" spans="1:38" ht="15" customHeight="1">
      <c r="A109" s="35"/>
      <c r="B109" s="1028" t="s">
        <v>128</v>
      </c>
      <c r="C109" s="364"/>
      <c r="D109" s="532">
        <f t="shared" si="21"/>
        <v>4456.2</v>
      </c>
      <c r="E109" s="513"/>
      <c r="F109" s="532"/>
      <c r="G109" s="513"/>
      <c r="H109" s="532"/>
      <c r="I109" s="264"/>
      <c r="J109" s="532"/>
      <c r="K109" s="554"/>
      <c r="L109" s="532"/>
      <c r="M109" s="554"/>
      <c r="N109" s="532"/>
      <c r="O109" s="554"/>
      <c r="P109" s="532"/>
      <c r="Q109" s="554"/>
      <c r="R109" s="532"/>
      <c r="S109" s="554"/>
      <c r="T109" s="532"/>
      <c r="U109" s="554"/>
      <c r="V109" s="532"/>
      <c r="W109" s="554"/>
      <c r="X109" s="532"/>
      <c r="Y109" s="554"/>
      <c r="Z109" s="532"/>
      <c r="AA109" s="289"/>
      <c r="AB109" s="525"/>
      <c r="AC109" s="532">
        <v>4456.2</v>
      </c>
      <c r="AD109" s="264"/>
      <c r="AE109" s="525" t="s">
        <v>103</v>
      </c>
      <c r="AF109" s="532">
        <v>3127.2000000000003</v>
      </c>
      <c r="AG109" s="264"/>
      <c r="AH109" s="707"/>
      <c r="AI109" s="264">
        <f t="shared" si="22"/>
        <v>1329</v>
      </c>
      <c r="AJ109" s="264"/>
      <c r="AK109" s="543">
        <f t="shared" ref="AK109:AK112" si="23">ROUND(IF(AF109=0,0,AI109/ABS(AF109)),3)</f>
        <v>0.42499999999999999</v>
      </c>
      <c r="AL109" s="1795"/>
    </row>
    <row r="110" spans="1:38" ht="15" customHeight="1">
      <c r="A110" s="35"/>
      <c r="B110" s="385" t="s">
        <v>129</v>
      </c>
      <c r="C110" s="364"/>
      <c r="D110" s="532">
        <f t="shared" si="21"/>
        <v>113.8</v>
      </c>
      <c r="E110" s="513"/>
      <c r="F110" s="532"/>
      <c r="G110" s="513"/>
      <c r="H110" s="532"/>
      <c r="I110" s="264"/>
      <c r="J110" s="532"/>
      <c r="K110" s="554"/>
      <c r="L110" s="532"/>
      <c r="M110" s="554"/>
      <c r="N110" s="532"/>
      <c r="O110" s="554"/>
      <c r="P110" s="532"/>
      <c r="Q110" s="554"/>
      <c r="R110" s="532"/>
      <c r="S110" s="554"/>
      <c r="T110" s="532"/>
      <c r="U110" s="554"/>
      <c r="V110" s="532"/>
      <c r="W110" s="554"/>
      <c r="X110" s="532"/>
      <c r="Y110" s="554"/>
      <c r="Z110" s="532"/>
      <c r="AA110" s="289"/>
      <c r="AB110" s="525"/>
      <c r="AC110" s="532">
        <v>113.8</v>
      </c>
      <c r="AD110" s="264"/>
      <c r="AE110" s="525" t="s">
        <v>103</v>
      </c>
      <c r="AF110" s="532">
        <v>206.4</v>
      </c>
      <c r="AG110" s="264"/>
      <c r="AH110" s="707"/>
      <c r="AI110" s="264">
        <f t="shared" si="22"/>
        <v>-92.6</v>
      </c>
      <c r="AJ110" s="264"/>
      <c r="AK110" s="266">
        <f t="shared" si="23"/>
        <v>-0.44900000000000001</v>
      </c>
      <c r="AL110" s="1795"/>
    </row>
    <row r="111" spans="1:38" ht="15" customHeight="1">
      <c r="A111" s="35"/>
      <c r="B111" s="385" t="s">
        <v>130</v>
      </c>
      <c r="C111" s="364"/>
      <c r="D111" s="532">
        <f t="shared" si="21"/>
        <v>57.2</v>
      </c>
      <c r="E111" s="513"/>
      <c r="F111" s="532"/>
      <c r="G111" s="513"/>
      <c r="H111" s="532"/>
      <c r="I111" s="264"/>
      <c r="J111" s="532"/>
      <c r="K111" s="554"/>
      <c r="L111" s="532"/>
      <c r="M111" s="554"/>
      <c r="N111" s="532"/>
      <c r="O111" s="554"/>
      <c r="P111" s="532"/>
      <c r="Q111" s="554"/>
      <c r="R111" s="532"/>
      <c r="S111" s="554"/>
      <c r="T111" s="532"/>
      <c r="U111" s="554"/>
      <c r="V111" s="532"/>
      <c r="W111" s="554"/>
      <c r="X111" s="532"/>
      <c r="Y111" s="554"/>
      <c r="Z111" s="532"/>
      <c r="AA111" s="289"/>
      <c r="AB111" s="525"/>
      <c r="AC111" s="532">
        <v>57.2</v>
      </c>
      <c r="AD111" s="264"/>
      <c r="AE111" s="525" t="s">
        <v>103</v>
      </c>
      <c r="AF111" s="532">
        <v>27</v>
      </c>
      <c r="AG111" s="264"/>
      <c r="AH111" s="707" t="s">
        <v>103</v>
      </c>
      <c r="AI111" s="264">
        <f t="shared" si="22"/>
        <v>30.2</v>
      </c>
      <c r="AJ111" s="264"/>
      <c r="AK111" s="266">
        <f t="shared" si="23"/>
        <v>1.119</v>
      </c>
      <c r="AL111" s="1795"/>
    </row>
    <row r="112" spans="1:38" ht="15" customHeight="1">
      <c r="A112" s="35"/>
      <c r="B112" s="385" t="s">
        <v>131</v>
      </c>
      <c r="C112" s="364"/>
      <c r="D112" s="532">
        <f t="shared" si="21"/>
        <v>209.6</v>
      </c>
      <c r="E112" s="513"/>
      <c r="F112" s="532"/>
      <c r="G112" s="513"/>
      <c r="H112" s="532"/>
      <c r="I112" s="264"/>
      <c r="J112" s="532"/>
      <c r="K112" s="554"/>
      <c r="L112" s="532"/>
      <c r="M112" s="554"/>
      <c r="N112" s="532"/>
      <c r="O112" s="554"/>
      <c r="P112" s="532"/>
      <c r="Q112" s="554"/>
      <c r="R112" s="532"/>
      <c r="S112" s="554"/>
      <c r="T112" s="532"/>
      <c r="U112" s="554"/>
      <c r="V112" s="532"/>
      <c r="W112" s="554"/>
      <c r="X112" s="532"/>
      <c r="Y112" s="554"/>
      <c r="Z112" s="532"/>
      <c r="AA112" s="289"/>
      <c r="AB112" s="525"/>
      <c r="AC112" s="532">
        <v>209.6</v>
      </c>
      <c r="AD112" s="264"/>
      <c r="AE112" s="525" t="s">
        <v>103</v>
      </c>
      <c r="AF112" s="532">
        <v>178.8</v>
      </c>
      <c r="AG112" s="264"/>
      <c r="AH112" s="707"/>
      <c r="AI112" s="264">
        <f t="shared" si="22"/>
        <v>30.8</v>
      </c>
      <c r="AJ112" s="264"/>
      <c r="AK112" s="266">
        <f t="shared" si="23"/>
        <v>0.17199999999999999</v>
      </c>
      <c r="AL112" s="1795"/>
    </row>
    <row r="113" spans="1:38" ht="15" customHeight="1">
      <c r="A113" s="35"/>
      <c r="B113" s="385" t="s">
        <v>132</v>
      </c>
      <c r="C113" s="364"/>
      <c r="D113" s="532">
        <f t="shared" si="21"/>
        <v>21.5</v>
      </c>
      <c r="E113" s="513"/>
      <c r="F113" s="532"/>
      <c r="G113" s="513"/>
      <c r="H113" s="532"/>
      <c r="I113" s="264"/>
      <c r="J113" s="532"/>
      <c r="K113" s="554"/>
      <c r="L113" s="532"/>
      <c r="M113" s="554"/>
      <c r="N113" s="532"/>
      <c r="O113" s="554"/>
      <c r="P113" s="532"/>
      <c r="Q113" s="554"/>
      <c r="R113" s="532"/>
      <c r="S113" s="554"/>
      <c r="T113" s="532"/>
      <c r="U113" s="554"/>
      <c r="V113" s="532"/>
      <c r="W113" s="554"/>
      <c r="X113" s="532"/>
      <c r="Y113" s="554"/>
      <c r="Z113" s="532"/>
      <c r="AA113" s="289"/>
      <c r="AB113" s="525"/>
      <c r="AC113" s="532">
        <v>21.5</v>
      </c>
      <c r="AD113" s="264"/>
      <c r="AE113" s="525" t="s">
        <v>103</v>
      </c>
      <c r="AF113" s="532">
        <v>17.600000000000001</v>
      </c>
      <c r="AG113" s="264"/>
      <c r="AH113" s="707"/>
      <c r="AI113" s="264">
        <f t="shared" si="22"/>
        <v>3.9</v>
      </c>
      <c r="AJ113" s="264"/>
      <c r="AK113" s="543">
        <f>ROUND(IF(AF113=0,0,AI113/ABS(AF113)),3)</f>
        <v>0.222</v>
      </c>
      <c r="AL113" s="1795"/>
    </row>
    <row r="114" spans="1:38" ht="15" customHeight="1">
      <c r="A114" s="35"/>
      <c r="B114" s="385" t="s">
        <v>133</v>
      </c>
      <c r="C114" s="364"/>
      <c r="D114" s="532">
        <f t="shared" si="21"/>
        <v>0.2</v>
      </c>
      <c r="E114" s="513"/>
      <c r="F114" s="532"/>
      <c r="G114" s="513"/>
      <c r="H114" s="532"/>
      <c r="I114" s="264"/>
      <c r="J114" s="532"/>
      <c r="K114" s="554"/>
      <c r="L114" s="532"/>
      <c r="M114" s="554"/>
      <c r="N114" s="532"/>
      <c r="O114" s="554"/>
      <c r="P114" s="532"/>
      <c r="Q114" s="554"/>
      <c r="R114" s="532"/>
      <c r="S114" s="554"/>
      <c r="T114" s="532"/>
      <c r="U114" s="554"/>
      <c r="V114" s="532"/>
      <c r="W114" s="554"/>
      <c r="X114" s="532"/>
      <c r="Y114" s="554"/>
      <c r="Z114" s="532"/>
      <c r="AA114" s="289"/>
      <c r="AB114" s="525"/>
      <c r="AC114" s="532">
        <v>0.2</v>
      </c>
      <c r="AD114" s="264"/>
      <c r="AE114" s="525" t="s">
        <v>103</v>
      </c>
      <c r="AF114" s="532">
        <v>0.2</v>
      </c>
      <c r="AG114" s="367"/>
      <c r="AH114" s="712"/>
      <c r="AI114" s="264">
        <f t="shared" si="22"/>
        <v>0</v>
      </c>
      <c r="AJ114" s="367"/>
      <c r="AK114" s="543">
        <f>ROUND(IF(AF114=0,1,AI114/ABS(AF114)),3)</f>
        <v>0</v>
      </c>
      <c r="AL114" s="1795"/>
    </row>
    <row r="115" spans="1:38" ht="15" customHeight="1">
      <c r="A115" s="35"/>
      <c r="B115" s="291" t="s">
        <v>452</v>
      </c>
      <c r="C115" s="364"/>
      <c r="D115" s="674">
        <f>ROUND(SUM(D105:D114),1)</f>
        <v>7415.3</v>
      </c>
      <c r="E115" s="13"/>
      <c r="F115" s="674">
        <f>ROUND(SUM(F105:F114),1)</f>
        <v>0</v>
      </c>
      <c r="G115" s="13"/>
      <c r="H115" s="674">
        <f>ROUND(SUM(H105:H114),1)</f>
        <v>0</v>
      </c>
      <c r="I115" s="13"/>
      <c r="J115" s="674">
        <f>ROUND(SUM(J105:J114),1)</f>
        <v>0</v>
      </c>
      <c r="K115" s="13"/>
      <c r="L115" s="674">
        <f>ROUND(SUM(L105:L114),1)</f>
        <v>0</v>
      </c>
      <c r="M115" s="13"/>
      <c r="N115" s="674">
        <f>ROUND(SUM(N105:N114),1)</f>
        <v>0</v>
      </c>
      <c r="O115" s="13"/>
      <c r="P115" s="674">
        <f>ROUND(SUM(P105:P114),1)</f>
        <v>0</v>
      </c>
      <c r="Q115" s="13"/>
      <c r="R115" s="674">
        <f>ROUND(SUM(R105:R114),1)</f>
        <v>0</v>
      </c>
      <c r="S115" s="13"/>
      <c r="T115" s="674">
        <f>ROUND(SUM(T105:T114),1)</f>
        <v>0</v>
      </c>
      <c r="U115" s="13"/>
      <c r="V115" s="674">
        <f>ROUND(SUM(V105:V114),1)</f>
        <v>0</v>
      </c>
      <c r="W115" s="13"/>
      <c r="X115" s="674">
        <f>ROUND(SUM(X105:X114),1)</f>
        <v>0</v>
      </c>
      <c r="Y115" s="13"/>
      <c r="Z115" s="674">
        <f>ROUND(SUM(Z105:Z114),1)</f>
        <v>0</v>
      </c>
      <c r="AA115" s="40"/>
      <c r="AB115" s="672"/>
      <c r="AC115" s="674">
        <f>ROUND(SUM(AC105:AC114),1)</f>
        <v>7415.3</v>
      </c>
      <c r="AD115" s="13"/>
      <c r="AE115" s="670" t="s">
        <v>103</v>
      </c>
      <c r="AF115" s="674">
        <f>ROUND(SUM(AF105:AF114),1)</f>
        <v>6084.6</v>
      </c>
      <c r="AG115" s="13"/>
      <c r="AH115" s="708"/>
      <c r="AI115" s="674">
        <f>ROUND(SUM(+AC115-AF115),1)</f>
        <v>1330.7</v>
      </c>
      <c r="AJ115" s="13"/>
      <c r="AK115" s="1196">
        <f>ROUND(SUM(AI115/AF115),3)</f>
        <v>0.219</v>
      </c>
      <c r="AL115" s="1795"/>
    </row>
    <row r="116" spans="1:38" ht="15" customHeight="1">
      <c r="A116" s="35"/>
      <c r="B116" s="291" t="s">
        <v>453</v>
      </c>
      <c r="C116" s="3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8"/>
      <c r="AB116" s="1024"/>
      <c r="AC116" s="264"/>
      <c r="AD116" s="264"/>
      <c r="AE116" s="525"/>
      <c r="AF116" s="264"/>
      <c r="AG116" s="264"/>
      <c r="AH116" s="707"/>
      <c r="AI116" s="264"/>
      <c r="AJ116" s="264"/>
      <c r="AK116" s="283"/>
      <c r="AL116" s="1795"/>
    </row>
    <row r="117" spans="1:38" ht="15" customHeight="1">
      <c r="A117" s="35"/>
      <c r="B117" s="291" t="s">
        <v>454</v>
      </c>
      <c r="C117" s="364"/>
      <c r="D117" s="532">
        <f>AC117</f>
        <v>1212.8</v>
      </c>
      <c r="E117" s="513"/>
      <c r="F117" s="532"/>
      <c r="G117" s="513"/>
      <c r="H117" s="532"/>
      <c r="I117" s="264"/>
      <c r="J117" s="532"/>
      <c r="K117" s="554"/>
      <c r="L117" s="532"/>
      <c r="M117" s="554"/>
      <c r="N117" s="532"/>
      <c r="O117" s="554"/>
      <c r="P117" s="532"/>
      <c r="Q117" s="554"/>
      <c r="R117" s="532"/>
      <c r="S117" s="554"/>
      <c r="T117" s="532"/>
      <c r="U117" s="554"/>
      <c r="V117" s="532"/>
      <c r="W117" s="554"/>
      <c r="X117" s="532"/>
      <c r="Y117" s="554"/>
      <c r="Z117" s="532"/>
      <c r="AA117" s="289"/>
      <c r="AB117" s="525"/>
      <c r="AC117" s="532">
        <v>1212.8</v>
      </c>
      <c r="AD117" s="264"/>
      <c r="AE117" s="525" t="s">
        <v>103</v>
      </c>
      <c r="AF117" s="532">
        <v>1017</v>
      </c>
      <c r="AG117" s="264"/>
      <c r="AH117" s="707"/>
      <c r="AI117" s="264">
        <f>ROUND(SUM(+AC117-AF117),1)</f>
        <v>195.8</v>
      </c>
      <c r="AJ117" s="264"/>
      <c r="AK117" s="266">
        <f>ROUND(IF(AF117=0,0,AI117/ABS(AF117)),3)</f>
        <v>0.193</v>
      </c>
      <c r="AL117" s="1795"/>
    </row>
    <row r="118" spans="1:38" ht="15" customHeight="1">
      <c r="A118" s="35"/>
      <c r="B118" s="413" t="s">
        <v>455</v>
      </c>
      <c r="C118" s="364"/>
      <c r="D118" s="532">
        <f t="shared" ref="D118:D119" si="24">AC118</f>
        <v>213.6</v>
      </c>
      <c r="E118" s="513"/>
      <c r="F118" s="532"/>
      <c r="G118" s="513"/>
      <c r="H118" s="532"/>
      <c r="I118" s="264"/>
      <c r="J118" s="532"/>
      <c r="K118" s="554"/>
      <c r="L118" s="532"/>
      <c r="M118" s="554"/>
      <c r="N118" s="532"/>
      <c r="O118" s="554"/>
      <c r="P118" s="532"/>
      <c r="Q118" s="554"/>
      <c r="R118" s="532"/>
      <c r="S118" s="554"/>
      <c r="T118" s="532"/>
      <c r="U118" s="554"/>
      <c r="V118" s="532"/>
      <c r="W118" s="554"/>
      <c r="X118" s="532"/>
      <c r="Y118" s="554"/>
      <c r="Z118" s="532"/>
      <c r="AA118" s="289"/>
      <c r="AB118" s="525"/>
      <c r="AC118" s="532">
        <v>213.6</v>
      </c>
      <c r="AD118" s="264"/>
      <c r="AE118" s="525" t="s">
        <v>103</v>
      </c>
      <c r="AF118" s="532">
        <v>171.6</v>
      </c>
      <c r="AG118" s="264"/>
      <c r="AH118" s="707"/>
      <c r="AI118" s="264">
        <f>ROUND(SUM(+AC118-AF118),1)</f>
        <v>42</v>
      </c>
      <c r="AJ118" s="264"/>
      <c r="AK118" s="266">
        <f>ROUND(IF(AF118=0,0,AI118/ABS(AF118)),3)</f>
        <v>0.245</v>
      </c>
      <c r="AL118" s="1795"/>
    </row>
    <row r="119" spans="1:38" ht="15" customHeight="1">
      <c r="A119" s="35"/>
      <c r="B119" s="413" t="s">
        <v>456</v>
      </c>
      <c r="C119" s="364"/>
      <c r="D119" s="532">
        <f t="shared" si="24"/>
        <v>783.3</v>
      </c>
      <c r="E119" s="513"/>
      <c r="F119" s="532"/>
      <c r="G119" s="513"/>
      <c r="H119" s="532"/>
      <c r="I119" s="264"/>
      <c r="J119" s="532"/>
      <c r="K119" s="554"/>
      <c r="L119" s="532"/>
      <c r="M119" s="554"/>
      <c r="N119" s="532"/>
      <c r="O119" s="554"/>
      <c r="P119" s="532"/>
      <c r="Q119" s="554"/>
      <c r="R119" s="532"/>
      <c r="S119" s="554"/>
      <c r="T119" s="532"/>
      <c r="U119" s="554"/>
      <c r="V119" s="532"/>
      <c r="W119" s="554"/>
      <c r="X119" s="532"/>
      <c r="Y119" s="554"/>
      <c r="Z119" s="532"/>
      <c r="AA119" s="289"/>
      <c r="AB119" s="525"/>
      <c r="AC119" s="532">
        <v>783.3</v>
      </c>
      <c r="AD119" s="264"/>
      <c r="AE119" s="525" t="s">
        <v>103</v>
      </c>
      <c r="AF119" s="532">
        <v>896.4</v>
      </c>
      <c r="AG119" s="264"/>
      <c r="AH119" s="707"/>
      <c r="AI119" s="383">
        <f>ROUND(SUM(+AC119-AF119),1)</f>
        <v>-113.1</v>
      </c>
      <c r="AJ119" s="264"/>
      <c r="AK119" s="534">
        <f>ROUND(IF(AF119=0,0,AI119/ABS(AF119)),3)</f>
        <v>-0.126</v>
      </c>
      <c r="AL119" s="1795"/>
    </row>
    <row r="120" spans="1:38" ht="7.5" customHeight="1">
      <c r="A120" s="35"/>
      <c r="B120" s="291"/>
      <c r="C120" s="364"/>
      <c r="D120" s="616"/>
      <c r="E120" s="264"/>
      <c r="F120" s="616"/>
      <c r="G120" s="264"/>
      <c r="H120" s="616"/>
      <c r="I120" s="264"/>
      <c r="J120" s="616"/>
      <c r="K120" s="264"/>
      <c r="L120" s="616"/>
      <c r="M120" s="264"/>
      <c r="N120" s="616"/>
      <c r="O120" s="264"/>
      <c r="P120" s="616"/>
      <c r="Q120" s="264"/>
      <c r="R120" s="1027"/>
      <c r="S120" s="264"/>
      <c r="T120" s="616"/>
      <c r="U120" s="264"/>
      <c r="V120" s="616"/>
      <c r="W120" s="264"/>
      <c r="X120" s="616"/>
      <c r="Y120" s="264"/>
      <c r="Z120" s="616"/>
      <c r="AA120" s="268"/>
      <c r="AB120" s="1024"/>
      <c r="AC120" s="616"/>
      <c r="AD120" s="264"/>
      <c r="AE120" s="525"/>
      <c r="AF120" s="616"/>
      <c r="AG120" s="264"/>
      <c r="AH120" s="707"/>
      <c r="AI120" s="264"/>
      <c r="AJ120" s="264"/>
      <c r="AK120" s="283"/>
      <c r="AL120" s="1795"/>
    </row>
    <row r="121" spans="1:38" ht="15" customHeight="1">
      <c r="A121" s="35"/>
      <c r="B121" s="3" t="s">
        <v>457</v>
      </c>
      <c r="C121" s="364"/>
      <c r="D121" s="13">
        <f>ROUND(SUM(D117:D119)+D115,1)</f>
        <v>9625</v>
      </c>
      <c r="E121" s="13"/>
      <c r="F121" s="13">
        <f>ROUND(SUM(F117:F119)+F115,1)</f>
        <v>0</v>
      </c>
      <c r="G121" s="13"/>
      <c r="H121" s="13">
        <f>ROUND(SUM(H117:H119)+H115,1)</f>
        <v>0</v>
      </c>
      <c r="I121" s="13"/>
      <c r="J121" s="13">
        <f>ROUND(SUM(J117:J119)+J115,1)</f>
        <v>0</v>
      </c>
      <c r="K121" s="13"/>
      <c r="L121" s="13">
        <f>ROUND(SUM(L117:L119)+L115,1)</f>
        <v>0</v>
      </c>
      <c r="M121" s="13"/>
      <c r="N121" s="13">
        <f>ROUND(SUM(N117:N119)+N115,1)</f>
        <v>0</v>
      </c>
      <c r="O121" s="13"/>
      <c r="P121" s="13">
        <f>ROUND(SUM(P117:P119)+P115,1)</f>
        <v>0</v>
      </c>
      <c r="Q121" s="13"/>
      <c r="R121" s="13">
        <f>ROUND(SUM(R117:R119)+R115,1)</f>
        <v>0</v>
      </c>
      <c r="S121" s="13"/>
      <c r="T121" s="13">
        <f>ROUND(SUM(T117:T119)+T115,1)</f>
        <v>0</v>
      </c>
      <c r="U121" s="13"/>
      <c r="V121" s="13">
        <f>ROUND(SUM(V117:V119)+V115,1)</f>
        <v>0</v>
      </c>
      <c r="W121" s="13"/>
      <c r="X121" s="13">
        <f>ROUND(SUM(X117:X119)+X115,1)</f>
        <v>0</v>
      </c>
      <c r="Y121" s="13"/>
      <c r="Z121" s="13">
        <f>ROUND(SUM(Z117:Z119)+Z115,1)</f>
        <v>0</v>
      </c>
      <c r="AA121" s="40"/>
      <c r="AB121" s="672"/>
      <c r="AC121" s="13">
        <f>ROUND(SUM(AC117:AC119)+AC115,1)</f>
        <v>9625</v>
      </c>
      <c r="AD121" s="13"/>
      <c r="AE121" s="670"/>
      <c r="AF121" s="13">
        <f>ROUND(SUM(AF117:AF119)+AF115,1)</f>
        <v>8169.6</v>
      </c>
      <c r="AG121" s="13"/>
      <c r="AH121" s="708"/>
      <c r="AI121" s="357">
        <f>ROUND(SUM(AI115:AI119),1)</f>
        <v>1455.4</v>
      </c>
      <c r="AJ121" s="13"/>
      <c r="AK121" s="1029">
        <f>ROUND(SUM(AI121/AF121),3)</f>
        <v>0.17799999999999999</v>
      </c>
      <c r="AL121" s="1795"/>
    </row>
    <row r="122" spans="1:38" ht="15" customHeight="1">
      <c r="A122" s="35"/>
      <c r="B122" s="291"/>
      <c r="C122" s="364"/>
      <c r="D122" s="616"/>
      <c r="E122" s="264"/>
      <c r="F122" s="616"/>
      <c r="G122" s="264"/>
      <c r="H122" s="616"/>
      <c r="I122" s="264"/>
      <c r="J122" s="616"/>
      <c r="K122" s="264"/>
      <c r="L122" s="616"/>
      <c r="M122" s="264"/>
      <c r="N122" s="616"/>
      <c r="O122" s="264"/>
      <c r="P122" s="616"/>
      <c r="Q122" s="264"/>
      <c r="R122" s="616"/>
      <c r="S122" s="264"/>
      <c r="T122" s="616"/>
      <c r="U122" s="264"/>
      <c r="V122" s="616"/>
      <c r="W122" s="264"/>
      <c r="X122" s="616"/>
      <c r="Y122" s="264"/>
      <c r="Z122" s="616"/>
      <c r="AA122" s="268"/>
      <c r="AB122" s="1024"/>
      <c r="AC122" s="616"/>
      <c r="AD122" s="264"/>
      <c r="AE122" s="525"/>
      <c r="AF122" s="616"/>
      <c r="AG122" s="264"/>
      <c r="AH122" s="707"/>
      <c r="AI122" s="264"/>
      <c r="AJ122" s="264"/>
      <c r="AK122" s="283"/>
      <c r="AL122" s="1795"/>
    </row>
    <row r="123" spans="1:38" ht="15" customHeight="1">
      <c r="A123" s="35"/>
      <c r="B123" s="3" t="s">
        <v>458</v>
      </c>
      <c r="C123" s="3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8"/>
      <c r="AB123" s="1024"/>
      <c r="AC123" s="264"/>
      <c r="AD123" s="264"/>
      <c r="AE123" s="525"/>
      <c r="AF123" s="264"/>
      <c r="AG123" s="264"/>
      <c r="AH123" s="707"/>
      <c r="AI123" s="264"/>
      <c r="AJ123" s="264"/>
      <c r="AK123" s="283"/>
      <c r="AL123" s="1795"/>
    </row>
    <row r="124" spans="1:38" ht="15" customHeight="1">
      <c r="A124" s="35"/>
      <c r="B124" s="3" t="s">
        <v>144</v>
      </c>
      <c r="C124" s="364"/>
      <c r="D124" s="13">
        <f>ROUND(SUM(D101-D121),1)</f>
        <v>-1975.5</v>
      </c>
      <c r="E124" s="13"/>
      <c r="F124" s="13">
        <f>ROUND(SUM(F101-F121),1)</f>
        <v>0</v>
      </c>
      <c r="G124" s="13"/>
      <c r="H124" s="13">
        <f>ROUND(SUM(H101-H121),1)</f>
        <v>0</v>
      </c>
      <c r="I124" s="13"/>
      <c r="J124" s="13">
        <f>ROUND(SUM(J101-J121),1)</f>
        <v>0</v>
      </c>
      <c r="K124" s="13"/>
      <c r="L124" s="13">
        <f>ROUND(SUM(L101-L121),1)</f>
        <v>0</v>
      </c>
      <c r="M124" s="13"/>
      <c r="N124" s="13">
        <f>ROUND(SUM(N101-N121),1)</f>
        <v>0</v>
      </c>
      <c r="O124" s="13"/>
      <c r="P124" s="13">
        <f>ROUND(SUM(P101-P121),1)</f>
        <v>0</v>
      </c>
      <c r="Q124" s="13"/>
      <c r="R124" s="13">
        <f>ROUND(SUM(R101-R121),1)</f>
        <v>0</v>
      </c>
      <c r="S124" s="13"/>
      <c r="T124" s="13">
        <f>ROUND(SUM(T101-T121),1)</f>
        <v>0</v>
      </c>
      <c r="U124" s="13"/>
      <c r="V124" s="13">
        <f>ROUND(SUM(V101-V121),1)</f>
        <v>0</v>
      </c>
      <c r="W124" s="13"/>
      <c r="X124" s="13">
        <f>ROUND(SUM(X101-X121),1)</f>
        <v>0</v>
      </c>
      <c r="Y124" s="13"/>
      <c r="Z124" s="13">
        <f>ROUND(SUM(Z101-Z121),1)</f>
        <v>0</v>
      </c>
      <c r="AA124" s="40"/>
      <c r="AB124" s="672"/>
      <c r="AC124" s="13">
        <f>ROUND(SUM(AC101-AC121),1)</f>
        <v>-1975.5</v>
      </c>
      <c r="AD124" s="13"/>
      <c r="AE124" s="670"/>
      <c r="AF124" s="13">
        <f>ROUND(SUM(AF101-AF121),1)</f>
        <v>-1015.3</v>
      </c>
      <c r="AG124" s="13"/>
      <c r="AH124" s="708"/>
      <c r="AI124" s="357">
        <f>ROUND(SUM(+AC124-AF124),1)</f>
        <v>-960.2</v>
      </c>
      <c r="AJ124" s="13"/>
      <c r="AK124" s="612">
        <f>-ROUND(AI124/AF124,3)</f>
        <v>-0.94599999999999995</v>
      </c>
      <c r="AL124" s="1795"/>
    </row>
    <row r="125" spans="1:38" ht="15" customHeight="1">
      <c r="A125" s="35"/>
      <c r="B125" s="291"/>
      <c r="C125" s="364"/>
      <c r="D125" s="616"/>
      <c r="E125" s="264"/>
      <c r="F125" s="616"/>
      <c r="G125" s="264"/>
      <c r="H125" s="616"/>
      <c r="I125" s="264"/>
      <c r="J125" s="616"/>
      <c r="K125" s="264"/>
      <c r="L125" s="616"/>
      <c r="M125" s="264"/>
      <c r="N125" s="616"/>
      <c r="O125" s="264"/>
      <c r="P125" s="616"/>
      <c r="Q125" s="264"/>
      <c r="R125" s="616"/>
      <c r="S125" s="264"/>
      <c r="T125" s="616"/>
      <c r="U125" s="264"/>
      <c r="V125" s="616"/>
      <c r="W125" s="264"/>
      <c r="X125" s="616"/>
      <c r="Y125" s="264"/>
      <c r="Z125" s="616"/>
      <c r="AA125" s="268"/>
      <c r="AB125" s="1024"/>
      <c r="AC125" s="616"/>
      <c r="AD125" s="264"/>
      <c r="AE125" s="525"/>
      <c r="AF125" s="616"/>
      <c r="AG125" s="616"/>
      <c r="AH125" s="707"/>
      <c r="AI125" s="264"/>
      <c r="AJ125" s="264"/>
      <c r="AK125" s="283"/>
      <c r="AL125" s="1795"/>
    </row>
    <row r="126" spans="1:38" ht="15" customHeight="1">
      <c r="A126" s="35"/>
      <c r="B126" s="3" t="s">
        <v>145</v>
      </c>
      <c r="C126" s="3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8"/>
      <c r="AB126" s="1024"/>
      <c r="AC126" s="264"/>
      <c r="AD126" s="264"/>
      <c r="AE126" s="525"/>
      <c r="AF126" s="264"/>
      <c r="AG126" s="264"/>
      <c r="AH126" s="707"/>
      <c r="AI126" s="264"/>
      <c r="AJ126" s="264"/>
      <c r="AK126" s="283"/>
      <c r="AL126" s="1795"/>
    </row>
    <row r="127" spans="1:38" ht="15" customHeight="1">
      <c r="A127" s="35"/>
      <c r="B127" s="3"/>
      <c r="C127" s="3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8"/>
      <c r="AB127" s="1024"/>
      <c r="AC127" s="264"/>
      <c r="AD127" s="264"/>
      <c r="AE127" s="525"/>
      <c r="AF127" s="264"/>
      <c r="AG127" s="264"/>
      <c r="AH127" s="707"/>
      <c r="AI127" s="264"/>
      <c r="AJ127" s="264"/>
      <c r="AK127" s="283"/>
      <c r="AL127" s="1795"/>
    </row>
    <row r="128" spans="1:38" ht="15" customHeight="1">
      <c r="A128" s="35"/>
      <c r="B128" s="413" t="s">
        <v>459</v>
      </c>
      <c r="C128" s="364"/>
      <c r="D128" s="532">
        <f>AC128</f>
        <v>5278.8</v>
      </c>
      <c r="E128" s="513"/>
      <c r="F128" s="532"/>
      <c r="G128" s="513"/>
      <c r="H128" s="532"/>
      <c r="I128" s="264"/>
      <c r="J128" s="532"/>
      <c r="K128" s="554"/>
      <c r="L128" s="532"/>
      <c r="M128" s="554"/>
      <c r="N128" s="532"/>
      <c r="O128" s="554"/>
      <c r="P128" s="532"/>
      <c r="Q128" s="554"/>
      <c r="R128" s="532"/>
      <c r="S128" s="554"/>
      <c r="T128" s="532"/>
      <c r="U128" s="554"/>
      <c r="V128" s="532"/>
      <c r="W128" s="554"/>
      <c r="X128" s="532"/>
      <c r="Y128" s="554"/>
      <c r="Z128" s="532"/>
      <c r="AA128" s="289"/>
      <c r="AB128" s="525"/>
      <c r="AC128" s="532">
        <v>5278.8</v>
      </c>
      <c r="AD128" s="264"/>
      <c r="AE128" s="525" t="s">
        <v>103</v>
      </c>
      <c r="AF128" s="532">
        <v>4916.3999999999996</v>
      </c>
      <c r="AG128" s="264"/>
      <c r="AH128" s="707"/>
      <c r="AI128" s="264">
        <f>ROUND(SUM(+AC128-AF128),1)</f>
        <v>362.4</v>
      </c>
      <c r="AJ128" s="264"/>
      <c r="AK128" s="266">
        <f>ROUND(IF(AF128=0,0,AI128/ABS(AF128)),3)</f>
        <v>7.3999999999999996E-2</v>
      </c>
      <c r="AL128" s="1795"/>
    </row>
    <row r="129" spans="1:38" ht="15" customHeight="1">
      <c r="A129" s="35"/>
      <c r="B129" s="413" t="s">
        <v>460</v>
      </c>
      <c r="C129" s="364"/>
      <c r="D129" s="532">
        <f t="shared" ref="D129:D135" si="25">AC129</f>
        <v>706.3</v>
      </c>
      <c r="E129" s="513"/>
      <c r="F129" s="532"/>
      <c r="G129" s="513"/>
      <c r="H129" s="532"/>
      <c r="I129" s="264"/>
      <c r="J129" s="532"/>
      <c r="K129" s="554"/>
      <c r="L129" s="532"/>
      <c r="M129" s="554"/>
      <c r="N129" s="532"/>
      <c r="O129" s="554"/>
      <c r="P129" s="532"/>
      <c r="Q129" s="554"/>
      <c r="R129" s="532"/>
      <c r="S129" s="554"/>
      <c r="T129" s="532"/>
      <c r="U129" s="554"/>
      <c r="V129" s="532"/>
      <c r="W129" s="554"/>
      <c r="X129" s="532"/>
      <c r="Y129" s="554"/>
      <c r="Z129" s="532"/>
      <c r="AA129" s="289"/>
      <c r="AB129" s="525"/>
      <c r="AC129" s="532">
        <v>706.3</v>
      </c>
      <c r="AD129" s="264"/>
      <c r="AE129" s="525" t="s">
        <v>103</v>
      </c>
      <c r="AF129" s="532">
        <v>661.1</v>
      </c>
      <c r="AG129" s="264"/>
      <c r="AH129" s="707"/>
      <c r="AI129" s="264">
        <f>ROUND(SUM(+AC129-AF129),1)</f>
        <v>45.2</v>
      </c>
      <c r="AJ129" s="264"/>
      <c r="AK129" s="266">
        <f>ROUND(IF(AF129=0,0,AI129/ABS(AF129)),3)</f>
        <v>6.8000000000000005E-2</v>
      </c>
      <c r="AL129" s="1795"/>
    </row>
    <row r="130" spans="1:38" ht="15" customHeight="1">
      <c r="A130" s="35"/>
      <c r="B130" s="413" t="s">
        <v>461</v>
      </c>
      <c r="C130" s="364"/>
      <c r="D130" s="532">
        <f t="shared" si="25"/>
        <v>115.9</v>
      </c>
      <c r="E130" s="513"/>
      <c r="F130" s="532"/>
      <c r="G130" s="513"/>
      <c r="H130" s="532"/>
      <c r="I130" s="264"/>
      <c r="J130" s="532"/>
      <c r="K130" s="554"/>
      <c r="L130" s="532"/>
      <c r="M130" s="554"/>
      <c r="N130" s="532"/>
      <c r="O130" s="554"/>
      <c r="P130" s="532"/>
      <c r="Q130" s="554"/>
      <c r="R130" s="532"/>
      <c r="S130" s="554"/>
      <c r="T130" s="532"/>
      <c r="U130" s="554"/>
      <c r="V130" s="532"/>
      <c r="W130" s="554"/>
      <c r="X130" s="532"/>
      <c r="Y130" s="554"/>
      <c r="Z130" s="532"/>
      <c r="AA130" s="289"/>
      <c r="AB130" s="525"/>
      <c r="AC130" s="532">
        <v>115.9</v>
      </c>
      <c r="AD130" s="264"/>
      <c r="AE130" s="525" t="s">
        <v>103</v>
      </c>
      <c r="AF130" s="532">
        <v>90</v>
      </c>
      <c r="AG130" s="264"/>
      <c r="AH130" s="707"/>
      <c r="AI130" s="264">
        <f>ROUND(SUM(+AC130-AF130),1)</f>
        <v>25.9</v>
      </c>
      <c r="AJ130" s="264"/>
      <c r="AK130" s="266">
        <f>ROUND(IF(AF130=0,0,AI130/ABS(AF130)),3)</f>
        <v>0.28799999999999998</v>
      </c>
      <c r="AL130" s="1795"/>
    </row>
    <row r="131" spans="1:38" ht="15" customHeight="1">
      <c r="A131" s="35"/>
      <c r="B131" s="413" t="s">
        <v>462</v>
      </c>
      <c r="C131" s="364"/>
      <c r="D131" s="532">
        <f t="shared" si="25"/>
        <v>256.89999999999964</v>
      </c>
      <c r="E131" s="513"/>
      <c r="F131" s="532"/>
      <c r="G131" s="513"/>
      <c r="H131" s="532"/>
      <c r="I131" s="264"/>
      <c r="J131" s="532"/>
      <c r="K131" s="554"/>
      <c r="L131" s="532"/>
      <c r="M131" s="554"/>
      <c r="N131" s="532"/>
      <c r="O131" s="554"/>
      <c r="P131" s="532"/>
      <c r="Q131" s="554"/>
      <c r="R131" s="532"/>
      <c r="S131" s="554"/>
      <c r="T131" s="532"/>
      <c r="U131" s="554"/>
      <c r="V131" s="532"/>
      <c r="W131" s="554"/>
      <c r="X131" s="532"/>
      <c r="Y131" s="554"/>
      <c r="Z131" s="532"/>
      <c r="AA131" s="289"/>
      <c r="AB131" s="525"/>
      <c r="AC131" s="532">
        <v>256.89999999999964</v>
      </c>
      <c r="AD131" s="264"/>
      <c r="AE131" s="525" t="s">
        <v>103</v>
      </c>
      <c r="AF131" s="532">
        <v>292.79999999999984</v>
      </c>
      <c r="AG131" s="264"/>
      <c r="AH131" s="707"/>
      <c r="AI131" s="264">
        <f>ROUND(SUM(+AC131-AF131),1)</f>
        <v>-35.9</v>
      </c>
      <c r="AJ131" s="264"/>
      <c r="AK131" s="543">
        <f>ROUND(IF(AF131=0,0,AI131/ABS(AF131)),3)</f>
        <v>-0.123</v>
      </c>
      <c r="AL131" s="1795"/>
    </row>
    <row r="132" spans="1:38" ht="15" customHeight="1">
      <c r="A132" s="35" t="s">
        <v>103</v>
      </c>
      <c r="B132" s="291" t="s">
        <v>463</v>
      </c>
      <c r="C132" s="364"/>
      <c r="D132" s="532">
        <f t="shared" si="25"/>
        <v>-441.4</v>
      </c>
      <c r="E132" s="513"/>
      <c r="F132" s="532"/>
      <c r="G132" s="513"/>
      <c r="H132" s="532"/>
      <c r="I132" s="264"/>
      <c r="J132" s="532"/>
      <c r="K132" s="554"/>
      <c r="L132" s="532"/>
      <c r="M132" s="554"/>
      <c r="N132" s="532"/>
      <c r="O132" s="554"/>
      <c r="P132" s="532"/>
      <c r="Q132" s="554"/>
      <c r="R132" s="532"/>
      <c r="S132" s="554"/>
      <c r="T132" s="532"/>
      <c r="U132" s="554"/>
      <c r="V132" s="532"/>
      <c r="W132" s="554"/>
      <c r="X132" s="532"/>
      <c r="Y132" s="554"/>
      <c r="Z132" s="532"/>
      <c r="AA132" s="289"/>
      <c r="AB132" s="525"/>
      <c r="AC132" s="532">
        <v>-441.4</v>
      </c>
      <c r="AD132" s="264"/>
      <c r="AE132" s="525" t="s">
        <v>103</v>
      </c>
      <c r="AF132" s="532">
        <v>-415.8</v>
      </c>
      <c r="AG132" s="264"/>
      <c r="AH132" s="707"/>
      <c r="AI132" s="264">
        <f>ROUND(SUM(+AC132-AF132)*-1,1)</f>
        <v>25.6</v>
      </c>
      <c r="AJ132" s="264"/>
      <c r="AK132" s="543">
        <f t="shared" ref="AK132" si="26">ROUND(IF(AF132=0,0,AI132/ABS(AF132)),3)</f>
        <v>6.2E-2</v>
      </c>
      <c r="AL132" s="1795"/>
    </row>
    <row r="133" spans="1:38" ht="15" customHeight="1">
      <c r="A133" s="35"/>
      <c r="B133" s="291" t="s">
        <v>464</v>
      </c>
      <c r="C133" s="364"/>
      <c r="D133" s="532">
        <f t="shared" si="25"/>
        <v>0</v>
      </c>
      <c r="E133" s="513"/>
      <c r="F133" s="532"/>
      <c r="G133" s="513"/>
      <c r="H133" s="532"/>
      <c r="I133" s="264"/>
      <c r="J133" s="532"/>
      <c r="K133" s="554"/>
      <c r="L133" s="532"/>
      <c r="M133" s="554"/>
      <c r="N133" s="532"/>
      <c r="O133" s="554"/>
      <c r="P133" s="532"/>
      <c r="Q133" s="554"/>
      <c r="R133" s="532"/>
      <c r="S133" s="554"/>
      <c r="T133" s="532"/>
      <c r="U133" s="554"/>
      <c r="V133" s="532"/>
      <c r="W133" s="554"/>
      <c r="X133" s="532"/>
      <c r="Y133" s="554"/>
      <c r="Z133" s="532"/>
      <c r="AA133" s="289"/>
      <c r="AB133" s="525"/>
      <c r="AC133" s="532">
        <v>0</v>
      </c>
      <c r="AD133" s="264"/>
      <c r="AE133" s="525" t="s">
        <v>103</v>
      </c>
      <c r="AF133" s="532">
        <v>0</v>
      </c>
      <c r="AG133" s="264"/>
      <c r="AH133" s="707"/>
      <c r="AI133" s="264">
        <f>ROUND(SUM(+AC133-AF133)*-1,1)</f>
        <v>0</v>
      </c>
      <c r="AJ133" s="264"/>
      <c r="AK133" s="266">
        <f>ROUND(IF(AF133=0,0,AI133/ABS(AF133)),3)</f>
        <v>0</v>
      </c>
      <c r="AL133" s="1795"/>
    </row>
    <row r="134" spans="1:38" ht="15" customHeight="1">
      <c r="A134" s="35"/>
      <c r="B134" s="291" t="s">
        <v>465</v>
      </c>
      <c r="C134" s="364"/>
      <c r="D134" s="532">
        <f t="shared" si="25"/>
        <v>-7.4</v>
      </c>
      <c r="E134" s="513"/>
      <c r="F134" s="532"/>
      <c r="G134" s="513"/>
      <c r="H134" s="532"/>
      <c r="I134" s="264"/>
      <c r="J134" s="532"/>
      <c r="K134" s="554"/>
      <c r="L134" s="532"/>
      <c r="M134" s="554"/>
      <c r="N134" s="532"/>
      <c r="O134" s="554"/>
      <c r="P134" s="532"/>
      <c r="Q134" s="554"/>
      <c r="R134" s="532"/>
      <c r="S134" s="554"/>
      <c r="T134" s="532"/>
      <c r="U134" s="554"/>
      <c r="V134" s="532"/>
      <c r="W134" s="554"/>
      <c r="X134" s="532"/>
      <c r="Y134" s="554"/>
      <c r="Z134" s="532"/>
      <c r="AA134" s="289"/>
      <c r="AB134" s="525"/>
      <c r="AC134" s="532">
        <v>-7.4</v>
      </c>
      <c r="AD134" s="264"/>
      <c r="AE134" s="525" t="s">
        <v>103</v>
      </c>
      <c r="AF134" s="532">
        <v>-6.5</v>
      </c>
      <c r="AG134" s="264"/>
      <c r="AH134" s="707"/>
      <c r="AI134" s="264">
        <f>ROUND(SUM(+AC134-AF134)*-1,1)</f>
        <v>0.9</v>
      </c>
      <c r="AJ134" s="264"/>
      <c r="AK134" s="266">
        <f>ROUND(IF(AF134=0,0,AI134/ABS(AF134)),3)</f>
        <v>0.13800000000000001</v>
      </c>
      <c r="AL134" s="1795"/>
    </row>
    <row r="135" spans="1:38" ht="15" customHeight="1">
      <c r="A135" s="35"/>
      <c r="B135" s="291" t="s">
        <v>466</v>
      </c>
      <c r="C135" s="364"/>
      <c r="D135" s="532">
        <f t="shared" si="25"/>
        <v>-216.60000000000002</v>
      </c>
      <c r="E135" s="513"/>
      <c r="F135" s="532"/>
      <c r="G135" s="513"/>
      <c r="H135" s="532"/>
      <c r="I135" s="264"/>
      <c r="J135" s="532"/>
      <c r="K135" s="554"/>
      <c r="L135" s="532"/>
      <c r="M135" s="554"/>
      <c r="N135" s="532"/>
      <c r="O135" s="554"/>
      <c r="P135" s="532"/>
      <c r="Q135" s="554"/>
      <c r="R135" s="532"/>
      <c r="S135" s="554"/>
      <c r="T135" s="532"/>
      <c r="U135" s="554"/>
      <c r="V135" s="532"/>
      <c r="W135" s="554"/>
      <c r="X135" s="532"/>
      <c r="Y135" s="554"/>
      <c r="Z135" s="532"/>
      <c r="AA135" s="289"/>
      <c r="AB135" s="525"/>
      <c r="AC135" s="532">
        <v>-216.60000000000002</v>
      </c>
      <c r="AD135" s="264"/>
      <c r="AE135" s="525" t="s">
        <v>103</v>
      </c>
      <c r="AF135" s="532">
        <v>-346.90000000000003</v>
      </c>
      <c r="AG135" s="264"/>
      <c r="AH135" s="707"/>
      <c r="AI135" s="383">
        <f>ROUND(SUM(+AC135-AF135)*-1,1)</f>
        <v>-130.30000000000001</v>
      </c>
      <c r="AJ135" s="264"/>
      <c r="AK135" s="534">
        <f>ROUND(IF(AF135=0,0,AI135/ABS(AF135)),3)</f>
        <v>-0.376</v>
      </c>
      <c r="AL135" s="1795"/>
    </row>
    <row r="136" spans="1:38" ht="5.15" customHeight="1">
      <c r="A136" s="35"/>
      <c r="B136" s="291"/>
      <c r="C136" s="364"/>
      <c r="D136" s="616"/>
      <c r="E136" s="264"/>
      <c r="F136" s="616"/>
      <c r="G136" s="264"/>
      <c r="H136" s="616"/>
      <c r="I136" s="264"/>
      <c r="J136" s="616"/>
      <c r="K136" s="264"/>
      <c r="L136" s="616"/>
      <c r="M136" s="264"/>
      <c r="N136" s="616"/>
      <c r="O136" s="264"/>
      <c r="P136" s="616"/>
      <c r="Q136" s="264"/>
      <c r="R136" s="616"/>
      <c r="S136" s="264"/>
      <c r="T136" s="616"/>
      <c r="U136" s="264"/>
      <c r="V136" s="616"/>
      <c r="W136" s="264"/>
      <c r="X136" s="616"/>
      <c r="Y136" s="264"/>
      <c r="Z136" s="616"/>
      <c r="AA136" s="268"/>
      <c r="AB136" s="1024"/>
      <c r="AC136" s="616"/>
      <c r="AD136" s="264"/>
      <c r="AE136" s="525"/>
      <c r="AF136" s="616"/>
      <c r="AG136" s="264"/>
      <c r="AH136" s="707"/>
      <c r="AI136" s="264"/>
      <c r="AJ136" s="264"/>
      <c r="AK136" s="283"/>
      <c r="AL136" s="1795"/>
    </row>
    <row r="137" spans="1:38" ht="15" customHeight="1">
      <c r="A137" s="35"/>
      <c r="B137" s="3" t="s">
        <v>467</v>
      </c>
      <c r="C137" s="3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8"/>
      <c r="Z137" s="268"/>
      <c r="AA137" s="268"/>
      <c r="AB137" s="1024"/>
      <c r="AC137" s="264"/>
      <c r="AD137" s="264"/>
      <c r="AE137" s="525"/>
      <c r="AF137" s="264"/>
      <c r="AG137" s="264"/>
      <c r="AH137" s="707"/>
      <c r="AI137" s="264"/>
      <c r="AJ137" s="264"/>
      <c r="AK137" s="283"/>
      <c r="AL137" s="1795"/>
    </row>
    <row r="138" spans="1:38" ht="15" customHeight="1">
      <c r="A138" s="35"/>
      <c r="B138" s="3" t="s">
        <v>468</v>
      </c>
      <c r="C138" s="364"/>
      <c r="D138" s="13">
        <f>ROUND(SUM(D128:D136),1)</f>
        <v>5692.5</v>
      </c>
      <c r="E138" s="13"/>
      <c r="F138" s="13">
        <f>ROUND(SUM(F128:F136),1)</f>
        <v>0</v>
      </c>
      <c r="G138" s="13"/>
      <c r="H138" s="13">
        <f>ROUND(SUM(H128:H136),1)</f>
        <v>0</v>
      </c>
      <c r="I138" s="13"/>
      <c r="J138" s="13">
        <f>ROUND(SUM(J128:J135),1)</f>
        <v>0</v>
      </c>
      <c r="K138" s="13"/>
      <c r="L138" s="13">
        <f>ROUND(SUM(L128:L135),1)</f>
        <v>0</v>
      </c>
      <c r="M138" s="13"/>
      <c r="N138" s="13">
        <f>ROUND(SUM(N128:N135),1)</f>
        <v>0</v>
      </c>
      <c r="O138" s="13"/>
      <c r="P138" s="13">
        <f>ROUND(SUM(P128:P135),1)</f>
        <v>0</v>
      </c>
      <c r="Q138" s="13"/>
      <c r="R138" s="13">
        <f>ROUND(SUM(R128:R135),1)</f>
        <v>0</v>
      </c>
      <c r="S138" s="13"/>
      <c r="T138" s="13">
        <f>ROUND(SUM(T128:T135),1)</f>
        <v>0</v>
      </c>
      <c r="U138" s="13"/>
      <c r="V138" s="13">
        <f>ROUND(SUM(V128:V135),1)</f>
        <v>0</v>
      </c>
      <c r="W138" s="13"/>
      <c r="X138" s="13">
        <f>ROUND(SUM(X128:X135),1)</f>
        <v>0</v>
      </c>
      <c r="Y138" s="40"/>
      <c r="Z138" s="13">
        <f>ROUND(SUM(Z128:Z135),1)</f>
        <v>0</v>
      </c>
      <c r="AA138" s="40"/>
      <c r="AB138" s="672"/>
      <c r="AC138" s="13">
        <f>ROUND(SUM(AC128:AC136),1)</f>
        <v>5692.5</v>
      </c>
      <c r="AD138" s="13"/>
      <c r="AE138" s="670"/>
      <c r="AF138" s="13">
        <f>ROUND(SUM(AF128:AF136),1)</f>
        <v>5191.1000000000004</v>
      </c>
      <c r="AG138" s="13"/>
      <c r="AH138" s="708"/>
      <c r="AI138" s="357">
        <f>ROUND(SUM(+AC138-AF138),1)</f>
        <v>501.4</v>
      </c>
      <c r="AJ138" s="13"/>
      <c r="AK138" s="612">
        <f>ROUND(SUM(+AI138/AF138),3)</f>
        <v>9.7000000000000003E-2</v>
      </c>
      <c r="AL138" s="1795"/>
    </row>
    <row r="139" spans="1:38" ht="15" customHeight="1">
      <c r="A139" s="35"/>
      <c r="B139" s="291"/>
      <c r="C139" s="364"/>
      <c r="D139" s="616"/>
      <c r="E139" s="264"/>
      <c r="F139" s="616"/>
      <c r="G139" s="264"/>
      <c r="H139" s="616"/>
      <c r="I139" s="264"/>
      <c r="J139" s="616"/>
      <c r="K139" s="264"/>
      <c r="L139" s="616"/>
      <c r="M139" s="264"/>
      <c r="N139" s="616"/>
      <c r="O139" s="264"/>
      <c r="P139" s="616"/>
      <c r="Q139" s="264"/>
      <c r="R139" s="616"/>
      <c r="S139" s="264"/>
      <c r="T139" s="616"/>
      <c r="U139" s="264"/>
      <c r="V139" s="616"/>
      <c r="W139" s="264"/>
      <c r="X139" s="616"/>
      <c r="Y139" s="268"/>
      <c r="Z139" s="1030"/>
      <c r="AA139" s="268"/>
      <c r="AB139" s="1024"/>
      <c r="AC139" s="616"/>
      <c r="AD139" s="264"/>
      <c r="AE139" s="525"/>
      <c r="AF139" s="616"/>
      <c r="AG139" s="264"/>
      <c r="AH139" s="707"/>
      <c r="AI139" s="423"/>
      <c r="AJ139" s="423"/>
      <c r="AK139" s="328"/>
      <c r="AL139" s="1795"/>
    </row>
    <row r="140" spans="1:38" ht="15" customHeight="1">
      <c r="A140" s="35"/>
      <c r="B140" s="3" t="s">
        <v>469</v>
      </c>
      <c r="C140" s="3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8"/>
      <c r="Z140" s="268"/>
      <c r="AA140" s="268"/>
      <c r="AB140" s="1024"/>
      <c r="AC140" s="264"/>
      <c r="AD140" s="264"/>
      <c r="AE140" s="525"/>
      <c r="AF140" s="264"/>
      <c r="AG140" s="264"/>
      <c r="AH140" s="707"/>
      <c r="AI140" s="423"/>
      <c r="AJ140" s="423"/>
      <c r="AK140" s="328"/>
      <c r="AL140" s="1795"/>
    </row>
    <row r="141" spans="1:38" ht="15" customHeight="1">
      <c r="A141" s="35"/>
      <c r="B141" s="3" t="s">
        <v>470</v>
      </c>
      <c r="C141" s="3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8"/>
      <c r="Z141" s="268"/>
      <c r="AA141" s="268"/>
      <c r="AB141" s="1024"/>
      <c r="AC141" s="264"/>
      <c r="AD141" s="264"/>
      <c r="AE141" s="525"/>
      <c r="AF141" s="264"/>
      <c r="AG141" s="264"/>
      <c r="AH141" s="707"/>
      <c r="AI141" s="423"/>
      <c r="AJ141" s="423"/>
      <c r="AK141" s="328"/>
      <c r="AL141" s="1795"/>
    </row>
    <row r="142" spans="1:38" ht="15" customHeight="1">
      <c r="A142" s="35"/>
      <c r="B142" s="3" t="s">
        <v>471</v>
      </c>
      <c r="C142" s="364"/>
      <c r="D142" s="13">
        <f>ROUND(SUM(D124+D138),1)</f>
        <v>3717</v>
      </c>
      <c r="E142" s="13"/>
      <c r="F142" s="13">
        <f>ROUND(SUM(F124+F138),1)</f>
        <v>0</v>
      </c>
      <c r="G142" s="13"/>
      <c r="H142" s="13">
        <f>ROUND(SUM(H124+H138),1)</f>
        <v>0</v>
      </c>
      <c r="I142" s="13"/>
      <c r="J142" s="13">
        <f>ROUND(SUM(J124+J138),1)</f>
        <v>0</v>
      </c>
      <c r="K142" s="13"/>
      <c r="L142" s="13">
        <f>ROUND(SUM(L124+L138),1)</f>
        <v>0</v>
      </c>
      <c r="M142" s="13"/>
      <c r="N142" s="13">
        <f>ROUND(SUM(N124+N138),1)</f>
        <v>0</v>
      </c>
      <c r="O142" s="13"/>
      <c r="P142" s="13">
        <f>ROUND(SUM(P124+P138),1)</f>
        <v>0</v>
      </c>
      <c r="Q142" s="13"/>
      <c r="R142" s="13">
        <f>ROUND(SUM(R124+R138),1)</f>
        <v>0</v>
      </c>
      <c r="S142" s="264"/>
      <c r="T142" s="13">
        <f>ROUND(SUM(T124+T138),1)</f>
        <v>0</v>
      </c>
      <c r="U142" s="264"/>
      <c r="V142" s="13">
        <f>ROUND(SUM(V124+V138),1)</f>
        <v>0</v>
      </c>
      <c r="W142" s="264"/>
      <c r="X142" s="13">
        <f>ROUND(SUM(X124+X138),1)</f>
        <v>0</v>
      </c>
      <c r="Y142" s="268"/>
      <c r="Z142" s="357">
        <f>ROUND(SUM(Z124+Z138),1)</f>
        <v>0</v>
      </c>
      <c r="AA142" s="268"/>
      <c r="AB142" s="1024"/>
      <c r="AC142" s="13">
        <f>ROUND(SUM(AC124+AC138),1)</f>
        <v>3717</v>
      </c>
      <c r="AD142" s="13"/>
      <c r="AE142" s="670"/>
      <c r="AF142" s="13">
        <f>ROUND(SUM(AF124+AF138),1)</f>
        <v>4175.8</v>
      </c>
      <c r="AG142" s="13"/>
      <c r="AH142" s="708"/>
      <c r="AI142" s="357">
        <f>ROUND(SUM(+AC142-AF142),1)</f>
        <v>-458.8</v>
      </c>
      <c r="AJ142" s="713"/>
      <c r="AK142" s="612">
        <f>ROUND(SUM(AI142/ABS(AF142)),3)</f>
        <v>-0.11</v>
      </c>
      <c r="AL142" s="1795"/>
    </row>
    <row r="143" spans="1:38" ht="9" customHeight="1">
      <c r="A143" s="35"/>
      <c r="B143" s="291"/>
      <c r="C143" s="364"/>
      <c r="D143" s="1030"/>
      <c r="E143" s="291"/>
      <c r="F143" s="1114"/>
      <c r="G143" s="291"/>
      <c r="H143" s="989"/>
      <c r="I143" s="291"/>
      <c r="J143" s="616"/>
      <c r="K143" s="291"/>
      <c r="L143" s="989"/>
      <c r="M143" s="291"/>
      <c r="N143" s="989"/>
      <c r="O143" s="291"/>
      <c r="P143" s="989"/>
      <c r="Q143" s="291"/>
      <c r="R143" s="989"/>
      <c r="S143" s="291"/>
      <c r="T143" s="989"/>
      <c r="U143" s="291"/>
      <c r="V143" s="989"/>
      <c r="W143" s="291"/>
      <c r="X143" s="989"/>
      <c r="Y143" s="291"/>
      <c r="Z143" s="364"/>
      <c r="AA143" s="364"/>
      <c r="AB143" s="1024"/>
      <c r="AC143" s="616"/>
      <c r="AD143" s="264"/>
      <c r="AE143" s="525"/>
      <c r="AF143" s="616"/>
      <c r="AG143" s="264"/>
      <c r="AH143" s="707"/>
      <c r="AI143" s="616"/>
      <c r="AJ143" s="423"/>
      <c r="AK143" s="1031"/>
      <c r="AL143" s="1795"/>
    </row>
    <row r="144" spans="1:38" ht="15" customHeight="1" thickBot="1">
      <c r="A144" s="35"/>
      <c r="B144" s="1218" t="s">
        <v>433</v>
      </c>
      <c r="C144" s="364"/>
      <c r="D144" s="70">
        <f>ROUND(SUM(D13+D142),1)</f>
        <v>59894.6</v>
      </c>
      <c r="E144" s="45"/>
      <c r="F144" s="70">
        <f>ROUND(SUM(F13+F142),1)</f>
        <v>0</v>
      </c>
      <c r="G144" s="45"/>
      <c r="H144" s="70">
        <f>ROUND(SUM(H13+H142),1)</f>
        <v>0</v>
      </c>
      <c r="I144" s="45"/>
      <c r="J144" s="70">
        <f>ROUND(SUM(J13+J142),1)</f>
        <v>0</v>
      </c>
      <c r="K144" s="45"/>
      <c r="L144" s="70">
        <f>ROUND(SUM(L13+L142),1)</f>
        <v>0</v>
      </c>
      <c r="M144" s="45"/>
      <c r="N144" s="70">
        <f>ROUND(SUM(N13+N142),1)</f>
        <v>0</v>
      </c>
      <c r="O144" s="45"/>
      <c r="P144" s="70">
        <f>ROUND(SUM(P13+P142),1)</f>
        <v>0</v>
      </c>
      <c r="Q144" s="45"/>
      <c r="R144" s="70">
        <f>ROUND(SUM(R13+R142),1)</f>
        <v>0</v>
      </c>
      <c r="S144" s="45"/>
      <c r="T144" s="70">
        <f>ROUND(SUM(T13+T142),1)</f>
        <v>0</v>
      </c>
      <c r="U144" s="45"/>
      <c r="V144" s="70">
        <f>ROUND(SUM(V13+V142),1)</f>
        <v>0</v>
      </c>
      <c r="W144" s="45"/>
      <c r="X144" s="70">
        <f>ROUND(SUM(X13+X142),1)</f>
        <v>0</v>
      </c>
      <c r="Y144" s="45"/>
      <c r="Z144" s="70">
        <f>ROUND(SUM(Z13+Z142),1)</f>
        <v>0</v>
      </c>
      <c r="AA144" s="45"/>
      <c r="AB144" s="714"/>
      <c r="AC144" s="70">
        <f>ROUND(SUM(AC13+AC142),1)</f>
        <v>59894.6</v>
      </c>
      <c r="AD144" s="13"/>
      <c r="AE144" s="670"/>
      <c r="AF144" s="70">
        <f>ROUND(SUM(AF13+AF142),1)</f>
        <v>61091.6</v>
      </c>
      <c r="AG144" s="45"/>
      <c r="AH144" s="705"/>
      <c r="AI144" s="70">
        <f>ROUND(SUM(+AC144-AF144),1)</f>
        <v>-1197</v>
      </c>
      <c r="AJ144" s="713"/>
      <c r="AK144" s="77">
        <f>ROUND(SUM(+AI144/AF144),3)</f>
        <v>-0.02</v>
      </c>
      <c r="AL144" s="1795"/>
    </row>
    <row r="145" spans="1:37" ht="15" customHeight="1" thickTop="1">
      <c r="A145" s="35"/>
      <c r="B145" s="291"/>
      <c r="C145" s="364"/>
      <c r="D145" s="364"/>
      <c r="E145" s="291"/>
      <c r="F145" s="385"/>
      <c r="G145" s="291"/>
      <c r="H145" s="364"/>
      <c r="I145" s="291"/>
      <c r="J145" s="264"/>
      <c r="K145" s="291"/>
      <c r="L145" s="364"/>
      <c r="M145" s="291"/>
      <c r="N145" s="364"/>
      <c r="O145" s="291"/>
      <c r="P145" s="364"/>
      <c r="Q145" s="291"/>
      <c r="R145" s="364"/>
      <c r="S145" s="291"/>
      <c r="T145" s="364"/>
      <c r="U145" s="291"/>
      <c r="V145" s="364"/>
      <c r="W145" s="291"/>
      <c r="X145" s="364"/>
      <c r="Y145" s="291"/>
      <c r="Z145" s="364"/>
      <c r="AA145" s="364"/>
      <c r="AB145" s="291"/>
      <c r="AC145" s="264"/>
      <c r="AD145" s="264"/>
      <c r="AE145" s="264"/>
      <c r="AF145" s="264"/>
      <c r="AG145" s="264"/>
      <c r="AH145" s="699"/>
      <c r="AI145" s="423"/>
      <c r="AJ145" s="423"/>
      <c r="AK145" s="328"/>
    </row>
    <row r="146" spans="1:37" ht="15" customHeight="1">
      <c r="A146" s="35"/>
      <c r="B146" s="291" t="s">
        <v>103</v>
      </c>
      <c r="C146" s="364"/>
      <c r="D146" s="364"/>
      <c r="E146" s="291"/>
      <c r="F146" s="385"/>
      <c r="G146" s="291"/>
      <c r="H146" s="364"/>
      <c r="I146" s="291"/>
      <c r="J146" s="264"/>
      <c r="K146" s="291"/>
      <c r="L146" s="364"/>
      <c r="M146" s="291"/>
      <c r="N146" s="364"/>
      <c r="O146" s="291"/>
      <c r="P146" s="364"/>
      <c r="Q146" s="291"/>
      <c r="R146" s="364"/>
      <c r="S146" s="291"/>
      <c r="T146" s="364"/>
      <c r="U146" s="291"/>
      <c r="V146" s="364"/>
      <c r="W146" s="291"/>
      <c r="X146" s="364"/>
      <c r="Y146" s="291"/>
      <c r="Z146" s="364"/>
      <c r="AA146" s="364"/>
      <c r="AB146" s="291"/>
      <c r="AC146" s="513"/>
      <c r="AD146" s="264"/>
      <c r="AE146" s="264"/>
      <c r="AF146" s="264"/>
      <c r="AG146" s="264"/>
      <c r="AH146" s="699"/>
      <c r="AI146" s="423"/>
      <c r="AJ146" s="423"/>
      <c r="AK146" s="328"/>
    </row>
    <row r="147" spans="1:37" ht="15" customHeight="1">
      <c r="A147" s="35"/>
      <c r="B147" s="291"/>
      <c r="C147" s="364"/>
      <c r="D147" s="364"/>
      <c r="E147" s="291"/>
      <c r="F147" s="385"/>
      <c r="G147" s="291"/>
      <c r="H147" s="364"/>
      <c r="I147" s="291"/>
      <c r="J147" s="264"/>
      <c r="K147" s="291"/>
      <c r="L147" s="364"/>
      <c r="M147" s="291"/>
      <c r="N147" s="364"/>
      <c r="O147" s="291"/>
      <c r="P147" s="364"/>
      <c r="Q147" s="291"/>
      <c r="R147" s="364"/>
      <c r="S147" s="291"/>
      <c r="T147" s="364"/>
      <c r="U147" s="291"/>
      <c r="V147" s="364"/>
      <c r="W147" s="291"/>
      <c r="X147" s="364"/>
      <c r="Y147" s="291"/>
      <c r="Z147" s="364"/>
      <c r="AA147" s="364"/>
      <c r="AB147" s="291"/>
      <c r="AC147" s="2007"/>
      <c r="AD147" s="264"/>
      <c r="AE147" s="264"/>
      <c r="AF147" s="264"/>
      <c r="AG147" s="264"/>
      <c r="AH147" s="699"/>
      <c r="AI147" s="423"/>
      <c r="AJ147" s="423"/>
      <c r="AK147" s="328"/>
    </row>
    <row r="148" spans="1:37">
      <c r="B148" s="63"/>
      <c r="C148" s="63"/>
      <c r="D148" s="63"/>
      <c r="E148" s="63"/>
      <c r="F148" s="63"/>
      <c r="G148" s="63"/>
      <c r="H148" s="63"/>
      <c r="I148" s="63"/>
      <c r="J148" s="42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row>
  </sheetData>
  <mergeCells count="1">
    <mergeCell ref="AB9:AK9"/>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90" min="1" max="36" man="1"/>
  </rowBreaks>
  <customProperties>
    <customPr name="SheetOptions" r:id="rId2"/>
  </customProperties>
  <ignoredErrors>
    <ignoredError sqref="AK134:AK135 AK122:AK123 AK125:AK132 AK18:AK22 AK94:AK95 AK107:AK112 AK70:AK71 AK86 AK97:AK98 AK55:AK59 AK61:AK62 AK34:AK35 AK38:AK42 AK67:AK68 AK115:AK117 AK25:AK31 AK100:AK105 AK46:AK51 AK65 AK119:AK120" unlockedFormula="1"/>
    <ignoredError sqref="AI21 D23 AK91 N23 P23 AK23 AK33 AK44 AK64 AK83 AK106" formula="1"/>
    <ignoredError sqref="AK80 AK73 AK78 AK75"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N128"/>
  <sheetViews>
    <sheetView showGridLines="0" zoomScale="70" zoomScaleNormal="70" workbookViewId="0"/>
  </sheetViews>
  <sheetFormatPr defaultColWidth="8.84375" defaultRowHeight="15.5"/>
  <cols>
    <col min="1" max="1" width="1.84375" style="4" customWidth="1"/>
    <col min="2" max="2" width="45.4609375" style="4" customWidth="1"/>
    <col min="3" max="3" width="1.84375" style="4" customWidth="1"/>
    <col min="4" max="4" width="12.4609375" style="4" bestFit="1" customWidth="1"/>
    <col min="5" max="5" width="1.84375" customWidth="1"/>
    <col min="6" max="6" width="12.07421875" style="4" bestFit="1" customWidth="1"/>
    <col min="7" max="7" width="1.84375" customWidth="1"/>
    <col min="8" max="8" width="13.4609375" style="4" customWidth="1"/>
    <col min="9" max="9" width="1.84375" customWidth="1"/>
    <col min="10" max="10" width="16.07421875" style="4" customWidth="1"/>
    <col min="11" max="11" width="1.84375" customWidth="1"/>
    <col min="12" max="12" width="13.4609375" style="4" customWidth="1"/>
    <col min="13" max="13" width="1.84375" customWidth="1"/>
    <col min="14" max="14" width="14.07421875" style="4" customWidth="1"/>
    <col min="15" max="15" width="1.84375" customWidth="1"/>
    <col min="16" max="16" width="14.07421875" style="4" customWidth="1"/>
    <col min="17" max="17" width="1.84375" customWidth="1"/>
    <col min="18" max="18" width="14.07421875" style="4" customWidth="1"/>
    <col min="19" max="19" width="1.84375" customWidth="1"/>
    <col min="20" max="20" width="14.07421875" style="4" customWidth="1"/>
    <col min="21" max="21" width="1.84375" customWidth="1"/>
    <col min="22" max="22" width="14.07421875" style="4" customWidth="1"/>
    <col min="23" max="23" width="1.84375" customWidth="1"/>
    <col min="24" max="24" width="14.07421875" style="4" customWidth="1"/>
    <col min="25" max="25" width="1.84375" customWidth="1"/>
    <col min="26" max="26" width="14.07421875" style="4" customWidth="1"/>
    <col min="27" max="27" width="1.84375" style="4" customWidth="1"/>
    <col min="28" max="28" width="14.07421875" style="4" customWidth="1"/>
    <col min="29" max="30" width="0.84375" style="4" customWidth="1"/>
    <col min="31" max="31" width="12.53515625" style="4" bestFit="1" customWidth="1"/>
    <col min="32" max="32" width="1.4609375" style="4" customWidth="1"/>
    <col min="33" max="33" width="1.07421875" style="4" customWidth="1"/>
    <col min="34" max="34" width="12.53515625" style="4" bestFit="1" customWidth="1"/>
    <col min="35" max="36" width="1.07421875" style="4" customWidth="1"/>
    <col min="37" max="37" width="12.84375" style="4" customWidth="1"/>
    <col min="38" max="38" width="0.84375" style="4" customWidth="1"/>
    <col min="39" max="39" width="13.4609375" style="364" customWidth="1"/>
    <col min="40" max="16384" width="8.84375" style="4"/>
  </cols>
  <sheetData>
    <row r="1" spans="1:40">
      <c r="A1" s="364"/>
      <c r="B1" s="284" t="s">
        <v>97</v>
      </c>
      <c r="C1" s="364"/>
      <c r="D1" s="364"/>
      <c r="F1" s="364"/>
      <c r="H1" s="364"/>
      <c r="J1" s="364"/>
      <c r="L1" s="364"/>
      <c r="N1" s="364"/>
      <c r="P1" s="364"/>
      <c r="R1" s="364"/>
      <c r="T1" s="364"/>
      <c r="V1" s="364"/>
      <c r="X1" s="364"/>
      <c r="Z1" s="364"/>
      <c r="AA1" s="364"/>
      <c r="AB1" s="364"/>
      <c r="AC1" s="364"/>
      <c r="AD1" s="364"/>
      <c r="AE1" s="364"/>
      <c r="AF1" s="364"/>
      <c r="AG1" s="364"/>
      <c r="AH1" s="364"/>
      <c r="AI1" s="364"/>
      <c r="AJ1" s="364"/>
      <c r="AK1" s="364"/>
      <c r="AL1" s="364"/>
      <c r="AN1" s="364"/>
    </row>
    <row r="2" spans="1:40">
      <c r="A2" s="364"/>
      <c r="B2" s="364"/>
      <c r="C2" s="364"/>
      <c r="D2" s="364"/>
      <c r="F2" s="364"/>
      <c r="H2" s="364"/>
      <c r="J2" s="364"/>
      <c r="L2" s="364"/>
      <c r="N2" s="3"/>
      <c r="P2" s="364"/>
      <c r="R2" s="364"/>
      <c r="T2" s="364"/>
      <c r="V2" s="364"/>
      <c r="X2" s="364"/>
      <c r="Z2" s="364"/>
      <c r="AA2" s="364"/>
      <c r="AB2" s="364"/>
      <c r="AC2" s="364"/>
      <c r="AD2" s="364"/>
      <c r="AE2" s="364"/>
      <c r="AF2" s="364"/>
      <c r="AG2" s="364"/>
      <c r="AH2" s="364"/>
      <c r="AI2" s="364"/>
      <c r="AJ2" s="364"/>
      <c r="AK2" s="364"/>
      <c r="AL2" s="364"/>
      <c r="AN2" s="364"/>
    </row>
    <row r="3" spans="1:40" ht="18">
      <c r="A3" s="364"/>
      <c r="B3" s="65" t="s">
        <v>98</v>
      </c>
      <c r="C3" s="364"/>
      <c r="D3" s="364"/>
      <c r="F3" s="364"/>
      <c r="H3" s="364"/>
      <c r="J3" s="364"/>
      <c r="L3" s="364"/>
      <c r="N3" s="3"/>
      <c r="P3" s="364"/>
      <c r="R3" s="364"/>
      <c r="T3" s="364"/>
      <c r="V3" s="364"/>
      <c r="X3" s="364"/>
      <c r="Z3" s="364"/>
      <c r="AA3" s="364"/>
      <c r="AB3" s="364"/>
      <c r="AC3" s="364"/>
      <c r="AD3" s="364"/>
      <c r="AE3" s="364"/>
      <c r="AF3" s="291"/>
      <c r="AG3" s="291"/>
      <c r="AH3" s="291"/>
      <c r="AI3" s="291"/>
      <c r="AJ3" s="291"/>
      <c r="AK3" s="291"/>
      <c r="AL3" s="291"/>
      <c r="AM3" s="106" t="s">
        <v>472</v>
      </c>
      <c r="AN3" s="364"/>
    </row>
    <row r="4" spans="1:40" ht="18">
      <c r="A4" s="364"/>
      <c r="B4" s="65" t="s">
        <v>473</v>
      </c>
      <c r="C4" s="364"/>
      <c r="D4" s="364"/>
      <c r="F4" s="364"/>
      <c r="H4" s="364"/>
      <c r="J4" s="364"/>
      <c r="L4" s="3"/>
      <c r="N4" s="364"/>
      <c r="P4" s="364"/>
      <c r="R4" s="364"/>
      <c r="T4" s="364"/>
      <c r="V4" s="364"/>
      <c r="X4" s="364"/>
      <c r="Z4" s="364"/>
      <c r="AA4" s="364"/>
      <c r="AB4" s="364"/>
      <c r="AC4" s="364"/>
      <c r="AD4" s="364"/>
      <c r="AE4" s="364"/>
      <c r="AF4" s="364"/>
      <c r="AG4" s="364"/>
      <c r="AH4" s="364"/>
      <c r="AI4" s="364"/>
      <c r="AJ4" s="364"/>
      <c r="AK4" s="364"/>
      <c r="AL4" s="364"/>
      <c r="AN4" s="364"/>
    </row>
    <row r="5" spans="1:40" ht="18">
      <c r="A5" s="364"/>
      <c r="B5" s="541" t="s">
        <v>444</v>
      </c>
      <c r="C5" s="364"/>
      <c r="D5" s="364"/>
      <c r="F5" s="364"/>
      <c r="H5" s="364"/>
      <c r="J5" s="364"/>
      <c r="L5" s="291"/>
      <c r="N5" s="364"/>
      <c r="P5" s="364"/>
      <c r="R5" s="364"/>
      <c r="T5" s="364"/>
      <c r="V5" s="364"/>
      <c r="X5" s="406"/>
      <c r="Z5" s="364"/>
      <c r="AA5" s="364"/>
      <c r="AB5" s="364"/>
      <c r="AC5" s="364"/>
      <c r="AD5" s="364"/>
      <c r="AE5" s="364"/>
      <c r="AF5" s="364"/>
      <c r="AG5" s="364"/>
      <c r="AH5" s="364"/>
      <c r="AI5" s="364"/>
      <c r="AJ5" s="364"/>
      <c r="AK5" s="364"/>
      <c r="AL5" s="364"/>
      <c r="AN5" s="364"/>
    </row>
    <row r="6" spans="1:40" ht="20">
      <c r="A6" s="364"/>
      <c r="B6" s="541" t="str">
        <f>'Cashflow Governmental'!A6</f>
        <v>FISCAL YEAR 2026-2027</v>
      </c>
      <c r="C6" s="364"/>
      <c r="D6" s="364"/>
      <c r="F6" s="364"/>
      <c r="H6" s="364"/>
      <c r="J6" s="364"/>
      <c r="L6" s="291"/>
      <c r="N6" s="364"/>
      <c r="P6" s="364"/>
      <c r="R6" s="364"/>
      <c r="T6" s="364" t="s">
        <v>103</v>
      </c>
      <c r="V6" s="364"/>
      <c r="X6" s="364"/>
      <c r="Z6" s="364"/>
      <c r="AA6" s="364"/>
      <c r="AB6" s="364"/>
      <c r="AC6" s="364"/>
      <c r="AD6" s="364"/>
      <c r="AE6" s="364"/>
      <c r="AF6" s="364"/>
      <c r="AG6" s="364"/>
      <c r="AH6" s="364"/>
      <c r="AI6" s="364"/>
      <c r="AJ6" s="364"/>
      <c r="AK6" s="364"/>
      <c r="AL6" s="364"/>
      <c r="AM6" s="852"/>
      <c r="AN6" s="364"/>
    </row>
    <row r="7" spans="1:40" ht="18">
      <c r="A7" s="364"/>
      <c r="B7" s="65" t="s">
        <v>474</v>
      </c>
      <c r="C7" s="364"/>
      <c r="D7" s="364"/>
      <c r="F7" s="364"/>
      <c r="H7" s="364"/>
      <c r="J7" s="364"/>
      <c r="L7" s="364"/>
      <c r="N7" s="364"/>
      <c r="P7" s="364"/>
      <c r="R7" s="364"/>
      <c r="T7" s="364"/>
      <c r="V7" s="364"/>
      <c r="X7" s="364"/>
      <c r="Z7" s="364"/>
      <c r="AA7" s="364"/>
      <c r="AB7" s="364"/>
      <c r="AC7" s="364"/>
      <c r="AD7" s="364"/>
      <c r="AE7" s="364"/>
      <c r="AF7" s="364"/>
      <c r="AG7" s="364"/>
      <c r="AH7" s="364"/>
      <c r="AI7" s="364"/>
      <c r="AJ7" s="291"/>
      <c r="AK7" s="291"/>
      <c r="AL7" s="291"/>
      <c r="AM7" s="291"/>
      <c r="AN7" s="364"/>
    </row>
    <row r="8" spans="1:40">
      <c r="A8" s="364"/>
      <c r="B8" s="364"/>
      <c r="C8" s="364"/>
      <c r="D8" s="364"/>
      <c r="F8" s="364"/>
      <c r="H8" s="364"/>
      <c r="J8" s="364"/>
      <c r="L8" s="291"/>
      <c r="N8" s="291"/>
      <c r="P8" s="364"/>
      <c r="R8" s="364"/>
      <c r="T8" s="364"/>
      <c r="V8" s="364"/>
      <c r="X8" s="364"/>
      <c r="Z8" s="364"/>
      <c r="AA8" s="364"/>
      <c r="AB8" s="364"/>
      <c r="AC8" s="364"/>
      <c r="AD8" s="291"/>
      <c r="AE8" s="291"/>
      <c r="AF8" s="291"/>
      <c r="AG8" s="291"/>
      <c r="AH8" s="291"/>
      <c r="AI8" s="291"/>
      <c r="AJ8" s="291"/>
      <c r="AK8" s="291"/>
      <c r="AL8" s="291"/>
      <c r="AM8" s="291"/>
      <c r="AN8" s="364"/>
    </row>
    <row r="9" spans="1:40" s="63" customFormat="1" ht="19.5" customHeight="1">
      <c r="D9" s="63" t="s">
        <v>103</v>
      </c>
      <c r="E9" s="266" t="s">
        <v>103</v>
      </c>
      <c r="G9"/>
      <c r="I9"/>
      <c r="K9"/>
      <c r="L9" s="71"/>
      <c r="M9"/>
      <c r="N9" s="71"/>
      <c r="O9"/>
      <c r="Q9"/>
      <c r="S9"/>
      <c r="U9"/>
      <c r="W9"/>
      <c r="Y9"/>
      <c r="AB9" s="52" t="s">
        <v>475</v>
      </c>
      <c r="AC9" s="52"/>
      <c r="AD9" s="2066" t="str">
        <f>'Cashflow Governmental'!$AB$12</f>
        <v>1 Month Ended April 30</v>
      </c>
      <c r="AE9" s="2066"/>
      <c r="AF9" s="2066"/>
      <c r="AG9" s="2066"/>
      <c r="AH9" s="2066"/>
      <c r="AI9" s="2066"/>
      <c r="AJ9" s="2066"/>
      <c r="AK9" s="2066"/>
      <c r="AL9" s="2066"/>
      <c r="AM9" s="2066"/>
    </row>
    <row r="10" spans="1:40">
      <c r="A10" s="364"/>
      <c r="B10" s="364"/>
      <c r="C10" s="364"/>
      <c r="D10" s="314" t="str">
        <f>'Cashflow Governmental'!C13</f>
        <v>2026</v>
      </c>
      <c r="F10" s="3"/>
      <c r="H10" s="3"/>
      <c r="J10" s="3"/>
      <c r="L10" s="3"/>
      <c r="N10" s="3"/>
      <c r="P10" s="3"/>
      <c r="R10" s="3"/>
      <c r="T10" s="3"/>
      <c r="V10" s="314">
        <f>'Cashflow Governmental'!U13</f>
        <v>2027</v>
      </c>
      <c r="X10" s="3"/>
      <c r="Z10" s="3"/>
      <c r="AA10" s="3"/>
      <c r="AB10" s="52" t="s">
        <v>476</v>
      </c>
      <c r="AC10" s="52"/>
      <c r="AD10" s="3"/>
      <c r="AE10" s="57"/>
      <c r="AF10" s="57"/>
      <c r="AG10" s="57"/>
      <c r="AH10" s="57"/>
      <c r="AI10" s="57"/>
      <c r="AJ10" s="57"/>
      <c r="AK10" s="319" t="s">
        <v>110</v>
      </c>
      <c r="AL10" s="57"/>
      <c r="AM10" s="320" t="s">
        <v>111</v>
      </c>
      <c r="AN10" s="57"/>
    </row>
    <row r="11" spans="1:40">
      <c r="A11" s="364"/>
      <c r="B11" s="364"/>
      <c r="C11" s="364"/>
      <c r="D11" s="52" t="s">
        <v>329</v>
      </c>
      <c r="F11" s="52" t="s">
        <v>330</v>
      </c>
      <c r="H11" s="52" t="s">
        <v>331</v>
      </c>
      <c r="J11" s="52" t="s">
        <v>332</v>
      </c>
      <c r="L11" s="1219" t="s">
        <v>333</v>
      </c>
      <c r="N11" s="52" t="s">
        <v>445</v>
      </c>
      <c r="P11" s="52" t="s">
        <v>446</v>
      </c>
      <c r="R11" s="52" t="s">
        <v>336</v>
      </c>
      <c r="T11" s="52" t="s">
        <v>337</v>
      </c>
      <c r="V11" s="52" t="s">
        <v>338</v>
      </c>
      <c r="X11" s="52" t="s">
        <v>339</v>
      </c>
      <c r="Z11" s="52" t="s">
        <v>447</v>
      </c>
      <c r="AA11" s="52"/>
      <c r="AB11" s="1219" t="s">
        <v>477</v>
      </c>
      <c r="AC11" s="52"/>
      <c r="AD11" s="3"/>
      <c r="AE11" s="314" t="str">
        <f>'Cashflow Governmental'!AB14</f>
        <v>2026</v>
      </c>
      <c r="AF11" s="3" t="s">
        <v>103</v>
      </c>
      <c r="AG11" s="57"/>
      <c r="AH11" s="314" t="str">
        <f>'Cashflow Governmental'!AE14</f>
        <v>2025</v>
      </c>
      <c r="AI11" s="314"/>
      <c r="AJ11" s="57"/>
      <c r="AK11" s="1221" t="s">
        <v>112</v>
      </c>
      <c r="AL11" s="57"/>
      <c r="AM11" s="1221" t="s">
        <v>113</v>
      </c>
      <c r="AN11" s="57"/>
    </row>
    <row r="12" spans="1:40" ht="5.25" customHeight="1">
      <c r="A12" s="364"/>
      <c r="B12" s="364"/>
      <c r="C12" s="364"/>
      <c r="D12" s="989"/>
      <c r="F12" s="989"/>
      <c r="H12" s="989"/>
      <c r="J12" s="989"/>
      <c r="L12" s="989"/>
      <c r="N12" s="989"/>
      <c r="P12" s="989"/>
      <c r="R12" s="989"/>
      <c r="T12" s="989"/>
      <c r="V12" s="989"/>
      <c r="X12" s="989"/>
      <c r="Z12" s="989"/>
      <c r="AA12" s="364"/>
      <c r="AB12" s="364"/>
      <c r="AC12" s="364"/>
      <c r="AD12" s="364"/>
      <c r="AE12" s="989"/>
      <c r="AF12" s="364"/>
      <c r="AG12" s="364"/>
      <c r="AH12" s="989"/>
      <c r="AI12" s="364"/>
      <c r="AJ12" s="364"/>
      <c r="AK12" s="364"/>
      <c r="AL12" s="364"/>
      <c r="AN12" s="364"/>
    </row>
    <row r="13" spans="1:40" ht="15" customHeight="1">
      <c r="A13" s="291"/>
      <c r="B13" s="1218" t="s">
        <v>478</v>
      </c>
      <c r="C13" s="291"/>
      <c r="D13" s="20">
        <f>'Exhibit G State'!D13+'Exhibit G Federal'!D13</f>
        <v>21208.6</v>
      </c>
      <c r="F13" s="20"/>
      <c r="G13" s="20"/>
      <c r="H13" s="20"/>
      <c r="J13" s="20"/>
      <c r="L13" s="20"/>
      <c r="N13" s="20"/>
      <c r="P13" s="20"/>
      <c r="R13" s="20"/>
      <c r="S13" s="20"/>
      <c r="T13" s="20"/>
      <c r="U13" s="20"/>
      <c r="V13" s="20"/>
      <c r="W13" s="20"/>
      <c r="X13" s="20"/>
      <c r="Y13" s="20"/>
      <c r="Z13" s="20"/>
      <c r="AA13" s="20"/>
      <c r="AB13" s="20">
        <v>0</v>
      </c>
      <c r="AC13" s="20"/>
      <c r="AD13" s="21"/>
      <c r="AE13" s="20">
        <f>D13</f>
        <v>21208.6</v>
      </c>
      <c r="AF13" s="20"/>
      <c r="AG13" s="21"/>
      <c r="AH13" s="82">
        <f>'Exhibit G State'!AF13+'Exhibit G Federal'!AF13</f>
        <v>18119.2</v>
      </c>
      <c r="AI13" s="73"/>
      <c r="AJ13" s="20"/>
      <c r="AK13" s="44">
        <f>AE13-AH13</f>
        <v>3089.3999999999978</v>
      </c>
      <c r="AL13" s="715"/>
      <c r="AM13" s="74">
        <f>(AE13-AH13)/AH13</f>
        <v>0.17050421652170061</v>
      </c>
      <c r="AN13" s="406"/>
    </row>
    <row r="14" spans="1:40" ht="15" customHeight="1">
      <c r="A14" s="291"/>
      <c r="B14" s="291"/>
      <c r="C14" s="291"/>
      <c r="D14" s="364"/>
      <c r="F14" s="364"/>
      <c r="G14" s="364"/>
      <c r="H14" s="364"/>
      <c r="J14" s="364"/>
      <c r="L14" s="364"/>
      <c r="N14" s="364"/>
      <c r="P14" s="364"/>
      <c r="R14" s="364"/>
      <c r="T14" s="364"/>
      <c r="V14" s="364"/>
      <c r="X14" s="364"/>
      <c r="Z14" s="364"/>
      <c r="AA14" s="364"/>
      <c r="AB14" s="364"/>
      <c r="AC14" s="364"/>
      <c r="AD14" s="1033"/>
      <c r="AE14" s="364"/>
      <c r="AF14" s="364"/>
      <c r="AG14" s="1033"/>
      <c r="AH14" s="364"/>
      <c r="AI14" s="1034"/>
      <c r="AJ14" s="364"/>
      <c r="AK14" s="364"/>
      <c r="AL14" s="364"/>
      <c r="AM14" s="283"/>
      <c r="AN14" s="406"/>
    </row>
    <row r="15" spans="1:40" ht="15" customHeight="1">
      <c r="A15" s="291"/>
      <c r="B15" s="3" t="s">
        <v>114</v>
      </c>
      <c r="C15" s="291"/>
      <c r="D15" s="264"/>
      <c r="F15" s="264"/>
      <c r="G15" s="264"/>
      <c r="H15" s="264"/>
      <c r="J15" s="264"/>
      <c r="L15" s="264"/>
      <c r="N15" s="264"/>
      <c r="P15" s="264"/>
      <c r="R15" s="264"/>
      <c r="T15" s="264"/>
      <c r="V15" s="264"/>
      <c r="X15" s="264"/>
      <c r="Z15" s="264"/>
      <c r="AA15" s="264"/>
      <c r="AB15" s="264"/>
      <c r="AC15" s="264"/>
      <c r="AD15" s="524"/>
      <c r="AE15" s="264"/>
      <c r="AF15" s="264"/>
      <c r="AG15" s="524"/>
      <c r="AH15" s="264"/>
      <c r="AI15" s="520"/>
      <c r="AJ15" s="264"/>
      <c r="AK15" s="264"/>
      <c r="AL15" s="364"/>
      <c r="AM15" s="283"/>
      <c r="AN15" s="406"/>
    </row>
    <row r="16" spans="1:40" ht="15" customHeight="1">
      <c r="A16" s="291"/>
      <c r="B16" s="1218" t="s">
        <v>342</v>
      </c>
      <c r="C16" s="291"/>
      <c r="D16" s="264"/>
      <c r="F16" s="264"/>
      <c r="G16" s="264"/>
      <c r="H16" s="264"/>
      <c r="J16" s="264"/>
      <c r="L16" s="264"/>
      <c r="N16" s="264"/>
      <c r="P16" s="264"/>
      <c r="R16" s="264"/>
      <c r="T16" s="264"/>
      <c r="V16" s="264"/>
      <c r="X16" s="264"/>
      <c r="Z16" s="264"/>
      <c r="AA16" s="264"/>
      <c r="AB16" s="264"/>
      <c r="AC16" s="264"/>
      <c r="AD16" s="524"/>
      <c r="AE16" s="264"/>
      <c r="AF16" s="264"/>
      <c r="AG16" s="524"/>
      <c r="AH16" s="264"/>
      <c r="AI16" s="520"/>
      <c r="AJ16" s="264"/>
      <c r="AK16" s="264"/>
      <c r="AL16" s="364"/>
      <c r="AM16" s="283"/>
      <c r="AN16" s="406"/>
    </row>
    <row r="17" spans="1:40" s="57" customFormat="1" ht="15" customHeight="1">
      <c r="A17" s="3"/>
      <c r="B17" s="413" t="s">
        <v>479</v>
      </c>
      <c r="C17" s="3"/>
      <c r="D17" s="264">
        <f>'Exhibit G State'!D17</f>
        <v>0</v>
      </c>
      <c r="E17" s="264"/>
      <c r="F17" s="264"/>
      <c r="G17" s="264"/>
      <c r="H17" s="264"/>
      <c r="I17"/>
      <c r="J17" s="264"/>
      <c r="K17"/>
      <c r="L17" s="264"/>
      <c r="M17"/>
      <c r="N17" s="264"/>
      <c r="O17"/>
      <c r="P17" s="264"/>
      <c r="Q17"/>
      <c r="R17" s="264"/>
      <c r="S17" s="264"/>
      <c r="T17" s="264"/>
      <c r="U17" s="264"/>
      <c r="V17" s="264"/>
      <c r="W17" s="264"/>
      <c r="X17" s="264"/>
      <c r="Y17" s="264"/>
      <c r="Z17" s="264"/>
      <c r="AA17" s="264"/>
      <c r="AB17" s="264">
        <v>0</v>
      </c>
      <c r="AC17" s="264"/>
      <c r="AD17" s="21"/>
      <c r="AE17" s="264">
        <f>ROUND(SUM(D17:Z17),1)</f>
        <v>0</v>
      </c>
      <c r="AF17" s="264"/>
      <c r="AG17" s="524"/>
      <c r="AH17" s="287">
        <f>'Exhibit G State'!AF17</f>
        <v>0</v>
      </c>
      <c r="AI17" s="520"/>
      <c r="AJ17" s="264"/>
      <c r="AK17" s="264">
        <f>ROUND(SUM(+AE17-AH17),1)</f>
        <v>0</v>
      </c>
      <c r="AL17" s="11"/>
      <c r="AM17" s="266">
        <f>ROUND(IF(AH17=0,0,AK17/ABS(AH17)),3)</f>
        <v>0</v>
      </c>
      <c r="AN17" s="406"/>
    </row>
    <row r="18" spans="1:40" s="57" customFormat="1" ht="6" customHeight="1">
      <c r="A18" s="3"/>
      <c r="B18" s="413"/>
      <c r="C18" s="3"/>
      <c r="D18" s="716"/>
      <c r="E18" s="716"/>
      <c r="F18" s="716"/>
      <c r="G18" s="716"/>
      <c r="H18" s="716"/>
      <c r="I18"/>
      <c r="J18" s="264"/>
      <c r="K18"/>
      <c r="L18" s="716"/>
      <c r="M18"/>
      <c r="N18" s="716"/>
      <c r="O18"/>
      <c r="P18" s="716"/>
      <c r="Q18"/>
      <c r="R18" s="716"/>
      <c r="S18" s="716"/>
      <c r="T18" s="716"/>
      <c r="U18" s="716"/>
      <c r="V18" s="264"/>
      <c r="W18"/>
      <c r="X18" s="264"/>
      <c r="Y18" s="716"/>
      <c r="Z18" s="716"/>
      <c r="AA18" s="716"/>
      <c r="AB18" s="20"/>
      <c r="AC18" s="20"/>
      <c r="AD18" s="21"/>
      <c r="AE18" s="274"/>
      <c r="AF18" s="274"/>
      <c r="AG18" s="432"/>
      <c r="AH18" s="276"/>
      <c r="AI18" s="888"/>
      <c r="AJ18" s="274"/>
      <c r="AK18" s="274"/>
      <c r="AL18" s="11"/>
      <c r="AM18" s="266"/>
      <c r="AN18" s="406"/>
    </row>
    <row r="19" spans="1:40" ht="15" customHeight="1">
      <c r="A19" s="291"/>
      <c r="B19" s="413" t="s">
        <v>354</v>
      </c>
      <c r="C19" s="291"/>
      <c r="D19" s="264"/>
      <c r="E19" s="264"/>
      <c r="F19" s="264"/>
      <c r="G19" s="264"/>
      <c r="H19" s="264"/>
      <c r="J19" s="264"/>
      <c r="L19" s="264"/>
      <c r="N19" s="264"/>
      <c r="P19" s="264"/>
      <c r="R19" s="264"/>
      <c r="S19" s="264"/>
      <c r="T19" s="264"/>
      <c r="U19" s="264"/>
      <c r="V19" s="264"/>
      <c r="X19" s="264"/>
      <c r="Y19" s="264"/>
      <c r="Z19" s="264"/>
      <c r="AA19" s="264"/>
      <c r="AB19" s="264"/>
      <c r="AC19" s="264"/>
      <c r="AD19" s="524"/>
      <c r="AE19" s="13"/>
      <c r="AF19" s="13"/>
      <c r="AG19" s="14"/>
      <c r="AH19" s="13"/>
      <c r="AI19" s="75"/>
      <c r="AJ19" s="13"/>
      <c r="AK19" s="13"/>
      <c r="AL19" s="57"/>
      <c r="AM19" s="74"/>
      <c r="AN19" s="406"/>
    </row>
    <row r="20" spans="1:40" ht="15" customHeight="1">
      <c r="A20" s="291"/>
      <c r="B20" s="422" t="s">
        <v>355</v>
      </c>
      <c r="C20" s="291"/>
      <c r="D20" s="264">
        <f>'Exhibit G State'!D20</f>
        <v>154.80000000000001</v>
      </c>
      <c r="E20" s="264"/>
      <c r="F20" s="264"/>
      <c r="G20" s="264"/>
      <c r="H20" s="264"/>
      <c r="J20" s="264"/>
      <c r="L20" s="264"/>
      <c r="N20" s="264"/>
      <c r="P20" s="264"/>
      <c r="R20" s="264"/>
      <c r="S20" s="264"/>
      <c r="T20" s="264"/>
      <c r="U20" s="264"/>
      <c r="V20" s="264"/>
      <c r="W20" s="264"/>
      <c r="X20" s="264"/>
      <c r="Y20" s="264"/>
      <c r="Z20" s="264"/>
      <c r="AA20" s="264"/>
      <c r="AB20" s="264">
        <v>0</v>
      </c>
      <c r="AC20" s="264"/>
      <c r="AD20" s="524"/>
      <c r="AE20" s="264">
        <f>ROUND(SUM(D20:Z20),1)</f>
        <v>154.80000000000001</v>
      </c>
      <c r="AF20" s="264"/>
      <c r="AG20" s="524"/>
      <c r="AH20" s="287">
        <f>'Exhibit G State'!AF20</f>
        <v>151.1</v>
      </c>
      <c r="AI20" s="520"/>
      <c r="AJ20" s="264"/>
      <c r="AK20" s="264">
        <f t="shared" ref="AK20:AK27" si="0">ROUND(SUM(+AE20-AH20),1)</f>
        <v>3.7</v>
      </c>
      <c r="AL20" s="11"/>
      <c r="AM20" s="266">
        <f t="shared" ref="AM20:AM26" si="1">ROUND(IF(AH20=0,0,AK20/ABS(AH20)),3)</f>
        <v>2.4E-2</v>
      </c>
      <c r="AN20" s="406"/>
    </row>
    <row r="21" spans="1:40" ht="15" customHeight="1">
      <c r="A21" s="291"/>
      <c r="B21" s="422" t="s">
        <v>356</v>
      </c>
      <c r="C21" s="291"/>
      <c r="D21" s="264">
        <f>'Exhibit G State'!D21</f>
        <v>1.7</v>
      </c>
      <c r="E21" s="264"/>
      <c r="F21" s="264"/>
      <c r="G21" s="264"/>
      <c r="H21" s="264"/>
      <c r="J21" s="264"/>
      <c r="L21" s="264"/>
      <c r="N21" s="264"/>
      <c r="P21" s="264"/>
      <c r="R21" s="264"/>
      <c r="S21" s="264"/>
      <c r="T21" s="264"/>
      <c r="U21" s="264"/>
      <c r="V21" s="264"/>
      <c r="W21" s="264"/>
      <c r="X21" s="264"/>
      <c r="Y21" s="264"/>
      <c r="Z21" s="264"/>
      <c r="AA21" s="264"/>
      <c r="AB21" s="264">
        <v>0</v>
      </c>
      <c r="AC21" s="264"/>
      <c r="AD21" s="524"/>
      <c r="AE21" s="264">
        <f>ROUND(SUM(D21:Z21),1)</f>
        <v>1.7</v>
      </c>
      <c r="AF21" s="264"/>
      <c r="AG21" s="524"/>
      <c r="AH21" s="287">
        <f>'Exhibit G State'!AF21</f>
        <v>5.0999999999999996</v>
      </c>
      <c r="AI21" s="520"/>
      <c r="AJ21" s="264"/>
      <c r="AK21" s="264">
        <f t="shared" si="0"/>
        <v>-3.4</v>
      </c>
      <c r="AL21" s="11"/>
      <c r="AM21" s="543">
        <f>ROUND(IF(AH21=0,1,AK21/ABS(AH21)),3)</f>
        <v>-0.66700000000000004</v>
      </c>
      <c r="AN21" s="406"/>
    </row>
    <row r="22" spans="1:40" ht="15" customHeight="1">
      <c r="A22" s="291"/>
      <c r="B22" s="422" t="s">
        <v>357</v>
      </c>
      <c r="C22" s="291"/>
      <c r="D22" s="264">
        <f>'Exhibit G State'!D22</f>
        <v>52.9</v>
      </c>
      <c r="E22" s="264"/>
      <c r="F22" s="264"/>
      <c r="G22" s="264"/>
      <c r="H22" s="264"/>
      <c r="J22" s="264"/>
      <c r="L22" s="264"/>
      <c r="N22" s="264"/>
      <c r="P22" s="264"/>
      <c r="R22" s="264"/>
      <c r="S22" s="264"/>
      <c r="T22" s="264"/>
      <c r="U22" s="264"/>
      <c r="V22" s="264"/>
      <c r="W22" s="264"/>
      <c r="X22" s="264"/>
      <c r="Y22" s="264"/>
      <c r="Z22" s="264"/>
      <c r="AA22" s="264"/>
      <c r="AB22" s="264">
        <v>0</v>
      </c>
      <c r="AC22" s="264"/>
      <c r="AD22" s="524"/>
      <c r="AE22" s="264">
        <f>ROUND(SUM(D22:Z22),1)</f>
        <v>52.9</v>
      </c>
      <c r="AF22" s="264"/>
      <c r="AG22" s="524"/>
      <c r="AH22" s="287">
        <f>'Exhibit G State'!AF22</f>
        <v>56.7</v>
      </c>
      <c r="AI22" s="520"/>
      <c r="AJ22" s="264"/>
      <c r="AK22" s="264">
        <f t="shared" si="0"/>
        <v>-3.8</v>
      </c>
      <c r="AL22" s="11"/>
      <c r="AM22" s="266">
        <f t="shared" si="1"/>
        <v>-6.7000000000000004E-2</v>
      </c>
      <c r="AN22" s="406"/>
    </row>
    <row r="23" spans="1:40" ht="15" customHeight="1">
      <c r="A23" s="291"/>
      <c r="B23" s="284" t="s">
        <v>436</v>
      </c>
      <c r="C23" s="291"/>
      <c r="D23" s="264">
        <f>'Exhibit G State'!D23</f>
        <v>4.4000000000000004</v>
      </c>
      <c r="E23" s="264"/>
      <c r="F23" s="264"/>
      <c r="G23" s="264"/>
      <c r="H23" s="264"/>
      <c r="J23" s="264"/>
      <c r="L23" s="264"/>
      <c r="N23" s="264"/>
      <c r="P23" s="264"/>
      <c r="R23" s="264"/>
      <c r="S23" s="264"/>
      <c r="T23" s="264"/>
      <c r="U23" s="264"/>
      <c r="V23" s="264"/>
      <c r="W23" s="264"/>
      <c r="X23" s="264"/>
      <c r="Y23" s="264"/>
      <c r="Z23" s="264"/>
      <c r="AA23" s="264"/>
      <c r="AB23" s="264">
        <v>0</v>
      </c>
      <c r="AC23" s="264"/>
      <c r="AD23" s="524"/>
      <c r="AE23" s="264">
        <f t="shared" ref="AE23:AE27" si="2">ROUND(SUM(D23:Z23),1)</f>
        <v>4.4000000000000004</v>
      </c>
      <c r="AF23" s="264"/>
      <c r="AG23" s="524"/>
      <c r="AH23" s="287">
        <f>'Exhibit G State'!AF23</f>
        <v>-3.3</v>
      </c>
      <c r="AI23" s="520"/>
      <c r="AJ23" s="264"/>
      <c r="AK23" s="264">
        <f>ROUND(SUM(+AE23-AH23),1)</f>
        <v>7.7</v>
      </c>
      <c r="AL23" s="11"/>
      <c r="AM23" s="266">
        <f>ROUND(IF(AH23=0,1,AK23/ABS(AH23)),3)</f>
        <v>2.3330000000000002</v>
      </c>
      <c r="AN23" s="406"/>
    </row>
    <row r="24" spans="1:40" ht="15" customHeight="1">
      <c r="A24" s="291"/>
      <c r="B24" s="422" t="s">
        <v>359</v>
      </c>
      <c r="C24" s="291"/>
      <c r="D24" s="264">
        <f>'Exhibit G State'!D24</f>
        <v>7.8</v>
      </c>
      <c r="E24" s="264"/>
      <c r="F24" s="264"/>
      <c r="G24" s="264"/>
      <c r="H24" s="264"/>
      <c r="J24" s="264"/>
      <c r="L24" s="264"/>
      <c r="N24" s="264"/>
      <c r="P24" s="264"/>
      <c r="R24" s="264"/>
      <c r="S24" s="264"/>
      <c r="T24" s="264"/>
      <c r="U24" s="264"/>
      <c r="V24" s="264"/>
      <c r="W24" s="264"/>
      <c r="X24" s="264"/>
      <c r="Y24" s="264"/>
      <c r="Z24" s="264"/>
      <c r="AA24" s="264"/>
      <c r="AB24" s="264">
        <v>0</v>
      </c>
      <c r="AC24" s="264"/>
      <c r="AD24" s="524"/>
      <c r="AE24" s="264">
        <f>ROUND(SUM(D24:Z24),1)</f>
        <v>7.8</v>
      </c>
      <c r="AF24" s="264"/>
      <c r="AG24" s="524"/>
      <c r="AH24" s="287">
        <f>'Exhibit G State'!AF24</f>
        <v>7.6</v>
      </c>
      <c r="AI24" s="520"/>
      <c r="AJ24" s="264"/>
      <c r="AK24" s="264">
        <f t="shared" si="0"/>
        <v>0.2</v>
      </c>
      <c r="AL24" s="11"/>
      <c r="AM24" s="266">
        <f t="shared" si="1"/>
        <v>2.5999999999999999E-2</v>
      </c>
      <c r="AN24" s="406"/>
    </row>
    <row r="25" spans="1:40" ht="15" customHeight="1">
      <c r="A25" s="291"/>
      <c r="B25" s="422" t="s">
        <v>360</v>
      </c>
      <c r="C25" s="291"/>
      <c r="D25" s="264">
        <f>'Exhibit G State'!D25</f>
        <v>0</v>
      </c>
      <c r="E25" s="264"/>
      <c r="F25" s="264"/>
      <c r="G25" s="264"/>
      <c r="H25" s="264"/>
      <c r="J25" s="264"/>
      <c r="L25" s="264"/>
      <c r="N25" s="264"/>
      <c r="P25" s="264"/>
      <c r="R25" s="264"/>
      <c r="S25" s="264"/>
      <c r="T25" s="264"/>
      <c r="U25" s="264"/>
      <c r="V25" s="264"/>
      <c r="W25" s="264"/>
      <c r="X25" s="264"/>
      <c r="Y25" s="264"/>
      <c r="Z25" s="264"/>
      <c r="AA25" s="264"/>
      <c r="AB25" s="264">
        <v>0</v>
      </c>
      <c r="AC25" s="264"/>
      <c r="AD25" s="524"/>
      <c r="AE25" s="264">
        <f>ROUND(SUM(D25:Z25),1)</f>
        <v>0</v>
      </c>
      <c r="AF25" s="264"/>
      <c r="AG25" s="524"/>
      <c r="AH25" s="287">
        <f>'Exhibit G State'!AF25</f>
        <v>-0.2</v>
      </c>
      <c r="AI25" s="520"/>
      <c r="AJ25" s="264"/>
      <c r="AK25" s="264">
        <f t="shared" ref="AK25" si="3">ROUND(SUM(+AE25-AH25),1)</f>
        <v>0.2</v>
      </c>
      <c r="AL25" s="11"/>
      <c r="AM25" s="266">
        <f>ROUND(IF(AH25=0,1,(AK25)/ABS(AH25)),3)</f>
        <v>1</v>
      </c>
      <c r="AN25" s="406"/>
    </row>
    <row r="26" spans="1:40" ht="15" customHeight="1">
      <c r="A26" s="291"/>
      <c r="B26" s="422" t="s">
        <v>361</v>
      </c>
      <c r="C26" s="291"/>
      <c r="D26" s="264">
        <f>'Exhibit G State'!D26</f>
        <v>0</v>
      </c>
      <c r="E26" s="264"/>
      <c r="F26" s="264"/>
      <c r="G26" s="264"/>
      <c r="H26" s="264"/>
      <c r="J26" s="264"/>
      <c r="L26" s="264"/>
      <c r="N26" s="264"/>
      <c r="P26" s="264"/>
      <c r="R26" s="264"/>
      <c r="S26" s="264"/>
      <c r="T26" s="264"/>
      <c r="U26" s="264"/>
      <c r="V26" s="264"/>
      <c r="W26" s="264"/>
      <c r="X26" s="264"/>
      <c r="Y26" s="264"/>
      <c r="Z26" s="264"/>
      <c r="AA26" s="264"/>
      <c r="AB26" s="264">
        <v>0</v>
      </c>
      <c r="AC26" s="264"/>
      <c r="AD26" s="524"/>
      <c r="AE26" s="264">
        <f t="shared" si="2"/>
        <v>0</v>
      </c>
      <c r="AF26" s="264"/>
      <c r="AG26" s="524"/>
      <c r="AH26" s="287">
        <f>'Exhibit G State'!AF26</f>
        <v>0</v>
      </c>
      <c r="AI26" s="520"/>
      <c r="AJ26" s="264"/>
      <c r="AK26" s="264">
        <f t="shared" si="0"/>
        <v>0</v>
      </c>
      <c r="AL26" s="11"/>
      <c r="AM26" s="266">
        <f t="shared" si="1"/>
        <v>0</v>
      </c>
      <c r="AN26" s="406"/>
    </row>
    <row r="27" spans="1:40" ht="15" customHeight="1">
      <c r="A27" s="291"/>
      <c r="B27" s="422" t="s">
        <v>362</v>
      </c>
      <c r="C27" s="291"/>
      <c r="D27" s="264">
        <f>'Exhibit G State'!D27</f>
        <v>0</v>
      </c>
      <c r="E27" s="264"/>
      <c r="F27" s="264"/>
      <c r="G27" s="264"/>
      <c r="H27" s="264"/>
      <c r="J27" s="264"/>
      <c r="L27" s="264"/>
      <c r="N27" s="264"/>
      <c r="P27" s="264"/>
      <c r="R27" s="264"/>
      <c r="S27" s="264"/>
      <c r="T27" s="264"/>
      <c r="U27" s="264"/>
      <c r="V27" s="264"/>
      <c r="W27" s="264"/>
      <c r="X27" s="264"/>
      <c r="Y27" s="264"/>
      <c r="Z27" s="264"/>
      <c r="AA27" s="264"/>
      <c r="AB27" s="264">
        <v>0</v>
      </c>
      <c r="AC27" s="264"/>
      <c r="AD27" s="524"/>
      <c r="AE27" s="264">
        <f t="shared" si="2"/>
        <v>0</v>
      </c>
      <c r="AF27" s="264"/>
      <c r="AG27" s="524"/>
      <c r="AH27" s="287">
        <f>'Exhibit G State'!AF27</f>
        <v>0.1</v>
      </c>
      <c r="AI27" s="520"/>
      <c r="AJ27" s="264"/>
      <c r="AK27" s="264">
        <f t="shared" si="0"/>
        <v>-0.1</v>
      </c>
      <c r="AL27" s="11"/>
      <c r="AM27" s="543">
        <f>ROUND(IF(AH27=0,1,AK27/ABS(AH27)),3)</f>
        <v>-1</v>
      </c>
      <c r="AN27" s="406"/>
    </row>
    <row r="28" spans="1:40" ht="15" customHeight="1">
      <c r="A28" s="291"/>
      <c r="B28" s="284" t="s">
        <v>437</v>
      </c>
      <c r="C28" s="291"/>
      <c r="D28" s="264">
        <f>'Exhibit G State'!D28</f>
        <v>0.3</v>
      </c>
      <c r="E28" s="264"/>
      <c r="F28" s="264"/>
      <c r="G28" s="264"/>
      <c r="H28" s="264"/>
      <c r="J28" s="264"/>
      <c r="L28" s="264"/>
      <c r="N28" s="264"/>
      <c r="P28" s="264"/>
      <c r="R28" s="264"/>
      <c r="S28" s="264"/>
      <c r="T28" s="264"/>
      <c r="U28" s="264"/>
      <c r="V28" s="264"/>
      <c r="W28" s="264"/>
      <c r="X28" s="264"/>
      <c r="Y28" s="264"/>
      <c r="Z28" s="264"/>
      <c r="AA28" s="264"/>
      <c r="AB28" s="264">
        <v>0</v>
      </c>
      <c r="AC28" s="264"/>
      <c r="AD28" s="524"/>
      <c r="AE28" s="264">
        <f t="shared" ref="AE28" si="4">ROUND(SUM(D28:Z28),1)</f>
        <v>0.3</v>
      </c>
      <c r="AF28" s="264"/>
      <c r="AG28" s="524"/>
      <c r="AH28" s="287">
        <f>'Exhibit G State'!AF28</f>
        <v>0.2</v>
      </c>
      <c r="AI28" s="520"/>
      <c r="AJ28" s="264"/>
      <c r="AK28" s="264">
        <f t="shared" ref="AK28" si="5">ROUND(SUM(+AE28-AH28),1)</f>
        <v>0.1</v>
      </c>
      <c r="AL28" s="11"/>
      <c r="AM28" s="543">
        <f>ROUND(IF(AH28=0,1,AK28/ABS(AH28)),3)</f>
        <v>0.5</v>
      </c>
      <c r="AN28" s="406"/>
    </row>
    <row r="29" spans="1:40" s="57" customFormat="1" ht="15" customHeight="1">
      <c r="A29" s="3"/>
      <c r="B29" s="3" t="s">
        <v>480</v>
      </c>
      <c r="C29" s="3"/>
      <c r="D29" s="674">
        <f>ROUND(SUM(D20:D28),1)</f>
        <v>221.9</v>
      </c>
      <c r="E29"/>
      <c r="F29" s="674">
        <f>ROUND(SUM(F20:F28),1)</f>
        <v>0</v>
      </c>
      <c r="G29"/>
      <c r="H29" s="674">
        <f>ROUND(SUM(H20:H28),1)</f>
        <v>0</v>
      </c>
      <c r="I29"/>
      <c r="J29" s="674">
        <f>ROUND(SUM(J20:J28),1)</f>
        <v>0</v>
      </c>
      <c r="K29"/>
      <c r="L29" s="674">
        <f>ROUND(SUM(L20:L28),1)</f>
        <v>0</v>
      </c>
      <c r="M29"/>
      <c r="N29" s="674">
        <f>ROUND(SUM(N20:N28),1)</f>
        <v>0</v>
      </c>
      <c r="O29"/>
      <c r="P29" s="674">
        <f>ROUND(SUM(P20:P28),1)</f>
        <v>0</v>
      </c>
      <c r="Q29"/>
      <c r="R29" s="674">
        <f>ROUND(SUM(R20:R28),1)</f>
        <v>0</v>
      </c>
      <c r="S29"/>
      <c r="T29" s="674">
        <f>ROUND(SUM(T20:T28),1)</f>
        <v>0</v>
      </c>
      <c r="U29"/>
      <c r="V29" s="674">
        <f>ROUND(SUM(V20:V28),1)</f>
        <v>0</v>
      </c>
      <c r="W29"/>
      <c r="X29" s="674">
        <f>ROUND(SUM(X20:X28),1)</f>
        <v>0</v>
      </c>
      <c r="Y29"/>
      <c r="Z29" s="674">
        <f>ROUND(SUM(Z20:Z28),1)</f>
        <v>0</v>
      </c>
      <c r="AA29" s="13"/>
      <c r="AB29" s="674">
        <f>ROUND(SUM(AB20:AB28),1)</f>
        <v>0</v>
      </c>
      <c r="AC29" s="13"/>
      <c r="AD29" s="14"/>
      <c r="AE29" s="674">
        <f>ROUND(SUM(AE20:AE28),1)</f>
        <v>221.9</v>
      </c>
      <c r="AF29" s="13"/>
      <c r="AG29" s="14"/>
      <c r="AH29" s="674">
        <f>ROUND(SUM(AH20:AH28),1)</f>
        <v>217.3</v>
      </c>
      <c r="AI29" s="75"/>
      <c r="AJ29" s="13"/>
      <c r="AK29" s="674">
        <f>ROUND(SUM(AK20:AK28),1)</f>
        <v>4.5999999999999996</v>
      </c>
      <c r="AM29" s="924">
        <f>ROUND(SUM(+AK29/AH29),3)</f>
        <v>2.1000000000000001E-2</v>
      </c>
      <c r="AN29" s="406"/>
    </row>
    <row r="30" spans="1:40" ht="15" customHeight="1">
      <c r="A30" s="291"/>
      <c r="B30" s="413" t="s">
        <v>366</v>
      </c>
      <c r="C30" s="291"/>
      <c r="D30" s="264"/>
      <c r="F30" s="264"/>
      <c r="H30" s="264"/>
      <c r="J30" s="264"/>
      <c r="L30" s="264"/>
      <c r="N30" s="264"/>
      <c r="P30" s="264"/>
      <c r="R30" s="264"/>
      <c r="T30" s="264"/>
      <c r="V30" s="264"/>
      <c r="X30" s="264"/>
      <c r="Z30" s="264"/>
      <c r="AA30" s="264"/>
      <c r="AB30" s="264"/>
      <c r="AC30" s="264"/>
      <c r="AD30" s="524"/>
      <c r="AE30" s="264"/>
      <c r="AF30" s="264"/>
      <c r="AG30" s="524"/>
      <c r="AH30" s="264"/>
      <c r="AI30" s="520"/>
      <c r="AJ30" s="264"/>
      <c r="AK30" s="264"/>
      <c r="AL30" s="364"/>
      <c r="AM30" s="283"/>
      <c r="AN30" s="406"/>
    </row>
    <row r="31" spans="1:40" ht="15" customHeight="1">
      <c r="A31" s="291"/>
      <c r="B31" s="422" t="s">
        <v>367</v>
      </c>
      <c r="C31" s="291"/>
      <c r="D31" s="264">
        <f>'Exhibit G State'!D31</f>
        <v>299.2</v>
      </c>
      <c r="E31" s="264"/>
      <c r="F31" s="264"/>
      <c r="G31" s="264"/>
      <c r="H31" s="264"/>
      <c r="J31" s="264"/>
      <c r="L31" s="264"/>
      <c r="N31" s="264"/>
      <c r="P31" s="264"/>
      <c r="R31" s="264"/>
      <c r="S31" s="264"/>
      <c r="T31" s="264"/>
      <c r="U31" s="264"/>
      <c r="V31" s="264"/>
      <c r="W31" s="264"/>
      <c r="X31" s="264"/>
      <c r="Y31" s="264"/>
      <c r="Z31" s="264"/>
      <c r="AA31" s="264"/>
      <c r="AB31" s="264">
        <v>0</v>
      </c>
      <c r="AC31" s="264"/>
      <c r="AD31" s="524"/>
      <c r="AE31" s="264">
        <f>ROUND(SUM(D31:Z31),1)</f>
        <v>299.2</v>
      </c>
      <c r="AF31" s="264"/>
      <c r="AG31" s="524"/>
      <c r="AH31" s="264">
        <f>'Exhibit G State'!AF31</f>
        <v>226.7</v>
      </c>
      <c r="AI31" s="520"/>
      <c r="AJ31" s="264"/>
      <c r="AK31" s="264">
        <f>ROUND(SUM(+AE31-AH31),1)</f>
        <v>72.5</v>
      </c>
      <c r="AL31" s="11"/>
      <c r="AM31" s="266">
        <f>ROUND(IF(AH31=0,0,AK31/ABS(AH31)),3)</f>
        <v>0.32</v>
      </c>
      <c r="AN31" s="406"/>
    </row>
    <row r="32" spans="1:40" ht="15" customHeight="1">
      <c r="A32" s="291"/>
      <c r="B32" s="422" t="s">
        <v>368</v>
      </c>
      <c r="C32" s="291"/>
      <c r="D32" s="264">
        <f>'Exhibit G State'!D32</f>
        <v>15.4</v>
      </c>
      <c r="E32" s="264"/>
      <c r="F32" s="264"/>
      <c r="G32" s="264"/>
      <c r="H32" s="264"/>
      <c r="J32" s="264"/>
      <c r="L32" s="264"/>
      <c r="N32" s="264"/>
      <c r="P32" s="264"/>
      <c r="R32" s="264"/>
      <c r="S32" s="264"/>
      <c r="T32" s="264"/>
      <c r="U32" s="264"/>
      <c r="V32" s="264"/>
      <c r="W32" s="264"/>
      <c r="X32" s="264"/>
      <c r="Y32" s="264"/>
      <c r="Z32" s="264"/>
      <c r="AA32" s="264"/>
      <c r="AB32" s="264">
        <v>0</v>
      </c>
      <c r="AC32" s="264"/>
      <c r="AD32" s="524"/>
      <c r="AE32" s="264">
        <f>ROUND(SUM(D32:Z32),1)</f>
        <v>15.4</v>
      </c>
      <c r="AF32" s="264"/>
      <c r="AG32" s="524"/>
      <c r="AH32" s="264">
        <f>'Exhibit G State'!AF32</f>
        <v>19.399999999999999</v>
      </c>
      <c r="AI32" s="520"/>
      <c r="AJ32" s="264"/>
      <c r="AK32" s="264">
        <f>ROUND(SUM(+AE32-AH32),1)</f>
        <v>-4</v>
      </c>
      <c r="AL32" s="11"/>
      <c r="AM32" s="266">
        <f>ROUND(IF(AH32=0,0,AK32/ABS(AH32)),3)</f>
        <v>-0.20599999999999999</v>
      </c>
      <c r="AN32" s="406"/>
    </row>
    <row r="33" spans="1:40" ht="15" customHeight="1">
      <c r="A33" s="291"/>
      <c r="B33" s="422" t="s">
        <v>369</v>
      </c>
      <c r="C33" s="291"/>
      <c r="D33" s="264">
        <f>'Exhibit G State'!D33</f>
        <v>3.9</v>
      </c>
      <c r="E33" s="264"/>
      <c r="F33" s="264"/>
      <c r="G33" s="264"/>
      <c r="H33" s="264"/>
      <c r="J33" s="264"/>
      <c r="L33" s="264"/>
      <c r="N33" s="264"/>
      <c r="P33" s="264"/>
      <c r="R33" s="264"/>
      <c r="S33" s="264"/>
      <c r="T33" s="264"/>
      <c r="U33" s="264"/>
      <c r="V33" s="264"/>
      <c r="W33" s="264"/>
      <c r="X33" s="264"/>
      <c r="Y33" s="264"/>
      <c r="Z33" s="264"/>
      <c r="AA33" s="264"/>
      <c r="AB33" s="264">
        <v>0</v>
      </c>
      <c r="AC33" s="264"/>
      <c r="AD33" s="524"/>
      <c r="AE33" s="264">
        <f>ROUND(SUM(D33:Z33),1)</f>
        <v>3.9</v>
      </c>
      <c r="AF33" s="264"/>
      <c r="AG33" s="524"/>
      <c r="AH33" s="264">
        <f>'Exhibit G State'!AF33</f>
        <v>6.2</v>
      </c>
      <c r="AI33" s="520"/>
      <c r="AJ33" s="264"/>
      <c r="AK33" s="264">
        <f>ROUND(SUM(+AE33-AH33),1)</f>
        <v>-2.2999999999999998</v>
      </c>
      <c r="AL33" s="11"/>
      <c r="AM33" s="543">
        <f>ROUND(IF(AH33=0,0,AK33/ABS(AH33)),3)</f>
        <v>-0.371</v>
      </c>
      <c r="AN33" s="406"/>
    </row>
    <row r="34" spans="1:40" ht="15" customHeight="1">
      <c r="A34" s="291"/>
      <c r="B34" s="422" t="s">
        <v>370</v>
      </c>
      <c r="C34" s="291"/>
      <c r="D34" s="264">
        <f>'Exhibit G State'!D34</f>
        <v>-0.8</v>
      </c>
      <c r="E34" s="264"/>
      <c r="F34" s="264"/>
      <c r="G34" s="264"/>
      <c r="H34" s="264"/>
      <c r="J34" s="264"/>
      <c r="L34" s="264"/>
      <c r="N34" s="264"/>
      <c r="P34" s="264"/>
      <c r="R34" s="264"/>
      <c r="S34" s="264"/>
      <c r="T34" s="264"/>
      <c r="U34" s="264"/>
      <c r="V34" s="264"/>
      <c r="W34" s="264"/>
      <c r="X34" s="264"/>
      <c r="Y34" s="264"/>
      <c r="Z34" s="264"/>
      <c r="AA34" s="264"/>
      <c r="AB34" s="264">
        <v>0</v>
      </c>
      <c r="AC34" s="264"/>
      <c r="AD34" s="524"/>
      <c r="AE34" s="264">
        <f>ROUND(SUM(D34:Z34),1)</f>
        <v>-0.8</v>
      </c>
      <c r="AF34" s="264"/>
      <c r="AG34" s="524"/>
      <c r="AH34" s="264">
        <f>'Exhibit G State'!AF34</f>
        <v>-0.8</v>
      </c>
      <c r="AI34" s="520"/>
      <c r="AJ34" s="264"/>
      <c r="AK34" s="264">
        <f>ROUND(SUM(+AE34-AH34),1)</f>
        <v>0</v>
      </c>
      <c r="AL34" s="11"/>
      <c r="AM34" s="543">
        <f>ROUND(IF(AH34=0,1,AK34/ABS(AH34)),3)</f>
        <v>0</v>
      </c>
      <c r="AN34" s="406"/>
    </row>
    <row r="35" spans="1:40" ht="15" customHeight="1">
      <c r="A35" s="291"/>
      <c r="B35" s="422" t="s">
        <v>372</v>
      </c>
      <c r="C35" s="291"/>
      <c r="D35" s="264">
        <f>'Exhibit G State'!D35</f>
        <v>32.700000000000003</v>
      </c>
      <c r="E35" s="264"/>
      <c r="F35" s="264"/>
      <c r="G35" s="264"/>
      <c r="H35" s="264"/>
      <c r="J35" s="264"/>
      <c r="L35" s="264"/>
      <c r="N35" s="264"/>
      <c r="P35" s="264"/>
      <c r="R35" s="264"/>
      <c r="S35" s="264"/>
      <c r="T35" s="264"/>
      <c r="U35" s="264"/>
      <c r="V35" s="264"/>
      <c r="W35" s="264"/>
      <c r="X35" s="264"/>
      <c r="Y35" s="264"/>
      <c r="Z35" s="264"/>
      <c r="AA35" s="264"/>
      <c r="AB35" s="264">
        <v>0</v>
      </c>
      <c r="AC35" s="264"/>
      <c r="AD35" s="524"/>
      <c r="AE35" s="264">
        <f>ROUND(SUM(D35:Z35),1)</f>
        <v>32.700000000000003</v>
      </c>
      <c r="AF35" s="264"/>
      <c r="AG35" s="524"/>
      <c r="AH35" s="264">
        <f>'Exhibit G State'!AF35</f>
        <v>34.4</v>
      </c>
      <c r="AI35" s="520"/>
      <c r="AJ35" s="264"/>
      <c r="AK35" s="264">
        <f>ROUND(SUM(+AE35-AH35),1)</f>
        <v>-1.7</v>
      </c>
      <c r="AL35" s="11"/>
      <c r="AM35" s="266">
        <f>ROUND(IF(AH35=0,0,AK35/ABS(AH35)),3)</f>
        <v>-4.9000000000000002E-2</v>
      </c>
      <c r="AN35" s="406"/>
    </row>
    <row r="36" spans="1:40" s="57" customFormat="1" ht="15" customHeight="1">
      <c r="A36" s="3"/>
      <c r="B36" s="3" t="s">
        <v>481</v>
      </c>
      <c r="C36" s="3"/>
      <c r="D36" s="674">
        <f t="shared" ref="D36:F36" si="6">ROUND(SUM(D31:D35),1)</f>
        <v>350.4</v>
      </c>
      <c r="E36"/>
      <c r="F36" s="674">
        <f t="shared" si="6"/>
        <v>0</v>
      </c>
      <c r="G36"/>
      <c r="H36" s="674">
        <f>ROUND(SUM(H31:H35),1)</f>
        <v>0</v>
      </c>
      <c r="I36"/>
      <c r="J36" s="674">
        <f>ROUND(SUM(J31:J35),1)</f>
        <v>0</v>
      </c>
      <c r="K36"/>
      <c r="L36" s="674">
        <f>ROUND(SUM(L31:L35),1)</f>
        <v>0</v>
      </c>
      <c r="M36"/>
      <c r="N36" s="674">
        <f>ROUND(SUM(N31:N35),1)</f>
        <v>0</v>
      </c>
      <c r="O36"/>
      <c r="P36" s="674">
        <f>ROUND(SUM(P31:P35),1)</f>
        <v>0</v>
      </c>
      <c r="Q36"/>
      <c r="R36" s="674">
        <f>ROUND(SUM(R31:R35),1)</f>
        <v>0</v>
      </c>
      <c r="S36"/>
      <c r="T36" s="674">
        <f>ROUND(SUM(T31:T35),1)</f>
        <v>0</v>
      </c>
      <c r="U36"/>
      <c r="V36" s="674">
        <f>ROUND(SUM(V31:V35),1)</f>
        <v>0</v>
      </c>
      <c r="W36"/>
      <c r="X36" s="674">
        <f>ROUND(SUM(X31:X35),1)</f>
        <v>0</v>
      </c>
      <c r="Y36"/>
      <c r="Z36" s="674">
        <f>ROUND(SUM(Z31:Z35),1)</f>
        <v>0</v>
      </c>
      <c r="AA36" s="13"/>
      <c r="AB36" s="674">
        <f>SUM(AB31:AB35)</f>
        <v>0</v>
      </c>
      <c r="AC36" s="13"/>
      <c r="AD36" s="14"/>
      <c r="AE36" s="674">
        <f>ROUND(SUM(AE31:AE35),1)</f>
        <v>350.4</v>
      </c>
      <c r="AF36" s="13"/>
      <c r="AG36" s="14"/>
      <c r="AH36" s="674">
        <f>ROUND(SUM(AH31:AH35),1)</f>
        <v>285.89999999999998</v>
      </c>
      <c r="AI36" s="75"/>
      <c r="AJ36" s="13"/>
      <c r="AK36" s="674">
        <f>ROUND(SUM(AK31:AK35),1)</f>
        <v>64.5</v>
      </c>
      <c r="AM36" s="924">
        <f>ROUND(SUM(+AK36/AH36),3)</f>
        <v>0.22600000000000001</v>
      </c>
      <c r="AN36" s="406"/>
    </row>
    <row r="37" spans="1:40" ht="15" customHeight="1">
      <c r="A37" s="291"/>
      <c r="B37"/>
      <c r="C37" s="291"/>
      <c r="D37" s="264"/>
      <c r="F37" s="264"/>
      <c r="H37" s="264"/>
      <c r="J37" s="264"/>
      <c r="L37" s="264"/>
      <c r="N37" s="264"/>
      <c r="P37" s="264"/>
      <c r="R37" s="264"/>
      <c r="T37" s="264"/>
      <c r="V37" s="264"/>
      <c r="X37" s="264"/>
      <c r="Z37" s="264"/>
      <c r="AA37" s="264"/>
      <c r="AB37" s="264"/>
      <c r="AC37" s="264"/>
      <c r="AD37" s="524"/>
      <c r="AE37" s="264"/>
      <c r="AF37" s="264"/>
      <c r="AG37" s="524"/>
      <c r="AH37" s="264"/>
      <c r="AI37" s="520"/>
      <c r="AJ37" s="264"/>
      <c r="AK37" s="264"/>
      <c r="AL37" s="364"/>
      <c r="AM37" s="283"/>
      <c r="AN37" s="406"/>
    </row>
    <row r="38" spans="1:40" ht="15" customHeight="1">
      <c r="A38" s="291"/>
      <c r="B38" s="3" t="s">
        <v>482</v>
      </c>
      <c r="C38" s="291"/>
      <c r="D38" s="357">
        <f>ROUND(SUM(D17+D29+D36),1)</f>
        <v>572.29999999999995</v>
      </c>
      <c r="F38" s="357">
        <f>ROUND(SUM(F17+F29+F36),1)</f>
        <v>0</v>
      </c>
      <c r="H38" s="357">
        <f>ROUND(SUM(H17+H29+H36),1)</f>
        <v>0</v>
      </c>
      <c r="J38" s="357">
        <f>ROUND(SUM(J17+J29+J36),1)</f>
        <v>0</v>
      </c>
      <c r="L38" s="357">
        <f>ROUND(SUM(L17+L29+L36),1)</f>
        <v>0</v>
      </c>
      <c r="N38" s="357">
        <f>ROUND(SUM(N17+N29+N36),1)</f>
        <v>0</v>
      </c>
      <c r="P38" s="357">
        <f>ROUND(SUM(P17+P29+P36),1)</f>
        <v>0</v>
      </c>
      <c r="R38" s="357">
        <f>ROUND(SUM(R17+R29+R36),1)</f>
        <v>0</v>
      </c>
      <c r="T38" s="357">
        <f>ROUND(SUM(T17+T29+T36),1)</f>
        <v>0</v>
      </c>
      <c r="V38" s="357">
        <f>ROUND(SUM(V17+V29+V36),1)</f>
        <v>0</v>
      </c>
      <c r="X38" s="357">
        <f>ROUND(SUM(X17+X29+X36),1)</f>
        <v>0</v>
      </c>
      <c r="Z38" s="357">
        <f>ROUND(SUM(Z17+Z29+Z36),1)</f>
        <v>0</v>
      </c>
      <c r="AA38" s="13"/>
      <c r="AB38" s="357">
        <f>ROUND(SUM(AB17+AB29+AB36),1)</f>
        <v>0</v>
      </c>
      <c r="AC38" s="13"/>
      <c r="AD38" s="524"/>
      <c r="AE38" s="357">
        <f>ROUND(SUM(AE17+AE29+AE36),1)</f>
        <v>572.29999999999995</v>
      </c>
      <c r="AF38" s="264"/>
      <c r="AG38" s="524"/>
      <c r="AH38" s="357">
        <f>ROUND(SUM(AH17+AH29+AH36),1)</f>
        <v>503.2</v>
      </c>
      <c r="AI38" s="520"/>
      <c r="AJ38" s="264"/>
      <c r="AK38" s="357">
        <f>ROUND(SUM(AK17+AK29+AK36),1)</f>
        <v>69.099999999999994</v>
      </c>
      <c r="AL38" s="364"/>
      <c r="AM38" s="368">
        <f>ROUND(SUM(+AK38/AH38),3)</f>
        <v>0.13700000000000001</v>
      </c>
      <c r="AN38" s="406"/>
    </row>
    <row r="39" spans="1:40" ht="15" customHeight="1">
      <c r="A39" s="291"/>
      <c r="B39" s="291"/>
      <c r="C39" s="291"/>
      <c r="D39" s="11"/>
      <c r="F39" s="11"/>
      <c r="H39" s="287"/>
      <c r="J39" s="287"/>
      <c r="L39" s="287"/>
      <c r="N39" s="287"/>
      <c r="P39" s="287"/>
      <c r="R39" s="287"/>
      <c r="T39" s="287"/>
      <c r="V39" s="287"/>
      <c r="X39" s="287"/>
      <c r="Z39" s="287"/>
      <c r="AA39" s="11"/>
      <c r="AB39" s="264"/>
      <c r="AC39" s="264"/>
      <c r="AD39" s="524"/>
      <c r="AE39" s="264"/>
      <c r="AF39" s="264"/>
      <c r="AG39" s="524"/>
      <c r="AH39" s="288"/>
      <c r="AI39" s="1035"/>
      <c r="AJ39" s="264"/>
      <c r="AK39" s="264"/>
      <c r="AL39" s="11"/>
      <c r="AM39" s="283"/>
      <c r="AN39" s="406"/>
    </row>
    <row r="40" spans="1:40" ht="15" customHeight="1">
      <c r="A40" s="291"/>
      <c r="B40" s="1218" t="s">
        <v>383</v>
      </c>
      <c r="C40" s="291"/>
      <c r="D40" s="11"/>
      <c r="F40" s="11"/>
      <c r="H40" s="287"/>
      <c r="J40" s="287"/>
      <c r="L40" s="287"/>
      <c r="N40" s="287"/>
      <c r="P40" s="287"/>
      <c r="R40" s="287"/>
      <c r="T40" s="287"/>
      <c r="V40" s="287"/>
      <c r="X40" s="287"/>
      <c r="Z40" s="287"/>
      <c r="AA40" s="11"/>
      <c r="AB40" s="264"/>
      <c r="AC40" s="264"/>
      <c r="AD40" s="524"/>
      <c r="AE40" s="264"/>
      <c r="AF40" s="264"/>
      <c r="AG40" s="524"/>
      <c r="AH40" s="288"/>
      <c r="AI40" s="1035"/>
      <c r="AJ40" s="264"/>
      <c r="AK40" s="264"/>
      <c r="AL40" s="11"/>
      <c r="AM40" s="283"/>
      <c r="AN40" s="406"/>
    </row>
    <row r="41" spans="1:40" ht="15" customHeight="1">
      <c r="A41" s="291"/>
      <c r="B41" s="350" t="s">
        <v>384</v>
      </c>
      <c r="C41" s="291"/>
      <c r="D41" s="11"/>
      <c r="F41" s="11"/>
      <c r="H41" s="287"/>
      <c r="J41" s="287"/>
      <c r="L41" s="287"/>
      <c r="N41" s="287"/>
      <c r="P41" s="287"/>
      <c r="R41" s="287"/>
      <c r="T41" s="287"/>
      <c r="V41" s="287"/>
      <c r="X41" s="287"/>
      <c r="Z41" s="287"/>
      <c r="AA41" s="11"/>
      <c r="AB41" s="264"/>
      <c r="AC41" s="264"/>
      <c r="AD41" s="524"/>
      <c r="AE41" s="264"/>
      <c r="AF41" s="264"/>
      <c r="AG41" s="524"/>
      <c r="AH41" s="288"/>
      <c r="AI41" s="1035"/>
      <c r="AJ41" s="264"/>
      <c r="AK41" s="264"/>
      <c r="AL41" s="11"/>
      <c r="AM41" s="283"/>
      <c r="AN41" s="406"/>
    </row>
    <row r="42" spans="1:40" ht="15" customHeight="1">
      <c r="A42" s="291"/>
      <c r="B42" s="350" t="s">
        <v>1409</v>
      </c>
      <c r="C42" s="291"/>
      <c r="D42" s="287">
        <f>'Exhibit G State'!D42+'Exhibit G Federal'!D19</f>
        <v>1.4</v>
      </c>
      <c r="E42" s="287"/>
      <c r="F42" s="287"/>
      <c r="G42" s="287"/>
      <c r="H42" s="287"/>
      <c r="J42" s="287"/>
      <c r="L42" s="287"/>
      <c r="N42" s="287"/>
      <c r="P42" s="287"/>
      <c r="R42" s="287"/>
      <c r="S42" s="287"/>
      <c r="T42" s="287"/>
      <c r="U42" s="287"/>
      <c r="V42" s="287"/>
      <c r="W42" s="287"/>
      <c r="X42" s="287"/>
      <c r="Y42" s="287"/>
      <c r="Z42" s="287"/>
      <c r="AA42" s="287"/>
      <c r="AB42" s="264">
        <v>0</v>
      </c>
      <c r="AC42" s="264"/>
      <c r="AD42" s="524"/>
      <c r="AE42" s="264">
        <f t="shared" ref="AE42:AE83" si="7">ROUND(SUM(D42:Z42),1)</f>
        <v>1.4</v>
      </c>
      <c r="AF42" s="264"/>
      <c r="AG42" s="524"/>
      <c r="AH42" s="287">
        <f>'Exhibit G State'!AF42+'Exhibit G Federal'!AF19</f>
        <v>1.2</v>
      </c>
      <c r="AI42" s="1035"/>
      <c r="AJ42" s="264"/>
      <c r="AK42" s="264">
        <f>ROUND(SUM(+AE42-AH42),1)</f>
        <v>0.2</v>
      </c>
      <c r="AL42" s="11"/>
      <c r="AM42" s="266">
        <f>ROUND(IF(AH42=0,0,AK42/ABS(AH42)),3)</f>
        <v>0.16700000000000001</v>
      </c>
      <c r="AN42" s="406"/>
    </row>
    <row r="43" spans="1:40" ht="15" customHeight="1">
      <c r="A43" s="291"/>
      <c r="B43" s="350" t="s">
        <v>387</v>
      </c>
      <c r="C43" s="291"/>
      <c r="D43" s="287"/>
      <c r="E43" s="287"/>
      <c r="F43" s="287"/>
      <c r="G43" s="287"/>
      <c r="H43" s="287"/>
      <c r="J43" s="287"/>
      <c r="L43" s="287"/>
      <c r="N43" s="287"/>
      <c r="P43" s="287"/>
      <c r="R43" s="287"/>
      <c r="S43" s="264"/>
      <c r="T43" s="287"/>
      <c r="U43" s="264"/>
      <c r="V43" s="287"/>
      <c r="W43" s="264"/>
      <c r="X43" s="287"/>
      <c r="Y43" s="264"/>
      <c r="Z43" s="287"/>
      <c r="AA43" s="287"/>
      <c r="AB43" s="264"/>
      <c r="AC43" s="264"/>
      <c r="AD43" s="524"/>
      <c r="AE43" s="264"/>
      <c r="AF43" s="264"/>
      <c r="AG43" s="524"/>
      <c r="AH43" s="287"/>
      <c r="AI43" s="1035"/>
      <c r="AJ43" s="264"/>
      <c r="AK43" s="264"/>
      <c r="AL43" s="11"/>
      <c r="AM43" s="283"/>
      <c r="AN43" s="406"/>
    </row>
    <row r="44" spans="1:40" ht="15" customHeight="1">
      <c r="A44" s="291"/>
      <c r="B44" s="350" t="s">
        <v>483</v>
      </c>
      <c r="C44" s="291"/>
      <c r="D44" s="287">
        <f>'Exhibit G State'!D44+'Exhibit G Federal'!D21</f>
        <v>131.6</v>
      </c>
      <c r="E44" s="287"/>
      <c r="F44" s="287"/>
      <c r="G44" s="287"/>
      <c r="H44" s="287"/>
      <c r="J44" s="287"/>
      <c r="L44" s="287"/>
      <c r="N44" s="287"/>
      <c r="P44" s="287"/>
      <c r="R44" s="287"/>
      <c r="S44" s="287"/>
      <c r="T44" s="287"/>
      <c r="U44" s="287"/>
      <c r="V44" s="287"/>
      <c r="W44" s="287"/>
      <c r="X44" s="287"/>
      <c r="Y44" s="287"/>
      <c r="Z44" s="287"/>
      <c r="AA44" s="287"/>
      <c r="AB44" s="264">
        <v>0</v>
      </c>
      <c r="AC44" s="264"/>
      <c r="AD44" s="524"/>
      <c r="AE44" s="264">
        <f>ROUND(SUM(D44:Z44),1)</f>
        <v>131.6</v>
      </c>
      <c r="AF44" s="264"/>
      <c r="AG44" s="524"/>
      <c r="AH44" s="287">
        <f>'Exhibit G State'!AF44+'Exhibit G Federal'!AF21</f>
        <v>65</v>
      </c>
      <c r="AI44" s="1035"/>
      <c r="AJ44" s="264"/>
      <c r="AK44" s="264">
        <f>ROUND(SUM(+AE44-AH44),1)</f>
        <v>66.599999999999994</v>
      </c>
      <c r="AL44" s="11"/>
      <c r="AM44" s="266">
        <f>ROUND(IF(AH44=0,0,AK44/ABS(AH44)),3)</f>
        <v>1.0249999999999999</v>
      </c>
      <c r="AN44" s="406"/>
    </row>
    <row r="45" spans="1:40" ht="15" customHeight="1">
      <c r="A45" s="291"/>
      <c r="B45" s="350" t="s">
        <v>1411</v>
      </c>
      <c r="C45" s="291"/>
      <c r="D45" s="287">
        <f>'Exhibit G State'!D45+'Exhibit G Federal'!D22</f>
        <v>653.4</v>
      </c>
      <c r="E45" s="287"/>
      <c r="F45" s="287"/>
      <c r="G45" s="287"/>
      <c r="H45" s="287"/>
      <c r="J45" s="287"/>
      <c r="L45" s="287"/>
      <c r="N45" s="287"/>
      <c r="P45" s="287"/>
      <c r="R45" s="287"/>
      <c r="S45" s="287"/>
      <c r="T45" s="287"/>
      <c r="U45" s="287"/>
      <c r="V45" s="287"/>
      <c r="W45" s="287"/>
      <c r="X45" s="287"/>
      <c r="Y45" s="287"/>
      <c r="Z45" s="287"/>
      <c r="AA45" s="287"/>
      <c r="AB45" s="264">
        <v>0</v>
      </c>
      <c r="AC45" s="264"/>
      <c r="AD45" s="524"/>
      <c r="AE45" s="264">
        <f t="shared" si="7"/>
        <v>653.4</v>
      </c>
      <c r="AF45" s="264"/>
      <c r="AG45" s="524"/>
      <c r="AH45" s="287">
        <f>'Exhibit G State'!AF45+'Exhibit G Federal'!AF22</f>
        <v>665.8</v>
      </c>
      <c r="AI45" s="1035"/>
      <c r="AJ45" s="264"/>
      <c r="AK45" s="264">
        <f>ROUND(SUM(+AE45-AH45),1)</f>
        <v>-12.4</v>
      </c>
      <c r="AL45" s="11"/>
      <c r="AM45" s="266">
        <f>ROUND(IF(AH45=0,0,AK45/ABS(AH45)),3)</f>
        <v>-1.9E-2</v>
      </c>
      <c r="AN45" s="406"/>
    </row>
    <row r="46" spans="1:40" ht="15" customHeight="1">
      <c r="A46" s="291"/>
      <c r="B46" s="350" t="s">
        <v>1412</v>
      </c>
      <c r="C46" s="291"/>
      <c r="D46" s="287">
        <f>'Exhibit G State'!D46+'Exhibit G Federal'!D23</f>
        <v>2.9</v>
      </c>
      <c r="E46" s="287"/>
      <c r="F46" s="287"/>
      <c r="G46" s="287"/>
      <c r="H46" s="287"/>
      <c r="J46" s="287"/>
      <c r="L46" s="287"/>
      <c r="N46" s="287"/>
      <c r="P46" s="287"/>
      <c r="R46" s="287"/>
      <c r="S46" s="287"/>
      <c r="T46" s="287"/>
      <c r="U46" s="287"/>
      <c r="V46" s="287"/>
      <c r="W46" s="287"/>
      <c r="X46" s="287"/>
      <c r="Y46" s="287"/>
      <c r="Z46" s="287"/>
      <c r="AA46" s="287"/>
      <c r="AB46" s="264">
        <v>0</v>
      </c>
      <c r="AC46" s="264"/>
      <c r="AD46" s="524"/>
      <c r="AE46" s="264">
        <f t="shared" si="7"/>
        <v>2.9</v>
      </c>
      <c r="AF46" s="264"/>
      <c r="AG46" s="524"/>
      <c r="AH46" s="287">
        <f>'Exhibit G State'!AF46+'Exhibit G Federal'!AF23</f>
        <v>0.6</v>
      </c>
      <c r="AI46" s="1035"/>
      <c r="AJ46" s="264"/>
      <c r="AK46" s="264">
        <f>ROUND(SUM(+AE46-AH46),1)</f>
        <v>2.2999999999999998</v>
      </c>
      <c r="AL46" s="11"/>
      <c r="AM46" s="543">
        <f>ROUND(IF(AH46=0,0,AK46/ABS(AH46)),3)</f>
        <v>3.8330000000000002</v>
      </c>
      <c r="AN46" s="406"/>
    </row>
    <row r="47" spans="1:40" ht="15" customHeight="1">
      <c r="A47" s="291"/>
      <c r="B47" s="350" t="s">
        <v>484</v>
      </c>
      <c r="C47" s="291"/>
      <c r="D47" s="287">
        <f>'Exhibit G State'!D47+'Exhibit G Federal'!D24</f>
        <v>0</v>
      </c>
      <c r="E47" s="287"/>
      <c r="F47" s="287"/>
      <c r="G47" s="287"/>
      <c r="H47" s="287"/>
      <c r="J47" s="287"/>
      <c r="L47" s="287"/>
      <c r="N47" s="287"/>
      <c r="P47" s="287"/>
      <c r="R47" s="287"/>
      <c r="S47" s="287"/>
      <c r="T47" s="287"/>
      <c r="U47" s="287"/>
      <c r="V47" s="287"/>
      <c r="W47" s="287"/>
      <c r="X47" s="287"/>
      <c r="Y47" s="287"/>
      <c r="Z47" s="287"/>
      <c r="AA47" s="287"/>
      <c r="AB47" s="264">
        <v>0</v>
      </c>
      <c r="AC47" s="264"/>
      <c r="AD47" s="524"/>
      <c r="AE47" s="264">
        <f t="shared" si="7"/>
        <v>0</v>
      </c>
      <c r="AF47" s="264"/>
      <c r="AG47" s="524"/>
      <c r="AH47" s="287">
        <f>'Exhibit G State'!AF47+'Exhibit G Federal'!AF24</f>
        <v>0</v>
      </c>
      <c r="AI47" s="1035"/>
      <c r="AJ47" s="264"/>
      <c r="AK47" s="264">
        <f>ROUND(SUM(+AE47-AH47),1)</f>
        <v>0</v>
      </c>
      <c r="AL47" s="11"/>
      <c r="AM47" s="543">
        <f>ROUND(IF(AH47=0,0,AK47/ABS(AH47)),3)</f>
        <v>0</v>
      </c>
      <c r="AN47" s="406"/>
    </row>
    <row r="48" spans="1:40" ht="15" customHeight="1">
      <c r="A48" s="291"/>
      <c r="B48" s="350" t="s">
        <v>392</v>
      </c>
      <c r="C48" s="291"/>
      <c r="D48" s="287"/>
      <c r="E48" s="287"/>
      <c r="F48" s="287"/>
      <c r="G48" s="287"/>
      <c r="H48" s="287"/>
      <c r="J48" s="287"/>
      <c r="L48" s="287"/>
      <c r="N48" s="287"/>
      <c r="P48" s="287"/>
      <c r="R48" s="287"/>
      <c r="S48" s="264"/>
      <c r="T48" s="287"/>
      <c r="U48" s="264"/>
      <c r="V48" s="287"/>
      <c r="W48" s="264"/>
      <c r="X48" s="287"/>
      <c r="Y48" s="264"/>
      <c r="Z48" s="287"/>
      <c r="AA48" s="287"/>
      <c r="AB48" s="264"/>
      <c r="AC48" s="264"/>
      <c r="AD48" s="524"/>
      <c r="AE48" s="264"/>
      <c r="AF48" s="264"/>
      <c r="AG48" s="524"/>
      <c r="AH48" s="287"/>
      <c r="AI48" s="1035"/>
      <c r="AJ48" s="264"/>
      <c r="AK48" s="264"/>
      <c r="AL48" s="11"/>
      <c r="AM48" s="283"/>
      <c r="AN48" s="406"/>
    </row>
    <row r="49" spans="1:40" ht="15" customHeight="1">
      <c r="A49" s="291"/>
      <c r="B49" s="350" t="s">
        <v>485</v>
      </c>
      <c r="C49" s="291"/>
      <c r="D49" s="287">
        <f>'Exhibit G State'!D49</f>
        <v>0</v>
      </c>
      <c r="E49" s="287"/>
      <c r="F49" s="287"/>
      <c r="G49" s="287"/>
      <c r="H49" s="287"/>
      <c r="J49" s="287"/>
      <c r="L49" s="287"/>
      <c r="N49" s="287"/>
      <c r="P49" s="287"/>
      <c r="R49" s="287"/>
      <c r="S49" s="287"/>
      <c r="T49" s="287"/>
      <c r="U49" s="287"/>
      <c r="V49" s="287"/>
      <c r="W49" s="287"/>
      <c r="X49" s="287"/>
      <c r="Y49" s="287"/>
      <c r="Z49" s="287"/>
      <c r="AA49" s="287"/>
      <c r="AB49" s="264">
        <v>0</v>
      </c>
      <c r="AC49" s="264"/>
      <c r="AD49" s="524"/>
      <c r="AE49" s="264">
        <f>ROUND(SUM(D49:Z49),1)</f>
        <v>0</v>
      </c>
      <c r="AF49" s="264"/>
      <c r="AG49" s="524"/>
      <c r="AH49" s="287">
        <f>'Exhibit G State'!AF49</f>
        <v>0</v>
      </c>
      <c r="AI49" s="1035"/>
      <c r="AJ49" s="264"/>
      <c r="AK49" s="264">
        <f>ROUND(SUM(+AE49-AH49),1)</f>
        <v>0</v>
      </c>
      <c r="AL49" s="11"/>
      <c r="AM49" s="266">
        <f>ROUND(IF(AH49=0,0,AK49/ABS(AH49)),3)</f>
        <v>0</v>
      </c>
      <c r="AN49" s="406"/>
    </row>
    <row r="50" spans="1:40" ht="15" customHeight="1">
      <c r="A50" s="291"/>
      <c r="B50" s="350" t="s">
        <v>1414</v>
      </c>
      <c r="C50" s="291"/>
      <c r="D50" s="287">
        <f>'Exhibit G State'!D50+'Exhibit G Federal'!D26</f>
        <v>53.4</v>
      </c>
      <c r="E50" s="287"/>
      <c r="F50" s="287"/>
      <c r="G50" s="287"/>
      <c r="H50" s="287"/>
      <c r="J50" s="287"/>
      <c r="L50" s="287"/>
      <c r="N50" s="287"/>
      <c r="P50" s="287"/>
      <c r="R50" s="287"/>
      <c r="S50" s="287"/>
      <c r="T50" s="287"/>
      <c r="U50" s="287"/>
      <c r="V50" s="287"/>
      <c r="W50" s="287"/>
      <c r="X50" s="287"/>
      <c r="Y50" s="287"/>
      <c r="Z50" s="287"/>
      <c r="AA50" s="287"/>
      <c r="AB50" s="264">
        <v>0</v>
      </c>
      <c r="AC50" s="264"/>
      <c r="AD50" s="524"/>
      <c r="AE50" s="264">
        <f t="shared" si="7"/>
        <v>53.4</v>
      </c>
      <c r="AF50" s="264"/>
      <c r="AG50" s="524"/>
      <c r="AH50" s="287">
        <f>'Exhibit G State'!AF50+'Exhibit G Federal'!AF26</f>
        <v>47</v>
      </c>
      <c r="AI50" s="1035"/>
      <c r="AJ50" s="264"/>
      <c r="AK50" s="264">
        <f t="shared" ref="AK50:AK55" si="8">ROUND(SUM(+AE50-AH50),1)</f>
        <v>6.4</v>
      </c>
      <c r="AL50" s="11"/>
      <c r="AM50" s="266">
        <f t="shared" ref="AM50:AM55" si="9">ROUND(IF(AH50=0,0,AK50/ABS(AH50)),3)</f>
        <v>0.13600000000000001</v>
      </c>
      <c r="AN50" s="406"/>
    </row>
    <row r="51" spans="1:40" ht="15" customHeight="1">
      <c r="A51" s="291"/>
      <c r="B51" s="350" t="s">
        <v>487</v>
      </c>
      <c r="C51" s="291"/>
      <c r="D51" s="287">
        <f>'Exhibit G State'!D51+'Exhibit G Federal'!D27</f>
        <v>3.9</v>
      </c>
      <c r="E51" s="287"/>
      <c r="F51" s="287"/>
      <c r="G51" s="287"/>
      <c r="H51" s="287"/>
      <c r="J51" s="287"/>
      <c r="L51" s="287"/>
      <c r="N51" s="287"/>
      <c r="P51" s="287"/>
      <c r="R51" s="287"/>
      <c r="S51" s="287"/>
      <c r="T51" s="287"/>
      <c r="U51" s="287"/>
      <c r="V51" s="287"/>
      <c r="W51" s="287"/>
      <c r="X51" s="287"/>
      <c r="Y51" s="287"/>
      <c r="Z51" s="287"/>
      <c r="AA51" s="287"/>
      <c r="AB51" s="264">
        <v>0</v>
      </c>
      <c r="AC51" s="264"/>
      <c r="AD51" s="524"/>
      <c r="AE51" s="264">
        <f t="shared" si="7"/>
        <v>3.9</v>
      </c>
      <c r="AF51" s="264"/>
      <c r="AG51" s="524"/>
      <c r="AH51" s="287">
        <f>'Exhibit G State'!AF51+'Exhibit G Federal'!AF27</f>
        <v>4.9000000000000004</v>
      </c>
      <c r="AI51" s="1035"/>
      <c r="AJ51" s="264"/>
      <c r="AK51" s="264">
        <f t="shared" si="8"/>
        <v>-1</v>
      </c>
      <c r="AL51" s="11"/>
      <c r="AM51" s="266">
        <f t="shared" si="9"/>
        <v>-0.20399999999999999</v>
      </c>
      <c r="AN51" s="406"/>
    </row>
    <row r="52" spans="1:40" ht="15" customHeight="1">
      <c r="A52" s="291"/>
      <c r="B52" s="350" t="s">
        <v>488</v>
      </c>
      <c r="C52" s="291"/>
      <c r="D52" s="287">
        <f>'Exhibit G State'!D52+'Exhibit G Federal'!D28</f>
        <v>0</v>
      </c>
      <c r="E52" s="287"/>
      <c r="F52" s="287"/>
      <c r="G52" s="287"/>
      <c r="H52" s="287"/>
      <c r="J52" s="287"/>
      <c r="L52" s="287"/>
      <c r="N52" s="287"/>
      <c r="P52" s="287"/>
      <c r="R52" s="287"/>
      <c r="S52" s="287"/>
      <c r="T52" s="287"/>
      <c r="U52" s="287"/>
      <c r="V52" s="287"/>
      <c r="W52" s="287"/>
      <c r="X52" s="287"/>
      <c r="Y52" s="287"/>
      <c r="Z52" s="287"/>
      <c r="AA52" s="287"/>
      <c r="AB52" s="264">
        <v>0</v>
      </c>
      <c r="AC52" s="264"/>
      <c r="AD52" s="524"/>
      <c r="AE52" s="264">
        <f>ROUND(SUM(D52:Z52),1)</f>
        <v>0</v>
      </c>
      <c r="AF52" s="264"/>
      <c r="AG52" s="524"/>
      <c r="AH52" s="287">
        <f>'Exhibit G State'!AF52+'Exhibit G Federal'!AF28</f>
        <v>0</v>
      </c>
      <c r="AI52" s="1035"/>
      <c r="AJ52" s="264"/>
      <c r="AK52" s="264">
        <f t="shared" si="8"/>
        <v>0</v>
      </c>
      <c r="AL52" s="11"/>
      <c r="AM52" s="266">
        <f>ROUND(IF(AH52=0,0,AK52/ABS(AH52)),3)</f>
        <v>0</v>
      </c>
      <c r="AN52" s="406"/>
    </row>
    <row r="53" spans="1:40" ht="15" customHeight="1">
      <c r="A53" s="291"/>
      <c r="B53" s="350" t="s">
        <v>1415</v>
      </c>
      <c r="C53" s="291"/>
      <c r="D53" s="287">
        <f>'Exhibit G State'!D53+'Exhibit G Federal'!D29</f>
        <v>14.1</v>
      </c>
      <c r="E53" s="287"/>
      <c r="F53" s="287"/>
      <c r="G53" s="287"/>
      <c r="H53" s="287"/>
      <c r="J53" s="287"/>
      <c r="L53" s="287"/>
      <c r="N53" s="287"/>
      <c r="P53" s="287"/>
      <c r="R53" s="287"/>
      <c r="S53" s="287"/>
      <c r="T53" s="287"/>
      <c r="U53" s="287"/>
      <c r="V53" s="287"/>
      <c r="W53" s="287"/>
      <c r="X53" s="287"/>
      <c r="Y53" s="287"/>
      <c r="Z53" s="287"/>
      <c r="AA53" s="287"/>
      <c r="AB53" s="264">
        <v>0</v>
      </c>
      <c r="AC53" s="264"/>
      <c r="AD53" s="524"/>
      <c r="AE53" s="264">
        <f t="shared" si="7"/>
        <v>14.1</v>
      </c>
      <c r="AF53" s="264"/>
      <c r="AG53" s="524"/>
      <c r="AH53" s="287">
        <f>'Exhibit G State'!AF53+'Exhibit G Federal'!AF29</f>
        <v>45.6</v>
      </c>
      <c r="AI53" s="1035"/>
      <c r="AJ53" s="264"/>
      <c r="AK53" s="264">
        <f t="shared" si="8"/>
        <v>-31.5</v>
      </c>
      <c r="AL53" s="11"/>
      <c r="AM53" s="266">
        <f t="shared" si="9"/>
        <v>-0.69099999999999995</v>
      </c>
      <c r="AN53" s="406"/>
    </row>
    <row r="54" spans="1:40" ht="15" customHeight="1">
      <c r="A54" s="291"/>
      <c r="B54" s="350" t="s">
        <v>1416</v>
      </c>
      <c r="C54" s="291"/>
      <c r="D54" s="287">
        <f>'Exhibit G State'!D54+'Exhibit G Federal'!D30</f>
        <v>91</v>
      </c>
      <c r="E54" s="287"/>
      <c r="F54" s="287"/>
      <c r="G54" s="287"/>
      <c r="H54" s="287"/>
      <c r="J54" s="287"/>
      <c r="L54" s="287"/>
      <c r="N54" s="287"/>
      <c r="P54" s="287"/>
      <c r="R54" s="287"/>
      <c r="S54" s="287"/>
      <c r="T54" s="287"/>
      <c r="U54" s="287"/>
      <c r="V54" s="287"/>
      <c r="W54" s="287"/>
      <c r="X54" s="287"/>
      <c r="Y54" s="287"/>
      <c r="Z54" s="287"/>
      <c r="AA54" s="287"/>
      <c r="AB54" s="264">
        <v>0</v>
      </c>
      <c r="AC54" s="264"/>
      <c r="AD54" s="524"/>
      <c r="AE54" s="264">
        <f t="shared" si="7"/>
        <v>91</v>
      </c>
      <c r="AF54" s="264"/>
      <c r="AG54" s="524"/>
      <c r="AH54" s="287">
        <f>'Exhibit G State'!AF54+'Exhibit G Federal'!AF30</f>
        <v>82</v>
      </c>
      <c r="AI54" s="1035"/>
      <c r="AJ54" s="264"/>
      <c r="AK54" s="264">
        <f t="shared" si="8"/>
        <v>9</v>
      </c>
      <c r="AL54" s="11"/>
      <c r="AM54" s="266">
        <f t="shared" si="9"/>
        <v>0.11</v>
      </c>
      <c r="AN54" s="406"/>
    </row>
    <row r="55" spans="1:40" ht="15" customHeight="1">
      <c r="A55" s="291"/>
      <c r="B55" s="350" t="s">
        <v>1417</v>
      </c>
      <c r="C55" s="291"/>
      <c r="D55" s="287">
        <f>'Exhibit G State'!D55+'Exhibit G Federal'!D31</f>
        <v>45.099999999999994</v>
      </c>
      <c r="E55" s="287"/>
      <c r="F55" s="287"/>
      <c r="G55" s="287"/>
      <c r="H55" s="287"/>
      <c r="J55" s="287"/>
      <c r="L55" s="287"/>
      <c r="N55" s="287"/>
      <c r="P55" s="287"/>
      <c r="R55" s="287"/>
      <c r="S55" s="287"/>
      <c r="T55" s="287"/>
      <c r="U55" s="287"/>
      <c r="V55" s="287"/>
      <c r="W55" s="287"/>
      <c r="X55" s="287"/>
      <c r="Y55" s="287"/>
      <c r="Z55" s="287"/>
      <c r="AA55" s="287"/>
      <c r="AB55" s="264">
        <v>0</v>
      </c>
      <c r="AC55" s="264"/>
      <c r="AD55" s="524"/>
      <c r="AE55" s="264">
        <f>ROUND(SUM(D55:Z55),1)</f>
        <v>45.1</v>
      </c>
      <c r="AF55" s="264"/>
      <c r="AG55" s="524"/>
      <c r="AH55" s="287">
        <f>'Exhibit G State'!AF55+'Exhibit G Federal'!AF31</f>
        <v>9</v>
      </c>
      <c r="AI55" s="1035"/>
      <c r="AJ55" s="264"/>
      <c r="AK55" s="264">
        <f t="shared" si="8"/>
        <v>36.1</v>
      </c>
      <c r="AL55" s="11"/>
      <c r="AM55" s="543">
        <f t="shared" si="9"/>
        <v>4.0110000000000001</v>
      </c>
      <c r="AN55" s="406"/>
    </row>
    <row r="56" spans="1:40" ht="15" customHeight="1">
      <c r="A56" s="291"/>
      <c r="B56" s="350" t="s">
        <v>401</v>
      </c>
      <c r="C56" s="291"/>
      <c r="D56" s="287"/>
      <c r="E56" s="287"/>
      <c r="F56" s="287"/>
      <c r="G56" s="287"/>
      <c r="H56" s="287"/>
      <c r="J56" s="287"/>
      <c r="L56" s="287"/>
      <c r="N56" s="287"/>
      <c r="P56" s="287"/>
      <c r="R56" s="287"/>
      <c r="S56" s="287"/>
      <c r="T56" s="287"/>
      <c r="U56" s="287"/>
      <c r="V56" s="287"/>
      <c r="W56" s="287"/>
      <c r="X56" s="287"/>
      <c r="Y56" s="287"/>
      <c r="Z56" s="287"/>
      <c r="AA56" s="287"/>
      <c r="AB56" s="264"/>
      <c r="AC56" s="264"/>
      <c r="AD56" s="524"/>
      <c r="AE56" s="264"/>
      <c r="AF56" s="264"/>
      <c r="AG56" s="524"/>
      <c r="AH56" s="287"/>
      <c r="AI56" s="1035"/>
      <c r="AJ56" s="264"/>
      <c r="AK56" s="264"/>
      <c r="AL56" s="11"/>
      <c r="AM56" s="283"/>
      <c r="AN56" s="406"/>
    </row>
    <row r="57" spans="1:40" ht="15" customHeight="1">
      <c r="A57" s="291"/>
      <c r="B57" s="350" t="s">
        <v>491</v>
      </c>
      <c r="C57" s="291"/>
      <c r="D57" s="287">
        <f>'Exhibit G State'!D57</f>
        <v>57.6</v>
      </c>
      <c r="E57" s="287"/>
      <c r="F57" s="287"/>
      <c r="G57" s="287"/>
      <c r="H57" s="287"/>
      <c r="J57" s="287"/>
      <c r="L57" s="287"/>
      <c r="N57" s="287"/>
      <c r="P57" s="287"/>
      <c r="R57" s="287"/>
      <c r="S57" s="287"/>
      <c r="T57" s="287"/>
      <c r="U57" s="287"/>
      <c r="V57" s="287"/>
      <c r="W57" s="287"/>
      <c r="X57" s="287"/>
      <c r="Y57" s="287"/>
      <c r="Z57" s="287"/>
      <c r="AA57" s="287"/>
      <c r="AB57" s="264">
        <v>0</v>
      </c>
      <c r="AC57" s="264"/>
      <c r="AD57" s="524"/>
      <c r="AE57" s="264">
        <f t="shared" si="7"/>
        <v>57.6</v>
      </c>
      <c r="AF57" s="264"/>
      <c r="AG57" s="524"/>
      <c r="AH57" s="287">
        <f>'Exhibit G State'!AF57</f>
        <v>46.8</v>
      </c>
      <c r="AI57" s="1035"/>
      <c r="AJ57" s="264"/>
      <c r="AK57" s="264">
        <f t="shared" ref="AK57:AK62" si="10">ROUND(SUM(+AE57-AH57),1)</f>
        <v>10.8</v>
      </c>
      <c r="AL57" s="11"/>
      <c r="AM57" s="543">
        <f>ROUND(IF(AH57=0,1,AK57/ABS(AH57)),3)</f>
        <v>0.23100000000000001</v>
      </c>
      <c r="AN57" s="406"/>
    </row>
    <row r="58" spans="1:40" ht="15" customHeight="1">
      <c r="A58" s="291"/>
      <c r="B58" s="350" t="s">
        <v>492</v>
      </c>
      <c r="C58" s="291"/>
      <c r="D58" s="287">
        <f>'Exhibit G State'!D58</f>
        <v>218.6</v>
      </c>
      <c r="E58" s="287"/>
      <c r="F58" s="287"/>
      <c r="G58" s="287"/>
      <c r="H58" s="287"/>
      <c r="J58" s="287"/>
      <c r="L58" s="287"/>
      <c r="N58" s="287"/>
      <c r="P58" s="287"/>
      <c r="R58" s="287"/>
      <c r="S58" s="287"/>
      <c r="T58" s="287"/>
      <c r="U58" s="287"/>
      <c r="V58" s="287"/>
      <c r="W58" s="287"/>
      <c r="X58" s="287"/>
      <c r="Y58" s="287"/>
      <c r="Z58" s="287"/>
      <c r="AA58" s="287"/>
      <c r="AB58" s="264">
        <v>0</v>
      </c>
      <c r="AC58" s="264"/>
      <c r="AD58" s="524"/>
      <c r="AE58" s="264">
        <f t="shared" si="7"/>
        <v>218.6</v>
      </c>
      <c r="AF58" s="264"/>
      <c r="AG58" s="524"/>
      <c r="AH58" s="287">
        <f>'Exhibit G State'!AF58</f>
        <v>232</v>
      </c>
      <c r="AI58" s="1035"/>
      <c r="AJ58" s="264"/>
      <c r="AK58" s="264">
        <f t="shared" si="10"/>
        <v>-13.4</v>
      </c>
      <c r="AL58" s="11"/>
      <c r="AM58" s="266">
        <f>ROUND(IF(AH58=0,0,AK58/ABS(AH58)),3)</f>
        <v>-5.8000000000000003E-2</v>
      </c>
      <c r="AN58" s="406"/>
    </row>
    <row r="59" spans="1:40" ht="15" customHeight="1">
      <c r="A59" s="291"/>
      <c r="B59" s="350" t="s">
        <v>448</v>
      </c>
      <c r="C59" s="291"/>
      <c r="D59" s="287">
        <f>'Exhibit G State'!D59</f>
        <v>117.4</v>
      </c>
      <c r="E59" s="287"/>
      <c r="F59" s="287"/>
      <c r="G59" s="287"/>
      <c r="H59" s="287"/>
      <c r="J59" s="287"/>
      <c r="L59" s="287"/>
      <c r="N59" s="287"/>
      <c r="P59" s="287"/>
      <c r="R59" s="287"/>
      <c r="S59" s="287"/>
      <c r="T59" s="287"/>
      <c r="U59" s="287"/>
      <c r="V59" s="287"/>
      <c r="W59" s="287"/>
      <c r="X59" s="287"/>
      <c r="Y59" s="287"/>
      <c r="Z59" s="287"/>
      <c r="AA59" s="287"/>
      <c r="AB59" s="264">
        <v>0</v>
      </c>
      <c r="AC59" s="264"/>
      <c r="AD59" s="524"/>
      <c r="AE59" s="264">
        <f t="shared" si="7"/>
        <v>117.4</v>
      </c>
      <c r="AF59" s="264"/>
      <c r="AG59" s="524"/>
      <c r="AH59" s="287">
        <f>'Exhibit G State'!AF59</f>
        <v>82.2</v>
      </c>
      <c r="AI59" s="1035"/>
      <c r="AJ59" s="264"/>
      <c r="AK59" s="264">
        <f t="shared" si="10"/>
        <v>35.200000000000003</v>
      </c>
      <c r="AL59" s="11"/>
      <c r="AM59" s="266">
        <f>ROUND(IF(AH59=0,1,AK59/ABS(AH59)),3)</f>
        <v>0.42799999999999999</v>
      </c>
      <c r="AN59" s="406"/>
    </row>
    <row r="60" spans="1:40" ht="15" customHeight="1">
      <c r="A60" s="291"/>
      <c r="B60" s="350" t="s">
        <v>493</v>
      </c>
      <c r="C60" s="291"/>
      <c r="D60" s="287">
        <f>'Exhibit G State'!D60</f>
        <v>103</v>
      </c>
      <c r="E60" s="287"/>
      <c r="F60" s="287"/>
      <c r="G60" s="287"/>
      <c r="H60" s="287"/>
      <c r="J60" s="287"/>
      <c r="L60" s="287"/>
      <c r="N60" s="287"/>
      <c r="P60" s="287"/>
      <c r="R60" s="287"/>
      <c r="S60" s="287"/>
      <c r="T60" s="287"/>
      <c r="U60" s="287"/>
      <c r="V60" s="287"/>
      <c r="W60" s="287"/>
      <c r="X60" s="287"/>
      <c r="Y60" s="287"/>
      <c r="Z60" s="287"/>
      <c r="AA60" s="287"/>
      <c r="AB60" s="264">
        <v>0</v>
      </c>
      <c r="AC60" s="264"/>
      <c r="AD60" s="524"/>
      <c r="AE60" s="264">
        <f t="shared" si="7"/>
        <v>103</v>
      </c>
      <c r="AF60" s="264"/>
      <c r="AG60" s="524"/>
      <c r="AH60" s="287">
        <f>'Exhibit G State'!AF60</f>
        <v>101.9</v>
      </c>
      <c r="AI60" s="1035"/>
      <c r="AJ60" s="264"/>
      <c r="AK60" s="264">
        <f t="shared" si="10"/>
        <v>1.1000000000000001</v>
      </c>
      <c r="AL60" s="11"/>
      <c r="AM60" s="543">
        <f>ROUND(IF(AH60=0,1,AK60/ABS(AH60)),3)</f>
        <v>1.0999999999999999E-2</v>
      </c>
      <c r="AN60" s="406"/>
    </row>
    <row r="61" spans="1:40" ht="15" customHeight="1">
      <c r="A61" s="291"/>
      <c r="B61" s="350" t="s">
        <v>406</v>
      </c>
      <c r="C61" s="291"/>
      <c r="D61" s="287">
        <f>'Exhibit G State'!D61+'Exhibit G Federal'!D32</f>
        <v>93.5</v>
      </c>
      <c r="E61" s="287"/>
      <c r="F61" s="287"/>
      <c r="G61" s="287"/>
      <c r="H61" s="287"/>
      <c r="J61" s="287"/>
      <c r="L61" s="287"/>
      <c r="N61" s="287"/>
      <c r="P61" s="287"/>
      <c r="R61" s="287"/>
      <c r="S61" s="287"/>
      <c r="T61" s="287"/>
      <c r="U61" s="287"/>
      <c r="V61" s="287"/>
      <c r="W61" s="287"/>
      <c r="X61" s="287"/>
      <c r="Y61" s="287"/>
      <c r="Z61" s="287"/>
      <c r="AA61" s="287"/>
      <c r="AB61" s="264">
        <v>0</v>
      </c>
      <c r="AC61" s="264"/>
      <c r="AD61" s="524"/>
      <c r="AE61" s="264">
        <f>ROUND(SUM(D61:Z61),1)</f>
        <v>93.5</v>
      </c>
      <c r="AF61" s="264"/>
      <c r="AG61" s="524"/>
      <c r="AH61" s="287">
        <f>'Exhibit G State'!AF61+'Exhibit G Federal'!AF32</f>
        <v>96.800000000000011</v>
      </c>
      <c r="AI61" s="1035"/>
      <c r="AJ61" s="264"/>
      <c r="AK61" s="264">
        <f t="shared" si="10"/>
        <v>-3.3</v>
      </c>
      <c r="AL61" s="11"/>
      <c r="AM61" s="543">
        <f>ROUND(IF(AH61=0,0,AK61/ABS(AH61)),3)</f>
        <v>-3.4000000000000002E-2</v>
      </c>
      <c r="AN61" s="406"/>
    </row>
    <row r="62" spans="1:40" ht="15" customHeight="1">
      <c r="A62" s="291"/>
      <c r="B62" s="350" t="s">
        <v>1418</v>
      </c>
      <c r="C62" s="291"/>
      <c r="D62" s="287">
        <f>'Exhibit G State'!D62+'Exhibit G Federal'!D33</f>
        <v>7.3</v>
      </c>
      <c r="E62" s="287"/>
      <c r="F62" s="287"/>
      <c r="G62" s="287"/>
      <c r="H62" s="287"/>
      <c r="J62" s="287"/>
      <c r="L62" s="287"/>
      <c r="N62" s="287"/>
      <c r="P62" s="287"/>
      <c r="R62" s="287"/>
      <c r="S62" s="287"/>
      <c r="T62" s="287"/>
      <c r="U62" s="287"/>
      <c r="V62" s="287"/>
      <c r="W62" s="287"/>
      <c r="X62" s="287"/>
      <c r="Y62" s="287"/>
      <c r="Z62" s="287"/>
      <c r="AA62" s="287"/>
      <c r="AB62" s="264">
        <v>0</v>
      </c>
      <c r="AC62" s="264"/>
      <c r="AD62" s="524"/>
      <c r="AE62" s="264">
        <f>ROUND(SUM(D62:Z62),1)</f>
        <v>7.3</v>
      </c>
      <c r="AF62" s="264"/>
      <c r="AG62" s="524"/>
      <c r="AH62" s="287">
        <f>'Exhibit G State'!AF62+'Exhibit G Federal'!AF33</f>
        <v>7.7</v>
      </c>
      <c r="AI62" s="1035"/>
      <c r="AJ62" s="264"/>
      <c r="AK62" s="264">
        <f t="shared" si="10"/>
        <v>-0.4</v>
      </c>
      <c r="AL62" s="11"/>
      <c r="AM62" s="266">
        <f>ROUND(IF(AH62=0,0,AK62/ABS(AH62)),3)</f>
        <v>-5.1999999999999998E-2</v>
      </c>
      <c r="AN62" s="406"/>
    </row>
    <row r="63" spans="1:40" ht="15" customHeight="1">
      <c r="A63" s="291"/>
      <c r="B63" s="350" t="s">
        <v>408</v>
      </c>
      <c r="C63" s="291"/>
      <c r="D63" s="287"/>
      <c r="E63" s="287"/>
      <c r="F63" s="287"/>
      <c r="G63" s="287"/>
      <c r="H63" s="287"/>
      <c r="J63" s="287"/>
      <c r="L63" s="287"/>
      <c r="N63" s="287"/>
      <c r="P63" s="287"/>
      <c r="R63" s="287"/>
      <c r="S63" s="287"/>
      <c r="T63" s="287"/>
      <c r="U63" s="287"/>
      <c r="V63" s="287"/>
      <c r="W63" s="287"/>
      <c r="X63" s="287"/>
      <c r="Y63" s="287"/>
      <c r="Z63" s="287"/>
      <c r="AA63" s="287"/>
      <c r="AB63" s="264"/>
      <c r="AC63" s="264"/>
      <c r="AD63" s="524"/>
      <c r="AE63" s="264"/>
      <c r="AF63" s="264"/>
      <c r="AG63" s="524"/>
      <c r="AH63" s="287"/>
      <c r="AI63" s="1035"/>
      <c r="AJ63" s="264"/>
      <c r="AK63" s="264"/>
      <c r="AL63" s="11"/>
      <c r="AM63" s="283"/>
      <c r="AN63" s="406"/>
    </row>
    <row r="64" spans="1:40" ht="15" customHeight="1">
      <c r="A64" s="291"/>
      <c r="B64" s="350" t="s">
        <v>494</v>
      </c>
      <c r="C64" s="291"/>
      <c r="D64" s="287">
        <f>'Exhibit G State'!D64+'Exhibit G Federal'!D35</f>
        <v>0</v>
      </c>
      <c r="E64" s="287"/>
      <c r="F64" s="287"/>
      <c r="G64" s="287"/>
      <c r="H64" s="287"/>
      <c r="J64" s="287"/>
      <c r="L64" s="287"/>
      <c r="N64" s="287"/>
      <c r="P64" s="287"/>
      <c r="R64" s="287"/>
      <c r="S64" s="287"/>
      <c r="T64" s="287"/>
      <c r="U64" s="287"/>
      <c r="V64" s="287"/>
      <c r="W64" s="287"/>
      <c r="X64" s="287"/>
      <c r="Y64" s="287"/>
      <c r="Z64" s="287"/>
      <c r="AA64" s="287"/>
      <c r="AB64" s="264">
        <v>0</v>
      </c>
      <c r="AC64" s="264"/>
      <c r="AD64" s="524"/>
      <c r="AE64" s="264">
        <f t="shared" si="7"/>
        <v>0</v>
      </c>
      <c r="AF64" s="264"/>
      <c r="AG64" s="524"/>
      <c r="AH64" s="287">
        <f>'Exhibit G State'!AF64+'Exhibit G Federal'!AF35</f>
        <v>0</v>
      </c>
      <c r="AI64" s="1035"/>
      <c r="AJ64" s="264"/>
      <c r="AK64" s="264">
        <f t="shared" ref="AK64:AK68" si="11">ROUND(SUM(+AE64-AH64),1)</f>
        <v>0</v>
      </c>
      <c r="AL64" s="11"/>
      <c r="AM64" s="266">
        <f>ROUND(IF(AH64=0,0,AK64/ABS(AH64)),3)</f>
        <v>0</v>
      </c>
      <c r="AN64" s="406"/>
    </row>
    <row r="65" spans="1:40" ht="15" customHeight="1">
      <c r="A65" s="291"/>
      <c r="B65" s="350" t="s">
        <v>495</v>
      </c>
      <c r="C65" s="291"/>
      <c r="D65" s="287">
        <f>'Exhibit G State'!D65+'Exhibit G Federal'!D36</f>
        <v>0.4</v>
      </c>
      <c r="E65" s="287"/>
      <c r="F65" s="287"/>
      <c r="G65" s="287"/>
      <c r="H65" s="287"/>
      <c r="J65" s="287"/>
      <c r="L65" s="287"/>
      <c r="N65" s="287"/>
      <c r="P65" s="287"/>
      <c r="R65" s="287"/>
      <c r="S65" s="287"/>
      <c r="T65" s="287"/>
      <c r="U65" s="287"/>
      <c r="V65" s="287"/>
      <c r="W65" s="287"/>
      <c r="X65" s="287"/>
      <c r="Y65" s="287"/>
      <c r="Z65" s="287"/>
      <c r="AA65" s="287"/>
      <c r="AB65" s="264">
        <v>0</v>
      </c>
      <c r="AC65" s="264"/>
      <c r="AD65" s="524"/>
      <c r="AE65" s="264">
        <f t="shared" si="7"/>
        <v>0.4</v>
      </c>
      <c r="AF65" s="264"/>
      <c r="AG65" s="524"/>
      <c r="AH65" s="287">
        <f>'Exhibit G State'!AF65+'Exhibit G Federal'!AF36</f>
        <v>0.4</v>
      </c>
      <c r="AI65" s="1035"/>
      <c r="AJ65" s="264"/>
      <c r="AK65" s="264">
        <f t="shared" si="11"/>
        <v>0</v>
      </c>
      <c r="AL65" s="11"/>
      <c r="AM65" s="543">
        <f>ROUND(IF(AH65=0,1,AK65/ABS(AH65)),3)</f>
        <v>0</v>
      </c>
      <c r="AN65" s="406"/>
    </row>
    <row r="66" spans="1:40" ht="15" customHeight="1">
      <c r="A66" s="291"/>
      <c r="B66" s="350" t="s">
        <v>1419</v>
      </c>
      <c r="C66" s="291"/>
      <c r="D66" s="287">
        <f>'Exhibit G State'!D66+'Exhibit G Federal'!D37</f>
        <v>0</v>
      </c>
      <c r="E66" s="287"/>
      <c r="F66" s="287"/>
      <c r="G66" s="287"/>
      <c r="H66" s="287"/>
      <c r="J66" s="287"/>
      <c r="L66" s="287"/>
      <c r="N66" s="287"/>
      <c r="P66" s="287"/>
      <c r="R66" s="287"/>
      <c r="S66" s="287"/>
      <c r="T66" s="287"/>
      <c r="U66" s="287"/>
      <c r="V66" s="287"/>
      <c r="W66" s="287"/>
      <c r="X66" s="287"/>
      <c r="Y66" s="287"/>
      <c r="Z66" s="287"/>
      <c r="AA66" s="287"/>
      <c r="AB66" s="264">
        <v>0</v>
      </c>
      <c r="AC66" s="264"/>
      <c r="AD66" s="524"/>
      <c r="AE66" s="264">
        <f t="shared" si="7"/>
        <v>0</v>
      </c>
      <c r="AF66" s="264"/>
      <c r="AG66" s="524"/>
      <c r="AH66" s="287">
        <f>'Exhibit G State'!AF66+'Exhibit G Federal'!AF37</f>
        <v>0.5</v>
      </c>
      <c r="AI66" s="1035"/>
      <c r="AJ66" s="264"/>
      <c r="AK66" s="264">
        <f t="shared" si="11"/>
        <v>-0.5</v>
      </c>
      <c r="AL66" s="11"/>
      <c r="AM66" s="543">
        <f t="shared" ref="AM66:AM68" si="12">ROUND(IF(AH66=0,0,AK66/ABS(AH66)),3)</f>
        <v>-1</v>
      </c>
      <c r="AN66" s="406"/>
    </row>
    <row r="67" spans="1:40" ht="15" customHeight="1">
      <c r="A67" s="291"/>
      <c r="B67" s="350" t="s">
        <v>497</v>
      </c>
      <c r="C67" s="291"/>
      <c r="D67" s="287">
        <f>'Exhibit G State'!D67+'Exhibit G Federal'!D38</f>
        <v>4.7</v>
      </c>
      <c r="E67" s="287"/>
      <c r="F67" s="287"/>
      <c r="G67" s="287"/>
      <c r="H67" s="287"/>
      <c r="J67" s="287"/>
      <c r="L67" s="287"/>
      <c r="N67" s="287"/>
      <c r="P67" s="287"/>
      <c r="R67" s="287"/>
      <c r="S67" s="287"/>
      <c r="T67" s="287"/>
      <c r="U67" s="287"/>
      <c r="V67" s="287"/>
      <c r="W67" s="287"/>
      <c r="X67" s="287"/>
      <c r="Y67" s="287"/>
      <c r="Z67" s="287"/>
      <c r="AA67" s="287"/>
      <c r="AB67" s="264">
        <v>0</v>
      </c>
      <c r="AC67" s="264"/>
      <c r="AD67" s="524"/>
      <c r="AE67" s="264">
        <f t="shared" si="7"/>
        <v>4.7</v>
      </c>
      <c r="AF67" s="264"/>
      <c r="AG67" s="524"/>
      <c r="AH67" s="287">
        <f>'Exhibit G State'!AF67+'Exhibit G Federal'!AF38</f>
        <v>4.2</v>
      </c>
      <c r="AI67" s="1035"/>
      <c r="AJ67" s="264"/>
      <c r="AK67" s="264">
        <f t="shared" si="11"/>
        <v>0.5</v>
      </c>
      <c r="AL67" s="11"/>
      <c r="AM67" s="543">
        <f t="shared" si="12"/>
        <v>0.11899999999999999</v>
      </c>
      <c r="AN67" s="406"/>
    </row>
    <row r="68" spans="1:40" ht="15" customHeight="1">
      <c r="A68" s="291"/>
      <c r="B68" s="350" t="s">
        <v>413</v>
      </c>
      <c r="C68" s="291"/>
      <c r="D68" s="287">
        <f>'Exhibit G State'!D68+'Exhibit G Federal'!D39</f>
        <v>59.6</v>
      </c>
      <c r="E68" s="287"/>
      <c r="F68" s="287"/>
      <c r="G68" s="287"/>
      <c r="H68" s="287"/>
      <c r="J68" s="287"/>
      <c r="L68" s="287"/>
      <c r="N68" s="287"/>
      <c r="P68" s="287"/>
      <c r="R68" s="287"/>
      <c r="S68" s="287"/>
      <c r="T68" s="287"/>
      <c r="U68" s="287"/>
      <c r="V68" s="287"/>
      <c r="W68" s="287"/>
      <c r="X68" s="287"/>
      <c r="Y68" s="287"/>
      <c r="Z68" s="287"/>
      <c r="AA68" s="287"/>
      <c r="AB68" s="264">
        <v>0</v>
      </c>
      <c r="AC68" s="264"/>
      <c r="AD68" s="524"/>
      <c r="AE68" s="264">
        <f t="shared" si="7"/>
        <v>59.6</v>
      </c>
      <c r="AF68" s="264"/>
      <c r="AG68" s="524"/>
      <c r="AH68" s="287">
        <f>'Exhibit G State'!AF68+'Exhibit G Federal'!AF39</f>
        <v>68.7</v>
      </c>
      <c r="AI68" s="1035"/>
      <c r="AJ68" s="264"/>
      <c r="AK68" s="264">
        <f t="shared" si="11"/>
        <v>-9.1</v>
      </c>
      <c r="AL68" s="11"/>
      <c r="AM68" s="543">
        <f t="shared" si="12"/>
        <v>-0.13200000000000001</v>
      </c>
      <c r="AN68" s="406"/>
    </row>
    <row r="69" spans="1:40" ht="15" customHeight="1">
      <c r="A69" s="291"/>
      <c r="B69" s="350" t="s">
        <v>414</v>
      </c>
      <c r="C69" s="291"/>
      <c r="D69" s="287"/>
      <c r="E69" s="287"/>
      <c r="F69" s="287"/>
      <c r="G69" s="287"/>
      <c r="H69" s="287"/>
      <c r="J69" s="287"/>
      <c r="L69" s="287"/>
      <c r="N69" s="287"/>
      <c r="P69" s="287"/>
      <c r="R69" s="287"/>
      <c r="S69" s="287"/>
      <c r="T69" s="287"/>
      <c r="U69" s="287"/>
      <c r="V69" s="287"/>
      <c r="W69" s="287"/>
      <c r="X69" s="287"/>
      <c r="Y69" s="287"/>
      <c r="Z69" s="287"/>
      <c r="AA69" s="287"/>
      <c r="AB69" s="264"/>
      <c r="AC69" s="264"/>
      <c r="AD69" s="524"/>
      <c r="AE69" s="264"/>
      <c r="AF69" s="264"/>
      <c r="AG69" s="524"/>
      <c r="AH69" s="287"/>
      <c r="AI69" s="1035"/>
      <c r="AJ69" s="264"/>
      <c r="AK69" s="264"/>
      <c r="AL69" s="11"/>
      <c r="AM69" s="283"/>
      <c r="AN69" s="406"/>
    </row>
    <row r="70" spans="1:40" ht="15" customHeight="1">
      <c r="A70" s="291"/>
      <c r="B70" s="350" t="s">
        <v>1420</v>
      </c>
      <c r="C70" s="291"/>
      <c r="D70" s="287">
        <f>'Exhibit G State'!D70+'Exhibit G Federal'!D41</f>
        <v>0.3</v>
      </c>
      <c r="E70" s="287"/>
      <c r="F70" s="287"/>
      <c r="G70" s="287"/>
      <c r="H70" s="287"/>
      <c r="J70" s="287"/>
      <c r="L70" s="287"/>
      <c r="N70" s="287"/>
      <c r="P70" s="287"/>
      <c r="R70" s="287"/>
      <c r="S70" s="287"/>
      <c r="T70" s="287"/>
      <c r="U70" s="287"/>
      <c r="V70" s="287"/>
      <c r="W70" s="287"/>
      <c r="X70" s="287"/>
      <c r="Y70" s="287"/>
      <c r="Z70" s="287"/>
      <c r="AA70" s="287"/>
      <c r="AB70" s="264">
        <v>0</v>
      </c>
      <c r="AC70" s="264"/>
      <c r="AD70" s="524"/>
      <c r="AE70" s="264">
        <f t="shared" si="7"/>
        <v>0.3</v>
      </c>
      <c r="AF70" s="264"/>
      <c r="AG70" s="524"/>
      <c r="AH70" s="287">
        <f>'Exhibit G State'!AF70+'Exhibit G Federal'!AF41</f>
        <v>0.2</v>
      </c>
      <c r="AI70" s="1035"/>
      <c r="AJ70" s="264"/>
      <c r="AK70" s="264">
        <f t="shared" ref="AK70:AK80" si="13">ROUND(SUM(+AE70-AH70),1)</f>
        <v>0.1</v>
      </c>
      <c r="AL70" s="11"/>
      <c r="AM70" s="543">
        <f>ROUND(IF(AH70=0,0,AK70/ABS(AH70)),3)</f>
        <v>0.5</v>
      </c>
      <c r="AN70" s="406"/>
    </row>
    <row r="71" spans="1:40" ht="15" customHeight="1">
      <c r="A71" s="291"/>
      <c r="B71" s="350" t="s">
        <v>499</v>
      </c>
      <c r="C71" s="291"/>
      <c r="D71" s="287">
        <f>'Exhibit G State'!D71+'Exhibit G Federal'!D42</f>
        <v>1.3</v>
      </c>
      <c r="E71" s="287"/>
      <c r="F71" s="287"/>
      <c r="G71" s="287"/>
      <c r="H71" s="287"/>
      <c r="J71" s="287"/>
      <c r="L71" s="287"/>
      <c r="N71" s="287"/>
      <c r="P71" s="287"/>
      <c r="R71" s="287"/>
      <c r="S71" s="287"/>
      <c r="T71" s="287"/>
      <c r="U71" s="287"/>
      <c r="V71" s="287"/>
      <c r="W71" s="287"/>
      <c r="X71" s="287"/>
      <c r="Y71" s="287"/>
      <c r="Z71" s="287"/>
      <c r="AA71" s="287"/>
      <c r="AB71" s="264">
        <v>0</v>
      </c>
      <c r="AC71" s="264"/>
      <c r="AD71" s="524"/>
      <c r="AE71" s="264">
        <f t="shared" si="7"/>
        <v>1.3</v>
      </c>
      <c r="AF71" s="264"/>
      <c r="AG71" s="524"/>
      <c r="AH71" s="287">
        <f>'Exhibit G State'!AF71+'Exhibit G Federal'!AF42</f>
        <v>0.2</v>
      </c>
      <c r="AI71" s="1035"/>
      <c r="AJ71" s="264"/>
      <c r="AK71" s="264">
        <f t="shared" si="13"/>
        <v>1.1000000000000001</v>
      </c>
      <c r="AL71" s="11"/>
      <c r="AM71" s="543">
        <f>ROUND(IF(AH71=0,1,AK71/ABS(AH71)),3)</f>
        <v>5.5</v>
      </c>
      <c r="AN71" s="406"/>
    </row>
    <row r="72" spans="1:40" ht="15" customHeight="1">
      <c r="A72" s="291"/>
      <c r="B72" s="350" t="s">
        <v>1421</v>
      </c>
      <c r="C72" s="291"/>
      <c r="D72" s="287">
        <f>'Exhibit G State'!D72+'Exhibit G Federal'!D43</f>
        <v>6.5</v>
      </c>
      <c r="E72" s="287"/>
      <c r="F72" s="287"/>
      <c r="G72" s="287"/>
      <c r="H72" s="287"/>
      <c r="J72" s="287"/>
      <c r="L72" s="287"/>
      <c r="N72" s="287"/>
      <c r="P72" s="287"/>
      <c r="R72" s="287"/>
      <c r="S72" s="287"/>
      <c r="T72" s="287"/>
      <c r="U72" s="287"/>
      <c r="V72" s="287"/>
      <c r="W72" s="287"/>
      <c r="X72" s="287"/>
      <c r="Y72" s="287"/>
      <c r="Z72" s="287"/>
      <c r="AA72" s="287"/>
      <c r="AB72" s="264">
        <v>0</v>
      </c>
      <c r="AC72" s="264"/>
      <c r="AD72" s="524"/>
      <c r="AE72" s="264">
        <f t="shared" si="7"/>
        <v>6.5</v>
      </c>
      <c r="AF72" s="264"/>
      <c r="AG72" s="524"/>
      <c r="AH72" s="287">
        <f>'Exhibit G State'!AF72+'Exhibit G Federal'!AF43</f>
        <v>5.7</v>
      </c>
      <c r="AI72" s="1035"/>
      <c r="AJ72" s="264"/>
      <c r="AK72" s="264">
        <f t="shared" si="13"/>
        <v>0.8</v>
      </c>
      <c r="AL72" s="11"/>
      <c r="AM72" s="543">
        <f t="shared" ref="AM72:AM75" si="14">ROUND(IF(AH72=0,0,AK72/ABS(AH72)),3)</f>
        <v>0.14000000000000001</v>
      </c>
      <c r="AN72" s="406"/>
    </row>
    <row r="73" spans="1:40" ht="15" customHeight="1">
      <c r="A73" s="291"/>
      <c r="B73" s="350" t="s">
        <v>1422</v>
      </c>
      <c r="C73" s="291"/>
      <c r="D73" s="287">
        <f>'Exhibit G State'!D73+'Exhibit G Federal'!D44</f>
        <v>-0.2</v>
      </c>
      <c r="E73" s="287"/>
      <c r="F73" s="287"/>
      <c r="G73" s="287"/>
      <c r="H73" s="287"/>
      <c r="J73" s="287"/>
      <c r="L73" s="287"/>
      <c r="N73" s="287"/>
      <c r="P73" s="287"/>
      <c r="R73" s="287"/>
      <c r="S73" s="287"/>
      <c r="T73" s="287"/>
      <c r="U73" s="287"/>
      <c r="V73" s="287"/>
      <c r="W73" s="287"/>
      <c r="X73" s="287"/>
      <c r="Y73" s="287"/>
      <c r="Z73" s="287"/>
      <c r="AA73" s="287"/>
      <c r="AB73" s="264">
        <v>0</v>
      </c>
      <c r="AC73" s="264"/>
      <c r="AD73" s="524"/>
      <c r="AE73" s="264">
        <f t="shared" si="7"/>
        <v>-0.2</v>
      </c>
      <c r="AF73" s="264"/>
      <c r="AG73" s="524"/>
      <c r="AH73" s="287">
        <f>'Exhibit G State'!AF73+'Exhibit G Federal'!AF44</f>
        <v>0</v>
      </c>
      <c r="AI73" s="1035"/>
      <c r="AJ73" s="264"/>
      <c r="AK73" s="264">
        <f t="shared" si="13"/>
        <v>-0.2</v>
      </c>
      <c r="AL73" s="11"/>
      <c r="AM73" s="543">
        <f>-ROUND(IF(AH73=0,1,AK73/ABS(AH73)),3)</f>
        <v>-1</v>
      </c>
      <c r="AN73" s="406"/>
    </row>
    <row r="74" spans="1:40" ht="15" customHeight="1">
      <c r="A74" s="291"/>
      <c r="B74" s="350" t="s">
        <v>1423</v>
      </c>
      <c r="C74" s="291"/>
      <c r="D74" s="287">
        <f>'Exhibit G State'!D74+'Exhibit G Federal'!D45</f>
        <v>337</v>
      </c>
      <c r="E74" s="287"/>
      <c r="F74" s="287"/>
      <c r="G74" s="287"/>
      <c r="H74" s="287"/>
      <c r="J74" s="287"/>
      <c r="L74" s="287"/>
      <c r="N74" s="287"/>
      <c r="P74" s="287"/>
      <c r="R74" s="287"/>
      <c r="S74" s="287"/>
      <c r="T74" s="287"/>
      <c r="U74" s="287"/>
      <c r="V74" s="287"/>
      <c r="W74" s="287"/>
      <c r="X74" s="287"/>
      <c r="Y74" s="287"/>
      <c r="Z74" s="287"/>
      <c r="AA74" s="287"/>
      <c r="AB74" s="264">
        <v>0</v>
      </c>
      <c r="AC74" s="264"/>
      <c r="AD74" s="524"/>
      <c r="AE74" s="264">
        <f t="shared" si="7"/>
        <v>337</v>
      </c>
      <c r="AF74" s="264"/>
      <c r="AG74" s="524"/>
      <c r="AH74" s="287">
        <f>'Exhibit G State'!AF74+'Exhibit G Federal'!AF45</f>
        <v>326</v>
      </c>
      <c r="AI74" s="1035"/>
      <c r="AJ74" s="264"/>
      <c r="AK74" s="264">
        <f t="shared" si="13"/>
        <v>11</v>
      </c>
      <c r="AL74" s="11"/>
      <c r="AM74" s="543">
        <f>ROUND(IF(AH74=0,0,AK74/ABS(AH74)),3)</f>
        <v>3.4000000000000002E-2</v>
      </c>
      <c r="AN74" s="406"/>
    </row>
    <row r="75" spans="1:40" ht="15" customHeight="1">
      <c r="A75" s="291"/>
      <c r="B75" s="350" t="s">
        <v>503</v>
      </c>
      <c r="C75" s="291"/>
      <c r="D75" s="287">
        <f>'Exhibit G State'!D75+'Exhibit G Federal'!D46</f>
        <v>9.8000000000000007</v>
      </c>
      <c r="E75" s="287"/>
      <c r="F75" s="287"/>
      <c r="G75" s="287"/>
      <c r="H75" s="287"/>
      <c r="J75" s="287"/>
      <c r="L75" s="287"/>
      <c r="N75" s="287"/>
      <c r="P75" s="287"/>
      <c r="R75" s="287"/>
      <c r="S75" s="287"/>
      <c r="T75" s="287"/>
      <c r="U75" s="287"/>
      <c r="V75" s="287"/>
      <c r="W75" s="287"/>
      <c r="X75" s="287"/>
      <c r="Y75" s="287"/>
      <c r="Z75" s="287"/>
      <c r="AA75" s="287"/>
      <c r="AB75" s="264">
        <v>0</v>
      </c>
      <c r="AC75" s="264"/>
      <c r="AD75" s="524"/>
      <c r="AE75" s="264">
        <f t="shared" si="7"/>
        <v>9.8000000000000007</v>
      </c>
      <c r="AF75" s="264"/>
      <c r="AG75" s="524"/>
      <c r="AH75" s="287">
        <f>'Exhibit G State'!AF75+'Exhibit G Federal'!AF46</f>
        <v>9.9</v>
      </c>
      <c r="AI75" s="1035"/>
      <c r="AJ75" s="264"/>
      <c r="AK75" s="264">
        <f t="shared" si="13"/>
        <v>-0.1</v>
      </c>
      <c r="AL75" s="11"/>
      <c r="AM75" s="266">
        <f t="shared" si="14"/>
        <v>-0.01</v>
      </c>
      <c r="AN75" s="406"/>
    </row>
    <row r="76" spans="1:40" ht="15" customHeight="1">
      <c r="A76" s="291"/>
      <c r="B76" s="350" t="s">
        <v>1424</v>
      </c>
      <c r="C76" s="291"/>
      <c r="D76" s="287">
        <f>'Exhibit G State'!D76+'Exhibit G Federal'!D47</f>
        <v>21.8</v>
      </c>
      <c r="E76" s="287"/>
      <c r="F76" s="287"/>
      <c r="G76" s="287"/>
      <c r="H76" s="287"/>
      <c r="J76" s="287"/>
      <c r="L76" s="287"/>
      <c r="N76" s="287"/>
      <c r="P76" s="287"/>
      <c r="R76" s="287"/>
      <c r="S76" s="287"/>
      <c r="T76" s="287"/>
      <c r="U76" s="287"/>
      <c r="V76" s="287"/>
      <c r="W76" s="287"/>
      <c r="X76" s="287"/>
      <c r="Y76" s="287"/>
      <c r="Z76" s="287"/>
      <c r="AA76" s="287"/>
      <c r="AB76" s="264">
        <v>0</v>
      </c>
      <c r="AC76" s="264"/>
      <c r="AD76" s="524"/>
      <c r="AE76" s="264">
        <f t="shared" si="7"/>
        <v>21.8</v>
      </c>
      <c r="AF76" s="264"/>
      <c r="AG76" s="524"/>
      <c r="AH76" s="287">
        <f>'Exhibit G State'!AF76+'Exhibit G Federal'!AF47</f>
        <v>13.8</v>
      </c>
      <c r="AI76" s="1035"/>
      <c r="AJ76" s="264"/>
      <c r="AK76" s="264">
        <f t="shared" si="13"/>
        <v>8</v>
      </c>
      <c r="AL76" s="11"/>
      <c r="AM76" s="543">
        <f>ROUND(IF(AH76=0,1,AK76/ABS(AH76)),3)</f>
        <v>0.57999999999999996</v>
      </c>
      <c r="AN76" s="406"/>
    </row>
    <row r="77" spans="1:40" ht="15" customHeight="1">
      <c r="A77" s="291"/>
      <c r="B77" s="350" t="s">
        <v>1451</v>
      </c>
      <c r="C77" s="291"/>
      <c r="D77" s="287">
        <f>'Exhibit G State'!D77+'Exhibit G Federal'!D48</f>
        <v>1</v>
      </c>
      <c r="E77" s="287"/>
      <c r="F77" s="287"/>
      <c r="G77" s="287"/>
      <c r="H77" s="287"/>
      <c r="J77" s="287"/>
      <c r="L77" s="287"/>
      <c r="N77" s="287"/>
      <c r="P77" s="287"/>
      <c r="R77" s="287"/>
      <c r="S77" s="287"/>
      <c r="T77" s="287"/>
      <c r="U77" s="287"/>
      <c r="V77" s="287"/>
      <c r="W77" s="287"/>
      <c r="X77" s="287"/>
      <c r="Y77" s="287"/>
      <c r="Z77" s="287"/>
      <c r="AA77" s="287"/>
      <c r="AB77" s="264">
        <v>0</v>
      </c>
      <c r="AC77" s="264"/>
      <c r="AD77" s="524"/>
      <c r="AE77" s="264">
        <f t="shared" si="7"/>
        <v>1</v>
      </c>
      <c r="AF77" s="264"/>
      <c r="AG77" s="524"/>
      <c r="AH77" s="287">
        <f>'Exhibit G State'!AF77+'Exhibit G Federal'!AF48</f>
        <v>0.8</v>
      </c>
      <c r="AI77" s="1035"/>
      <c r="AJ77" s="264"/>
      <c r="AK77" s="264">
        <f t="shared" si="13"/>
        <v>0.2</v>
      </c>
      <c r="AL77" s="11"/>
      <c r="AM77" s="266">
        <f>ROUND(IF(AH77=0,0,AK77/ABS(AH77)),3)</f>
        <v>0.25</v>
      </c>
      <c r="AN77" s="406"/>
    </row>
    <row r="78" spans="1:40" ht="15" customHeight="1">
      <c r="A78" s="291"/>
      <c r="B78" s="350" t="s">
        <v>505</v>
      </c>
      <c r="C78" s="291"/>
      <c r="D78" s="287">
        <f>'Exhibit G State'!D78+'Exhibit G Federal'!D49</f>
        <v>30.1</v>
      </c>
      <c r="E78" s="287"/>
      <c r="F78" s="287"/>
      <c r="G78" s="287"/>
      <c r="H78" s="287"/>
      <c r="J78" s="287"/>
      <c r="L78" s="287"/>
      <c r="N78" s="287"/>
      <c r="P78" s="287"/>
      <c r="R78" s="287"/>
      <c r="S78" s="287"/>
      <c r="T78" s="287"/>
      <c r="U78" s="287"/>
      <c r="V78" s="287"/>
      <c r="W78" s="287"/>
      <c r="X78" s="287"/>
      <c r="Y78" s="287"/>
      <c r="Z78" s="287"/>
      <c r="AA78" s="287"/>
      <c r="AB78" s="264">
        <v>0</v>
      </c>
      <c r="AC78" s="264"/>
      <c r="AD78" s="524"/>
      <c r="AE78" s="264">
        <f t="shared" si="7"/>
        <v>30.1</v>
      </c>
      <c r="AF78" s="264"/>
      <c r="AG78" s="524"/>
      <c r="AH78" s="287">
        <f>'Exhibit G State'!AF78+'Exhibit G Federal'!AF49</f>
        <v>57.3</v>
      </c>
      <c r="AI78" s="1035"/>
      <c r="AJ78" s="264"/>
      <c r="AK78" s="264">
        <f t="shared" si="13"/>
        <v>-27.2</v>
      </c>
      <c r="AL78" s="11"/>
      <c r="AM78" s="543">
        <f>ROUND(IF(AH78=0,0,AK78/ABS(AH78)),3)</f>
        <v>-0.47499999999999998</v>
      </c>
      <c r="AN78" s="406"/>
    </row>
    <row r="79" spans="1:40" ht="15" customHeight="1">
      <c r="A79" s="291"/>
      <c r="B79" s="350" t="s">
        <v>424</v>
      </c>
      <c r="C79" s="291"/>
      <c r="D79" s="287">
        <f>'Exhibit G State'!D79+'Exhibit G Federal'!D50</f>
        <v>1.3</v>
      </c>
      <c r="E79" s="287"/>
      <c r="F79" s="287"/>
      <c r="G79" s="287"/>
      <c r="H79" s="287"/>
      <c r="J79" s="287"/>
      <c r="L79" s="287"/>
      <c r="N79" s="287"/>
      <c r="P79" s="287"/>
      <c r="R79" s="287"/>
      <c r="S79" s="287"/>
      <c r="T79" s="287"/>
      <c r="U79" s="287"/>
      <c r="V79" s="287"/>
      <c r="W79" s="287"/>
      <c r="X79" s="287"/>
      <c r="Y79" s="287"/>
      <c r="Z79" s="287"/>
      <c r="AA79" s="287"/>
      <c r="AB79" s="264">
        <v>0</v>
      </c>
      <c r="AC79" s="264"/>
      <c r="AD79" s="524"/>
      <c r="AE79" s="264">
        <f t="shared" si="7"/>
        <v>1.3</v>
      </c>
      <c r="AF79" s="264"/>
      <c r="AG79" s="524"/>
      <c r="AH79" s="287">
        <f>'Exhibit G State'!AF79+'Exhibit G Federal'!AF50</f>
        <v>0.7</v>
      </c>
      <c r="AI79" s="1035"/>
      <c r="AJ79" s="264"/>
      <c r="AK79" s="264">
        <f t="shared" si="13"/>
        <v>0.6</v>
      </c>
      <c r="AL79" s="11"/>
      <c r="AM79" s="266">
        <f>ROUND(IF(AH79=0,0,AK79/ABS(AH79)),3)</f>
        <v>0.85699999999999998</v>
      </c>
      <c r="AN79" s="406"/>
    </row>
    <row r="80" spans="1:40" ht="15" customHeight="1">
      <c r="A80" s="291"/>
      <c r="B80" s="350" t="s">
        <v>1425</v>
      </c>
      <c r="C80" s="291"/>
      <c r="D80" s="287">
        <f>'Exhibit G State'!D80+'Exhibit G Federal'!D51</f>
        <v>36.4</v>
      </c>
      <c r="E80" s="287"/>
      <c r="F80" s="287"/>
      <c r="G80" s="287"/>
      <c r="H80" s="287"/>
      <c r="J80" s="287"/>
      <c r="L80" s="287"/>
      <c r="N80" s="287"/>
      <c r="P80" s="287"/>
      <c r="R80" s="287"/>
      <c r="S80" s="287"/>
      <c r="T80" s="287"/>
      <c r="U80" s="287"/>
      <c r="V80" s="287"/>
      <c r="W80" s="287"/>
      <c r="X80" s="287"/>
      <c r="Y80" s="287"/>
      <c r="Z80" s="287"/>
      <c r="AA80" s="287"/>
      <c r="AB80" s="264">
        <v>0</v>
      </c>
      <c r="AC80" s="264"/>
      <c r="AD80" s="524"/>
      <c r="AE80" s="264">
        <f t="shared" si="7"/>
        <v>36.4</v>
      </c>
      <c r="AF80" s="264"/>
      <c r="AG80" s="524"/>
      <c r="AH80" s="287">
        <f>'Exhibit G State'!AF80+'Exhibit G Federal'!AF51</f>
        <v>30.9</v>
      </c>
      <c r="AI80" s="1035"/>
      <c r="AJ80" s="264"/>
      <c r="AK80" s="264">
        <f t="shared" si="13"/>
        <v>5.5</v>
      </c>
      <c r="AL80" s="11"/>
      <c r="AM80" s="266">
        <f>ROUND(IF(AH80=0,0,AK80/ABS(AH80)),3)</f>
        <v>0.17799999999999999</v>
      </c>
      <c r="AN80" s="406"/>
    </row>
    <row r="81" spans="1:40" s="57" customFormat="1" ht="15" customHeight="1">
      <c r="A81" s="3"/>
      <c r="B81" s="83" t="s">
        <v>506</v>
      </c>
      <c r="C81" s="3"/>
      <c r="D81" s="674">
        <f>ROUND(SUM(D42:D80),1)</f>
        <v>2104.1999999999998</v>
      </c>
      <c r="E81"/>
      <c r="F81" s="674">
        <f>ROUND(SUM(F42:F80),1)</f>
        <v>0</v>
      </c>
      <c r="G81"/>
      <c r="H81" s="674">
        <f>ROUND(SUM(H42:H80),1)</f>
        <v>0</v>
      </c>
      <c r="I81"/>
      <c r="J81" s="674">
        <f>ROUND(SUM(J42:J80),1)</f>
        <v>0</v>
      </c>
      <c r="K81"/>
      <c r="L81" s="674">
        <f>ROUND(SUM(L42:L80),1)</f>
        <v>0</v>
      </c>
      <c r="M81"/>
      <c r="N81" s="674">
        <f>ROUND(SUM(N42:N80),1)</f>
        <v>0</v>
      </c>
      <c r="O81"/>
      <c r="P81" s="674">
        <f>ROUND(SUM(P42:P80),1)</f>
        <v>0</v>
      </c>
      <c r="Q81"/>
      <c r="R81" s="674">
        <f>ROUND(SUM(R42:R80),1)</f>
        <v>0</v>
      </c>
      <c r="S81"/>
      <c r="T81" s="674">
        <f>ROUND(SUM(T42:T80),1)</f>
        <v>0</v>
      </c>
      <c r="U81"/>
      <c r="V81" s="674">
        <f>ROUND(SUM(V42:V80),1)</f>
        <v>0</v>
      </c>
      <c r="W81"/>
      <c r="X81" s="674">
        <f>ROUND(SUM(X42:X80),1)</f>
        <v>0</v>
      </c>
      <c r="Y81"/>
      <c r="Z81" s="674">
        <f>ROUND(SUM(Z42:Z80),1)</f>
        <v>0</v>
      </c>
      <c r="AA81" s="13"/>
      <c r="AB81" s="674">
        <f>SUM(AB42:AB80)</f>
        <v>0</v>
      </c>
      <c r="AC81" s="13"/>
      <c r="AD81" s="14"/>
      <c r="AE81" s="674">
        <f>ROUND(SUM(AE42:AE80),1)</f>
        <v>2104.1999999999998</v>
      </c>
      <c r="AF81" s="13"/>
      <c r="AG81" s="14"/>
      <c r="AH81" s="674">
        <f>ROUND(SUM(AH42:AH80),1)</f>
        <v>2007.8</v>
      </c>
      <c r="AI81" s="75"/>
      <c r="AJ81" s="13"/>
      <c r="AK81" s="674">
        <f>ROUND(SUM(AK42:AK80),1)</f>
        <v>96.4</v>
      </c>
      <c r="AL81" s="202"/>
      <c r="AM81" s="924">
        <f>ROUND(SUM(+AK81/AH81),3)</f>
        <v>4.8000000000000001E-2</v>
      </c>
      <c r="AN81" s="406"/>
    </row>
    <row r="82" spans="1:40" ht="15" customHeight="1">
      <c r="A82" s="291"/>
      <c r="B82" s="350"/>
      <c r="C82" s="291"/>
      <c r="D82" s="11"/>
      <c r="F82" s="11"/>
      <c r="H82" s="11"/>
      <c r="J82" s="264"/>
      <c r="L82" s="264"/>
      <c r="N82" s="264"/>
      <c r="P82" s="264"/>
      <c r="R82" s="264"/>
      <c r="T82" s="264"/>
      <c r="V82" s="287"/>
      <c r="X82" s="287"/>
      <c r="Z82" s="287"/>
      <c r="AA82" s="11"/>
      <c r="AB82" s="264"/>
      <c r="AC82" s="1234"/>
      <c r="AD82" s="264"/>
      <c r="AE82" s="264"/>
      <c r="AF82" s="264"/>
      <c r="AG82" s="524"/>
      <c r="AH82" s="264"/>
      <c r="AI82" s="520"/>
      <c r="AJ82" s="264"/>
      <c r="AK82" s="264"/>
      <c r="AL82" s="11"/>
      <c r="AM82" s="283"/>
      <c r="AN82" s="406"/>
    </row>
    <row r="83" spans="1:40" ht="15" customHeight="1">
      <c r="A83" s="291"/>
      <c r="B83" s="1036" t="s">
        <v>507</v>
      </c>
      <c r="C83" s="291"/>
      <c r="D83" s="287">
        <f>'Exhibit G State'!D83+'Exhibit G Federal'!D54</f>
        <v>8995.3000000000011</v>
      </c>
      <c r="E83" s="287"/>
      <c r="F83" s="287"/>
      <c r="G83" s="287"/>
      <c r="H83" s="287"/>
      <c r="J83" s="287"/>
      <c r="L83" s="287"/>
      <c r="N83" s="287"/>
      <c r="P83" s="287"/>
      <c r="R83" s="287"/>
      <c r="S83" s="287"/>
      <c r="T83" s="287"/>
      <c r="U83" s="287"/>
      <c r="V83" s="287"/>
      <c r="W83" s="287"/>
      <c r="X83" s="287"/>
      <c r="Z83" s="287"/>
      <c r="AA83" s="287"/>
      <c r="AB83" s="383">
        <v>0</v>
      </c>
      <c r="AC83" s="1234"/>
      <c r="AD83" s="264"/>
      <c r="AE83" s="264">
        <f t="shared" si="7"/>
        <v>8995.2999999999993</v>
      </c>
      <c r="AF83" s="264"/>
      <c r="AG83" s="524"/>
      <c r="AH83" s="287">
        <f>'Exhibit G State'!AF83+'Exhibit G Federal'!AF54</f>
        <v>10312.799999999999</v>
      </c>
      <c r="AI83" s="520"/>
      <c r="AJ83" s="264"/>
      <c r="AK83" s="264">
        <f>ROUND(SUM(+AE83-AH83),1)</f>
        <v>-1317.5</v>
      </c>
      <c r="AL83" s="11"/>
      <c r="AM83" s="266">
        <f>ROUND(IF(AH83=0,0,AK83/ABS(AH83)),3)</f>
        <v>-0.128</v>
      </c>
      <c r="AN83" s="406"/>
    </row>
    <row r="84" spans="1:40" ht="15" customHeight="1">
      <c r="A84" s="291"/>
      <c r="B84" s="291"/>
      <c r="C84" s="291"/>
      <c r="D84" s="616"/>
      <c r="F84" s="616"/>
      <c r="H84" s="616"/>
      <c r="J84" s="616"/>
      <c r="L84" s="616"/>
      <c r="N84" s="616"/>
      <c r="P84" s="616"/>
      <c r="R84" s="616"/>
      <c r="T84" s="616"/>
      <c r="V84" s="616"/>
      <c r="X84" s="616"/>
      <c r="Z84" s="616"/>
      <c r="AA84" s="264"/>
      <c r="AB84" s="264"/>
      <c r="AC84" s="1234"/>
      <c r="AD84" s="264"/>
      <c r="AE84" s="616"/>
      <c r="AF84" s="264"/>
      <c r="AG84" s="524"/>
      <c r="AH84" s="616"/>
      <c r="AI84" s="520"/>
      <c r="AJ84" s="264"/>
      <c r="AK84" s="1037"/>
      <c r="AL84" s="364"/>
      <c r="AM84" s="1038"/>
      <c r="AN84" s="406"/>
    </row>
    <row r="85" spans="1:40" ht="15" customHeight="1">
      <c r="A85" s="291"/>
      <c r="B85" s="3" t="s">
        <v>427</v>
      </c>
      <c r="C85" s="291"/>
      <c r="D85" s="13">
        <f>ROUND(SUM(D83+D81+D38),1)</f>
        <v>11671.8</v>
      </c>
      <c r="F85" s="13">
        <f>ROUND(SUM(F83+F81+F38),1)</f>
        <v>0</v>
      </c>
      <c r="H85" s="13">
        <f>ROUND(SUM(H83+H81+H38),1)</f>
        <v>0</v>
      </c>
      <c r="J85" s="13">
        <f>ROUND(SUM(J83+J81+J38),1)</f>
        <v>0</v>
      </c>
      <c r="L85" s="13">
        <f>ROUND(SUM(L83+L81+L38),1)</f>
        <v>0</v>
      </c>
      <c r="N85" s="13">
        <f>ROUND(SUM(N83+N81+N38),1)</f>
        <v>0</v>
      </c>
      <c r="P85" s="13">
        <f>ROUND(SUM(P83+P81+P38),1)</f>
        <v>0</v>
      </c>
      <c r="R85" s="13">
        <f>ROUND(SUM(R83+R81+R38),1)</f>
        <v>0</v>
      </c>
      <c r="T85" s="13">
        <f>ROUND(SUM(T83+T81+T38),1)</f>
        <v>0</v>
      </c>
      <c r="V85" s="13">
        <f>ROUND(SUM(V83+V81+V38),1)</f>
        <v>0</v>
      </c>
      <c r="X85" s="13">
        <f>ROUND(SUM(X83+X81+X38),1)</f>
        <v>0</v>
      </c>
      <c r="Z85" s="13">
        <f>ROUND(SUM(Z83+Z81+Z38),1)</f>
        <v>0</v>
      </c>
      <c r="AA85" s="13"/>
      <c r="AB85" s="357">
        <f>ROUND(SUM(AB83+AB81+AB38),1)</f>
        <v>0</v>
      </c>
      <c r="AC85" s="1236"/>
      <c r="AD85" s="13"/>
      <c r="AE85" s="13">
        <f>ROUND(SUM(AE83+AE81+AE38),1)</f>
        <v>11671.8</v>
      </c>
      <c r="AF85" s="13"/>
      <c r="AG85" s="14"/>
      <c r="AH85" s="13">
        <f>ROUND(SUM(AH83+AH81+AH38),1)</f>
        <v>12823.8</v>
      </c>
      <c r="AI85" s="75"/>
      <c r="AJ85" s="13"/>
      <c r="AK85" s="357">
        <f>ROUND(SUM(AK83+AK81+AK38),1)</f>
        <v>-1152</v>
      </c>
      <c r="AL85" s="76"/>
      <c r="AM85" s="368">
        <f>ROUND(SUM(+AK85/AH85),3)</f>
        <v>-0.09</v>
      </c>
      <c r="AN85" s="406"/>
    </row>
    <row r="86" spans="1:40" ht="15" customHeight="1">
      <c r="A86" s="291"/>
      <c r="B86" s="291"/>
      <c r="C86" s="291"/>
      <c r="D86" s="616"/>
      <c r="F86" s="616"/>
      <c r="H86" s="616"/>
      <c r="J86" s="616"/>
      <c r="L86" s="616"/>
      <c r="N86" s="616"/>
      <c r="P86" s="616"/>
      <c r="R86" s="616"/>
      <c r="T86" s="616"/>
      <c r="V86" s="616"/>
      <c r="X86" s="616"/>
      <c r="Z86" s="616"/>
      <c r="AA86" s="264"/>
      <c r="AB86" s="264"/>
      <c r="AC86" s="264"/>
      <c r="AD86" s="524"/>
      <c r="AE86" s="616"/>
      <c r="AF86" s="264"/>
      <c r="AG86" s="524"/>
      <c r="AH86" s="616"/>
      <c r="AI86" s="520"/>
      <c r="AJ86" s="264"/>
      <c r="AK86" s="264"/>
      <c r="AL86" s="364"/>
      <c r="AM86" s="283"/>
      <c r="AN86" s="406"/>
    </row>
    <row r="87" spans="1:40" ht="15" customHeight="1">
      <c r="A87" s="291"/>
      <c r="B87" s="1218" t="s">
        <v>122</v>
      </c>
      <c r="C87" s="291"/>
      <c r="D87" s="264"/>
      <c r="F87" s="264"/>
      <c r="H87" s="264"/>
      <c r="J87" s="264"/>
      <c r="L87" s="264"/>
      <c r="N87" s="264"/>
      <c r="P87" s="264"/>
      <c r="R87" s="264"/>
      <c r="T87" s="264"/>
      <c r="V87" s="264"/>
      <c r="X87" s="264"/>
      <c r="Z87" s="264"/>
      <c r="AA87" s="264"/>
      <c r="AB87" s="264"/>
      <c r="AC87" s="264"/>
      <c r="AD87" s="524"/>
      <c r="AE87" s="264"/>
      <c r="AF87" s="1234"/>
      <c r="AG87" s="525"/>
      <c r="AH87" s="264"/>
      <c r="AI87" s="520"/>
      <c r="AJ87" s="264"/>
      <c r="AK87" s="264"/>
      <c r="AL87" s="364"/>
      <c r="AM87" s="283"/>
      <c r="AN87" s="406"/>
    </row>
    <row r="88" spans="1:40" ht="15" customHeight="1">
      <c r="A88" s="291"/>
      <c r="B88" s="291" t="s">
        <v>451</v>
      </c>
      <c r="C88" s="291"/>
      <c r="D88" s="11"/>
      <c r="F88" s="11"/>
      <c r="H88" s="11"/>
      <c r="J88" s="264"/>
      <c r="L88" s="264"/>
      <c r="N88" s="264"/>
      <c r="P88" s="264"/>
      <c r="R88" s="264"/>
      <c r="T88" s="264"/>
      <c r="V88" s="264"/>
      <c r="X88" s="264"/>
      <c r="Z88" s="287"/>
      <c r="AA88" s="11"/>
      <c r="AB88" s="264"/>
      <c r="AC88" s="264"/>
      <c r="AD88" s="524"/>
      <c r="AE88" s="264"/>
      <c r="AF88" s="264"/>
      <c r="AG88" s="524"/>
      <c r="AH88" s="264"/>
      <c r="AI88" s="520"/>
      <c r="AJ88" s="264"/>
      <c r="AK88" s="264"/>
      <c r="AL88" s="364"/>
      <c r="AM88" s="283"/>
      <c r="AN88" s="406"/>
    </row>
    <row r="89" spans="1:40" ht="15" customHeight="1">
      <c r="A89" s="291"/>
      <c r="B89" s="385" t="s">
        <v>124</v>
      </c>
      <c r="C89" s="291"/>
      <c r="D89" s="287">
        <f>'Exhibit G State'!D89+'Exhibit G Federal'!D60</f>
        <v>489.1</v>
      </c>
      <c r="E89" s="287"/>
      <c r="F89" s="287"/>
      <c r="G89" s="287"/>
      <c r="H89" s="287"/>
      <c r="J89" s="287"/>
      <c r="L89" s="287"/>
      <c r="N89" s="287"/>
      <c r="P89" s="287"/>
      <c r="R89" s="287"/>
      <c r="S89" s="287"/>
      <c r="T89" s="287"/>
      <c r="U89" s="287"/>
      <c r="V89" s="287"/>
      <c r="W89" s="287"/>
      <c r="X89" s="287"/>
      <c r="Y89" s="287"/>
      <c r="Z89" s="287"/>
      <c r="AA89" s="287"/>
      <c r="AB89" s="264">
        <v>0</v>
      </c>
      <c r="AC89" s="264"/>
      <c r="AD89" s="524"/>
      <c r="AE89" s="264">
        <f>ROUND(SUM(D89:Z89),1)</f>
        <v>489.1</v>
      </c>
      <c r="AF89" s="264"/>
      <c r="AG89" s="524"/>
      <c r="AH89" s="287">
        <f>'Exhibit G State'!AF89+'Exhibit G Federal'!AF60</f>
        <v>689.30000000000007</v>
      </c>
      <c r="AI89" s="520"/>
      <c r="AJ89" s="264"/>
      <c r="AK89" s="264">
        <f>ROUND(SUM(+AE89-AH89),1)</f>
        <v>-200.2</v>
      </c>
      <c r="AL89" s="11"/>
      <c r="AM89" s="266">
        <f>ROUND(IF(AH89=0,0,AK89/ABS(AH89)),3)</f>
        <v>-0.28999999999999998</v>
      </c>
      <c r="AN89" s="406"/>
    </row>
    <row r="90" spans="1:40" ht="15" customHeight="1">
      <c r="A90" s="291"/>
      <c r="B90" s="385" t="s">
        <v>1427</v>
      </c>
      <c r="C90" s="291"/>
      <c r="D90" s="287">
        <f>'Exhibit G State'!D90+'Exhibit G Federal'!D61</f>
        <v>0.1</v>
      </c>
      <c r="E90" s="287"/>
      <c r="F90" s="287"/>
      <c r="G90" s="287"/>
      <c r="H90" s="287"/>
      <c r="J90" s="287"/>
      <c r="L90" s="287"/>
      <c r="N90" s="287"/>
      <c r="P90" s="287"/>
      <c r="R90" s="287"/>
      <c r="S90" s="287"/>
      <c r="T90" s="287"/>
      <c r="U90" s="287"/>
      <c r="V90" s="287"/>
      <c r="W90" s="287"/>
      <c r="X90" s="287"/>
      <c r="Y90" s="287"/>
      <c r="Z90" s="287"/>
      <c r="AA90" s="287"/>
      <c r="AB90" s="264">
        <v>0</v>
      </c>
      <c r="AC90" s="264"/>
      <c r="AD90" s="524"/>
      <c r="AE90" s="264">
        <f>ROUND(SUM(D90:Z90),1)</f>
        <v>0.1</v>
      </c>
      <c r="AF90" s="264"/>
      <c r="AG90" s="524"/>
      <c r="AH90" s="287">
        <f>'Exhibit G State'!AF90+'Exhibit G Federal'!AF61</f>
        <v>0.2</v>
      </c>
      <c r="AI90" s="520"/>
      <c r="AJ90" s="264"/>
      <c r="AK90" s="264">
        <f>ROUND(SUM(+AE90-AH90),1)</f>
        <v>-0.1</v>
      </c>
      <c r="AL90" s="11"/>
      <c r="AM90" s="543">
        <f>ROUND(IF(AH90=0,1,AK90/ABS(AH90)),3)</f>
        <v>-0.5</v>
      </c>
      <c r="AN90" s="406"/>
    </row>
    <row r="91" spans="1:40" ht="15" customHeight="1">
      <c r="A91" s="291"/>
      <c r="B91" s="385" t="s">
        <v>1426</v>
      </c>
      <c r="C91" s="291"/>
      <c r="D91" s="287">
        <f>'Exhibit G State'!D91+'Exhibit G Federal'!D62</f>
        <v>20.2</v>
      </c>
      <c r="E91" s="287"/>
      <c r="F91" s="287"/>
      <c r="G91" s="287"/>
      <c r="H91" s="287"/>
      <c r="J91" s="287"/>
      <c r="L91" s="287"/>
      <c r="N91" s="287"/>
      <c r="P91" s="287"/>
      <c r="R91" s="287"/>
      <c r="S91" s="287"/>
      <c r="T91" s="287"/>
      <c r="U91" s="287"/>
      <c r="V91" s="287"/>
      <c r="W91" s="287"/>
      <c r="X91" s="287"/>
      <c r="Y91" s="287"/>
      <c r="Z91" s="287"/>
      <c r="AA91" s="287"/>
      <c r="AB91" s="264">
        <v>0</v>
      </c>
      <c r="AC91" s="264"/>
      <c r="AD91" s="524"/>
      <c r="AE91" s="264">
        <f>ROUND(SUM(D91:Z91),1)</f>
        <v>20.2</v>
      </c>
      <c r="AF91" s="264"/>
      <c r="AG91" s="524"/>
      <c r="AH91" s="287">
        <f>'Exhibit G State'!AF91+'Exhibit G Federal'!AF62</f>
        <v>3.5999999999999996</v>
      </c>
      <c r="AI91" s="520"/>
      <c r="AJ91" s="264"/>
      <c r="AK91" s="264">
        <f>ROUND(SUM(+AE91-AH91),1)</f>
        <v>16.600000000000001</v>
      </c>
      <c r="AL91" s="11"/>
      <c r="AM91" s="543">
        <f>ROUND(IF(AH91=0,0,AK91/ABS(AH91)),3)</f>
        <v>4.6109999999999998</v>
      </c>
      <c r="AN91" s="406"/>
    </row>
    <row r="92" spans="1:40" ht="15" customHeight="1">
      <c r="A92" s="291"/>
      <c r="B92" s="385" t="s">
        <v>127</v>
      </c>
      <c r="C92" s="291"/>
      <c r="D92" s="264"/>
      <c r="E92" s="264"/>
      <c r="F92" s="264"/>
      <c r="G92" s="264"/>
      <c r="H92" s="264"/>
      <c r="J92" s="287"/>
      <c r="L92" s="264"/>
      <c r="N92" s="264"/>
      <c r="P92" s="264"/>
      <c r="R92" s="264"/>
      <c r="S92" s="264"/>
      <c r="T92" s="287"/>
      <c r="U92" s="264"/>
      <c r="V92" s="264"/>
      <c r="W92" s="264"/>
      <c r="X92" s="287"/>
      <c r="Y92" s="264"/>
      <c r="Z92" s="264"/>
      <c r="AA92" s="264"/>
      <c r="AB92" s="264" t="s">
        <v>103</v>
      </c>
      <c r="AC92" s="264"/>
      <c r="AD92" s="524"/>
      <c r="AE92" s="264"/>
      <c r="AF92" s="264"/>
      <c r="AG92" s="524"/>
      <c r="AH92" s="264"/>
      <c r="AI92" s="520"/>
      <c r="AJ92" s="264"/>
      <c r="AK92" s="264" t="s">
        <v>103</v>
      </c>
      <c r="AL92" s="268" t="s">
        <v>103</v>
      </c>
      <c r="AM92" s="283" t="s">
        <v>103</v>
      </c>
      <c r="AN92" s="406"/>
    </row>
    <row r="93" spans="1:40" ht="15" customHeight="1">
      <c r="A93" s="291"/>
      <c r="B93" s="1028" t="s">
        <v>128</v>
      </c>
      <c r="C93" s="291"/>
      <c r="D93" s="287">
        <f>'Exhibit G State'!D93+'Exhibit G Federal'!D64</f>
        <v>5391.0999999999995</v>
      </c>
      <c r="E93" s="287"/>
      <c r="F93" s="287"/>
      <c r="G93" s="287"/>
      <c r="H93" s="287"/>
      <c r="J93" s="287"/>
      <c r="L93" s="287"/>
      <c r="N93" s="287"/>
      <c r="P93" s="287"/>
      <c r="R93" s="287"/>
      <c r="S93" s="287"/>
      <c r="T93" s="287"/>
      <c r="U93" s="287"/>
      <c r="V93" s="287"/>
      <c r="W93" s="287"/>
      <c r="X93" s="287"/>
      <c r="Y93" s="287"/>
      <c r="Z93" s="287"/>
      <c r="AA93" s="287"/>
      <c r="AB93" s="264">
        <v>0</v>
      </c>
      <c r="AC93" s="264"/>
      <c r="AD93" s="524"/>
      <c r="AE93" s="264">
        <f t="shared" ref="AE93:AE98" si="15">ROUND(SUM(D93:Z93),1)</f>
        <v>5391.1</v>
      </c>
      <c r="AF93" s="264"/>
      <c r="AG93" s="524"/>
      <c r="AH93" s="287">
        <f>'Exhibit G State'!AF93+'Exhibit G Federal'!AF64</f>
        <v>5354.9000000000005</v>
      </c>
      <c r="AI93" s="520"/>
      <c r="AJ93" s="264"/>
      <c r="AK93" s="264">
        <f t="shared" ref="AK93:AK98" si="16">ROUND(SUM(+AE93-AH93),1)</f>
        <v>36.200000000000003</v>
      </c>
      <c r="AL93" s="11"/>
      <c r="AM93" s="266">
        <f>ROUND(IF(AH93=0,0,AK93/ABS(AH93)),3)</f>
        <v>7.0000000000000001E-3</v>
      </c>
      <c r="AN93" s="406"/>
    </row>
    <row r="94" spans="1:40" ht="15" customHeight="1">
      <c r="A94" s="291"/>
      <c r="B94" s="385" t="s">
        <v>129</v>
      </c>
      <c r="C94" s="291"/>
      <c r="D94" s="287">
        <f>'Exhibit G State'!D94+'Exhibit G Federal'!D65</f>
        <v>1385.6000000000001</v>
      </c>
      <c r="E94" s="287"/>
      <c r="F94" s="287"/>
      <c r="G94" s="287"/>
      <c r="H94" s="287"/>
      <c r="J94" s="287"/>
      <c r="L94" s="287"/>
      <c r="N94" s="287"/>
      <c r="P94" s="287"/>
      <c r="R94" s="287"/>
      <c r="S94" s="287"/>
      <c r="T94" s="287"/>
      <c r="U94" s="287"/>
      <c r="V94" s="287"/>
      <c r="W94" s="287"/>
      <c r="X94" s="287"/>
      <c r="Y94" s="287"/>
      <c r="Z94" s="287"/>
      <c r="AA94" s="287"/>
      <c r="AB94" s="264">
        <v>0</v>
      </c>
      <c r="AC94" s="264"/>
      <c r="AD94" s="524"/>
      <c r="AE94" s="264">
        <f t="shared" si="15"/>
        <v>1385.6</v>
      </c>
      <c r="AF94" s="264"/>
      <c r="AG94" s="524"/>
      <c r="AH94" s="287">
        <f>'Exhibit G State'!AF94+'Exhibit G Federal'!AF65</f>
        <v>1430.5</v>
      </c>
      <c r="AI94" s="520"/>
      <c r="AJ94" s="264"/>
      <c r="AK94" s="264">
        <f t="shared" si="16"/>
        <v>-44.9</v>
      </c>
      <c r="AL94" s="11"/>
      <c r="AM94" s="266">
        <f t="shared" ref="AM94:AM98" si="17">ROUND(IF(AH94=0,0,AK94/ABS(AH94)),3)</f>
        <v>-3.1E-2</v>
      </c>
      <c r="AN94" s="406"/>
    </row>
    <row r="95" spans="1:40" ht="15" customHeight="1">
      <c r="A95" s="291"/>
      <c r="B95" s="385" t="s">
        <v>130</v>
      </c>
      <c r="C95" s="291"/>
      <c r="D95" s="287">
        <f>'Exhibit G State'!D95+'Exhibit G Federal'!D66</f>
        <v>383.5</v>
      </c>
      <c r="E95" s="287"/>
      <c r="F95" s="287"/>
      <c r="G95" s="287"/>
      <c r="H95" s="287"/>
      <c r="J95" s="287"/>
      <c r="L95" s="287"/>
      <c r="N95" s="287"/>
      <c r="P95" s="287"/>
      <c r="R95" s="287"/>
      <c r="S95" s="287"/>
      <c r="T95" s="287"/>
      <c r="U95" s="287"/>
      <c r="V95" s="287"/>
      <c r="W95" s="287"/>
      <c r="X95" s="287"/>
      <c r="Y95" s="287"/>
      <c r="Z95" s="287"/>
      <c r="AA95" s="287"/>
      <c r="AB95" s="264">
        <v>0</v>
      </c>
      <c r="AC95" s="264"/>
      <c r="AD95" s="524"/>
      <c r="AE95" s="264">
        <f t="shared" si="15"/>
        <v>383.5</v>
      </c>
      <c r="AF95" s="264"/>
      <c r="AG95" s="524"/>
      <c r="AH95" s="287">
        <f>'Exhibit G State'!AF95+'Exhibit G Federal'!AF66</f>
        <v>182.60000000000002</v>
      </c>
      <c r="AI95" s="520"/>
      <c r="AJ95" s="264"/>
      <c r="AK95" s="264">
        <f t="shared" si="16"/>
        <v>200.9</v>
      </c>
      <c r="AL95" s="11"/>
      <c r="AM95" s="543">
        <f t="shared" si="17"/>
        <v>1.1000000000000001</v>
      </c>
      <c r="AN95" s="406"/>
    </row>
    <row r="96" spans="1:40" ht="15" customHeight="1">
      <c r="A96" s="291"/>
      <c r="B96" s="385" t="s">
        <v>131</v>
      </c>
      <c r="C96" s="291"/>
      <c r="D96" s="287">
        <f>'Exhibit G State'!D96+'Exhibit G Federal'!D67</f>
        <v>399.1</v>
      </c>
      <c r="E96" s="287"/>
      <c r="F96" s="287"/>
      <c r="G96" s="287"/>
      <c r="H96" s="287"/>
      <c r="J96" s="287"/>
      <c r="L96" s="287"/>
      <c r="N96" s="287"/>
      <c r="P96" s="287"/>
      <c r="R96" s="287"/>
      <c r="S96" s="287"/>
      <c r="T96" s="287"/>
      <c r="U96" s="287"/>
      <c r="V96" s="287"/>
      <c r="W96" s="287"/>
      <c r="X96" s="287"/>
      <c r="Y96" s="287"/>
      <c r="Z96" s="287"/>
      <c r="AA96" s="287"/>
      <c r="AB96" s="264">
        <v>0</v>
      </c>
      <c r="AC96" s="264"/>
      <c r="AD96" s="524"/>
      <c r="AE96" s="264">
        <f t="shared" si="15"/>
        <v>399.1</v>
      </c>
      <c r="AF96" s="264"/>
      <c r="AG96" s="524"/>
      <c r="AH96" s="287">
        <f>'Exhibit G State'!AF96+'Exhibit G Federal'!AF67</f>
        <v>414.1</v>
      </c>
      <c r="AI96" s="520"/>
      <c r="AJ96" s="264"/>
      <c r="AK96" s="264">
        <f t="shared" si="16"/>
        <v>-15</v>
      </c>
      <c r="AL96" s="11"/>
      <c r="AM96" s="266">
        <f t="shared" si="17"/>
        <v>-3.5999999999999997E-2</v>
      </c>
      <c r="AN96" s="406"/>
    </row>
    <row r="97" spans="1:40" ht="15" customHeight="1">
      <c r="A97" s="291"/>
      <c r="B97" s="385" t="s">
        <v>132</v>
      </c>
      <c r="C97" s="291"/>
      <c r="D97" s="287">
        <f>'Exhibit G State'!D97+'Exhibit G Federal'!D68</f>
        <v>0.2</v>
      </c>
      <c r="E97" s="287"/>
      <c r="F97" s="287"/>
      <c r="G97" s="287"/>
      <c r="H97" s="287"/>
      <c r="J97" s="287"/>
      <c r="L97" s="287"/>
      <c r="N97" s="287"/>
      <c r="P97" s="287"/>
      <c r="R97" s="287"/>
      <c r="S97" s="287"/>
      <c r="T97" s="287"/>
      <c r="U97" s="287"/>
      <c r="V97" s="287"/>
      <c r="W97" s="287"/>
      <c r="X97" s="287"/>
      <c r="Y97" s="287"/>
      <c r="Z97" s="287"/>
      <c r="AA97" s="287"/>
      <c r="AB97" s="264">
        <v>0</v>
      </c>
      <c r="AC97" s="264"/>
      <c r="AD97" s="524"/>
      <c r="AE97" s="264">
        <f t="shared" si="15"/>
        <v>0.2</v>
      </c>
      <c r="AF97" s="264"/>
      <c r="AG97" s="524"/>
      <c r="AH97" s="287">
        <f>'Exhibit G State'!AF97+'Exhibit G Federal'!AF68</f>
        <v>1.3</v>
      </c>
      <c r="AI97" s="520"/>
      <c r="AJ97" s="264"/>
      <c r="AK97" s="264">
        <f t="shared" si="16"/>
        <v>-1.1000000000000001</v>
      </c>
      <c r="AL97" s="11"/>
      <c r="AM97" s="543">
        <f>ROUND(IF(AH97=0,0,AK97/ABS(AH97)),3)</f>
        <v>-0.84599999999999997</v>
      </c>
      <c r="AN97" s="406"/>
    </row>
    <row r="98" spans="1:40" ht="15" customHeight="1">
      <c r="A98" s="291"/>
      <c r="B98" s="385" t="s">
        <v>133</v>
      </c>
      <c r="C98" s="291"/>
      <c r="D98" s="287">
        <f>'Exhibit G State'!D98+'Exhibit G Federal'!D69</f>
        <v>88.7</v>
      </c>
      <c r="E98" s="287"/>
      <c r="F98" s="287"/>
      <c r="G98" s="287"/>
      <c r="H98" s="287"/>
      <c r="J98" s="287"/>
      <c r="L98" s="287"/>
      <c r="N98" s="287"/>
      <c r="P98" s="287"/>
      <c r="R98" s="287"/>
      <c r="S98" s="287"/>
      <c r="T98" s="287"/>
      <c r="U98" s="287"/>
      <c r="V98" s="287"/>
      <c r="W98" s="287"/>
      <c r="X98" s="287"/>
      <c r="Y98" s="287"/>
      <c r="Z98" s="287"/>
      <c r="AA98" s="287"/>
      <c r="AB98" s="264">
        <v>0</v>
      </c>
      <c r="AC98" s="264"/>
      <c r="AD98" s="524"/>
      <c r="AE98" s="264">
        <f t="shared" si="15"/>
        <v>88.7</v>
      </c>
      <c r="AF98" s="264"/>
      <c r="AG98" s="524"/>
      <c r="AH98" s="287">
        <f>'Exhibit G State'!AF98+'Exhibit G Federal'!AF69</f>
        <v>96.4</v>
      </c>
      <c r="AI98" s="520"/>
      <c r="AJ98" s="264"/>
      <c r="AK98" s="264">
        <f t="shared" si="16"/>
        <v>-7.7</v>
      </c>
      <c r="AL98" s="11"/>
      <c r="AM98" s="534">
        <f t="shared" si="17"/>
        <v>-0.08</v>
      </c>
      <c r="AN98" s="406"/>
    </row>
    <row r="99" spans="1:40" ht="15" customHeight="1">
      <c r="A99" s="291"/>
      <c r="B99" s="3" t="s">
        <v>508</v>
      </c>
      <c r="C99" s="291"/>
      <c r="D99" s="674">
        <f>ROUND(SUM(D89:D98),1)</f>
        <v>8157.6</v>
      </c>
      <c r="F99" s="674">
        <f>ROUND(SUM(F89:F98),1)</f>
        <v>0</v>
      </c>
      <c r="H99" s="674">
        <f>ROUND(SUM(H89:H98),1)</f>
        <v>0</v>
      </c>
      <c r="J99" s="674">
        <f>ROUND(SUM(J89:J98),1)</f>
        <v>0</v>
      </c>
      <c r="L99" s="674">
        <f>ROUND(SUM(L89:L98),1)</f>
        <v>0</v>
      </c>
      <c r="N99" s="674">
        <f>ROUND(SUM(N89:N98),1)</f>
        <v>0</v>
      </c>
      <c r="P99" s="674">
        <f>ROUND(SUM(P89:P98),1)</f>
        <v>0</v>
      </c>
      <c r="R99" s="674">
        <f>ROUND(SUM(R89:R98),1)</f>
        <v>0</v>
      </c>
      <c r="T99" s="674">
        <f>ROUND(SUM(T89:T98),1)</f>
        <v>0</v>
      </c>
      <c r="V99" s="674">
        <f>ROUND(SUM(V89:V98),1)</f>
        <v>0</v>
      </c>
      <c r="X99" s="674">
        <f>ROUND(SUM(X89:X98),1)</f>
        <v>0</v>
      </c>
      <c r="Z99" s="674">
        <f>ROUND(SUM(Z89:Z98),1)</f>
        <v>0</v>
      </c>
      <c r="AA99" s="13"/>
      <c r="AB99" s="674">
        <f>ROUND(SUM(AB89:AB98),1)</f>
        <v>0</v>
      </c>
      <c r="AC99" s="13"/>
      <c r="AD99" s="14"/>
      <c r="AE99" s="674">
        <f>ROUND(SUM(AE89:AE98),1)</f>
        <v>8157.6</v>
      </c>
      <c r="AF99" s="13"/>
      <c r="AG99" s="14"/>
      <c r="AH99" s="674">
        <f>ROUND(SUM(AH89:AH98),1)</f>
        <v>8172.9</v>
      </c>
      <c r="AI99" s="75"/>
      <c r="AJ99" s="13"/>
      <c r="AK99" s="674">
        <f>ROUND(SUM(AK89:AK98),1)</f>
        <v>-15.3</v>
      </c>
      <c r="AL99" s="40"/>
      <c r="AM99" s="368">
        <f>ROUND(SUM(+AK99/AH99),3)</f>
        <v>-2E-3</v>
      </c>
      <c r="AN99" s="406"/>
    </row>
    <row r="100" spans="1:40" ht="15" customHeight="1">
      <c r="A100" s="291"/>
      <c r="B100" s="291" t="s">
        <v>509</v>
      </c>
      <c r="C100" s="291"/>
      <c r="D100" s="264"/>
      <c r="F100" s="264"/>
      <c r="H100" s="264"/>
      <c r="J100" s="264"/>
      <c r="L100" s="264"/>
      <c r="N100" s="264"/>
      <c r="P100" s="264"/>
      <c r="R100" s="264"/>
      <c r="T100" s="264"/>
      <c r="V100" s="264"/>
      <c r="X100" s="264"/>
      <c r="Z100" s="264"/>
      <c r="AA100" s="264"/>
      <c r="AB100" s="264"/>
      <c r="AC100" s="264"/>
      <c r="AD100" s="524"/>
      <c r="AE100" s="264"/>
      <c r="AF100" s="264"/>
      <c r="AG100" s="524"/>
      <c r="AH100" s="264"/>
      <c r="AI100" s="520"/>
      <c r="AJ100" s="264"/>
      <c r="AK100" s="264"/>
      <c r="AL100" s="364"/>
      <c r="AM100" s="283"/>
      <c r="AN100" s="406"/>
    </row>
    <row r="101" spans="1:40" ht="15" customHeight="1">
      <c r="A101" s="291"/>
      <c r="B101" s="291" t="s">
        <v>454</v>
      </c>
      <c r="C101" s="291"/>
      <c r="D101" s="287">
        <f>'Exhibit G State'!D101+'Exhibit G Federal'!D72</f>
        <v>622.69999999999993</v>
      </c>
      <c r="E101" s="287"/>
      <c r="F101" s="287"/>
      <c r="G101" s="287"/>
      <c r="H101" s="287"/>
      <c r="J101" s="287"/>
      <c r="L101" s="287"/>
      <c r="N101" s="287"/>
      <c r="P101" s="287"/>
      <c r="R101" s="287"/>
      <c r="S101" s="287"/>
      <c r="T101" s="287"/>
      <c r="U101" s="287"/>
      <c r="V101" s="287"/>
      <c r="W101" s="287"/>
      <c r="X101" s="287"/>
      <c r="Y101" s="287"/>
      <c r="Z101" s="287"/>
      <c r="AA101" s="287"/>
      <c r="AB101" s="264">
        <v>0</v>
      </c>
      <c r="AC101" s="264"/>
      <c r="AD101" s="524"/>
      <c r="AE101" s="264">
        <f>ROUND(SUM(D101:Z101),1)</f>
        <v>622.70000000000005</v>
      </c>
      <c r="AF101" s="264"/>
      <c r="AG101" s="524"/>
      <c r="AH101" s="287">
        <f>'Exhibit G State'!AF101+'Exhibit G Federal'!AF72</f>
        <v>581</v>
      </c>
      <c r="AI101" s="520"/>
      <c r="AJ101" s="264"/>
      <c r="AK101" s="264">
        <f>ROUND(SUM(+AE101-AH101),1)</f>
        <v>41.7</v>
      </c>
      <c r="AL101" s="11"/>
      <c r="AM101" s="266">
        <f>ROUND(IF(AH101=0,0,AK101/ABS(AH101)),3)</f>
        <v>7.1999999999999995E-2</v>
      </c>
      <c r="AN101" s="406"/>
    </row>
    <row r="102" spans="1:40" ht="15" customHeight="1">
      <c r="A102" s="291"/>
      <c r="B102" s="291" t="s">
        <v>510</v>
      </c>
      <c r="C102" s="291"/>
      <c r="D102" s="287">
        <f>'Exhibit G State'!D102+'Exhibit G Federal'!D73</f>
        <v>398.4</v>
      </c>
      <c r="E102" s="287"/>
      <c r="F102" s="287"/>
      <c r="G102" s="287"/>
      <c r="H102" s="287"/>
      <c r="J102" s="287"/>
      <c r="L102" s="287"/>
      <c r="N102" s="287"/>
      <c r="P102" s="287"/>
      <c r="R102" s="287"/>
      <c r="S102" s="287"/>
      <c r="T102" s="287"/>
      <c r="U102" s="287"/>
      <c r="V102" s="287"/>
      <c r="W102" s="287"/>
      <c r="X102" s="287"/>
      <c r="Y102" s="287"/>
      <c r="Z102" s="287"/>
      <c r="AA102" s="287"/>
      <c r="AB102" s="264">
        <v>0</v>
      </c>
      <c r="AC102" s="264"/>
      <c r="AD102" s="524"/>
      <c r="AE102" s="264">
        <f>ROUND(SUM(D102:Z102),1)</f>
        <v>398.4</v>
      </c>
      <c r="AF102" s="264"/>
      <c r="AG102" s="524"/>
      <c r="AH102" s="287">
        <f>'Exhibit G State'!AF102+'Exhibit G Federal'!AF73</f>
        <v>385.5</v>
      </c>
      <c r="AI102" s="520"/>
      <c r="AJ102" s="264"/>
      <c r="AK102" s="264">
        <f>ROUND(SUM(+AE102-AH102),1)</f>
        <v>12.9</v>
      </c>
      <c r="AL102" s="11"/>
      <c r="AM102" s="266">
        <f>ROUND(IF(AH102=0,0,AK102/ABS(AH102)),3)</f>
        <v>3.3000000000000002E-2</v>
      </c>
      <c r="AN102" s="406"/>
    </row>
    <row r="103" spans="1:40" ht="15" customHeight="1">
      <c r="A103" s="291"/>
      <c r="B103" s="291" t="s">
        <v>511</v>
      </c>
      <c r="C103" s="291"/>
      <c r="D103" s="287">
        <f>'Exhibit G State'!D103+'Exhibit G Federal'!D74</f>
        <v>34.5</v>
      </c>
      <c r="E103" s="287"/>
      <c r="F103" s="287"/>
      <c r="G103" s="287"/>
      <c r="H103" s="287"/>
      <c r="J103" s="287"/>
      <c r="L103" s="287"/>
      <c r="N103" s="287"/>
      <c r="P103" s="287"/>
      <c r="R103" s="287"/>
      <c r="S103" s="287"/>
      <c r="T103" s="287"/>
      <c r="U103" s="287"/>
      <c r="V103" s="287"/>
      <c r="W103" s="287"/>
      <c r="X103" s="287"/>
      <c r="Y103" s="287"/>
      <c r="Z103" s="287"/>
      <c r="AA103" s="287"/>
      <c r="AB103" s="264">
        <v>0</v>
      </c>
      <c r="AC103" s="264"/>
      <c r="AD103" s="524"/>
      <c r="AE103" s="264">
        <f>ROUND(SUM(D103:Z103),1)</f>
        <v>34.5</v>
      </c>
      <c r="AF103" s="264"/>
      <c r="AG103" s="524"/>
      <c r="AH103" s="287">
        <f>'Exhibit G State'!AF103+'Exhibit G Federal'!AF74</f>
        <v>45.5</v>
      </c>
      <c r="AI103" s="520"/>
      <c r="AJ103" s="264"/>
      <c r="AK103" s="264">
        <f>ROUND(SUM(+AE103-AH103),1)</f>
        <v>-11</v>
      </c>
      <c r="AL103" s="11"/>
      <c r="AM103" s="266">
        <f>ROUND(IF(AH103=0,0,AK103/ABS(AH103)),3)</f>
        <v>-0.24199999999999999</v>
      </c>
      <c r="AN103" s="406"/>
    </row>
    <row r="104" spans="1:40" ht="15" customHeight="1">
      <c r="A104" s="291"/>
      <c r="B104" s="62" t="s">
        <v>1428</v>
      </c>
      <c r="C104" s="291"/>
      <c r="D104" s="287"/>
      <c r="E104" s="287"/>
      <c r="F104" s="287"/>
      <c r="G104" s="287"/>
      <c r="H104" s="287"/>
      <c r="J104" s="287"/>
      <c r="L104" s="287"/>
      <c r="N104" s="287"/>
      <c r="P104" s="287"/>
      <c r="R104" s="287"/>
      <c r="S104" s="287"/>
      <c r="T104" s="287"/>
      <c r="U104" s="287"/>
      <c r="V104" s="287"/>
      <c r="W104" s="287"/>
      <c r="X104" s="287"/>
      <c r="Y104" s="287"/>
      <c r="Z104" s="287"/>
      <c r="AA104" s="287"/>
      <c r="AB104" s="264"/>
      <c r="AC104" s="264"/>
      <c r="AD104" s="524"/>
      <c r="AE104" s="264"/>
      <c r="AF104" s="264"/>
      <c r="AG104" s="524"/>
      <c r="AH104" s="287"/>
      <c r="AI104" s="520"/>
      <c r="AJ104" s="264"/>
      <c r="AK104" s="264"/>
      <c r="AL104" s="11"/>
      <c r="AM104" s="266"/>
      <c r="AN104" s="406"/>
    </row>
    <row r="105" spans="1:40" ht="15" customHeight="1">
      <c r="A105" s="291"/>
      <c r="B105" s="62" t="s">
        <v>1467</v>
      </c>
      <c r="C105" s="291"/>
      <c r="D105" s="287">
        <f>'Exhibit G Federal'!D76</f>
        <v>0</v>
      </c>
      <c r="E105" s="287"/>
      <c r="F105" s="287"/>
      <c r="G105" s="287"/>
      <c r="H105" s="287"/>
      <c r="J105" s="287"/>
      <c r="L105" s="287"/>
      <c r="N105" s="287"/>
      <c r="P105" s="287"/>
      <c r="R105" s="287"/>
      <c r="S105" s="287"/>
      <c r="T105" s="287"/>
      <c r="U105" s="287"/>
      <c r="V105" s="287"/>
      <c r="W105" s="287"/>
      <c r="X105" s="287"/>
      <c r="Y105" s="287"/>
      <c r="Z105" s="287"/>
      <c r="AA105" s="287"/>
      <c r="AB105" s="264">
        <v>0</v>
      </c>
      <c r="AC105" s="264"/>
      <c r="AD105" s="524"/>
      <c r="AE105" s="264">
        <f>ROUND(SUM(D105:Z105),1)</f>
        <v>0</v>
      </c>
      <c r="AF105" s="264"/>
      <c r="AG105" s="524"/>
      <c r="AH105" s="287">
        <f>'Exhibit G Federal'!AF76</f>
        <v>0</v>
      </c>
      <c r="AI105" s="520"/>
      <c r="AJ105" s="264"/>
      <c r="AK105" s="264">
        <f>ROUND(SUM(+AE105-AH105),1)</f>
        <v>0</v>
      </c>
      <c r="AL105" s="11"/>
      <c r="AM105" s="266">
        <f>ROUND(IF(AH105=0,0,AK105/ABS(AH105)),3)</f>
        <v>0</v>
      </c>
      <c r="AN105" s="406"/>
    </row>
    <row r="106" spans="1:40" ht="15" customHeight="1">
      <c r="A106" s="291"/>
      <c r="B106" s="291" t="s">
        <v>513</v>
      </c>
      <c r="C106" s="291"/>
      <c r="D106" s="287">
        <f>'Exhibit G State'!D104+'Exhibit G Federal'!D77</f>
        <v>0</v>
      </c>
      <c r="E106" s="287"/>
      <c r="F106" s="287"/>
      <c r="G106" s="287"/>
      <c r="H106" s="287"/>
      <c r="J106" s="287"/>
      <c r="L106" s="287"/>
      <c r="N106" s="287"/>
      <c r="P106" s="287"/>
      <c r="R106" s="287"/>
      <c r="S106" s="287"/>
      <c r="T106" s="287"/>
      <c r="U106" s="287"/>
      <c r="V106" s="287"/>
      <c r="W106" s="287"/>
      <c r="X106" s="287"/>
      <c r="Y106" s="287"/>
      <c r="Z106" s="287"/>
      <c r="AA106" s="287"/>
      <c r="AB106" s="383">
        <v>0</v>
      </c>
      <c r="AC106" s="1537"/>
      <c r="AD106" s="524"/>
      <c r="AE106" s="264">
        <f>ROUND(SUM(D106:Z106),1)</f>
        <v>0</v>
      </c>
      <c r="AF106" s="264"/>
      <c r="AG106" s="524"/>
      <c r="AH106" s="287">
        <f>'Exhibit G State'!AF104+'Exhibit G Federal'!AF77</f>
        <v>0</v>
      </c>
      <c r="AI106" s="520"/>
      <c r="AJ106" s="264"/>
      <c r="AK106" s="264">
        <f>ROUND(SUM(+AE106-AH106),1)</f>
        <v>0</v>
      </c>
      <c r="AL106" s="11"/>
      <c r="AM106" s="266">
        <f>ROUND(IF(AH106=0,0,AK106/ABS(AH106)),3)</f>
        <v>0</v>
      </c>
      <c r="AN106" s="406"/>
    </row>
    <row r="107" spans="1:40" ht="15" customHeight="1">
      <c r="A107" s="291"/>
      <c r="B107" s="291"/>
      <c r="C107" s="291"/>
      <c r="D107" s="616"/>
      <c r="F107" s="616"/>
      <c r="H107" s="616"/>
      <c r="J107" s="616"/>
      <c r="L107" s="616"/>
      <c r="N107" s="616"/>
      <c r="P107" s="616"/>
      <c r="R107" s="616"/>
      <c r="T107" s="616"/>
      <c r="V107" s="616"/>
      <c r="X107" s="616"/>
      <c r="Z107" s="616"/>
      <c r="AA107" s="264"/>
      <c r="AB107" s="264"/>
      <c r="AC107" s="1537"/>
      <c r="AD107" s="524"/>
      <c r="AE107" s="616"/>
      <c r="AF107" s="264"/>
      <c r="AG107" s="524"/>
      <c r="AH107" s="616"/>
      <c r="AI107" s="520"/>
      <c r="AJ107" s="264"/>
      <c r="AK107" s="1037"/>
      <c r="AL107" s="364"/>
      <c r="AM107" s="1038"/>
      <c r="AN107" s="406"/>
    </row>
    <row r="108" spans="1:40" ht="15" customHeight="1">
      <c r="A108" s="291"/>
      <c r="B108" s="3" t="s">
        <v>457</v>
      </c>
      <c r="C108" s="291"/>
      <c r="D108" s="13">
        <f>ROUND(SUM(D99:D106),1)</f>
        <v>9213.2000000000007</v>
      </c>
      <c r="F108" s="13">
        <f>ROUND(SUM(F99:F106),1)</f>
        <v>0</v>
      </c>
      <c r="H108" s="13">
        <f>ROUND(SUM(H99:H106),1)</f>
        <v>0</v>
      </c>
      <c r="J108" s="13">
        <f>ROUND(SUM(J99:J106),1)</f>
        <v>0</v>
      </c>
      <c r="L108" s="13">
        <f>ROUND(SUM(L99:L106),1)</f>
        <v>0</v>
      </c>
      <c r="N108" s="13">
        <f>ROUND(SUM(N99:N106),1)</f>
        <v>0</v>
      </c>
      <c r="P108" s="13">
        <f>ROUND(SUM(P99:P106),1)</f>
        <v>0</v>
      </c>
      <c r="R108" s="13">
        <f>ROUND(SUM(R99:R106),1)</f>
        <v>0</v>
      </c>
      <c r="T108" s="13">
        <f>ROUND(SUM(T99:T106),1)</f>
        <v>0</v>
      </c>
      <c r="V108" s="13">
        <f>ROUND(SUM(V99:V106),1)</f>
        <v>0</v>
      </c>
      <c r="X108" s="13">
        <f>ROUND(SUM(X99:X106),1)</f>
        <v>0</v>
      </c>
      <c r="Z108" s="13">
        <f>ROUND(SUM(Z99:Z106),1)</f>
        <v>0</v>
      </c>
      <c r="AA108" s="13"/>
      <c r="AB108" s="357">
        <v>0</v>
      </c>
      <c r="AC108" s="1538"/>
      <c r="AD108" s="14"/>
      <c r="AE108" s="13">
        <f>ROUND(SUM(AE99:AE106),1)</f>
        <v>9213.2000000000007</v>
      </c>
      <c r="AF108" s="13"/>
      <c r="AG108" s="14"/>
      <c r="AH108" s="13">
        <f>ROUND(SUM(AH99:AH106),1)</f>
        <v>9184.9</v>
      </c>
      <c r="AI108" s="75"/>
      <c r="AJ108" s="13"/>
      <c r="AK108" s="357">
        <f>ROUND(SUM(AK99:AK106),1)</f>
        <v>28.3</v>
      </c>
      <c r="AL108" s="57"/>
      <c r="AM108" s="368">
        <f>ROUND(SUM(+AK108/AH108),3)</f>
        <v>3.0000000000000001E-3</v>
      </c>
      <c r="AN108" s="406"/>
    </row>
    <row r="109" spans="1:40" ht="15" customHeight="1">
      <c r="A109" s="291"/>
      <c r="B109" s="291"/>
      <c r="C109" s="291"/>
      <c r="D109" s="616"/>
      <c r="F109" s="616"/>
      <c r="H109" s="616"/>
      <c r="J109" s="616"/>
      <c r="L109" s="616"/>
      <c r="N109" s="616"/>
      <c r="P109" s="616"/>
      <c r="R109" s="616"/>
      <c r="T109" s="616"/>
      <c r="V109" s="616"/>
      <c r="X109" s="616"/>
      <c r="Z109" s="616"/>
      <c r="AA109" s="264"/>
      <c r="AB109" s="264"/>
      <c r="AC109" s="1537"/>
      <c r="AD109" s="524"/>
      <c r="AE109" s="616"/>
      <c r="AF109" s="264"/>
      <c r="AG109" s="524"/>
      <c r="AH109" s="616"/>
      <c r="AI109" s="520"/>
      <c r="AJ109" s="264"/>
      <c r="AK109" s="264"/>
      <c r="AL109" s="364"/>
      <c r="AM109" s="283"/>
      <c r="AN109" s="406"/>
    </row>
    <row r="110" spans="1:40" ht="15" customHeight="1">
      <c r="A110" s="291"/>
      <c r="B110" s="3" t="s">
        <v>458</v>
      </c>
      <c r="C110" s="291"/>
      <c r="D110" s="264"/>
      <c r="F110" s="264"/>
      <c r="H110" s="264"/>
      <c r="J110" s="264"/>
      <c r="L110" s="264"/>
      <c r="N110" s="264"/>
      <c r="P110" s="264"/>
      <c r="R110" s="264"/>
      <c r="T110" s="264"/>
      <c r="V110" s="264"/>
      <c r="X110" s="264"/>
      <c r="Z110" s="264"/>
      <c r="AA110" s="264"/>
      <c r="AB110" s="264"/>
      <c r="AC110" s="1537"/>
      <c r="AD110" s="524"/>
      <c r="AE110" s="264" t="s">
        <v>514</v>
      </c>
      <c r="AF110" s="883"/>
      <c r="AG110" s="884"/>
      <c r="AH110" s="264"/>
      <c r="AI110" s="889"/>
      <c r="AJ110" s="12"/>
      <c r="AK110" s="264"/>
      <c r="AL110" s="364"/>
      <c r="AM110" s="283"/>
      <c r="AN110" s="406"/>
    </row>
    <row r="111" spans="1:40" ht="15" customHeight="1">
      <c r="A111" s="291"/>
      <c r="B111" s="3" t="s">
        <v>144</v>
      </c>
      <c r="C111" s="291"/>
      <c r="D111" s="13">
        <f>ROUND(SUM(D85-D108),1)</f>
        <v>2458.6</v>
      </c>
      <c r="F111" s="13">
        <f>ROUND(SUM(F85-F108),1)</f>
        <v>0</v>
      </c>
      <c r="G111" s="13"/>
      <c r="H111" s="13">
        <f>ROUND(SUM(H85-H108),1)</f>
        <v>0</v>
      </c>
      <c r="J111" s="13">
        <f>ROUND(SUM(J85-J108),1)</f>
        <v>0</v>
      </c>
      <c r="L111" s="13">
        <f>ROUND(SUM(L85-L108),1)</f>
        <v>0</v>
      </c>
      <c r="N111" s="13">
        <f>ROUND(SUM(N85-N108),1)</f>
        <v>0</v>
      </c>
      <c r="P111" s="13">
        <f>ROUND(SUM(P85-P108),1)</f>
        <v>0</v>
      </c>
      <c r="R111" s="13">
        <f>ROUND(SUM(R85-R108),1)</f>
        <v>0</v>
      </c>
      <c r="T111" s="13">
        <f>ROUND(SUM(T85-T108),1)</f>
        <v>0</v>
      </c>
      <c r="V111" s="13">
        <f>ROUND(SUM(V85-V108),1)</f>
        <v>0</v>
      </c>
      <c r="X111" s="13">
        <f>ROUND(SUM(X85-X108),1)</f>
        <v>0</v>
      </c>
      <c r="Z111" s="13">
        <f>ROUND(SUM(Z85-Z108),1)</f>
        <v>0</v>
      </c>
      <c r="AA111" s="13"/>
      <c r="AB111" s="357">
        <v>0</v>
      </c>
      <c r="AC111" s="1538"/>
      <c r="AD111" s="14"/>
      <c r="AE111" s="13">
        <f>ROUND(SUM(AE85-AE108),1)</f>
        <v>2458.6</v>
      </c>
      <c r="AF111" s="13"/>
      <c r="AG111" s="14"/>
      <c r="AH111" s="13">
        <f>ROUND(SUM(AH85-AH108),1)</f>
        <v>3638.9</v>
      </c>
      <c r="AI111" s="75"/>
      <c r="AJ111" s="13"/>
      <c r="AK111" s="357">
        <f>ROUND(SUM(AK85-AK108),1)</f>
        <v>-1180.3</v>
      </c>
      <c r="AL111" s="57"/>
      <c r="AM111" s="612">
        <f>ROUND(SUM(+AK111/ABS(AH111)),3)</f>
        <v>-0.32400000000000001</v>
      </c>
      <c r="AN111" s="406"/>
    </row>
    <row r="112" spans="1:40" ht="15" customHeight="1">
      <c r="A112" s="291"/>
      <c r="B112" s="291"/>
      <c r="C112" s="291"/>
      <c r="D112" s="616"/>
      <c r="F112" s="616"/>
      <c r="H112" s="616"/>
      <c r="J112" s="616"/>
      <c r="L112" s="616"/>
      <c r="N112" s="616"/>
      <c r="P112" s="616"/>
      <c r="R112" s="616"/>
      <c r="T112" s="616"/>
      <c r="V112" s="616"/>
      <c r="X112" s="616"/>
      <c r="Z112" s="616"/>
      <c r="AA112" s="264"/>
      <c r="AB112" s="264"/>
      <c r="AC112" s="1537"/>
      <c r="AD112" s="524"/>
      <c r="AE112" s="616"/>
      <c r="AF112" s="264"/>
      <c r="AG112" s="524"/>
      <c r="AH112" s="616"/>
      <c r="AI112" s="520"/>
      <c r="AJ112" s="264"/>
      <c r="AK112" s="264"/>
      <c r="AL112" s="364"/>
      <c r="AM112" s="283"/>
      <c r="AN112" s="406"/>
    </row>
    <row r="113" spans="1:40" ht="15" customHeight="1">
      <c r="A113" s="291"/>
      <c r="B113" s="3" t="s">
        <v>145</v>
      </c>
      <c r="C113" s="291"/>
      <c r="D113" s="264"/>
      <c r="F113" s="264"/>
      <c r="H113" s="264"/>
      <c r="J113" s="264"/>
      <c r="L113" s="264"/>
      <c r="N113" s="264"/>
      <c r="P113" s="264"/>
      <c r="R113" s="264"/>
      <c r="T113" s="264"/>
      <c r="V113" s="264"/>
      <c r="X113" s="264"/>
      <c r="Z113" s="264"/>
      <c r="AA113" s="264"/>
      <c r="AB113" s="264"/>
      <c r="AC113" s="1537"/>
      <c r="AD113" s="524"/>
      <c r="AE113" s="264"/>
      <c r="AF113" s="264"/>
      <c r="AG113" s="524"/>
      <c r="AH113" s="264"/>
      <c r="AI113" s="520"/>
      <c r="AJ113" s="264"/>
      <c r="AK113" s="264"/>
      <c r="AL113" s="364"/>
      <c r="AM113" s="283"/>
      <c r="AN113" s="406"/>
    </row>
    <row r="114" spans="1:40" s="1118" customFormat="1" ht="15" customHeight="1">
      <c r="A114" s="372"/>
      <c r="B114" s="1203" t="s">
        <v>515</v>
      </c>
      <c r="C114" s="1203"/>
      <c r="D114" s="1211">
        <f>+'Exhibit G State'!D112+'Exhibit G Federal'!D85</f>
        <v>243.1</v>
      </c>
      <c r="E114" s="1211"/>
      <c r="F114" s="1211"/>
      <c r="G114" s="1211"/>
      <c r="H114" s="1211"/>
      <c r="I114" s="1121"/>
      <c r="J114" s="1211"/>
      <c r="K114" s="1120"/>
      <c r="L114" s="1211"/>
      <c r="M114" s="1120"/>
      <c r="N114" s="1211"/>
      <c r="O114" s="1120"/>
      <c r="P114" s="1211"/>
      <c r="Q114" s="1120"/>
      <c r="R114" s="287"/>
      <c r="S114" s="1121"/>
      <c r="T114" s="287"/>
      <c r="U114" s="1122"/>
      <c r="V114" s="287"/>
      <c r="W114" s="1121"/>
      <c r="X114" s="287"/>
      <c r="Y114" s="1121"/>
      <c r="Z114" s="287"/>
      <c r="AA114" s="1123"/>
      <c r="AB114" s="1194">
        <v>-17.100000000000001</v>
      </c>
      <c r="AC114" s="1792"/>
      <c r="AD114" s="1124"/>
      <c r="AE114" s="1195">
        <f>ROUND(SUM(D114:AB114),1)</f>
        <v>226</v>
      </c>
      <c r="AF114" s="611"/>
      <c r="AG114" s="1124"/>
      <c r="AH114" s="1197">
        <f>'Exhibit G State'!AF112+'Exhibit G Federal'!AF85-7.1</f>
        <v>372.29999999999995</v>
      </c>
      <c r="AI114" s="1126"/>
      <c r="AJ114" s="611"/>
      <c r="AK114" s="883">
        <f>ROUND(SUM(+AE114-AH114),1)</f>
        <v>-146.30000000000001</v>
      </c>
      <c r="AL114" s="1127"/>
      <c r="AM114" s="266">
        <f>ROUND(IF(AH114=0,0,AK114/ABS(AH114)),3)</f>
        <v>-0.39300000000000002</v>
      </c>
      <c r="AN114" s="1497"/>
    </row>
    <row r="115" spans="1:40" ht="15" customHeight="1">
      <c r="A115" s="291"/>
      <c r="B115" s="291" t="s">
        <v>516</v>
      </c>
      <c r="C115" s="291"/>
      <c r="D115" s="1039">
        <f>+'Exhibit G State'!D113+'Exhibit G Federal'!D86</f>
        <v>-275.39999999999998</v>
      </c>
      <c r="E115" s="1039"/>
      <c r="F115" s="1039"/>
      <c r="G115" s="1039"/>
      <c r="H115" s="1039"/>
      <c r="J115" s="1211"/>
      <c r="L115" s="1039"/>
      <c r="N115" s="1039"/>
      <c r="P115" s="1039"/>
      <c r="R115" s="287"/>
      <c r="S115" s="1039"/>
      <c r="T115" s="287"/>
      <c r="U115" s="1040"/>
      <c r="V115" s="287"/>
      <c r="W115" s="1039"/>
      <c r="X115" s="287"/>
      <c r="Y115" s="1039"/>
      <c r="Z115" s="287"/>
      <c r="AA115" s="288"/>
      <c r="AB115" s="986">
        <v>17.100000000000001</v>
      </c>
      <c r="AC115" s="1793"/>
      <c r="AD115" s="524"/>
      <c r="AE115" s="264">
        <f>ROUND(SUM(D115:AB115),1)</f>
        <v>-258.3</v>
      </c>
      <c r="AF115" s="264"/>
      <c r="AG115" s="524"/>
      <c r="AH115" s="287">
        <f>'Exhibit G State'!AF113+'Exhibit G Federal'!AF86+7.1</f>
        <v>-195.4</v>
      </c>
      <c r="AI115" s="520"/>
      <c r="AJ115" s="264"/>
      <c r="AK115" s="264">
        <f>ROUND(SUM(+AE115-AH115)*-1,1)</f>
        <v>62.9</v>
      </c>
      <c r="AL115" s="11"/>
      <c r="AM115" s="266">
        <f>ROUND(IF(AH115=0,0,AK115/ABS(AH115)),3)</f>
        <v>0.32200000000000001</v>
      </c>
      <c r="AN115" s="1497"/>
    </row>
    <row r="116" spans="1:40" ht="15" customHeight="1">
      <c r="A116" s="291"/>
      <c r="B116" s="291"/>
      <c r="C116" s="291"/>
      <c r="D116" s="616"/>
      <c r="F116" s="616"/>
      <c r="H116" s="616"/>
      <c r="J116" s="616"/>
      <c r="L116" s="616"/>
      <c r="N116" s="616"/>
      <c r="P116" s="616"/>
      <c r="R116" s="616"/>
      <c r="T116" s="616"/>
      <c r="V116" s="616"/>
      <c r="X116" s="616"/>
      <c r="Z116" s="616"/>
      <c r="AA116" s="264"/>
      <c r="AB116" s="264"/>
      <c r="AC116" s="1537"/>
      <c r="AD116" s="524"/>
      <c r="AE116" s="616"/>
      <c r="AF116" s="264"/>
      <c r="AG116" s="524"/>
      <c r="AH116" s="616"/>
      <c r="AI116" s="520"/>
      <c r="AJ116" s="264"/>
      <c r="AK116" s="1037"/>
      <c r="AL116" s="364"/>
      <c r="AM116" s="1038"/>
      <c r="AN116" s="406"/>
    </row>
    <row r="117" spans="1:40" ht="15" customHeight="1">
      <c r="A117" s="291"/>
      <c r="B117" s="3" t="s">
        <v>517</v>
      </c>
      <c r="C117" s="291"/>
      <c r="D117" s="13">
        <f>ROUND(SUM(D114:D115),1)</f>
        <v>-32.299999999999997</v>
      </c>
      <c r="F117" s="13">
        <f>ROUND(SUM(F114:F115),1)</f>
        <v>0</v>
      </c>
      <c r="H117" s="13">
        <f>ROUND(SUM(H114:H115),1)</f>
        <v>0</v>
      </c>
      <c r="J117" s="13">
        <f>ROUND(SUM(J114:J115),1)</f>
        <v>0</v>
      </c>
      <c r="L117" s="13">
        <f>ROUND(SUM(L114:L115),1)</f>
        <v>0</v>
      </c>
      <c r="N117" s="13">
        <f>ROUND(SUM(N114:N115),1)</f>
        <v>0</v>
      </c>
      <c r="P117" s="13">
        <f>ROUND(SUM(P114:P115),1)</f>
        <v>0</v>
      </c>
      <c r="R117" s="13">
        <f>ROUND(SUM(R114:R115),1)</f>
        <v>0</v>
      </c>
      <c r="T117" s="13">
        <f>ROUND(SUM(T114:T115),1)</f>
        <v>0</v>
      </c>
      <c r="V117" s="13">
        <f>ROUND(SUM(V114:V115),1)</f>
        <v>0</v>
      </c>
      <c r="X117" s="13">
        <f>ROUND(SUM(X114:X115),1)</f>
        <v>0</v>
      </c>
      <c r="Z117" s="13">
        <f>ROUND(SUM(Z114:Z115),1)</f>
        <v>0</v>
      </c>
      <c r="AA117" s="13"/>
      <c r="AB117" s="357">
        <f>ROUND(SUM(AB114:AB115),1)</f>
        <v>0</v>
      </c>
      <c r="AC117" s="1538"/>
      <c r="AD117" s="14"/>
      <c r="AE117" s="13">
        <f>ROUND(SUM(AE114:AE115),1)</f>
        <v>-32.299999999999997</v>
      </c>
      <c r="AF117" s="13"/>
      <c r="AG117" s="14"/>
      <c r="AH117" s="13">
        <f>ROUND(SUM(AH114:AH115),1)</f>
        <v>176.9</v>
      </c>
      <c r="AI117" s="75"/>
      <c r="AJ117" s="13"/>
      <c r="AK117" s="357">
        <f>ROUND(SUM(AE117-AH117),1)</f>
        <v>-209.2</v>
      </c>
      <c r="AL117" s="40"/>
      <c r="AM117" s="368">
        <f>ROUND(SUM(+AK117/AH117),3)</f>
        <v>-1.1830000000000001</v>
      </c>
      <c r="AN117" s="406"/>
    </row>
    <row r="118" spans="1:40" ht="15" customHeight="1">
      <c r="A118" s="291"/>
      <c r="B118" s="291"/>
      <c r="C118" s="291"/>
      <c r="D118" s="616"/>
      <c r="F118" s="616"/>
      <c r="H118" s="616"/>
      <c r="J118" s="616"/>
      <c r="L118" s="616"/>
      <c r="N118" s="616"/>
      <c r="P118" s="616"/>
      <c r="R118" s="616"/>
      <c r="T118" s="616"/>
      <c r="V118" s="616"/>
      <c r="X118" s="616"/>
      <c r="Z118" s="616"/>
      <c r="AA118" s="264"/>
      <c r="AB118" s="264"/>
      <c r="AC118" s="1537"/>
      <c r="AD118" s="524"/>
      <c r="AE118" s="616"/>
      <c r="AF118" s="264"/>
      <c r="AG118" s="524"/>
      <c r="AH118" s="616"/>
      <c r="AI118" s="520"/>
      <c r="AJ118" s="264"/>
      <c r="AK118" s="264"/>
      <c r="AL118" s="364"/>
      <c r="AM118" s="283"/>
      <c r="AN118" s="406"/>
    </row>
    <row r="119" spans="1:40" ht="15" customHeight="1">
      <c r="A119" s="291"/>
      <c r="B119" s="3" t="s">
        <v>469</v>
      </c>
      <c r="C119" s="291"/>
      <c r="D119" s="264"/>
      <c r="F119" s="264"/>
      <c r="H119" s="264"/>
      <c r="J119" s="264"/>
      <c r="L119" s="264"/>
      <c r="N119" s="264"/>
      <c r="P119" s="264"/>
      <c r="R119" s="264"/>
      <c r="T119" s="264"/>
      <c r="V119" s="264"/>
      <c r="X119" s="264"/>
      <c r="Z119" s="264"/>
      <c r="AA119" s="264"/>
      <c r="AB119" s="264"/>
      <c r="AC119" s="1537"/>
      <c r="AD119" s="524"/>
      <c r="AE119" s="264"/>
      <c r="AF119" s="264"/>
      <c r="AG119" s="524"/>
      <c r="AH119" s="264"/>
      <c r="AI119" s="520"/>
      <c r="AJ119" s="264"/>
      <c r="AK119" s="264"/>
      <c r="AL119" s="364"/>
      <c r="AM119" s="283"/>
      <c r="AN119" s="406"/>
    </row>
    <row r="120" spans="1:40" ht="15" customHeight="1">
      <c r="A120" s="291"/>
      <c r="B120" s="3" t="s">
        <v>1455</v>
      </c>
      <c r="C120" s="291"/>
      <c r="D120" s="264"/>
      <c r="F120" s="264"/>
      <c r="H120" s="264"/>
      <c r="J120" s="264"/>
      <c r="L120" s="264"/>
      <c r="N120" s="264"/>
      <c r="P120" s="264"/>
      <c r="R120" s="264"/>
      <c r="T120" s="264"/>
      <c r="V120" s="264"/>
      <c r="X120" s="264"/>
      <c r="Z120" s="264"/>
      <c r="AA120" s="264"/>
      <c r="AB120" s="264"/>
      <c r="AC120" s="1537"/>
      <c r="AD120" s="524"/>
      <c r="AE120" s="264"/>
      <c r="AF120" s="264"/>
      <c r="AG120" s="524"/>
      <c r="AH120" s="264"/>
      <c r="AI120" s="520"/>
      <c r="AJ120" s="264"/>
      <c r="AK120" s="264"/>
      <c r="AL120" s="364"/>
      <c r="AM120" s="283"/>
      <c r="AN120" s="406"/>
    </row>
    <row r="121" spans="1:40" ht="15" customHeight="1">
      <c r="A121" s="291"/>
      <c r="B121" s="3" t="s">
        <v>518</v>
      </c>
      <c r="C121" s="291"/>
      <c r="D121" s="13">
        <f>ROUND(SUM(D111+D117),1)</f>
        <v>2426.3000000000002</v>
      </c>
      <c r="F121" s="13">
        <f>ROUND(SUM(F111+F117),1)</f>
        <v>0</v>
      </c>
      <c r="H121" s="13">
        <f>ROUND(SUM(H111+H117),1)</f>
        <v>0</v>
      </c>
      <c r="J121" s="13">
        <f>ROUND(SUM(J111+J117),1)</f>
        <v>0</v>
      </c>
      <c r="L121" s="13">
        <f>ROUND(SUM(L111+L117),1)</f>
        <v>0</v>
      </c>
      <c r="N121" s="13">
        <f>ROUND(SUM(N111+N117),1)</f>
        <v>0</v>
      </c>
      <c r="P121" s="13">
        <f>ROUND(SUM(P111+P117),1)</f>
        <v>0</v>
      </c>
      <c r="R121" s="13">
        <f>ROUND(SUM(R111+R117),1)</f>
        <v>0</v>
      </c>
      <c r="T121" s="13">
        <f>ROUND(SUM(T111+T117),1)</f>
        <v>0</v>
      </c>
      <c r="V121" s="13">
        <f>ROUND(SUM(V111+V117),1)</f>
        <v>0</v>
      </c>
      <c r="X121" s="13">
        <f>ROUND(SUM(X111+X117),1)</f>
        <v>0</v>
      </c>
      <c r="Z121" s="13">
        <f>ROUND(SUM(Z111+Z117),1)</f>
        <v>0</v>
      </c>
      <c r="AA121" s="13"/>
      <c r="AB121" s="357">
        <f>ROUND(SUM(AB111+AB117),1)</f>
        <v>0</v>
      </c>
      <c r="AC121" s="1538"/>
      <c r="AD121" s="14"/>
      <c r="AE121" s="13">
        <f>ROUND(SUM(AE111+AE117),1)</f>
        <v>2426.3000000000002</v>
      </c>
      <c r="AF121" s="13"/>
      <c r="AG121" s="14"/>
      <c r="AH121" s="13">
        <f>ROUND(SUM(AH111+AH117),1)</f>
        <v>3815.8</v>
      </c>
      <c r="AI121" s="75"/>
      <c r="AJ121" s="13"/>
      <c r="AK121" s="357">
        <f>ROUND(SUM(AE121-AH121),1)</f>
        <v>-1389.5</v>
      </c>
      <c r="AL121" s="57"/>
      <c r="AM121" s="612">
        <f>ROUND(SUM(AK121/ABS(AH121)),3)</f>
        <v>-0.36399999999999999</v>
      </c>
      <c r="AN121" s="406"/>
    </row>
    <row r="122" spans="1:40" ht="15" customHeight="1">
      <c r="A122" s="291"/>
      <c r="B122" s="291"/>
      <c r="C122" s="291"/>
      <c r="D122" s="989"/>
      <c r="F122" s="989"/>
      <c r="H122" s="989"/>
      <c r="J122" s="989"/>
      <c r="L122" s="989"/>
      <c r="N122" s="989"/>
      <c r="P122" s="989"/>
      <c r="R122" s="989"/>
      <c r="T122" s="989"/>
      <c r="V122" s="989"/>
      <c r="X122" s="989"/>
      <c r="Z122" s="989"/>
      <c r="AA122" s="364"/>
      <c r="AB122" s="364"/>
      <c r="AC122" s="1539"/>
      <c r="AD122" s="1033"/>
      <c r="AE122" s="989"/>
      <c r="AF122" s="364"/>
      <c r="AG122" s="1033"/>
      <c r="AH122" s="989"/>
      <c r="AI122" s="1034"/>
      <c r="AJ122" s="364"/>
      <c r="AK122" s="364"/>
      <c r="AL122" s="364"/>
      <c r="AM122" s="283"/>
      <c r="AN122" s="406"/>
    </row>
    <row r="123" spans="1:40" ht="15" customHeight="1" thickBot="1">
      <c r="A123" s="291"/>
      <c r="B123" s="3" t="s">
        <v>519</v>
      </c>
      <c r="C123" s="291"/>
      <c r="D123" s="20">
        <f>ROUND(SUM(D13+D121),1)</f>
        <v>23634.9</v>
      </c>
      <c r="F123" s="20">
        <f>ROUND(SUM(F13+F121),1)</f>
        <v>0</v>
      </c>
      <c r="H123" s="20">
        <f>ROUND(SUM(H13+H121),1)</f>
        <v>0</v>
      </c>
      <c r="J123" s="20">
        <f>ROUND(SUM(J13+J121),1)</f>
        <v>0</v>
      </c>
      <c r="L123" s="20">
        <f>ROUND(SUM(L13+L121),1)</f>
        <v>0</v>
      </c>
      <c r="N123" s="20">
        <f>ROUND(SUM(N13+N121),1)</f>
        <v>0</v>
      </c>
      <c r="P123" s="20">
        <f>ROUND(SUM(P13+P121),1)</f>
        <v>0</v>
      </c>
      <c r="R123" s="20">
        <f>ROUND(SUM(R13+R121),1)</f>
        <v>0</v>
      </c>
      <c r="T123" s="20">
        <f>ROUND(SUM(T13+T121),1)</f>
        <v>0</v>
      </c>
      <c r="V123" s="20">
        <f>ROUND(SUM(V13+V121),1)</f>
        <v>0</v>
      </c>
      <c r="X123" s="20">
        <f>ROUND(SUM(X13+X121),1)</f>
        <v>0</v>
      </c>
      <c r="Z123" s="20">
        <f>ROUND(SUM(Z13+Z121),1)</f>
        <v>0</v>
      </c>
      <c r="AA123" s="20"/>
      <c r="AB123" s="1536">
        <f>ROUND(SUM(AB13+AB121),1)</f>
        <v>0</v>
      </c>
      <c r="AC123" s="1540"/>
      <c r="AD123" s="21"/>
      <c r="AE123" s="20">
        <f>ROUND(SUM(AE13+AE121),1)</f>
        <v>23634.9</v>
      </c>
      <c r="AF123" s="20"/>
      <c r="AG123" s="21"/>
      <c r="AH123" s="70">
        <f>ROUND(SUM(AH13+AH121),1)</f>
        <v>21935</v>
      </c>
      <c r="AI123" s="73"/>
      <c r="AJ123" s="20"/>
      <c r="AK123" s="70">
        <f>ROUND(SUM(AE123-AH123),1)</f>
        <v>1699.9</v>
      </c>
      <c r="AL123" s="45"/>
      <c r="AM123" s="77">
        <f>ROUND(SUM(+AK123/AH123),3)</f>
        <v>7.6999999999999999E-2</v>
      </c>
      <c r="AN123" s="406"/>
    </row>
    <row r="124" spans="1:40" ht="15" customHeight="1" thickTop="1">
      <c r="A124" s="291"/>
      <c r="B124" s="291"/>
      <c r="C124" s="291"/>
      <c r="D124" s="1041"/>
      <c r="F124" s="1041"/>
      <c r="H124" s="1041"/>
      <c r="J124" s="1041"/>
      <c r="L124" s="1041"/>
      <c r="N124" s="1041"/>
      <c r="P124" s="1041"/>
      <c r="R124" s="1041"/>
      <c r="T124" s="1041"/>
      <c r="V124" s="1041"/>
      <c r="X124" s="1041"/>
      <c r="Z124" s="1041"/>
      <c r="AA124" s="406"/>
      <c r="AB124" s="406"/>
      <c r="AC124" s="406"/>
      <c r="AD124" s="406"/>
      <c r="AE124" s="1041"/>
      <c r="AF124" s="406"/>
      <c r="AG124" s="406"/>
      <c r="AH124" s="406"/>
      <c r="AI124" s="406"/>
      <c r="AJ124" s="406"/>
      <c r="AK124" s="406"/>
      <c r="AL124" s="406"/>
      <c r="AM124" s="283"/>
      <c r="AN124" s="406"/>
    </row>
    <row r="125" spans="1:40" ht="15" customHeight="1">
      <c r="A125" s="291"/>
      <c r="B125" s="291"/>
      <c r="C125" s="291"/>
      <c r="D125" s="406"/>
      <c r="F125" s="406"/>
      <c r="H125" s="406"/>
      <c r="J125" s="406"/>
      <c r="L125" s="406"/>
      <c r="N125" s="406"/>
      <c r="P125" s="406"/>
      <c r="R125" s="406"/>
      <c r="T125" s="406"/>
      <c r="V125" s="406"/>
      <c r="X125" s="406"/>
      <c r="Z125" s="406"/>
      <c r="AA125" s="406"/>
      <c r="AB125" s="406" t="s">
        <v>103</v>
      </c>
      <c r="AC125" s="406"/>
      <c r="AD125" s="406"/>
      <c r="AE125" s="406"/>
      <c r="AF125" s="406"/>
      <c r="AG125" s="406"/>
      <c r="AH125" s="406"/>
      <c r="AI125" s="406"/>
      <c r="AJ125" s="406"/>
      <c r="AK125" s="406"/>
      <c r="AL125" s="406"/>
      <c r="AM125" s="283"/>
      <c r="AN125" s="406"/>
    </row>
    <row r="126" spans="1:40" ht="15" customHeight="1">
      <c r="A126" s="364"/>
      <c r="B126" s="364" t="s">
        <v>520</v>
      </c>
      <c r="C126" s="364"/>
      <c r="D126" s="406"/>
      <c r="F126" s="406"/>
      <c r="H126" s="406"/>
      <c r="J126" s="406"/>
      <c r="L126" s="406"/>
      <c r="N126" s="406"/>
      <c r="P126" s="406"/>
      <c r="R126" s="406"/>
      <c r="T126" s="406"/>
      <c r="V126" s="406"/>
      <c r="X126" s="406"/>
      <c r="Z126" s="406"/>
      <c r="AA126" s="406"/>
      <c r="AB126" s="406" t="s">
        <v>103</v>
      </c>
      <c r="AC126" s="406"/>
      <c r="AD126" s="406"/>
      <c r="AE126" s="406"/>
      <c r="AF126" s="406"/>
      <c r="AG126" s="406"/>
      <c r="AH126" s="406"/>
      <c r="AI126" s="406"/>
      <c r="AJ126" s="406"/>
      <c r="AK126" s="406"/>
      <c r="AL126" s="406"/>
      <c r="AM126" s="283"/>
      <c r="AN126" s="406"/>
    </row>
    <row r="127" spans="1:40" ht="15" customHeight="1">
      <c r="A127" s="364"/>
      <c r="B127" s="58"/>
      <c r="C127" s="364"/>
      <c r="D127" s="406"/>
      <c r="F127" s="406"/>
      <c r="H127" s="406"/>
      <c r="J127" s="406"/>
      <c r="L127" s="406"/>
      <c r="N127" s="406"/>
      <c r="P127" s="406"/>
      <c r="R127" s="406"/>
      <c r="T127" s="406"/>
      <c r="V127" s="406"/>
      <c r="X127" s="406"/>
      <c r="Z127" s="406"/>
      <c r="AA127" s="406"/>
      <c r="AB127" s="406"/>
      <c r="AC127" s="406"/>
      <c r="AD127" s="406"/>
      <c r="AE127" s="406"/>
      <c r="AF127" s="406"/>
      <c r="AG127" s="406"/>
      <c r="AH127" s="406"/>
      <c r="AI127" s="406"/>
      <c r="AJ127" s="406"/>
      <c r="AK127" s="406"/>
      <c r="AL127" s="406"/>
      <c r="AM127" s="283"/>
      <c r="AN127" s="406"/>
    </row>
    <row r="128" spans="1:40" ht="15" customHeight="1">
      <c r="H128" s="364"/>
      <c r="J128" s="364"/>
      <c r="L128" s="364"/>
      <c r="N128" s="364"/>
      <c r="P128" s="364"/>
      <c r="R128" s="364"/>
      <c r="T128" s="364"/>
      <c r="V128" s="364"/>
      <c r="X128" s="364"/>
      <c r="Z128" s="364"/>
      <c r="AA128" s="364"/>
      <c r="AB128" s="364"/>
      <c r="AC128" s="364"/>
      <c r="AD128" s="364"/>
      <c r="AE128" s="364"/>
      <c r="AF128" s="364"/>
      <c r="AG128" s="364"/>
      <c r="AH128" s="364"/>
      <c r="AI128" s="364"/>
      <c r="AJ128" s="364"/>
      <c r="AK128" s="364"/>
      <c r="AL128" s="364"/>
      <c r="AM128" s="283"/>
    </row>
  </sheetData>
  <mergeCells count="1">
    <mergeCell ref="AD9:AM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6" min="1" max="38" man="1"/>
  </rowBreaks>
  <customProperties>
    <customPr name="SheetOptions" r:id="rId2"/>
  </customProperties>
  <ignoredErrors>
    <ignoredError sqref="AM109:AM110 AM118:AM120 AM122 AM124 AM50:AM51 AM26 AM77:AM84 AM86:AM89 AM100:AM103 AM112:AM114 AM19:AM20 AM107 AM29:AM33 AM116 AM63 AM92 AM35:AM46 AM53:AM56 AM66:AM69 AM61 AM94:AM96 AM48 AM24" unlockedFormula="1"/>
    <ignoredError sqref="AM75:AM76 AM72 AM58 AM22" formula="1" unlockedFormula="1"/>
    <ignoredError sqref="AK23:AM23 AM73 AM71 AM65 AM34 AM25 AM21 AM9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J106"/>
  <sheetViews>
    <sheetView showGridLines="0" topLeftCell="A2" zoomScale="70" zoomScaleNormal="70" workbookViewId="0"/>
  </sheetViews>
  <sheetFormatPr defaultColWidth="8.84375" defaultRowHeight="10"/>
  <cols>
    <col min="1" max="1" width="35.07421875" style="1343" customWidth="1"/>
    <col min="2" max="2" width="9.07421875" style="1343" customWidth="1"/>
    <col min="3" max="3" width="5.53515625" style="1343" customWidth="1"/>
    <col min="4" max="4" width="12.84375" style="1343" bestFit="1" customWidth="1"/>
    <col min="5" max="5" width="1.84375" style="1343" customWidth="1"/>
    <col min="6" max="6" width="13.4609375" style="1343" customWidth="1"/>
    <col min="7" max="7" width="2.07421875" style="1343" customWidth="1"/>
    <col min="8" max="8" width="12.84375" style="1343" bestFit="1" customWidth="1"/>
    <col min="9" max="9" width="1.84375" style="1343" customWidth="1"/>
    <col min="10" max="10" width="13.84375" style="1343" customWidth="1"/>
    <col min="11" max="11" width="1.84375" style="1343" customWidth="1"/>
    <col min="12" max="12" width="11.84375" style="1343" customWidth="1"/>
    <col min="13" max="13" width="2" style="1343" customWidth="1"/>
    <col min="14" max="14" width="13.84375" style="1343" customWidth="1"/>
    <col min="15" max="15" width="1.84375" style="1343" customWidth="1"/>
    <col min="16" max="16" width="13" style="1343" customWidth="1"/>
    <col min="17" max="17" width="1.84375" style="1343" customWidth="1"/>
    <col min="18" max="18" width="13.07421875" style="1343" customWidth="1"/>
    <col min="19" max="21" width="1.07421875" style="1343" customWidth="1"/>
    <col min="22" max="22" width="12.84375" style="1343" bestFit="1" customWidth="1"/>
    <col min="23" max="23" width="1.84375" style="1343" customWidth="1"/>
    <col min="24" max="24" width="13.84375" style="1343" customWidth="1"/>
    <col min="25" max="27" width="1.07421875" style="1343" customWidth="1"/>
    <col min="28" max="28" width="12.07421875" style="1343" customWidth="1"/>
    <col min="29" max="29" width="1.84375" style="1343" customWidth="1"/>
    <col min="30" max="30" width="13.84375" style="1343" customWidth="1"/>
    <col min="31" max="32" width="1" style="1343" customWidth="1"/>
    <col min="33" max="33" width="13.07421875" style="1343" bestFit="1" customWidth="1"/>
    <col min="34" max="34" width="1.84375" style="1343" customWidth="1"/>
    <col min="35" max="35" width="12.84375" style="1344" customWidth="1"/>
    <col min="36" max="36" width="19.07421875" style="1962" customWidth="1"/>
    <col min="37" max="16384" width="8.84375" style="1345"/>
  </cols>
  <sheetData>
    <row r="1" spans="1:36" ht="15.5">
      <c r="A1" s="1342" t="s">
        <v>97</v>
      </c>
    </row>
    <row r="2" spans="1:36" ht="15.5">
      <c r="A2" s="1342"/>
    </row>
    <row r="3" spans="1:36" ht="20">
      <c r="A3" s="1346" t="s">
        <v>98</v>
      </c>
      <c r="B3" s="1347"/>
      <c r="C3" s="1347"/>
      <c r="D3" s="1347"/>
      <c r="E3" s="1347"/>
      <c r="F3" s="1347"/>
      <c r="G3" s="1347"/>
      <c r="H3" s="1347"/>
      <c r="I3" s="1347"/>
      <c r="J3" s="1347"/>
      <c r="K3" s="1347"/>
      <c r="L3" s="1347"/>
      <c r="M3" s="1347"/>
      <c r="N3" s="1347"/>
      <c r="O3" s="1347"/>
      <c r="P3" s="1347"/>
      <c r="Q3" s="1347"/>
      <c r="R3" s="1347"/>
      <c r="S3" s="1347"/>
      <c r="T3" s="1347"/>
      <c r="U3" s="1347"/>
      <c r="V3" s="1347"/>
      <c r="W3" s="1347"/>
      <c r="X3" s="1347"/>
      <c r="Y3" s="1347"/>
      <c r="Z3" s="1347"/>
      <c r="AA3" s="1347"/>
      <c r="AB3" s="1347"/>
      <c r="AC3" s="1347"/>
      <c r="AD3" s="1347"/>
      <c r="AE3" s="1347"/>
      <c r="AF3" s="1347"/>
      <c r="AG3" s="1347"/>
      <c r="AH3" s="1347"/>
      <c r="AI3" s="1348" t="s">
        <v>99</v>
      </c>
      <c r="AJ3" s="1963"/>
    </row>
    <row r="4" spans="1:36" ht="20.25" customHeight="1">
      <c r="A4" s="2001" t="s">
        <v>100</v>
      </c>
      <c r="B4" s="1193"/>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963"/>
    </row>
    <row r="5" spans="1:36" ht="20">
      <c r="A5" s="2001" t="s">
        <v>101</v>
      </c>
      <c r="B5" s="2002"/>
      <c r="C5" s="2002"/>
      <c r="D5" s="2002"/>
      <c r="E5" s="2002"/>
      <c r="F5" s="2002"/>
      <c r="G5" s="2002"/>
      <c r="H5" s="2002"/>
      <c r="I5" s="2002"/>
      <c r="J5" s="2002"/>
      <c r="K5" s="2002"/>
      <c r="L5" s="2002"/>
      <c r="M5" s="2002"/>
      <c r="N5" s="2002"/>
      <c r="O5" s="2002"/>
      <c r="P5" s="2002"/>
      <c r="Q5" s="2002"/>
      <c r="R5" s="2002"/>
      <c r="S5" s="2002"/>
      <c r="T5" s="2002"/>
      <c r="U5" s="2002"/>
      <c r="V5" s="2002"/>
      <c r="W5" s="2002"/>
      <c r="X5" s="2002"/>
      <c r="Y5" s="2002"/>
      <c r="Z5" s="2002"/>
      <c r="AA5" s="2002"/>
      <c r="AB5" s="2002"/>
      <c r="AC5" s="2002"/>
      <c r="AD5" s="2002"/>
      <c r="AE5" s="1193"/>
      <c r="AF5" s="1193"/>
      <c r="AG5" s="1193"/>
      <c r="AH5" s="1193"/>
      <c r="AI5" s="1193"/>
      <c r="AJ5" s="1963"/>
    </row>
    <row r="6" spans="1:36" ht="21" customHeight="1">
      <c r="A6" s="2001" t="s">
        <v>102</v>
      </c>
      <c r="B6" s="1193"/>
      <c r="C6" s="1193"/>
      <c r="D6" s="1193"/>
      <c r="E6" s="1193"/>
      <c r="F6" s="1193"/>
      <c r="G6" s="1193"/>
      <c r="H6" s="1193"/>
      <c r="I6" s="1193"/>
      <c r="J6" s="1193"/>
      <c r="K6" s="1193"/>
      <c r="L6" s="1193"/>
      <c r="M6" s="1193"/>
      <c r="N6" s="1193"/>
      <c r="O6" s="1193"/>
      <c r="P6" s="1193"/>
      <c r="Q6" s="1193"/>
      <c r="R6" s="1193"/>
      <c r="S6" s="1193"/>
      <c r="T6" s="1193"/>
      <c r="U6" s="1193"/>
      <c r="V6" s="1193"/>
      <c r="W6" s="1193"/>
      <c r="X6" s="1193"/>
      <c r="Y6" s="1193"/>
      <c r="Z6" s="1193"/>
      <c r="AA6" s="1193"/>
      <c r="AB6" s="1193"/>
      <c r="AC6" s="1193"/>
      <c r="AD6" s="1193"/>
      <c r="AE6" s="1193"/>
      <c r="AF6" s="1193"/>
      <c r="AG6" s="1193"/>
      <c r="AH6" s="1193"/>
      <c r="AI6" s="1193"/>
      <c r="AJ6" s="1963"/>
    </row>
    <row r="7" spans="1:36" ht="15.5">
      <c r="A7" s="1349"/>
      <c r="B7" s="1349"/>
      <c r="C7" s="1349"/>
      <c r="D7" s="1349"/>
      <c r="E7" s="1349"/>
      <c r="F7" s="1349"/>
      <c r="G7" s="1349"/>
      <c r="H7" s="1350"/>
      <c r="I7" s="1350"/>
      <c r="J7" s="1350"/>
      <c r="K7" s="1350"/>
      <c r="L7" s="1350"/>
      <c r="M7" s="1349"/>
      <c r="N7" s="1350"/>
      <c r="O7" s="1350"/>
      <c r="P7" s="1350"/>
      <c r="Q7" s="1350"/>
      <c r="R7" s="1350"/>
      <c r="S7" s="1349"/>
      <c r="T7" s="1349"/>
      <c r="U7" s="1349"/>
      <c r="V7" s="1349"/>
      <c r="W7" s="1349"/>
      <c r="X7" s="1349"/>
      <c r="Y7" s="1349"/>
      <c r="Z7" s="1349"/>
      <c r="AA7" s="1349"/>
      <c r="AB7" s="1349"/>
      <c r="AC7" s="1349"/>
      <c r="AD7" s="1351"/>
      <c r="AE7" s="1351"/>
      <c r="AF7" s="1351"/>
      <c r="AG7" s="1351"/>
      <c r="AJ7" s="1963"/>
    </row>
    <row r="8" spans="1:36" ht="16.399999999999999" customHeight="1">
      <c r="A8" s="1350"/>
      <c r="B8" s="1349"/>
      <c r="C8" s="1349"/>
      <c r="D8" s="1350"/>
      <c r="E8" s="1349"/>
      <c r="F8" s="1349"/>
      <c r="G8" s="1349"/>
      <c r="H8" s="1350"/>
      <c r="I8" s="1350"/>
      <c r="J8" s="1350"/>
      <c r="K8" s="1350"/>
      <c r="L8" s="1350"/>
      <c r="M8" s="1349"/>
      <c r="N8" s="1350"/>
      <c r="O8" s="1350"/>
      <c r="P8" s="1350"/>
      <c r="Q8" s="1350"/>
      <c r="R8" s="1350"/>
      <c r="S8" s="1349"/>
      <c r="T8" s="1349"/>
      <c r="U8" s="1349"/>
      <c r="V8" s="1349"/>
      <c r="W8" s="1349"/>
      <c r="X8" s="1349" t="s">
        <v>103</v>
      </c>
      <c r="Y8" s="1349"/>
      <c r="Z8" s="1349"/>
      <c r="AA8" s="1349"/>
      <c r="AB8" s="1349"/>
      <c r="AC8" s="1349"/>
      <c r="AD8" s="1352"/>
      <c r="AE8" s="1352"/>
      <c r="AF8" s="1353"/>
      <c r="AG8" s="1353"/>
      <c r="AI8" s="1342"/>
      <c r="AJ8" s="1963"/>
    </row>
    <row r="9" spans="1:36" ht="16.399999999999999" customHeight="1">
      <c r="A9" s="1349"/>
      <c r="B9" s="1349"/>
      <c r="C9" s="1349"/>
      <c r="D9" s="1349"/>
      <c r="E9" s="1349"/>
      <c r="F9" s="1349"/>
      <c r="G9" s="1349"/>
      <c r="H9" s="1350"/>
      <c r="I9" s="1350"/>
      <c r="J9" s="1350"/>
      <c r="K9" s="1350"/>
      <c r="L9" s="1350"/>
      <c r="M9" s="1349"/>
      <c r="N9" s="1350"/>
      <c r="O9" s="1350"/>
      <c r="P9" s="1350"/>
      <c r="Q9" s="1350"/>
      <c r="R9" s="1350"/>
      <c r="S9" s="1349"/>
      <c r="T9" s="1349"/>
      <c r="U9" s="1349"/>
      <c r="V9" s="1349"/>
      <c r="W9" s="1349"/>
      <c r="X9" s="1349"/>
      <c r="Y9" s="1349"/>
      <c r="Z9" s="1349"/>
      <c r="AA9" s="1349"/>
      <c r="AB9" s="1349"/>
      <c r="AC9" s="1349"/>
      <c r="AD9" s="1354"/>
      <c r="AE9" s="1354"/>
      <c r="AF9" s="1354"/>
      <c r="AG9" s="1354"/>
      <c r="AI9" s="1342"/>
      <c r="AJ9" s="1963"/>
    </row>
    <row r="10" spans="1:36" ht="16.399999999999999" customHeight="1">
      <c r="A10" s="1355"/>
      <c r="B10" s="1355"/>
      <c r="C10" s="1355"/>
      <c r="D10" s="1356" t="s">
        <v>104</v>
      </c>
      <c r="E10" s="1356"/>
      <c r="F10" s="1356"/>
      <c r="G10" s="1354"/>
      <c r="H10" s="1356" t="s">
        <v>105</v>
      </c>
      <c r="I10" s="1356"/>
      <c r="J10" s="1356"/>
      <c r="K10" s="1354"/>
      <c r="L10" s="1356" t="s">
        <v>106</v>
      </c>
      <c r="M10" s="1356"/>
      <c r="N10" s="1356"/>
      <c r="O10" s="1354"/>
      <c r="P10" s="1356" t="s">
        <v>107</v>
      </c>
      <c r="Q10" s="1356"/>
      <c r="R10" s="1356"/>
      <c r="S10" s="1354"/>
      <c r="T10" s="1354"/>
      <c r="U10" s="1354"/>
      <c r="V10" s="2052" t="s">
        <v>108</v>
      </c>
      <c r="W10" s="2053"/>
      <c r="X10" s="2053"/>
      <c r="Y10" s="2053"/>
      <c r="Z10" s="2053"/>
      <c r="AA10" s="2053"/>
      <c r="AB10" s="2053"/>
      <c r="AC10" s="2053"/>
      <c r="AD10" s="2053"/>
      <c r="AE10" s="2053"/>
      <c r="AF10" s="2053"/>
      <c r="AG10" s="2053"/>
      <c r="AH10" s="2053"/>
      <c r="AI10" s="2053"/>
      <c r="AJ10" s="1963"/>
    </row>
    <row r="11" spans="1:36" ht="16.399999999999999" customHeight="1">
      <c r="A11" s="1355"/>
      <c r="B11" s="1355"/>
      <c r="C11" s="1355"/>
      <c r="D11" s="1353" t="s">
        <v>109</v>
      </c>
      <c r="E11" s="1353"/>
      <c r="F11" s="1357" t="s">
        <v>1501</v>
      </c>
      <c r="G11" s="1353"/>
      <c r="H11" s="1353" t="s">
        <v>109</v>
      </c>
      <c r="I11" s="1353"/>
      <c r="J11" s="1353" t="str">
        <f>F11</f>
        <v>1 MO. ENDED</v>
      </c>
      <c r="K11" s="1353"/>
      <c r="L11" s="1353" t="s">
        <v>109</v>
      </c>
      <c r="M11" s="1353"/>
      <c r="N11" s="1353" t="str">
        <f>F11</f>
        <v>1 MO. ENDED</v>
      </c>
      <c r="O11" s="1353"/>
      <c r="P11" s="1353" t="s">
        <v>109</v>
      </c>
      <c r="Q11" s="1353"/>
      <c r="R11" s="1353" t="str">
        <f>J11</f>
        <v>1 MO. ENDED</v>
      </c>
      <c r="S11" s="1353"/>
      <c r="T11" s="1353"/>
      <c r="U11" s="1358"/>
      <c r="V11" s="1353" t="s">
        <v>109</v>
      </c>
      <c r="W11" s="1353"/>
      <c r="X11" s="1353" t="str">
        <f>F11</f>
        <v>1 MO. ENDED</v>
      </c>
      <c r="Y11" s="1353"/>
      <c r="Z11" s="1353"/>
      <c r="AA11" s="1353"/>
      <c r="AB11" s="1353" t="s">
        <v>109</v>
      </c>
      <c r="AC11" s="1353"/>
      <c r="AD11" s="1353" t="str">
        <f>F11</f>
        <v>1 MO. ENDED</v>
      </c>
      <c r="AE11" s="1353"/>
      <c r="AF11" s="1353"/>
      <c r="AG11" s="1353" t="s">
        <v>110</v>
      </c>
      <c r="AH11" s="1342"/>
      <c r="AI11" s="1353" t="s">
        <v>111</v>
      </c>
      <c r="AJ11" s="1963"/>
    </row>
    <row r="12" spans="1:36" ht="16.399999999999999" customHeight="1">
      <c r="A12" s="1355"/>
      <c r="B12" s="1355"/>
      <c r="C12" s="1355"/>
      <c r="D12" s="1815" t="s">
        <v>1500</v>
      </c>
      <c r="E12" s="1353"/>
      <c r="F12" s="1818" t="s">
        <v>1502</v>
      </c>
      <c r="G12" s="1353"/>
      <c r="H12" s="1360" t="str">
        <f>D12</f>
        <v>APR. 2026</v>
      </c>
      <c r="I12" s="1353"/>
      <c r="J12" s="1360" t="str">
        <f>F12</f>
        <v>APR. 30, 2026</v>
      </c>
      <c r="K12" s="1353"/>
      <c r="L12" s="1360" t="str">
        <f>D12</f>
        <v>APR. 2026</v>
      </c>
      <c r="M12" s="1353"/>
      <c r="N12" s="1360" t="str">
        <f>F12</f>
        <v>APR. 30, 2026</v>
      </c>
      <c r="O12" s="1353"/>
      <c r="P12" s="1360" t="str">
        <f>D12</f>
        <v>APR. 2026</v>
      </c>
      <c r="Q12" s="1353"/>
      <c r="R12" s="1360" t="str">
        <f>J12</f>
        <v>APR. 30, 2026</v>
      </c>
      <c r="S12" s="1353"/>
      <c r="T12" s="1353"/>
      <c r="U12" s="1358"/>
      <c r="V12" s="1360" t="str">
        <f>D12</f>
        <v>APR. 2026</v>
      </c>
      <c r="W12" s="1353"/>
      <c r="X12" s="1360" t="str">
        <f>F12</f>
        <v>APR. 30, 2026</v>
      </c>
      <c r="Y12" s="1353"/>
      <c r="Z12" s="1353"/>
      <c r="AA12" s="1353"/>
      <c r="AB12" s="1359" t="str">
        <f>_xlfn.CONCAT(_xlfn.TEXTBEFORE(D12," ")," ",RIGHT(D12,4)-1)</f>
        <v>APR. 2025</v>
      </c>
      <c r="AC12" s="1353"/>
      <c r="AD12" s="1960" t="str">
        <f>UPPER(TEXT(DATE(YEAR(_xlfn.TEXTAFTER('Exh D Governmental  '!A6," ",4))-1,MONTH(_xlfn.TEXTAFTER('Exh D Governmental  '!A6," ",4)),DAY(_xlfn.TEXTAFTER('Exh D Governmental  '!A6," ",4))),"MMM. dd, yyyy"))</f>
        <v>APR. 30, 2025</v>
      </c>
      <c r="AE12" s="1357"/>
      <c r="AF12" s="1357"/>
      <c r="AG12" s="1360" t="s">
        <v>112</v>
      </c>
      <c r="AH12" s="1342"/>
      <c r="AI12" s="1359" t="s">
        <v>113</v>
      </c>
      <c r="AJ12" s="1963"/>
    </row>
    <row r="13" spans="1:36" ht="16.399999999999999" customHeight="1">
      <c r="A13" s="1354" t="s">
        <v>114</v>
      </c>
      <c r="B13" s="1355"/>
      <c r="C13" s="1355"/>
      <c r="D13" s="1355" t="s">
        <v>103</v>
      </c>
      <c r="E13" s="1355"/>
      <c r="F13" s="1355"/>
      <c r="G13" s="1355"/>
      <c r="H13" s="1355" t="s">
        <v>103</v>
      </c>
      <c r="I13" s="1355"/>
      <c r="J13" s="1355"/>
      <c r="K13" s="1355"/>
      <c r="L13" s="1355" t="s">
        <v>103</v>
      </c>
      <c r="M13" s="1355"/>
      <c r="N13" s="1355"/>
      <c r="O13" s="1355"/>
      <c r="P13" s="1355" t="s">
        <v>103</v>
      </c>
      <c r="Q13" s="1355"/>
      <c r="R13" s="1355"/>
      <c r="S13" s="1361"/>
      <c r="T13" s="1361"/>
      <c r="U13" s="1355"/>
      <c r="V13" s="1355"/>
      <c r="W13" s="1355"/>
      <c r="X13" s="1355"/>
      <c r="Y13" s="1361"/>
      <c r="Z13" s="1362"/>
      <c r="AA13" s="1355"/>
      <c r="AB13" s="1355"/>
      <c r="AC13" s="1355"/>
      <c r="AD13" s="1355"/>
      <c r="AE13" s="1355"/>
      <c r="AF13" s="1363"/>
      <c r="AG13" s="1355"/>
      <c r="AI13" s="1342"/>
      <c r="AJ13" s="1963"/>
    </row>
    <row r="14" spans="1:36" ht="18" customHeight="1">
      <c r="A14" s="1355" t="s">
        <v>115</v>
      </c>
      <c r="B14" s="1364"/>
      <c r="C14" s="1355"/>
      <c r="D14" s="2017">
        <f>'Exhibit F'!D27</f>
        <v>5227.2</v>
      </c>
      <c r="E14" s="1365" t="s">
        <v>103</v>
      </c>
      <c r="F14" s="2017">
        <f>'Exhibit F'!AC27</f>
        <v>5227.2</v>
      </c>
      <c r="G14" s="1365"/>
      <c r="H14" s="2017">
        <f>'Exhibit G'!D17</f>
        <v>0</v>
      </c>
      <c r="I14" s="2018"/>
      <c r="J14" s="2017">
        <f>'Exhibit G'!AE17</f>
        <v>0</v>
      </c>
      <c r="K14" s="1365"/>
      <c r="L14" s="2019">
        <f>'Exhibit H'!B17</f>
        <v>5227.2</v>
      </c>
      <c r="M14" s="2017"/>
      <c r="N14" s="2017">
        <f>'Exhibit H'!AA17</f>
        <v>5227.2</v>
      </c>
      <c r="O14" s="2017"/>
      <c r="P14" s="2020">
        <v>0</v>
      </c>
      <c r="Q14" s="2017"/>
      <c r="R14" s="2020">
        <v>0</v>
      </c>
      <c r="S14" s="2021"/>
      <c r="T14" s="2021"/>
      <c r="U14" s="2017"/>
      <c r="V14" s="2017">
        <f>ROUND(SUM(D14)+SUM(H14)+SUM(L14)+SUM(P14),1)</f>
        <v>10454.4</v>
      </c>
      <c r="W14" s="2017" t="s">
        <v>103</v>
      </c>
      <c r="X14" s="2017">
        <f>ROUND(SUM(F14)+SUM(J14)+SUM(N14)+SUM(R14),1)</f>
        <v>10454.4</v>
      </c>
      <c r="Y14" s="1366"/>
      <c r="Z14" s="1367"/>
      <c r="AA14" s="1365"/>
      <c r="AB14" s="2010">
        <v>9693.6</v>
      </c>
      <c r="AC14" s="1365"/>
      <c r="AD14" s="1365">
        <f>'Exhibit F'!AF27+'Exhibit G'!AH17+'Exhibit H'!AD17</f>
        <v>9693.6</v>
      </c>
      <c r="AE14" s="1365"/>
      <c r="AF14" s="1368"/>
      <c r="AG14" s="1365">
        <f t="shared" ref="AG14:AG19" si="0">ROUND(SUM(X14-AD14),1)</f>
        <v>760.8</v>
      </c>
      <c r="AH14" s="1369"/>
      <c r="AI14" s="1193">
        <f t="shared" ref="AI14:AI19" si="1">ROUND(SUM((+X14-AD14)/ABS(AD14)),3)</f>
        <v>7.8E-2</v>
      </c>
      <c r="AJ14" s="1964"/>
    </row>
    <row r="15" spans="1:36" ht="18" customHeight="1">
      <c r="A15" s="1355" t="s">
        <v>116</v>
      </c>
      <c r="B15" s="1370" t="s">
        <v>103</v>
      </c>
      <c r="C15" s="1355"/>
      <c r="D15" s="2023">
        <f>'Exhibit F'!D38</f>
        <v>853.1</v>
      </c>
      <c r="E15" s="1337"/>
      <c r="F15" s="1337">
        <f>'Exhibit F'!AC38</f>
        <v>853.1</v>
      </c>
      <c r="G15" s="1337"/>
      <c r="H15" s="1337">
        <f>'Exhibit G'!D29</f>
        <v>221.9</v>
      </c>
      <c r="I15" s="1337"/>
      <c r="J15" s="1337">
        <f>'Exhibit G'!AE29</f>
        <v>221.9</v>
      </c>
      <c r="K15" s="1337"/>
      <c r="L15" s="1194">
        <f>'Exhibit H'!B21</f>
        <v>802.5</v>
      </c>
      <c r="M15" s="1337"/>
      <c r="N15" s="1337">
        <f>'Exhibit H'!AA21</f>
        <v>802.5</v>
      </c>
      <c r="O15" s="1337"/>
      <c r="P15" s="1194">
        <f>'Exhibit I'!E21</f>
        <v>42.2</v>
      </c>
      <c r="Q15" s="1337"/>
      <c r="R15" s="1194">
        <f>'Exhibit I'!AF21</f>
        <v>42.2</v>
      </c>
      <c r="S15" s="1371"/>
      <c r="T15" s="1371"/>
      <c r="U15" s="1337"/>
      <c r="V15" s="1337">
        <f>ROUND(SUM(D15)+SUM(H15)+SUM(L15)+SUM(P15),1)</f>
        <v>1919.7</v>
      </c>
      <c r="W15" s="1337" t="s">
        <v>103</v>
      </c>
      <c r="X15" s="1337">
        <f t="shared" ref="X15:X19" si="2">ROUND(SUM(F15)+SUM(J15)+SUM(N15)+SUM(R15),1)</f>
        <v>1919.7</v>
      </c>
      <c r="Y15" s="1371"/>
      <c r="Z15" s="1372"/>
      <c r="AA15" s="1337"/>
      <c r="AB15" s="1195">
        <v>1791.7</v>
      </c>
      <c r="AC15" s="1337"/>
      <c r="AD15" s="1307">
        <f>'Exhibit F'!AF38+'Exhibit G'!AH29+'Exhibit H'!AD21+'Exhibit I'!AI21</f>
        <v>1791.7</v>
      </c>
      <c r="AE15" s="1337"/>
      <c r="AF15" s="1373"/>
      <c r="AG15" s="1337">
        <f t="shared" si="0"/>
        <v>128</v>
      </c>
      <c r="AI15" s="1193">
        <f t="shared" si="1"/>
        <v>7.0999999999999994E-2</v>
      </c>
      <c r="AJ15" s="1964"/>
    </row>
    <row r="16" spans="1:36" ht="18" customHeight="1">
      <c r="A16" s="1355" t="s">
        <v>117</v>
      </c>
      <c r="B16" s="1374"/>
      <c r="C16" s="1355"/>
      <c r="D16" s="2023">
        <f>'Exhibit F'!D46</f>
        <v>911.8</v>
      </c>
      <c r="E16" s="1337"/>
      <c r="F16" s="1337">
        <f>'Exhibit F'!AC46</f>
        <v>911.8</v>
      </c>
      <c r="G16" s="1337"/>
      <c r="H16" s="1337">
        <f>'Exhibit G'!D36</f>
        <v>350.4</v>
      </c>
      <c r="I16" s="1337"/>
      <c r="J16" s="1337">
        <f>'Exhibit G'!AE36</f>
        <v>350.4</v>
      </c>
      <c r="K16" s="1337"/>
      <c r="L16" s="1194">
        <f>'Exhibit H'!B24</f>
        <v>24.4</v>
      </c>
      <c r="M16" s="1337"/>
      <c r="N16" s="1194">
        <f>'Exhibit H'!AA24</f>
        <v>24.4</v>
      </c>
      <c r="O16" s="1337"/>
      <c r="P16" s="1194">
        <f>'Exhibit I'!E26</f>
        <v>43.9</v>
      </c>
      <c r="Q16" s="1337"/>
      <c r="R16" s="1194">
        <f>'Exhibit I'!AF26</f>
        <v>43.9</v>
      </c>
      <c r="S16" s="1371"/>
      <c r="T16" s="1371"/>
      <c r="U16" s="1337"/>
      <c r="V16" s="1337">
        <f t="shared" ref="V16:V17" si="3">ROUND(SUM(D16)+SUM(H16)+SUM(L16)+SUM(P16),1)</f>
        <v>1330.5</v>
      </c>
      <c r="W16" s="1337" t="s">
        <v>103</v>
      </c>
      <c r="X16" s="1337">
        <f t="shared" si="2"/>
        <v>1330.5</v>
      </c>
      <c r="Y16" s="1371"/>
      <c r="Z16" s="1372"/>
      <c r="AA16" s="1337"/>
      <c r="AB16" s="1195">
        <v>1367.3</v>
      </c>
      <c r="AC16" s="1337"/>
      <c r="AD16" s="1355">
        <f>'Exhibit F'!AF46+'Exhibit G'!AH36+'Exhibit I'!AI26+'Exhibit H'!AD23</f>
        <v>1367.3000000000002</v>
      </c>
      <c r="AE16" s="1337"/>
      <c r="AF16" s="1373"/>
      <c r="AG16" s="1337">
        <f t="shared" si="0"/>
        <v>-36.799999999999997</v>
      </c>
      <c r="AI16" s="1193">
        <f t="shared" si="1"/>
        <v>-2.7E-2</v>
      </c>
      <c r="AJ16" s="1964"/>
    </row>
    <row r="17" spans="1:36" ht="18" customHeight="1">
      <c r="A17" s="1355" t="s">
        <v>118</v>
      </c>
      <c r="B17" s="1370" t="s">
        <v>103</v>
      </c>
      <c r="C17" s="1355"/>
      <c r="D17" s="2023">
        <f>'Exhibit F'!D54</f>
        <v>167</v>
      </c>
      <c r="E17" s="1337"/>
      <c r="F17" s="1337">
        <f>'Exhibit F'!AC54</f>
        <v>167</v>
      </c>
      <c r="G17" s="1337"/>
      <c r="H17" s="1337">
        <v>0</v>
      </c>
      <c r="I17" s="1337"/>
      <c r="J17" s="1337">
        <v>0</v>
      </c>
      <c r="K17" s="1337"/>
      <c r="L17" s="1194">
        <f>'Exhibit H'!B28</f>
        <v>118.7</v>
      </c>
      <c r="M17" s="1337"/>
      <c r="N17" s="1337">
        <f>'Exhibit H'!AA28</f>
        <v>118.7</v>
      </c>
      <c r="O17" s="1337"/>
      <c r="P17" s="1194">
        <f>'Exhibit I'!E29</f>
        <v>0</v>
      </c>
      <c r="Q17" s="1337"/>
      <c r="R17" s="1194">
        <f>'Exhibit I'!AF29</f>
        <v>0</v>
      </c>
      <c r="S17" s="1371"/>
      <c r="T17" s="1371"/>
      <c r="U17" s="1337"/>
      <c r="V17" s="1337">
        <f t="shared" si="3"/>
        <v>285.7</v>
      </c>
      <c r="W17" s="1337" t="s">
        <v>103</v>
      </c>
      <c r="X17" s="1337">
        <f t="shared" si="2"/>
        <v>285.7</v>
      </c>
      <c r="Y17" s="1371"/>
      <c r="Z17" s="1372"/>
      <c r="AA17" s="1337"/>
      <c r="AB17" s="1195">
        <v>263.39999999999998</v>
      </c>
      <c r="AC17" s="1337"/>
      <c r="AD17" s="1337">
        <f>'Exhibit F'!AF54+'Exhibit H'!AD28+'Exhibit I'!AI29</f>
        <v>263.39999999999998</v>
      </c>
      <c r="AE17" s="1337"/>
      <c r="AF17" s="1373"/>
      <c r="AG17" s="1337">
        <f t="shared" si="0"/>
        <v>22.3</v>
      </c>
      <c r="AI17" s="1193">
        <f t="shared" si="1"/>
        <v>8.5000000000000006E-2</v>
      </c>
      <c r="AJ17" s="1964"/>
    </row>
    <row r="18" spans="1:36" ht="18" customHeight="1">
      <c r="A18" s="1355" t="s">
        <v>119</v>
      </c>
      <c r="B18" s="1370" t="s">
        <v>103</v>
      </c>
      <c r="C18" s="1355"/>
      <c r="D18" s="2023">
        <f>'Exhibit F'!D97</f>
        <v>490.4</v>
      </c>
      <c r="E18" s="1337"/>
      <c r="F18" s="1337">
        <f>'Exhibit F'!AC97</f>
        <v>490.4</v>
      </c>
      <c r="G18" s="1337"/>
      <c r="H18" s="1337">
        <f>'Exhibit G'!D81</f>
        <v>2104.1999999999998</v>
      </c>
      <c r="I18" s="1337"/>
      <c r="J18" s="1337">
        <f>'Exhibit G'!AE81</f>
        <v>2104.1999999999998</v>
      </c>
      <c r="K18" s="1337"/>
      <c r="L18" s="1194">
        <f>'Exhibit H'!B51</f>
        <v>83.5</v>
      </c>
      <c r="M18" s="1337"/>
      <c r="N18" s="1194">
        <f>'Exhibit H'!AA51</f>
        <v>83.5</v>
      </c>
      <c r="O18" s="1337"/>
      <c r="P18" s="1194">
        <f>'Exhibit I'!E60</f>
        <v>39.1</v>
      </c>
      <c r="Q18" s="1337"/>
      <c r="R18" s="1337">
        <f>'Exhibit I'!AF60</f>
        <v>39.1</v>
      </c>
      <c r="S18" s="1371"/>
      <c r="T18" s="1371"/>
      <c r="U18" s="1337"/>
      <c r="V18" s="1337">
        <f>ROUND(SUM(D18)+SUM(H18)+SUM(L18)+SUM(P18),1)</f>
        <v>2717.2</v>
      </c>
      <c r="W18" s="1337" t="s">
        <v>103</v>
      </c>
      <c r="X18" s="1337">
        <f>ROUND(SUM(F18)+SUM(J18)+SUM(N18)+SUM(R18),1)</f>
        <v>2717.2</v>
      </c>
      <c r="Y18" s="1371"/>
      <c r="Z18" s="1372"/>
      <c r="AA18" s="1337"/>
      <c r="AB18" s="1195">
        <v>2538.4</v>
      </c>
      <c r="AC18" s="1337"/>
      <c r="AD18" s="1337">
        <f>'Exhibit F'!AF97+'Exhibit G'!AH81+'Exhibit H'!AD51+'Exhibit I'!AI60</f>
        <v>2538.4</v>
      </c>
      <c r="AE18" s="1337"/>
      <c r="AF18" s="1373"/>
      <c r="AG18" s="1337">
        <f t="shared" si="0"/>
        <v>178.8</v>
      </c>
      <c r="AI18" s="1193">
        <f t="shared" si="1"/>
        <v>7.0000000000000007E-2</v>
      </c>
      <c r="AJ18" s="1964"/>
    </row>
    <row r="19" spans="1:36" ht="18" customHeight="1">
      <c r="A19" s="1355" t="s">
        <v>120</v>
      </c>
      <c r="B19" s="1364" t="s">
        <v>103</v>
      </c>
      <c r="C19" s="1355"/>
      <c r="D19" s="2023">
        <f>'Exhibit F'!D99</f>
        <v>0</v>
      </c>
      <c r="E19" s="1337"/>
      <c r="F19" s="1337">
        <f>'Exhibit F'!AC99</f>
        <v>0</v>
      </c>
      <c r="G19" s="1337"/>
      <c r="H19" s="1337">
        <f>'Exhibit G'!D83</f>
        <v>8995.3000000000011</v>
      </c>
      <c r="I19" s="1337"/>
      <c r="J19" s="1337">
        <f>'Exhibit G'!AE83</f>
        <v>8995.2999999999993</v>
      </c>
      <c r="K19" s="1337"/>
      <c r="L19" s="1194">
        <f>'Exhibit H'!B53</f>
        <v>27.1</v>
      </c>
      <c r="M19" s="1337"/>
      <c r="N19" s="1337">
        <f>'Exhibit H'!AA53</f>
        <v>27.1</v>
      </c>
      <c r="O19" s="1337"/>
      <c r="P19" s="1194">
        <f>'Exhibit I'!E62</f>
        <v>87.6</v>
      </c>
      <c r="Q19" s="1337"/>
      <c r="R19" s="1337">
        <f>'Exhibit I'!AF62</f>
        <v>87.6</v>
      </c>
      <c r="S19" s="1371"/>
      <c r="T19" s="1371"/>
      <c r="U19" s="1337"/>
      <c r="V19" s="1337">
        <f>ROUND(SUM(D19)+SUM(H19)+SUM(L19)+SUM(P19),1)</f>
        <v>9110</v>
      </c>
      <c r="W19" s="1337" t="s">
        <v>103</v>
      </c>
      <c r="X19" s="1337">
        <f t="shared" si="2"/>
        <v>9110</v>
      </c>
      <c r="Y19" s="1371"/>
      <c r="Z19" s="1372"/>
      <c r="AA19" s="1337"/>
      <c r="AB19" s="1195">
        <v>10460.9</v>
      </c>
      <c r="AC19" s="1337"/>
      <c r="AD19" s="1337">
        <f>'Exhibit F'!AF99+'Exhibit G'!AH83+'Exhibit H'!AD53+'Exhibit I'!AI62</f>
        <v>10460.9</v>
      </c>
      <c r="AE19" s="1337"/>
      <c r="AF19" s="1373"/>
      <c r="AG19" s="1337">
        <f t="shared" si="0"/>
        <v>-1350.9</v>
      </c>
      <c r="AI19" s="1193">
        <f t="shared" si="1"/>
        <v>-0.129</v>
      </c>
      <c r="AJ19" s="1964"/>
    </row>
    <row r="20" spans="1:36" ht="18" customHeight="1">
      <c r="A20" s="1354" t="s">
        <v>121</v>
      </c>
      <c r="B20" s="1355"/>
      <c r="C20" s="1355"/>
      <c r="D20" s="1375">
        <f>ROUND(SUM(D14:D19),1)</f>
        <v>7649.5</v>
      </c>
      <c r="E20" s="2022"/>
      <c r="F20" s="1375">
        <f>ROUND(SUM(F14:F19),1)</f>
        <v>7649.5</v>
      </c>
      <c r="G20" s="1376"/>
      <c r="H20" s="1377">
        <f>ROUND(SUM(H14:H19),1)</f>
        <v>11671.8</v>
      </c>
      <c r="I20" s="1376"/>
      <c r="J20" s="1377">
        <f>ROUND(SUM(J14:J19),1)</f>
        <v>11671.8</v>
      </c>
      <c r="K20" s="1376"/>
      <c r="L20" s="1375">
        <f>ROUND(SUM(L14:L19),1)</f>
        <v>6283.4</v>
      </c>
      <c r="M20" s="1376"/>
      <c r="N20" s="1377">
        <f>ROUND(SUM(N14:N19),1)</f>
        <v>6283.4</v>
      </c>
      <c r="O20" s="1376"/>
      <c r="P20" s="1377">
        <f>ROUND(SUM(P14:P19),1)</f>
        <v>212.8</v>
      </c>
      <c r="Q20" s="1376"/>
      <c r="R20" s="1377">
        <f>ROUND(SUM(R14:R19),1)</f>
        <v>212.8</v>
      </c>
      <c r="S20" s="1378"/>
      <c r="T20" s="1378"/>
      <c r="U20" s="1376"/>
      <c r="V20" s="1377">
        <f>ROUND(SUM(V14:V19),1)</f>
        <v>25817.5</v>
      </c>
      <c r="W20" s="1376"/>
      <c r="X20" s="1377">
        <f>ROUND(SUM(X14:X19),1)</f>
        <v>25817.5</v>
      </c>
      <c r="Y20" s="1378"/>
      <c r="Z20" s="1379"/>
      <c r="AA20" s="1376"/>
      <c r="AB20" s="1377">
        <f>ROUND(SUM(AB14:AB19),1)</f>
        <v>26115.3</v>
      </c>
      <c r="AC20" s="1376"/>
      <c r="AD20" s="1377">
        <f>ROUND(SUM(AD14:AD19),1)</f>
        <v>26115.3</v>
      </c>
      <c r="AE20" s="1376"/>
      <c r="AF20" s="1380"/>
      <c r="AG20" s="1377">
        <f>ROUND(SUM(AG14:AG19),1)</f>
        <v>-297.8</v>
      </c>
      <c r="AH20" s="1381"/>
      <c r="AI20" s="1382">
        <f>(+X20-AD20)/ABS(AD20)</f>
        <v>-1.1403277006199404E-2</v>
      </c>
      <c r="AJ20" s="1965"/>
    </row>
    <row r="21" spans="1:36" ht="16.399999999999999" customHeight="1">
      <c r="A21" s="1354"/>
      <c r="B21" s="1355"/>
      <c r="C21" s="1355"/>
      <c r="D21" s="1337"/>
      <c r="E21" s="1337"/>
      <c r="F21" s="1337"/>
      <c r="G21" s="1337"/>
      <c r="H21" s="1337"/>
      <c r="I21" s="1337"/>
      <c r="J21" s="1337"/>
      <c r="K21" s="1337"/>
      <c r="L21" s="1337"/>
      <c r="M21" s="1337"/>
      <c r="N21" s="1337"/>
      <c r="O21" s="1337"/>
      <c r="P21" s="1337"/>
      <c r="Q21" s="1337"/>
      <c r="R21" s="1337" t="s">
        <v>103</v>
      </c>
      <c r="S21" s="1371"/>
      <c r="T21" s="1371"/>
      <c r="U21" s="1337"/>
      <c r="V21" s="1337"/>
      <c r="W21" s="1337"/>
      <c r="X21" s="1337" t="s">
        <v>103</v>
      </c>
      <c r="Y21" s="1371"/>
      <c r="Z21" s="1372"/>
      <c r="AA21" s="1337"/>
      <c r="AB21" s="1337"/>
      <c r="AC21" s="1337"/>
      <c r="AD21" s="1337"/>
      <c r="AE21" s="1337"/>
      <c r="AF21" s="1373"/>
      <c r="AG21" s="1337"/>
      <c r="AI21" s="1342"/>
      <c r="AJ21" s="1964"/>
    </row>
    <row r="22" spans="1:36" ht="16.399999999999999" customHeight="1">
      <c r="A22" s="1354" t="s">
        <v>122</v>
      </c>
      <c r="B22" s="1355"/>
      <c r="C22" s="1355"/>
      <c r="D22" s="1337"/>
      <c r="E22" s="1337"/>
      <c r="F22" s="1337"/>
      <c r="G22" s="1337"/>
      <c r="H22" s="1337"/>
      <c r="I22" s="1337"/>
      <c r="J22" s="1337"/>
      <c r="K22" s="1337"/>
      <c r="L22" s="1337"/>
      <c r="M22" s="1337"/>
      <c r="N22" s="1337"/>
      <c r="O22" s="1337"/>
      <c r="P22" s="1337"/>
      <c r="Q22" s="1337"/>
      <c r="R22" s="1337" t="s">
        <v>103</v>
      </c>
      <c r="S22" s="1371"/>
      <c r="T22" s="1371"/>
      <c r="U22" s="1337"/>
      <c r="V22" s="1337"/>
      <c r="W22" s="1337"/>
      <c r="X22" s="1337" t="s">
        <v>103</v>
      </c>
      <c r="Y22" s="1371"/>
      <c r="Z22" s="1372"/>
      <c r="AA22" s="1337"/>
      <c r="AB22" s="1337"/>
      <c r="AC22" s="1337"/>
      <c r="AD22" s="1337"/>
      <c r="AE22" s="1337"/>
      <c r="AF22" s="1373"/>
      <c r="AG22" s="1337"/>
      <c r="AI22" s="1342"/>
      <c r="AJ22" s="1964"/>
    </row>
    <row r="23" spans="1:36" ht="16.399999999999999" customHeight="1">
      <c r="A23" s="1355" t="s">
        <v>123</v>
      </c>
      <c r="B23" s="1364" t="s">
        <v>103</v>
      </c>
      <c r="C23" s="1355"/>
      <c r="D23" s="1383" t="s">
        <v>103</v>
      </c>
      <c r="E23" s="1337"/>
      <c r="F23" s="1383" t="s">
        <v>103</v>
      </c>
      <c r="G23" s="1337"/>
      <c r="H23" s="1384"/>
      <c r="I23" s="1337"/>
      <c r="J23" s="1384"/>
      <c r="K23" s="1337"/>
      <c r="L23" s="1384"/>
      <c r="M23" s="1337"/>
      <c r="N23" s="1384"/>
      <c r="O23" s="1337"/>
      <c r="P23" s="1384"/>
      <c r="Q23" s="1337"/>
      <c r="R23" s="1384"/>
      <c r="S23" s="1371"/>
      <c r="T23" s="1371"/>
      <c r="U23" s="1337"/>
      <c r="V23" s="1384"/>
      <c r="W23" s="1337"/>
      <c r="X23" s="1384"/>
      <c r="Y23" s="1371"/>
      <c r="Z23" s="1372"/>
      <c r="AA23" s="1337"/>
      <c r="AB23" s="1384"/>
      <c r="AC23" s="1337"/>
      <c r="AD23" s="1384"/>
      <c r="AE23" s="1337"/>
      <c r="AF23" s="1373"/>
      <c r="AG23" s="1384"/>
      <c r="AI23" s="1385"/>
      <c r="AJ23" s="1964"/>
    </row>
    <row r="24" spans="1:36" ht="18" customHeight="1">
      <c r="A24" s="1386" t="s">
        <v>124</v>
      </c>
      <c r="B24" s="1355"/>
      <c r="C24" s="1355"/>
      <c r="D24" s="2023">
        <f>'Exhibit F'!D105</f>
        <v>2528.3000000000002</v>
      </c>
      <c r="E24" s="1337"/>
      <c r="F24" s="1337">
        <f>'Exhibit F'!AC105</f>
        <v>2528.3000000000002</v>
      </c>
      <c r="G24" s="1337"/>
      <c r="H24" s="1194">
        <f>'Exhibit G'!D89</f>
        <v>489.1</v>
      </c>
      <c r="I24" s="1337"/>
      <c r="J24" s="1337">
        <f>'Exhibit G'!AE89</f>
        <v>489.1</v>
      </c>
      <c r="K24" s="1337"/>
      <c r="L24" s="1384">
        <v>0</v>
      </c>
      <c r="M24" s="1337"/>
      <c r="N24" s="1384">
        <v>0</v>
      </c>
      <c r="O24" s="1337"/>
      <c r="P24" s="1194">
        <f>'Exhibit I'!E68</f>
        <v>36.1</v>
      </c>
      <c r="Q24" s="1194"/>
      <c r="R24" s="1337">
        <f>'Exhibit I'!AF68</f>
        <v>36.1</v>
      </c>
      <c r="S24" s="1371"/>
      <c r="T24" s="1371"/>
      <c r="U24" s="1337"/>
      <c r="V24" s="1337">
        <f>ROUND(SUM(D24)+SUM(H24)+SUM(L24)+SUM(P24),1)</f>
        <v>3053.5</v>
      </c>
      <c r="W24" s="1337" t="s">
        <v>103</v>
      </c>
      <c r="X24" s="1337">
        <f>ROUND(SUM(F24)+SUM(J24)+SUM(N24)+SUM(R24),1)</f>
        <v>3053.5</v>
      </c>
      <c r="Y24" s="1371"/>
      <c r="Z24" s="1372"/>
      <c r="AA24" s="1337"/>
      <c r="AB24" s="1195">
        <v>3162.6</v>
      </c>
      <c r="AC24" s="1337"/>
      <c r="AD24" s="1337">
        <f>'Exhibit F'!AF105+'Exhibit G'!AH89+'Exhibit I'!AI68</f>
        <v>3162.6000000000004</v>
      </c>
      <c r="AE24" s="1194"/>
      <c r="AF24" s="1387"/>
      <c r="AG24" s="1337">
        <f>ROUND(SUM(X24-AD24),1)</f>
        <v>-109.1</v>
      </c>
      <c r="AI24" s="1193">
        <f>ROUND(SUM((+X24-AD24)/ABS(AD24)),3)</f>
        <v>-3.4000000000000002E-2</v>
      </c>
      <c r="AJ24" s="1964"/>
    </row>
    <row r="25" spans="1:36" ht="18" customHeight="1">
      <c r="A25" s="1386" t="s">
        <v>125</v>
      </c>
      <c r="B25" s="1388"/>
      <c r="C25" s="1355"/>
      <c r="D25" s="2023">
        <f>'Exhibit F'!D106</f>
        <v>0.3</v>
      </c>
      <c r="E25" s="1337"/>
      <c r="F25" s="1337">
        <f>'Exhibit F'!AC106</f>
        <v>0.3</v>
      </c>
      <c r="G25" s="1337"/>
      <c r="H25" s="1194">
        <f>'Exhibit G'!D90</f>
        <v>0.1</v>
      </c>
      <c r="I25" s="1337"/>
      <c r="J25" s="1337">
        <f>'Exhibit G'!AE90</f>
        <v>0.1</v>
      </c>
      <c r="K25" s="1337"/>
      <c r="L25" s="1384">
        <v>0</v>
      </c>
      <c r="M25" s="1337"/>
      <c r="N25" s="1384">
        <v>0</v>
      </c>
      <c r="O25" s="1337"/>
      <c r="P25" s="1194">
        <f>'Exhibit I'!E69</f>
        <v>11.6</v>
      </c>
      <c r="Q25" s="1194"/>
      <c r="R25" s="1337">
        <f>'Exhibit I'!AF69</f>
        <v>11.6</v>
      </c>
      <c r="S25" s="1371"/>
      <c r="T25" s="1371"/>
      <c r="U25" s="1337"/>
      <c r="V25" s="1337">
        <f t="shared" ref="V25:V32" si="4">ROUND(SUM(D25)+SUM(H25)+SUM(L25)+SUM(P25),1)</f>
        <v>12</v>
      </c>
      <c r="W25" s="1337" t="s">
        <v>103</v>
      </c>
      <c r="X25" s="1337">
        <f t="shared" ref="X25:X32" si="5">ROUND(SUM(F25)+SUM(J25)+SUM(N25)+SUM(R25),1)</f>
        <v>12</v>
      </c>
      <c r="Y25" s="1371"/>
      <c r="Z25" s="1372"/>
      <c r="AA25" s="1337"/>
      <c r="AB25" s="1195">
        <v>6.3000000000000007</v>
      </c>
      <c r="AC25" s="1194"/>
      <c r="AD25" s="1337">
        <f>'Exhibit F'!AF106+'Exhibit G'!AH90+'Exhibit I'!AI69</f>
        <v>6.3</v>
      </c>
      <c r="AE25" s="1337"/>
      <c r="AF25" s="1373"/>
      <c r="AG25" s="1337">
        <f t="shared" ref="AG25:AG33" si="6">ROUND(SUM(X25-AD25),1)</f>
        <v>5.7</v>
      </c>
      <c r="AI25" s="1389">
        <f t="shared" ref="AI25:AI32" si="7">ROUND(SUM((+X25-AD25)/ABS(AD25)),3)</f>
        <v>0.90500000000000003</v>
      </c>
      <c r="AJ25" s="1964"/>
    </row>
    <row r="26" spans="1:36" ht="18" customHeight="1">
      <c r="A26" s="1386" t="s">
        <v>126</v>
      </c>
      <c r="B26" s="1390"/>
      <c r="C26" s="1355"/>
      <c r="D26" s="2023">
        <f>'Exhibit F'!D107</f>
        <v>28.2</v>
      </c>
      <c r="E26" s="1337"/>
      <c r="F26" s="1337">
        <f>'Exhibit F'!AC107</f>
        <v>28.2</v>
      </c>
      <c r="G26" s="1337"/>
      <c r="H26" s="1194">
        <f>'Exhibit G'!D91</f>
        <v>20.2</v>
      </c>
      <c r="I26" s="1337"/>
      <c r="J26" s="1337">
        <f>'Exhibit G'!AE91</f>
        <v>20.2</v>
      </c>
      <c r="K26" s="1337"/>
      <c r="L26" s="1384">
        <v>0</v>
      </c>
      <c r="M26" s="1337"/>
      <c r="N26" s="1384">
        <v>0</v>
      </c>
      <c r="O26" s="1337"/>
      <c r="P26" s="1194">
        <f>'Exhibit I'!E70</f>
        <v>35.9</v>
      </c>
      <c r="Q26" s="1194"/>
      <c r="R26" s="1337">
        <f>'Exhibit I'!AF70</f>
        <v>35.9</v>
      </c>
      <c r="S26" s="1371"/>
      <c r="T26" s="1371"/>
      <c r="U26" s="1337"/>
      <c r="V26" s="1337">
        <f t="shared" si="4"/>
        <v>84.3</v>
      </c>
      <c r="W26" s="1337" t="s">
        <v>103</v>
      </c>
      <c r="X26" s="1337">
        <f t="shared" si="5"/>
        <v>84.3</v>
      </c>
      <c r="Y26" s="1371"/>
      <c r="Z26" s="1372"/>
      <c r="AA26" s="1337"/>
      <c r="AB26" s="1195">
        <v>98.800000000000011</v>
      </c>
      <c r="AC26" s="1337"/>
      <c r="AD26" s="1337">
        <f>'Exhibit F'!AF107+'Exhibit G'!AH91+'Exhibit I'!AI70</f>
        <v>98.800000000000011</v>
      </c>
      <c r="AE26" s="1337"/>
      <c r="AF26" s="1373"/>
      <c r="AG26" s="1337">
        <f t="shared" si="6"/>
        <v>-14.5</v>
      </c>
      <c r="AI26" s="1193">
        <f t="shared" si="7"/>
        <v>-0.14699999999999999</v>
      </c>
      <c r="AJ26" s="1964"/>
    </row>
    <row r="27" spans="1:36" ht="18" customHeight="1">
      <c r="A27" s="1386" t="s">
        <v>127</v>
      </c>
      <c r="B27" s="1364"/>
      <c r="C27" s="1355"/>
      <c r="D27" s="2023"/>
      <c r="E27" s="1337"/>
      <c r="F27" s="1337"/>
      <c r="G27" s="1337"/>
      <c r="H27" s="1194"/>
      <c r="I27" s="1337"/>
      <c r="J27" s="1337" t="s">
        <v>103</v>
      </c>
      <c r="K27" s="1337"/>
      <c r="L27" s="1383" t="s">
        <v>103</v>
      </c>
      <c r="M27" s="1337"/>
      <c r="N27" s="1383" t="s">
        <v>103</v>
      </c>
      <c r="O27" s="1337"/>
      <c r="P27" s="1194"/>
      <c r="Q27" s="1194"/>
      <c r="R27" s="1337"/>
      <c r="S27" s="1371"/>
      <c r="T27" s="1371"/>
      <c r="U27" s="1337"/>
      <c r="V27" s="1337" t="s">
        <v>103</v>
      </c>
      <c r="W27" s="1337"/>
      <c r="X27" s="1337" t="s">
        <v>103</v>
      </c>
      <c r="Y27" s="1371"/>
      <c r="Z27" s="1372"/>
      <c r="AA27" s="1337"/>
      <c r="AB27" s="1337"/>
      <c r="AC27" s="1337"/>
      <c r="AD27" s="1337"/>
      <c r="AE27" s="1337"/>
      <c r="AF27" s="1373"/>
      <c r="AG27" s="1337"/>
      <c r="AI27" s="1193" t="s">
        <v>103</v>
      </c>
      <c r="AJ27" s="1964"/>
    </row>
    <row r="28" spans="1:36" ht="18" customHeight="1">
      <c r="A28" s="1391" t="s">
        <v>128</v>
      </c>
      <c r="B28" s="1370"/>
      <c r="C28" s="1355"/>
      <c r="D28" s="2023">
        <f>'Exhibit F'!D109</f>
        <v>4456.2</v>
      </c>
      <c r="E28" s="1337"/>
      <c r="F28" s="1337">
        <f>'Exhibit F'!AC109</f>
        <v>4456.2</v>
      </c>
      <c r="G28" s="1337"/>
      <c r="H28" s="1194">
        <f>'Exhibit G'!D93</f>
        <v>5391.0999999999995</v>
      </c>
      <c r="I28" s="1337"/>
      <c r="J28" s="1337">
        <f>'Exhibit G'!AE93</f>
        <v>5391.1</v>
      </c>
      <c r="K28" s="1337"/>
      <c r="L28" s="1384">
        <v>0</v>
      </c>
      <c r="M28" s="1337"/>
      <c r="N28" s="1384">
        <v>0</v>
      </c>
      <c r="O28" s="1337"/>
      <c r="P28" s="1194">
        <v>0</v>
      </c>
      <c r="Q28" s="1194"/>
      <c r="R28" s="1384">
        <v>0</v>
      </c>
      <c r="S28" s="1371"/>
      <c r="T28" s="1371"/>
      <c r="U28" s="1337"/>
      <c r="V28" s="1337">
        <f t="shared" si="4"/>
        <v>9847.2999999999993</v>
      </c>
      <c r="W28" s="1337" t="s">
        <v>103</v>
      </c>
      <c r="X28" s="1337">
        <f t="shared" si="5"/>
        <v>9847.2999999999993</v>
      </c>
      <c r="Y28" s="1371"/>
      <c r="Z28" s="1372"/>
      <c r="AA28" s="1337"/>
      <c r="AB28" s="1195">
        <v>8482.1</v>
      </c>
      <c r="AC28" s="1337"/>
      <c r="AD28" s="1337">
        <f>'Exhibit F'!AF109+'Exhibit G'!AH93</f>
        <v>8482.1</v>
      </c>
      <c r="AE28" s="1337"/>
      <c r="AF28" s="1373"/>
      <c r="AG28" s="1337">
        <f t="shared" si="6"/>
        <v>1365.2</v>
      </c>
      <c r="AI28" s="1193">
        <f t="shared" si="7"/>
        <v>0.161</v>
      </c>
      <c r="AJ28" s="1964"/>
    </row>
    <row r="29" spans="1:36" ht="18" customHeight="1">
      <c r="A29" s="1386" t="s">
        <v>129</v>
      </c>
      <c r="B29" s="1370"/>
      <c r="C29" s="1355"/>
      <c r="D29" s="2023">
        <f>'Exhibit F'!D110</f>
        <v>113.8</v>
      </c>
      <c r="E29" s="1337"/>
      <c r="F29" s="1337">
        <f>'Exhibit F'!AC110</f>
        <v>113.8</v>
      </c>
      <c r="G29" s="1337"/>
      <c r="H29" s="1194">
        <f>'Exhibit G'!D94</f>
        <v>1385.6000000000001</v>
      </c>
      <c r="I29" s="1337"/>
      <c r="J29" s="1337">
        <f>'Exhibit G'!AE94</f>
        <v>1385.6</v>
      </c>
      <c r="K29" s="1337"/>
      <c r="L29" s="1384">
        <v>0</v>
      </c>
      <c r="M29" s="1337"/>
      <c r="N29" s="1384">
        <v>0</v>
      </c>
      <c r="O29" s="1337"/>
      <c r="P29" s="1194">
        <f>'Exhibit I'!E72</f>
        <v>22.2</v>
      </c>
      <c r="Q29" s="1194"/>
      <c r="R29" s="1337">
        <f>'Exhibit I'!AF72</f>
        <v>22.2</v>
      </c>
      <c r="S29" s="1371"/>
      <c r="T29" s="1371"/>
      <c r="U29" s="1337"/>
      <c r="V29" s="1337">
        <f t="shared" si="4"/>
        <v>1521.6</v>
      </c>
      <c r="W29" s="1337" t="s">
        <v>103</v>
      </c>
      <c r="X29" s="1337">
        <f t="shared" si="5"/>
        <v>1521.6</v>
      </c>
      <c r="Y29" s="1371"/>
      <c r="Z29" s="1372"/>
      <c r="AA29" s="1337"/>
      <c r="AB29" s="1195">
        <v>1663.6</v>
      </c>
      <c r="AC29" s="1337"/>
      <c r="AD29" s="1337">
        <f>'Exhibit F'!AF110+'Exhibit G'!AH94+'Exhibit I'!AI72</f>
        <v>1663.6000000000001</v>
      </c>
      <c r="AE29" s="1337"/>
      <c r="AF29" s="1373"/>
      <c r="AG29" s="1337">
        <f t="shared" si="6"/>
        <v>-142</v>
      </c>
      <c r="AI29" s="1193">
        <f t="shared" si="7"/>
        <v>-8.5000000000000006E-2</v>
      </c>
      <c r="AJ29" s="1964"/>
    </row>
    <row r="30" spans="1:36" ht="18" customHeight="1">
      <c r="A30" s="1386" t="s">
        <v>130</v>
      </c>
      <c r="B30" s="1364"/>
      <c r="C30" s="1355"/>
      <c r="D30" s="2023">
        <f>'Exhibit F'!D111</f>
        <v>57.2</v>
      </c>
      <c r="E30" s="1337"/>
      <c r="F30" s="1337">
        <f>'Exhibit F'!AC111</f>
        <v>57.2</v>
      </c>
      <c r="G30" s="1337"/>
      <c r="H30" s="1194">
        <f>'Exhibit G'!D95</f>
        <v>383.5</v>
      </c>
      <c r="I30" s="1337"/>
      <c r="J30" s="1337">
        <f>'Exhibit G'!AE95</f>
        <v>383.5</v>
      </c>
      <c r="K30" s="1337"/>
      <c r="L30" s="1384">
        <v>0</v>
      </c>
      <c r="M30" s="1337"/>
      <c r="N30" s="1384">
        <v>0</v>
      </c>
      <c r="O30" s="1337"/>
      <c r="P30" s="1194">
        <f>'Exhibit I'!E73</f>
        <v>3.2</v>
      </c>
      <c r="Q30" s="1194"/>
      <c r="R30" s="1384">
        <f>'Exhibit I'!AF73</f>
        <v>3.2</v>
      </c>
      <c r="S30" s="1371"/>
      <c r="T30" s="1371"/>
      <c r="U30" s="1337"/>
      <c r="V30" s="1337">
        <f t="shared" si="4"/>
        <v>443.9</v>
      </c>
      <c r="W30" s="1337" t="s">
        <v>103</v>
      </c>
      <c r="X30" s="1337">
        <f t="shared" si="5"/>
        <v>443.9</v>
      </c>
      <c r="Y30" s="1371"/>
      <c r="Z30" s="1372"/>
      <c r="AA30" s="1337"/>
      <c r="AB30" s="1195">
        <v>211.1</v>
      </c>
      <c r="AC30" s="1337"/>
      <c r="AD30" s="1337">
        <f>'Exhibit F'!AF111+'Exhibit G'!AH95+'Exhibit I'!AI73</f>
        <v>211.10000000000002</v>
      </c>
      <c r="AE30" s="1337"/>
      <c r="AF30" s="1373"/>
      <c r="AG30" s="1337">
        <f t="shared" si="6"/>
        <v>232.8</v>
      </c>
      <c r="AI30" s="1389">
        <f t="shared" si="7"/>
        <v>1.103</v>
      </c>
      <c r="AJ30" s="1964"/>
    </row>
    <row r="31" spans="1:36" ht="18" customHeight="1">
      <c r="A31" s="1386" t="s">
        <v>131</v>
      </c>
      <c r="B31" s="1355"/>
      <c r="C31" s="1355"/>
      <c r="D31" s="2023">
        <f>'Exhibit F'!D112</f>
        <v>209.6</v>
      </c>
      <c r="E31" s="1337"/>
      <c r="F31" s="1337">
        <f>'Exhibit F'!AC112</f>
        <v>209.6</v>
      </c>
      <c r="G31" s="1337"/>
      <c r="H31" s="1194">
        <f>'Exhibit G'!D96</f>
        <v>399.1</v>
      </c>
      <c r="I31" s="1337"/>
      <c r="J31" s="1337">
        <f>'Exhibit G'!AE96</f>
        <v>399.1</v>
      </c>
      <c r="K31" s="1337"/>
      <c r="L31" s="1384">
        <v>0</v>
      </c>
      <c r="M31" s="1337"/>
      <c r="N31" s="1384">
        <v>0</v>
      </c>
      <c r="O31" s="1337"/>
      <c r="P31" s="1194">
        <f>'Exhibit I'!E74</f>
        <v>91.6</v>
      </c>
      <c r="Q31" s="1194"/>
      <c r="R31" s="1337">
        <f>'Exhibit I'!AF74</f>
        <v>91.6</v>
      </c>
      <c r="S31" s="1371"/>
      <c r="T31" s="1371"/>
      <c r="U31" s="1337"/>
      <c r="V31" s="1337">
        <f t="shared" si="4"/>
        <v>700.3</v>
      </c>
      <c r="W31" s="1337" t="s">
        <v>103</v>
      </c>
      <c r="X31" s="1337">
        <f t="shared" si="5"/>
        <v>700.3</v>
      </c>
      <c r="Y31" s="1371"/>
      <c r="Z31" s="1372"/>
      <c r="AA31" s="1337"/>
      <c r="AB31" s="1195">
        <v>643.20000000000005</v>
      </c>
      <c r="AC31" s="1337"/>
      <c r="AD31" s="1337">
        <f>'Exhibit F'!AF112+'Exhibit G'!AH96+'Exhibit I'!AI74</f>
        <v>643.20000000000005</v>
      </c>
      <c r="AE31" s="1337"/>
      <c r="AF31" s="1373"/>
      <c r="AG31" s="1337">
        <f t="shared" si="6"/>
        <v>57.1</v>
      </c>
      <c r="AI31" s="1193">
        <f t="shared" si="7"/>
        <v>8.8999999999999996E-2</v>
      </c>
      <c r="AJ31" s="1964"/>
    </row>
    <row r="32" spans="1:36" ht="18" customHeight="1">
      <c r="A32" s="1386" t="s">
        <v>132</v>
      </c>
      <c r="B32" s="1364"/>
      <c r="C32" s="1355"/>
      <c r="D32" s="2023">
        <f>'Exhibit F'!D113</f>
        <v>21.5</v>
      </c>
      <c r="E32" s="1337"/>
      <c r="F32" s="1337">
        <f>'Exhibit F'!AC113</f>
        <v>21.5</v>
      </c>
      <c r="G32" s="1337"/>
      <c r="H32" s="1194">
        <f>'Exhibit G'!D97</f>
        <v>0.2</v>
      </c>
      <c r="I32" s="1337"/>
      <c r="J32" s="1337">
        <f>'Exhibit G'!AE97</f>
        <v>0.2</v>
      </c>
      <c r="K32" s="1337"/>
      <c r="L32" s="1384">
        <v>0</v>
      </c>
      <c r="M32" s="1337" t="s">
        <v>103</v>
      </c>
      <c r="N32" s="1384">
        <v>0</v>
      </c>
      <c r="O32" s="1337"/>
      <c r="P32" s="1194">
        <f>'Exhibit I'!E75</f>
        <v>98.2</v>
      </c>
      <c r="Q32" s="1194"/>
      <c r="R32" s="1337">
        <f>'Exhibit I'!AF75</f>
        <v>98.2</v>
      </c>
      <c r="S32" s="1371"/>
      <c r="T32" s="1371"/>
      <c r="U32" s="1337"/>
      <c r="V32" s="1337">
        <f t="shared" si="4"/>
        <v>119.9</v>
      </c>
      <c r="W32" s="1337" t="s">
        <v>103</v>
      </c>
      <c r="X32" s="1337">
        <f t="shared" si="5"/>
        <v>119.9</v>
      </c>
      <c r="Y32" s="1371"/>
      <c r="Z32" s="1372"/>
      <c r="AA32" s="1337"/>
      <c r="AB32" s="1195">
        <v>112.3</v>
      </c>
      <c r="AC32" s="1337"/>
      <c r="AD32" s="1337">
        <f>'Exhibit F'!AF113+'Exhibit G'!AH97+'Exhibit I'!AI75</f>
        <v>112.30000000000001</v>
      </c>
      <c r="AE32" s="1337"/>
      <c r="AF32" s="1373"/>
      <c r="AG32" s="1337">
        <f t="shared" si="6"/>
        <v>7.6</v>
      </c>
      <c r="AI32" s="1193">
        <f t="shared" si="7"/>
        <v>6.8000000000000005E-2</v>
      </c>
      <c r="AJ32" s="1964"/>
    </row>
    <row r="33" spans="1:36" ht="18" customHeight="1">
      <c r="A33" s="1386" t="s">
        <v>133</v>
      </c>
      <c r="B33" s="1355"/>
      <c r="C33" s="1355"/>
      <c r="D33" s="2023">
        <f>'Exhibit F'!D114</f>
        <v>0.2</v>
      </c>
      <c r="E33" s="1337"/>
      <c r="F33" s="1337">
        <f>'Exhibit F'!AC114</f>
        <v>0.2</v>
      </c>
      <c r="G33" s="1337"/>
      <c r="H33" s="1194">
        <f>'Exhibit G'!D98</f>
        <v>88.7</v>
      </c>
      <c r="I33" s="1337"/>
      <c r="J33" s="1337">
        <f>'Exhibit G'!AE98</f>
        <v>88.7</v>
      </c>
      <c r="K33" s="1337"/>
      <c r="L33" s="1384">
        <v>0</v>
      </c>
      <c r="M33" s="1337"/>
      <c r="N33" s="1384">
        <v>0</v>
      </c>
      <c r="O33" s="1337"/>
      <c r="P33" s="1194">
        <f>'Exhibit I'!E76</f>
        <v>61.900000000000006</v>
      </c>
      <c r="Q33" s="1194"/>
      <c r="R33" s="1337">
        <f>'Exhibit I'!AF76</f>
        <v>61.9</v>
      </c>
      <c r="S33" s="1371"/>
      <c r="T33" s="1371"/>
      <c r="U33" s="1337"/>
      <c r="V33" s="1337">
        <f>ROUND(SUM(D33)+SUM(H33)+SUM(L33)+SUM(P33),1)</f>
        <v>150.80000000000001</v>
      </c>
      <c r="W33" s="1337" t="s">
        <v>103</v>
      </c>
      <c r="X33" s="1337">
        <f>ROUND(SUM(F33)+SUM(J33)+SUM(N33)+SUM(R33),1)</f>
        <v>150.80000000000001</v>
      </c>
      <c r="Y33" s="1371"/>
      <c r="Z33" s="1372"/>
      <c r="AA33" s="1337"/>
      <c r="AB33" s="1195">
        <v>132.80000000000001</v>
      </c>
      <c r="AC33" s="1337"/>
      <c r="AD33" s="1337">
        <f>'Exhibit F'!AF114+'Exhibit G'!AH98+'Exhibit I'!AI76</f>
        <v>132.80000000000001</v>
      </c>
      <c r="AE33" s="1337"/>
      <c r="AF33" s="1373"/>
      <c r="AG33" s="1337">
        <f t="shared" si="6"/>
        <v>18</v>
      </c>
      <c r="AI33" s="1193">
        <f>ROUND(SUM((+X33-AD33)/ABS(AD33)),3)</f>
        <v>0.13600000000000001</v>
      </c>
      <c r="AJ33" s="1964"/>
    </row>
    <row r="34" spans="1:36" ht="18" customHeight="1">
      <c r="A34" s="1354" t="s">
        <v>134</v>
      </c>
      <c r="B34" s="1355"/>
      <c r="C34" s="1355"/>
      <c r="D34" s="1377">
        <f>ROUND(SUM(D24:D33),1)</f>
        <v>7415.3</v>
      </c>
      <c r="E34" s="1376"/>
      <c r="F34" s="1377">
        <f>ROUND(SUM(F24:F33),1)</f>
        <v>7415.3</v>
      </c>
      <c r="G34" s="1376"/>
      <c r="H34" s="1377">
        <f>ROUND(SUM(H24:H33),1)</f>
        <v>8157.6</v>
      </c>
      <c r="I34" s="1376"/>
      <c r="J34" s="1377">
        <f>ROUND(SUM(J24:J33),1)</f>
        <v>8157.6</v>
      </c>
      <c r="K34" s="1376"/>
      <c r="L34" s="1377">
        <f>ROUND(SUM(L24:L33),1)</f>
        <v>0</v>
      </c>
      <c r="M34" s="1376"/>
      <c r="N34" s="2035">
        <f>ROUND(SUM(N24:N33),1)</f>
        <v>0</v>
      </c>
      <c r="O34" s="1376"/>
      <c r="P34" s="1375">
        <f>ROUND(SUM(P24:P33),1)</f>
        <v>360.7</v>
      </c>
      <c r="Q34" s="1376"/>
      <c r="R34" s="1375">
        <f>ROUND(SUM(R24:R33),1)</f>
        <v>360.7</v>
      </c>
      <c r="S34" s="1378"/>
      <c r="T34" s="1378"/>
      <c r="U34" s="1376"/>
      <c r="V34" s="1377">
        <f>ROUND(SUM(V24:V33),1)</f>
        <v>15933.6</v>
      </c>
      <c r="W34" s="1376"/>
      <c r="X34" s="1377">
        <f>ROUND(SUM(X24:X33),1)</f>
        <v>15933.6</v>
      </c>
      <c r="Y34" s="1378"/>
      <c r="Z34" s="1379"/>
      <c r="AA34" s="1376"/>
      <c r="AB34" s="1377">
        <f>ROUND(SUM(AB23:AB33),1)</f>
        <v>14512.8</v>
      </c>
      <c r="AC34" s="1376"/>
      <c r="AD34" s="1377">
        <f>ROUND(SUM(AD23:AD33),1)</f>
        <v>14512.8</v>
      </c>
      <c r="AE34" s="1376"/>
      <c r="AF34" s="1380"/>
      <c r="AG34" s="1377">
        <f>ROUND(SUM(AG24:AG33),1)</f>
        <v>1420.8</v>
      </c>
      <c r="AH34" s="1381"/>
      <c r="AI34" s="1382">
        <f>ROUND(SUM((+X34-AD34)/ABS(AD34)),3)</f>
        <v>9.8000000000000004E-2</v>
      </c>
      <c r="AJ34" s="1966"/>
    </row>
    <row r="35" spans="1:36" ht="18" customHeight="1">
      <c r="A35" s="1355" t="s">
        <v>135</v>
      </c>
      <c r="B35" s="1390"/>
      <c r="C35" s="1355"/>
      <c r="D35" s="1337"/>
      <c r="E35" s="1337"/>
      <c r="F35" s="1337"/>
      <c r="G35" s="1337"/>
      <c r="H35" s="1337"/>
      <c r="I35" s="1337"/>
      <c r="J35" s="1337"/>
      <c r="K35" s="1337"/>
      <c r="L35" s="1337"/>
      <c r="M35" s="1337"/>
      <c r="N35" s="1337"/>
      <c r="O35" s="1337"/>
      <c r="P35" s="1337"/>
      <c r="Q35" s="1337"/>
      <c r="R35" s="1337"/>
      <c r="S35" s="1371"/>
      <c r="T35" s="1371"/>
      <c r="U35" s="1337"/>
      <c r="V35" s="1337"/>
      <c r="W35" s="1337"/>
      <c r="X35" s="1337" t="s">
        <v>103</v>
      </c>
      <c r="Y35" s="1371"/>
      <c r="Z35" s="1372"/>
      <c r="AA35" s="1337"/>
      <c r="AB35" s="1337"/>
      <c r="AC35" s="1337"/>
      <c r="AD35" s="1337"/>
      <c r="AE35" s="1337"/>
      <c r="AF35" s="1373"/>
      <c r="AG35" s="1337"/>
      <c r="AI35" s="1342"/>
      <c r="AJ35" s="1964"/>
    </row>
    <row r="36" spans="1:36" ht="18" customHeight="1">
      <c r="A36" s="1355" t="s">
        <v>136</v>
      </c>
      <c r="B36" s="1388"/>
      <c r="C36" s="1355"/>
      <c r="D36" s="1337">
        <f>'Exhibit F'!D117</f>
        <v>1212.8</v>
      </c>
      <c r="E36" s="1337"/>
      <c r="F36" s="1337">
        <f>'Exhibit F'!AC117</f>
        <v>1212.8</v>
      </c>
      <c r="G36" s="1337"/>
      <c r="H36" s="1194">
        <f>'Exhibit G'!D101</f>
        <v>622.69999999999993</v>
      </c>
      <c r="I36" s="1337"/>
      <c r="J36" s="1337">
        <f>'Exhibit G'!AE101</f>
        <v>622.70000000000005</v>
      </c>
      <c r="K36" s="1337"/>
      <c r="L36" s="1383">
        <v>0</v>
      </c>
      <c r="M36" s="1337"/>
      <c r="N36" s="1383">
        <v>0</v>
      </c>
      <c r="O36" s="1337"/>
      <c r="P36" s="1383">
        <f>'Exhibit I'!E79</f>
        <v>0</v>
      </c>
      <c r="Q36" s="1337"/>
      <c r="R36" s="1383">
        <f>'Exhibit I'!AF79</f>
        <v>0</v>
      </c>
      <c r="S36" s="1371"/>
      <c r="T36" s="1371"/>
      <c r="U36" s="1337"/>
      <c r="V36" s="1337">
        <f>ROUND(SUM(D36)+SUM(H36)+SUM(L36)+SUM(P36),1)</f>
        <v>1835.5</v>
      </c>
      <c r="W36" s="1337" t="s">
        <v>103</v>
      </c>
      <c r="X36" s="1337">
        <f>ROUND(SUM(F36)+SUM(J36)+SUM(N36)+SUM(R36),1)</f>
        <v>1835.5</v>
      </c>
      <c r="Y36" s="1371"/>
      <c r="Z36" s="1372"/>
      <c r="AA36" s="1337"/>
      <c r="AB36" s="1195">
        <v>1598</v>
      </c>
      <c r="AC36" s="1337"/>
      <c r="AD36" s="1337">
        <f>'Exhibit F'!AF117+'Exhibit G'!AH101+'Exhibit I'!AI79</f>
        <v>1598</v>
      </c>
      <c r="AE36" s="1337"/>
      <c r="AF36" s="1373"/>
      <c r="AG36" s="1337">
        <f>ROUND(SUM(X36-AD36),1)</f>
        <v>237.5</v>
      </c>
      <c r="AI36" s="1193">
        <f>ROUND(SUM((+X36-AD36)/ABS(AD36)),3)</f>
        <v>0.14899999999999999</v>
      </c>
      <c r="AJ36" s="1964"/>
    </row>
    <row r="37" spans="1:36" ht="18" customHeight="1">
      <c r="A37" s="1355" t="s">
        <v>137</v>
      </c>
      <c r="B37" s="1390"/>
      <c r="C37" s="1355"/>
      <c r="D37" s="1337">
        <f>'Exhibit F'!D118</f>
        <v>213.6</v>
      </c>
      <c r="E37" s="1337"/>
      <c r="F37" s="1337">
        <f>'Exhibit F'!AC118</f>
        <v>213.6</v>
      </c>
      <c r="G37" s="1337"/>
      <c r="H37" s="1194">
        <f>'Exhibit G'!D102</f>
        <v>398.4</v>
      </c>
      <c r="I37" s="1337"/>
      <c r="J37" s="1337">
        <f>'Exhibit G'!AE102</f>
        <v>398.4</v>
      </c>
      <c r="K37" s="1337"/>
      <c r="L37" s="1194">
        <f>'Exhibit H'!B59</f>
        <v>0.1</v>
      </c>
      <c r="M37" s="1337"/>
      <c r="N37" s="1337">
        <f>'Exhibit H'!AA59</f>
        <v>0.1</v>
      </c>
      <c r="O37" s="1337" t="s">
        <v>103</v>
      </c>
      <c r="P37" s="1383">
        <f>'Exhibit I'!E80</f>
        <v>0</v>
      </c>
      <c r="Q37" s="1337"/>
      <c r="R37" s="1383">
        <f>'Exhibit I'!AF80</f>
        <v>0</v>
      </c>
      <c r="S37" s="1371"/>
      <c r="T37" s="1371"/>
      <c r="U37" s="1337"/>
      <c r="V37" s="1337">
        <f>ROUND(SUM(D37)+SUM(H37)+SUM(L37)+SUM(P37),1)</f>
        <v>612.1</v>
      </c>
      <c r="W37" s="1337" t="s">
        <v>103</v>
      </c>
      <c r="X37" s="1337">
        <f>ROUND(SUM(F37)+SUM(J37)+SUM(N37)+SUM(R37),1)</f>
        <v>612.1</v>
      </c>
      <c r="Y37" s="1371"/>
      <c r="Z37" s="1372"/>
      <c r="AA37" s="1337"/>
      <c r="AB37" s="1195">
        <v>557.19999999999993</v>
      </c>
      <c r="AC37" s="1337"/>
      <c r="AD37" s="1337">
        <f>'Exhibit F'!AF118+'Exhibit G'!AH102+'Exhibit I'!AI80+'Exhibit H'!AD59</f>
        <v>557.20000000000005</v>
      </c>
      <c r="AE37" s="1337"/>
      <c r="AF37" s="1373"/>
      <c r="AG37" s="1337">
        <f>ROUND(SUM(X37-AD37),1)</f>
        <v>54.9</v>
      </c>
      <c r="AI37" s="1193">
        <f>ROUND(SUM((+X37-AD37)/ABS(AD37)),3)</f>
        <v>9.9000000000000005E-2</v>
      </c>
      <c r="AJ37" s="1964"/>
    </row>
    <row r="38" spans="1:36" ht="18" customHeight="1">
      <c r="A38" s="1355" t="s">
        <v>138</v>
      </c>
      <c r="B38" s="1364"/>
      <c r="C38" s="1355"/>
      <c r="D38" s="1337">
        <f>'Exhibit F'!D119</f>
        <v>783.3</v>
      </c>
      <c r="E38" s="1337"/>
      <c r="F38" s="1337">
        <f>'Exhibit F'!AC119</f>
        <v>783.3</v>
      </c>
      <c r="G38" s="2024"/>
      <c r="H38" s="1194">
        <f>'Exhibit G'!D103</f>
        <v>34.5</v>
      </c>
      <c r="I38" s="1337"/>
      <c r="J38" s="1337">
        <f>'Exhibit G'!AE103</f>
        <v>34.5</v>
      </c>
      <c r="K38" s="1337"/>
      <c r="L38" s="1383">
        <v>0</v>
      </c>
      <c r="M38" s="1337"/>
      <c r="N38" s="1383">
        <v>0</v>
      </c>
      <c r="O38" s="1337"/>
      <c r="P38" s="1383">
        <f>'Exhibit I'!E81</f>
        <v>0</v>
      </c>
      <c r="Q38" s="1337"/>
      <c r="R38" s="1383">
        <f>'Exhibit I'!AF81</f>
        <v>0</v>
      </c>
      <c r="S38" s="1371"/>
      <c r="T38" s="1371"/>
      <c r="U38" s="1337"/>
      <c r="V38" s="1337">
        <f>ROUND(SUM(D38)+SUM(H38)+SUM(L38)+SUM(P38),1)</f>
        <v>817.8</v>
      </c>
      <c r="W38" s="1337" t="s">
        <v>103</v>
      </c>
      <c r="X38" s="1337">
        <f>ROUND(SUM(F38)+SUM(J38)+SUM(N38)+SUM(R38),1)</f>
        <v>817.8</v>
      </c>
      <c r="Y38" s="1371"/>
      <c r="Z38" s="1372"/>
      <c r="AA38" s="1337"/>
      <c r="AB38" s="1195">
        <v>941.9</v>
      </c>
      <c r="AC38" s="1337"/>
      <c r="AD38" s="1337">
        <f>'Exhibit F'!AF119+'Exhibit G'!AH103+'Exhibit I'!AI81</f>
        <v>941.9</v>
      </c>
      <c r="AE38" s="1337"/>
      <c r="AF38" s="1373"/>
      <c r="AG38" s="1337">
        <f>ROUND(SUM(X38-AD38),1)</f>
        <v>-124.1</v>
      </c>
      <c r="AI38" s="1193">
        <f>ROUND(SUM((+X38-AD38)/ABS(AD38)),3)</f>
        <v>-0.13200000000000001</v>
      </c>
      <c r="AJ38" s="1964"/>
    </row>
    <row r="39" spans="1:36" ht="18" customHeight="1">
      <c r="A39" s="1355" t="s">
        <v>139</v>
      </c>
      <c r="B39" s="1355"/>
      <c r="C39" s="1355"/>
      <c r="D39" s="1337"/>
      <c r="E39" s="1337"/>
      <c r="F39" s="1337"/>
      <c r="G39" s="1337"/>
      <c r="H39" s="1337"/>
      <c r="I39" s="1337"/>
      <c r="J39" s="2025"/>
      <c r="K39" s="1337"/>
      <c r="L39" s="1337"/>
      <c r="M39" s="1337"/>
      <c r="N39" s="1337"/>
      <c r="O39" s="1337"/>
      <c r="P39" s="1383"/>
      <c r="Q39" s="1337"/>
      <c r="R39" s="1337"/>
      <c r="S39" s="1371"/>
      <c r="T39" s="1371"/>
      <c r="U39" s="1337"/>
      <c r="V39" s="1337"/>
      <c r="W39" s="1337"/>
      <c r="X39" s="1337"/>
      <c r="Y39" s="1371"/>
      <c r="Z39" s="1372"/>
      <c r="AA39" s="1337"/>
      <c r="AB39" s="1337"/>
      <c r="AC39" s="1337"/>
      <c r="AD39" s="1337"/>
      <c r="AE39" s="1337"/>
      <c r="AF39" s="1373"/>
      <c r="AG39" s="1337"/>
      <c r="AI39" s="1193"/>
      <c r="AJ39" s="1964"/>
    </row>
    <row r="40" spans="1:36" ht="18" customHeight="1">
      <c r="A40" s="1355" t="s">
        <v>1466</v>
      </c>
      <c r="B40" s="1364"/>
      <c r="C40" s="1355"/>
      <c r="D40" s="1337">
        <v>0</v>
      </c>
      <c r="E40" s="1337"/>
      <c r="F40" s="1383">
        <v>0</v>
      </c>
      <c r="G40" s="1337"/>
      <c r="H40" s="1194">
        <f>'Exhibit G'!D105</f>
        <v>0</v>
      </c>
      <c r="I40" s="1337"/>
      <c r="J40" s="1383">
        <f>'Exhibit G'!AE105</f>
        <v>0</v>
      </c>
      <c r="K40" s="1337"/>
      <c r="L40" s="1337">
        <f>'Exhibit H'!B61</f>
        <v>1.5</v>
      </c>
      <c r="M40" s="1337"/>
      <c r="N40" s="1337">
        <f>'Exhibit H'!AA61</f>
        <v>1.5</v>
      </c>
      <c r="O40" s="1337" t="s">
        <v>103</v>
      </c>
      <c r="P40" s="1383">
        <v>0</v>
      </c>
      <c r="Q40" s="1337"/>
      <c r="R40" s="1383">
        <v>0</v>
      </c>
      <c r="S40" s="1371"/>
      <c r="T40" s="1371"/>
      <c r="U40" s="1337"/>
      <c r="V40" s="1337">
        <f>ROUND(SUM(D40)+SUM(H40)+SUM(L40)+SUM(P40),1)</f>
        <v>1.5</v>
      </c>
      <c r="W40" s="1337" t="s">
        <v>103</v>
      </c>
      <c r="X40" s="1337">
        <f>ROUND(SUM(F40)+SUM(J40)+SUM(N40)+SUM(R40),1)</f>
        <v>1.5</v>
      </c>
      <c r="Y40" s="1371"/>
      <c r="Z40" s="1372"/>
      <c r="AA40" s="1337"/>
      <c r="AB40" s="1195">
        <v>4.8</v>
      </c>
      <c r="AC40" s="1337"/>
      <c r="AD40" s="1337">
        <f>'Exhibit H'!AD61+'Exhibit G Federal'!AF76</f>
        <v>4.8</v>
      </c>
      <c r="AE40" s="1337"/>
      <c r="AF40" s="1373"/>
      <c r="AG40" s="1337">
        <f>ROUND(SUM(X40-AD40),1)</f>
        <v>-3.3</v>
      </c>
      <c r="AI40" s="1193">
        <f>ROUND(SUM((+X40-AD40)/ABS(AD40)),3)</f>
        <v>-0.68799999999999994</v>
      </c>
      <c r="AJ40" s="1967"/>
    </row>
    <row r="41" spans="1:36" ht="18" customHeight="1">
      <c r="A41" s="1355" t="s">
        <v>140</v>
      </c>
      <c r="B41" s="1364" t="s">
        <v>141</v>
      </c>
      <c r="C41" s="1355"/>
      <c r="D41" s="1337">
        <v>0</v>
      </c>
      <c r="E41" s="1337"/>
      <c r="F41" s="1383">
        <v>0</v>
      </c>
      <c r="G41" s="1337"/>
      <c r="H41" s="1194">
        <f>'Exhibit G'!D106</f>
        <v>0</v>
      </c>
      <c r="I41" s="1337"/>
      <c r="J41" s="1337">
        <f>'Exhibit G'!AE106</f>
        <v>0</v>
      </c>
      <c r="K41" s="1337"/>
      <c r="L41" s="1383">
        <v>0</v>
      </c>
      <c r="M41" s="1337"/>
      <c r="N41" s="1383">
        <v>0</v>
      </c>
      <c r="O41" s="1337"/>
      <c r="P41" s="1194">
        <f>'Exhibit I'!E82</f>
        <v>406</v>
      </c>
      <c r="Q41" s="1337"/>
      <c r="R41" s="1393">
        <f>'Exhibit I'!AF82</f>
        <v>406</v>
      </c>
      <c r="S41" s="1371"/>
      <c r="T41" s="1371"/>
      <c r="U41" s="1337"/>
      <c r="V41" s="1337">
        <f>ROUND(SUM(D41)+SUM(H41)+SUM(L41)+SUM(P41),1)</f>
        <v>406</v>
      </c>
      <c r="W41" s="1337" t="s">
        <v>103</v>
      </c>
      <c r="X41" s="1337">
        <f>ROUND(SUM(F41)+SUM(J41)+SUM(N41)+SUM(R41),1)</f>
        <v>406</v>
      </c>
      <c r="Y41" s="1371"/>
      <c r="Z41" s="1372"/>
      <c r="AA41" s="1337"/>
      <c r="AB41" s="1195">
        <v>550.9</v>
      </c>
      <c r="AC41" s="1337"/>
      <c r="AD41" s="1337">
        <f>'Exhibit G'!AH106+'Exhibit I'!AI82</f>
        <v>550.9</v>
      </c>
      <c r="AE41" s="1337"/>
      <c r="AF41" s="1373"/>
      <c r="AG41" s="1337">
        <f>ROUND(SUM(X41-AD41),1)</f>
        <v>-144.9</v>
      </c>
      <c r="AI41" s="1193">
        <f>ROUND(SUM((+X41-AD41)/ABS(AD41)),3)</f>
        <v>-0.26300000000000001</v>
      </c>
      <c r="AJ41" s="1967"/>
    </row>
    <row r="42" spans="1:36" ht="18" customHeight="1">
      <c r="A42" s="1354" t="s">
        <v>142</v>
      </c>
      <c r="B42" s="1355"/>
      <c r="C42" s="1355"/>
      <c r="D42" s="1377">
        <f>ROUND(SUM(D34:D41),1)</f>
        <v>9625</v>
      </c>
      <c r="E42" s="1376"/>
      <c r="F42" s="1377">
        <f>ROUND(SUM(F34:F41),1)</f>
        <v>9625</v>
      </c>
      <c r="G42" s="1376"/>
      <c r="H42" s="1377">
        <f>ROUND(SUM(H34:H41),1)</f>
        <v>9213.2000000000007</v>
      </c>
      <c r="I42" s="1376"/>
      <c r="J42" s="1377">
        <f>ROUND(SUM(J34:J41),1)</f>
        <v>9213.2000000000007</v>
      </c>
      <c r="K42" s="1376"/>
      <c r="L42" s="1377">
        <f>ROUND(SUM(L34:L41),1)</f>
        <v>1.6</v>
      </c>
      <c r="M42" s="1376"/>
      <c r="N42" s="1377">
        <f>ROUND(SUM(N34:N41),1)</f>
        <v>1.6</v>
      </c>
      <c r="O42" s="1376"/>
      <c r="P42" s="1377">
        <f>ROUND(SUM(P34:P41),1)</f>
        <v>766.7</v>
      </c>
      <c r="Q42" s="1376"/>
      <c r="R42" s="1377">
        <f>ROUND(SUM(R34:R41),1)</f>
        <v>766.7</v>
      </c>
      <c r="S42" s="1378"/>
      <c r="T42" s="1378"/>
      <c r="U42" s="1376"/>
      <c r="V42" s="1377">
        <f>ROUND(SUM(V34:V41),1)</f>
        <v>19606.5</v>
      </c>
      <c r="W42" s="1376"/>
      <c r="X42" s="1377">
        <f>ROUND(SUM(X34:X41),1)</f>
        <v>19606.5</v>
      </c>
      <c r="Y42" s="1378"/>
      <c r="Z42" s="1379"/>
      <c r="AA42" s="1376"/>
      <c r="AB42" s="1377">
        <f>ROUND(SUM(AB34:AB41),1)</f>
        <v>18165.599999999999</v>
      </c>
      <c r="AC42" s="1376"/>
      <c r="AD42" s="1377">
        <f>ROUND(SUM(AD34:AD41),1)</f>
        <v>18165.599999999999</v>
      </c>
      <c r="AE42" s="1376"/>
      <c r="AF42" s="1380"/>
      <c r="AG42" s="1377">
        <f>ROUND(SUM(AG34:AG41),1)</f>
        <v>1440.9</v>
      </c>
      <c r="AH42" s="1381"/>
      <c r="AI42" s="1382">
        <f>ROUND(SUM((+X42-AD42)/ABS(AD42)),3)</f>
        <v>7.9000000000000001E-2</v>
      </c>
      <c r="AJ42" s="1966"/>
    </row>
    <row r="43" spans="1:36" ht="16.399999999999999" customHeight="1">
      <c r="A43" s="1354"/>
      <c r="B43" s="1355"/>
      <c r="C43" s="1355"/>
      <c r="D43" s="1337"/>
      <c r="E43" s="1337"/>
      <c r="F43" s="1337"/>
      <c r="G43" s="1337"/>
      <c r="H43" s="1337"/>
      <c r="I43" s="1337"/>
      <c r="J43" s="1337" t="s">
        <v>103</v>
      </c>
      <c r="K43" s="1337"/>
      <c r="L43" s="1337"/>
      <c r="M43" s="1337"/>
      <c r="N43" s="1337"/>
      <c r="O43" s="1337"/>
      <c r="P43" s="1194"/>
      <c r="Q43" s="1337"/>
      <c r="R43" s="1337"/>
      <c r="S43" s="1371"/>
      <c r="T43" s="1371"/>
      <c r="U43" s="1337"/>
      <c r="V43" s="1337"/>
      <c r="W43" s="1337"/>
      <c r="X43" s="1337" t="s">
        <v>103</v>
      </c>
      <c r="Y43" s="1371"/>
      <c r="Z43" s="1372"/>
      <c r="AA43" s="1337"/>
      <c r="AB43" s="1337" t="s">
        <v>103</v>
      </c>
      <c r="AC43" s="1337"/>
      <c r="AD43" s="1337"/>
      <c r="AE43" s="1337"/>
      <c r="AF43" s="1373"/>
      <c r="AG43" s="1337"/>
      <c r="AI43" s="1342"/>
      <c r="AJ43" s="1964"/>
    </row>
    <row r="44" spans="1:36" ht="16.399999999999999" customHeight="1">
      <c r="A44" s="1354" t="s">
        <v>143</v>
      </c>
      <c r="B44" s="1354"/>
      <c r="C44" s="1355"/>
      <c r="D44" s="1337"/>
      <c r="E44" s="1337"/>
      <c r="F44" s="1337"/>
      <c r="G44" s="1337"/>
      <c r="H44" s="1337"/>
      <c r="I44" s="1337"/>
      <c r="J44" s="1337"/>
      <c r="K44" s="1337"/>
      <c r="L44" s="1337" t="s">
        <v>103</v>
      </c>
      <c r="M44" s="1337"/>
      <c r="N44" s="1337"/>
      <c r="O44" s="1337"/>
      <c r="P44" s="1194"/>
      <c r="Q44" s="1337"/>
      <c r="R44" s="1337"/>
      <c r="S44" s="1371"/>
      <c r="T44" s="1371"/>
      <c r="U44" s="1337"/>
      <c r="V44" s="1337"/>
      <c r="W44" s="1337"/>
      <c r="X44" s="1337"/>
      <c r="Y44" s="1371"/>
      <c r="Z44" s="1372"/>
      <c r="AA44" s="1337"/>
      <c r="AB44" s="1337"/>
      <c r="AC44" s="1337"/>
      <c r="AD44" s="1337"/>
      <c r="AE44" s="1337"/>
      <c r="AF44" s="1373"/>
      <c r="AG44" s="1337"/>
      <c r="AI44" s="1342"/>
      <c r="AJ44" s="1964"/>
    </row>
    <row r="45" spans="1:36" ht="16.399999999999999" customHeight="1">
      <c r="A45" s="1354" t="s">
        <v>144</v>
      </c>
      <c r="B45" s="1354"/>
      <c r="C45" s="1355"/>
      <c r="D45" s="1394">
        <f>ROUND(SUM(D20-D42),1)</f>
        <v>-1975.5</v>
      </c>
      <c r="E45" s="1376"/>
      <c r="F45" s="1394">
        <f>ROUND(SUM(F20-F42),1)</f>
        <v>-1975.5</v>
      </c>
      <c r="G45" s="1376"/>
      <c r="H45" s="1394">
        <f>ROUND(SUM(H20-H42),1)</f>
        <v>2458.6</v>
      </c>
      <c r="I45" s="1376"/>
      <c r="J45" s="1394">
        <f>ROUND(SUM(J20-J42),1)</f>
        <v>2458.6</v>
      </c>
      <c r="K45" s="1376"/>
      <c r="L45" s="1394">
        <f>ROUND(SUM(L20-L42),1)</f>
        <v>6281.8</v>
      </c>
      <c r="M45" s="1376" t="s">
        <v>103</v>
      </c>
      <c r="N45" s="1394">
        <f>ROUND(SUM(N20-N42),1)</f>
        <v>6281.8</v>
      </c>
      <c r="O45" s="1376" t="s">
        <v>103</v>
      </c>
      <c r="P45" s="2009">
        <f>ROUND(SUM(P20-P42),1)</f>
        <v>-553.9</v>
      </c>
      <c r="Q45" s="1376" t="s">
        <v>103</v>
      </c>
      <c r="R45" s="2009">
        <f>ROUND(SUM(R20-R42),1)</f>
        <v>-553.9</v>
      </c>
      <c r="S45" s="1378"/>
      <c r="T45" s="1378"/>
      <c r="U45" s="1376"/>
      <c r="V45" s="1394">
        <f>ROUND(SUM(V20-V42),1)</f>
        <v>6211</v>
      </c>
      <c r="W45" s="1376" t="s">
        <v>103</v>
      </c>
      <c r="X45" s="1394">
        <f>ROUND(SUM(X20-X42),1)</f>
        <v>6211</v>
      </c>
      <c r="Y45" s="1378"/>
      <c r="Z45" s="1379"/>
      <c r="AA45" s="1376"/>
      <c r="AB45" s="1394">
        <f>ROUND(SUM(AB20-AB42),1)</f>
        <v>7949.7</v>
      </c>
      <c r="AC45" s="1376"/>
      <c r="AD45" s="1394">
        <f>ROUND(SUM(AD20-AD42),1)</f>
        <v>7949.7</v>
      </c>
      <c r="AE45" s="1376"/>
      <c r="AF45" s="1380"/>
      <c r="AG45" s="1394">
        <f>ROUND(SUM(X45-AD45),1)</f>
        <v>-1738.7</v>
      </c>
      <c r="AH45" s="1381"/>
      <c r="AI45" s="1395">
        <f>ROUND(SUM((+X45-AD45)/ABS(AD45)),3)</f>
        <v>-0.219</v>
      </c>
      <c r="AJ45" s="1966"/>
    </row>
    <row r="46" spans="1:36" ht="16.399999999999999" customHeight="1">
      <c r="A46" s="1355"/>
      <c r="B46" s="1355"/>
      <c r="C46" s="1355"/>
      <c r="D46" s="1337"/>
      <c r="E46" s="1337"/>
      <c r="F46" s="1337"/>
      <c r="G46" s="1337"/>
      <c r="H46" s="1337"/>
      <c r="I46" s="1337"/>
      <c r="J46" s="1337" t="s">
        <v>103</v>
      </c>
      <c r="K46" s="1337"/>
      <c r="L46" s="1337"/>
      <c r="M46" s="1337"/>
      <c r="N46" s="1337"/>
      <c r="O46" s="1337"/>
      <c r="P46" s="1194"/>
      <c r="Q46" s="1337"/>
      <c r="R46" s="1337"/>
      <c r="S46" s="1973"/>
      <c r="T46" s="1371"/>
      <c r="U46" s="1337"/>
      <c r="W46" s="1337"/>
      <c r="X46" s="1337"/>
      <c r="Y46" s="1371"/>
      <c r="Z46" s="1372"/>
      <c r="AA46" s="1337"/>
      <c r="AB46" s="1337"/>
      <c r="AC46" s="1337"/>
      <c r="AD46" s="1337"/>
      <c r="AE46" s="1337"/>
      <c r="AF46" s="1373"/>
      <c r="AG46" s="1337"/>
      <c r="AI46" s="1342"/>
      <c r="AJ46" s="1964"/>
    </row>
    <row r="47" spans="1:36" ht="16.399999999999999" customHeight="1">
      <c r="A47" s="1354" t="s">
        <v>145</v>
      </c>
      <c r="B47" s="1354"/>
      <c r="C47" s="1355"/>
      <c r="D47" s="1337"/>
      <c r="E47" s="1337"/>
      <c r="F47" s="1337"/>
      <c r="G47" s="1337"/>
      <c r="H47" s="1337"/>
      <c r="I47" s="1337"/>
      <c r="J47" s="1337"/>
      <c r="K47" s="1337"/>
      <c r="L47" s="1337"/>
      <c r="M47" s="1337"/>
      <c r="N47" s="1337"/>
      <c r="O47" s="1337"/>
      <c r="P47" s="1194"/>
      <c r="Q47" s="1337"/>
      <c r="R47" s="1337"/>
      <c r="S47" s="1371"/>
      <c r="T47" s="1371"/>
      <c r="U47" s="1337"/>
      <c r="V47" s="1337"/>
      <c r="W47" s="1337"/>
      <c r="X47" s="1337"/>
      <c r="Y47" s="1371"/>
      <c r="Z47" s="1372"/>
      <c r="AA47" s="1337"/>
      <c r="AB47" s="1337"/>
      <c r="AC47" s="1337"/>
      <c r="AD47" s="1337"/>
      <c r="AE47" s="1337"/>
      <c r="AF47" s="1373"/>
      <c r="AG47" s="1337"/>
      <c r="AI47" s="1342"/>
      <c r="AJ47" s="1964"/>
    </row>
    <row r="48" spans="1:36" ht="18" customHeight="1">
      <c r="A48" s="1355" t="s">
        <v>146</v>
      </c>
      <c r="B48" s="1355"/>
      <c r="C48" s="1355"/>
      <c r="D48" s="1383">
        <v>0</v>
      </c>
      <c r="E48" s="1337"/>
      <c r="F48" s="1383">
        <v>0</v>
      </c>
      <c r="G48" s="1337"/>
      <c r="H48" s="1383">
        <v>0</v>
      </c>
      <c r="I48" s="1337"/>
      <c r="J48" s="1383">
        <v>0</v>
      </c>
      <c r="K48" s="1337"/>
      <c r="L48" s="1383">
        <v>0</v>
      </c>
      <c r="M48" s="1337"/>
      <c r="N48" s="1383">
        <v>0</v>
      </c>
      <c r="O48" s="1337"/>
      <c r="P48" s="1383">
        <f>'Exhibit I'!E90</f>
        <v>0</v>
      </c>
      <c r="Q48" s="1337"/>
      <c r="R48" s="1383">
        <f>'Exhibit I'!AF90</f>
        <v>0</v>
      </c>
      <c r="S48" s="1371"/>
      <c r="T48" s="1371"/>
      <c r="U48" s="1337"/>
      <c r="V48" s="1337">
        <f>ROUND(SUM(D48)+SUM(H48)+SUM(L48)+SUM(P48),1)</f>
        <v>0</v>
      </c>
      <c r="W48" s="1383"/>
      <c r="X48" s="1337">
        <f>ROUND(SUM(F48)+SUM(J48)+SUM(N48)+SUM(R48),1)</f>
        <v>0</v>
      </c>
      <c r="Y48" s="1396"/>
      <c r="Z48" s="1397"/>
      <c r="AA48" s="1398"/>
      <c r="AB48" s="1195">
        <v>0</v>
      </c>
      <c r="AC48" s="1383"/>
      <c r="AD48" s="1384">
        <f>'Exhibit I'!AI90</f>
        <v>0</v>
      </c>
      <c r="AE48" s="1383"/>
      <c r="AF48" s="1399"/>
      <c r="AG48" s="1337">
        <f>X48-AD48</f>
        <v>0</v>
      </c>
      <c r="AI48" s="1193">
        <f>ROUND(IF(AD48=0,0,AG48/ABS(AD48)),3)</f>
        <v>0</v>
      </c>
      <c r="AJ48" s="1967"/>
    </row>
    <row r="49" spans="1:36" ht="18" customHeight="1">
      <c r="A49" s="1355" t="s">
        <v>147</v>
      </c>
      <c r="B49" s="1364" t="s">
        <v>148</v>
      </c>
      <c r="C49" s="1355"/>
      <c r="D49" s="1337">
        <f>'Exhibit F'!D128+'Exhibit F'!D129+'Exhibit F'!D130+'Exhibit F'!D131</f>
        <v>6357.9</v>
      </c>
      <c r="E49" s="1337"/>
      <c r="F49" s="1337">
        <f>'Exhibit F'!AC128+'Exhibit F'!AC129+'Exhibit F'!AC130+'Exhibit F'!AC131</f>
        <v>6357.9</v>
      </c>
      <c r="G49" s="1337"/>
      <c r="H49" s="1337">
        <f>'Exhibit G'!D114-17.1</f>
        <v>226</v>
      </c>
      <c r="I49" s="1337"/>
      <c r="J49" s="1337">
        <f>'Exhibit G'!AE114</f>
        <v>226</v>
      </c>
      <c r="K49" s="1337"/>
      <c r="L49" s="1337">
        <f>'Exhibit H'!B69</f>
        <v>243.8</v>
      </c>
      <c r="M49" s="1337"/>
      <c r="N49" s="1337">
        <f>'Exhibit H'!AA69</f>
        <v>243.8</v>
      </c>
      <c r="O49" s="1337"/>
      <c r="P49" s="1383">
        <f>'Exhibit I'!E91</f>
        <v>463.8</v>
      </c>
      <c r="Q49" s="1337"/>
      <c r="R49" s="1337">
        <f>'Exhibit I'!AF91</f>
        <v>463.8</v>
      </c>
      <c r="S49" s="1371"/>
      <c r="T49" s="1371"/>
      <c r="U49" s="1337"/>
      <c r="V49" s="1337">
        <f>ROUND(SUM(D49)+SUM(H49)+SUM(L49)+SUM(P49),1)</f>
        <v>7291.5</v>
      </c>
      <c r="W49" s="1337" t="s">
        <v>103</v>
      </c>
      <c r="X49" s="1337">
        <f>ROUND(SUM(F49)+SUM(J49)+SUM(N49)+SUM(R49),1)</f>
        <v>7291.5</v>
      </c>
      <c r="Y49" s="1396"/>
      <c r="Z49" s="1397"/>
      <c r="AA49" s="1398"/>
      <c r="AB49" s="1195">
        <v>6950.8</v>
      </c>
      <c r="AC49" s="1337"/>
      <c r="AD49" s="1337">
        <f>'Exhibit F'!AF128+'Exhibit F'!AF129+'Exhibit F'!AF130+'Exhibit F'!AF131+'Exhibit G'!AH114+'Exhibit H'!AD69+'Exhibit I'!AI91</f>
        <v>6950.8</v>
      </c>
      <c r="AE49" s="1337"/>
      <c r="AF49" s="1373"/>
      <c r="AG49" s="1337">
        <f>ROUND(SUM(X49-AD49),1)</f>
        <v>340.7</v>
      </c>
      <c r="AI49" s="1193">
        <f>ROUND(SUM((+X49-AD49)/ABS(AD49)),3)</f>
        <v>4.9000000000000002E-2</v>
      </c>
      <c r="AJ49" s="1964"/>
    </row>
    <row r="50" spans="1:36" ht="17.149999999999999" customHeight="1">
      <c r="A50" s="1355" t="s">
        <v>149</v>
      </c>
      <c r="B50" s="1364" t="s">
        <v>148</v>
      </c>
      <c r="C50" s="1355"/>
      <c r="D50" s="1337">
        <f>'Exhibit F'!D132+'Exhibit F'!D134+'Exhibit F'!D135+'Exhibit F'!D133</f>
        <v>-665.4</v>
      </c>
      <c r="E50" s="1337"/>
      <c r="F50" s="1337">
        <f>'Exhibit F'!AC132+'Exhibit F'!AC134+'Exhibit F'!AC135+'Exhibit F'!AC133</f>
        <v>-665.4</v>
      </c>
      <c r="G50" s="1337"/>
      <c r="H50" s="1337">
        <f>'Exhibit G'!D115+17.1</f>
        <v>-258.29999999999995</v>
      </c>
      <c r="I50" s="1337"/>
      <c r="J50" s="1337">
        <f>'Exhibit G'!AE115</f>
        <v>-258.3</v>
      </c>
      <c r="K50" s="1337"/>
      <c r="L50" s="1337">
        <f>'Exhibit H'!B70</f>
        <v>-6368.0999999999995</v>
      </c>
      <c r="M50" s="1337"/>
      <c r="N50" s="1337">
        <f>'Exhibit H'!AA70</f>
        <v>-6368.0999999999995</v>
      </c>
      <c r="O50" s="1337"/>
      <c r="P50" s="1383">
        <f>'Exhibit I'!E92</f>
        <v>-1.3</v>
      </c>
      <c r="Q50" s="1337"/>
      <c r="R50" s="1337">
        <f>'Exhibit I'!AF92</f>
        <v>-1.3</v>
      </c>
      <c r="S50" s="1371"/>
      <c r="T50" s="1371"/>
      <c r="U50" s="1337"/>
      <c r="V50" s="1337">
        <f>ROUND(SUM(D50)+SUM(H50)+SUM(L50)+SUM(P50),1)</f>
        <v>-7293.1</v>
      </c>
      <c r="W50" s="1337" t="s">
        <v>103</v>
      </c>
      <c r="X50" s="1337">
        <f>ROUND(SUM(F50)+SUM(J50)+SUM(N50)+SUM(R50),1)</f>
        <v>-7293.1</v>
      </c>
      <c r="Y50" s="1396"/>
      <c r="Z50" s="1397"/>
      <c r="AA50" s="1398"/>
      <c r="AB50" s="1195">
        <v>-6951.8</v>
      </c>
      <c r="AC50" s="1337"/>
      <c r="AD50" s="1337">
        <f>'Exhibit F'!AF132+'Exhibit F'!AF133+'Exhibit F'!AF134+'Exhibit F'!AF135+'Exhibit G'!AH115+'Exhibit H'!AD70+'Exhibit I'!AI92</f>
        <v>-6951.8</v>
      </c>
      <c r="AE50" s="1337"/>
      <c r="AF50" s="1373"/>
      <c r="AG50" s="1393">
        <f>ROUND(SUM(X50-AD50),1)*-1</f>
        <v>341.3</v>
      </c>
      <c r="AI50" s="1400">
        <f>-ROUND(SUM((+X50-AD50)/ABS(AD50)),3)</f>
        <v>4.9000000000000002E-2</v>
      </c>
      <c r="AJ50" s="1964"/>
    </row>
    <row r="51" spans="1:36" ht="18" customHeight="1">
      <c r="A51" s="1354" t="s">
        <v>150</v>
      </c>
      <c r="B51" s="1354"/>
      <c r="C51" s="1355"/>
      <c r="D51" s="1377">
        <f>ROUND(SUM(D48:D50),1)</f>
        <v>5692.5</v>
      </c>
      <c r="E51" s="1337"/>
      <c r="F51" s="1377">
        <f>ROUND(SUM(F48:F50),1)</f>
        <v>5692.5</v>
      </c>
      <c r="G51" s="1376"/>
      <c r="H51" s="1377">
        <f>ROUND(SUM(H48:H50),1)</f>
        <v>-32.299999999999997</v>
      </c>
      <c r="I51" s="1376"/>
      <c r="J51" s="1377">
        <f>ROUND(SUM(J48:J50),1)</f>
        <v>-32.299999999999997</v>
      </c>
      <c r="K51" s="1376"/>
      <c r="L51" s="1377">
        <f>ROUND(SUM(L48:L50),1)</f>
        <v>-6124.3</v>
      </c>
      <c r="M51" s="1376"/>
      <c r="N51" s="1377">
        <f>ROUND(SUM(N48:N50),1)</f>
        <v>-6124.3</v>
      </c>
      <c r="O51" s="1376"/>
      <c r="P51" s="1377">
        <f>ROUND(SUM(P48:P50),1)</f>
        <v>462.5</v>
      </c>
      <c r="Q51" s="1376"/>
      <c r="R51" s="1377">
        <f>ROUND(SUM(R48:R50),1)</f>
        <v>462.5</v>
      </c>
      <c r="S51" s="1378"/>
      <c r="T51" s="1378"/>
      <c r="U51" s="1376"/>
      <c r="V51" s="1401">
        <f>ROUND(SUM(V48+V49+V50),1)</f>
        <v>-1.6</v>
      </c>
      <c r="W51" s="1376"/>
      <c r="X51" s="1401">
        <f>ROUND(SUM(+X48+X49+X50),1)</f>
        <v>-1.6</v>
      </c>
      <c r="Y51" s="1402"/>
      <c r="Z51" s="1403"/>
      <c r="AA51" s="1404"/>
      <c r="AB51" s="1401">
        <f>ROUND(SUM(+AB48+AB49+AB50),1)</f>
        <v>-1</v>
      </c>
      <c r="AC51" s="1376"/>
      <c r="AD51" s="1401">
        <f>ROUND(SUM(+AD48+AD49+AD50),1)</f>
        <v>-1</v>
      </c>
      <c r="AE51" s="1405"/>
      <c r="AF51" s="1380"/>
      <c r="AG51" s="1375">
        <f>ROUND(SUM(+AG49-AG50+AG48),1)</f>
        <v>-0.6</v>
      </c>
      <c r="AH51" s="1381"/>
      <c r="AI51" s="1395">
        <f>-ROUND(SUM(AG51/AD51),3)</f>
        <v>-0.6</v>
      </c>
      <c r="AJ51" s="1966"/>
    </row>
    <row r="52" spans="1:36" ht="16.399999999999999" customHeight="1">
      <c r="A52" s="1355"/>
      <c r="B52" s="1355"/>
      <c r="C52" s="1355"/>
      <c r="D52" s="1337"/>
      <c r="E52" s="1337"/>
      <c r="F52" s="1337" t="s">
        <v>103</v>
      </c>
      <c r="G52" s="1337"/>
      <c r="H52" s="1337" t="s">
        <v>103</v>
      </c>
      <c r="I52" s="1337"/>
      <c r="J52" s="1337" t="s">
        <v>103</v>
      </c>
      <c r="K52" s="1337"/>
      <c r="L52" s="1337" t="s">
        <v>103</v>
      </c>
      <c r="M52" s="1337"/>
      <c r="N52" s="1337"/>
      <c r="O52" s="1337"/>
      <c r="P52" s="1337" t="s">
        <v>103</v>
      </c>
      <c r="Q52" s="1337"/>
      <c r="R52" s="1337" t="s">
        <v>103</v>
      </c>
      <c r="S52" s="1371"/>
      <c r="T52" s="1371"/>
      <c r="U52" s="1337"/>
      <c r="V52" s="1337" t="s">
        <v>103</v>
      </c>
      <c r="W52" s="1337"/>
      <c r="X52" s="1337" t="s">
        <v>103</v>
      </c>
      <c r="Y52" s="1371"/>
      <c r="Z52" s="1372"/>
      <c r="AA52" s="1337"/>
      <c r="AB52" s="1337"/>
      <c r="AC52" s="1337"/>
      <c r="AD52" s="1337"/>
      <c r="AE52" s="1337"/>
      <c r="AF52" s="1373"/>
      <c r="AG52" s="1337"/>
      <c r="AI52" s="1342"/>
      <c r="AJ52" s="1964"/>
    </row>
    <row r="53" spans="1:36" ht="18" customHeight="1">
      <c r="A53" s="1354" t="s">
        <v>143</v>
      </c>
      <c r="B53" s="1354"/>
      <c r="C53" s="1355"/>
      <c r="D53" s="1337" t="s">
        <v>103</v>
      </c>
      <c r="E53" s="1337"/>
      <c r="F53" s="1337" t="s">
        <v>103</v>
      </c>
      <c r="G53" s="1337"/>
      <c r="H53" s="1337" t="s">
        <v>103</v>
      </c>
      <c r="I53" s="1337"/>
      <c r="J53" s="1337"/>
      <c r="K53" s="1337"/>
      <c r="L53" s="1337" t="s">
        <v>103</v>
      </c>
      <c r="M53" s="1337"/>
      <c r="N53" s="1337"/>
      <c r="O53" s="1337"/>
      <c r="P53" s="1337" t="s">
        <v>103</v>
      </c>
      <c r="Q53" s="1337"/>
      <c r="R53" s="1337"/>
      <c r="S53" s="1371"/>
      <c r="T53" s="1371"/>
      <c r="U53" s="1337"/>
      <c r="V53" s="1337" t="s">
        <v>103</v>
      </c>
      <c r="W53" s="1337"/>
      <c r="X53" s="1337"/>
      <c r="Y53" s="1371"/>
      <c r="Z53" s="1372"/>
      <c r="AA53" s="1337"/>
      <c r="AB53" s="1337"/>
      <c r="AC53" s="1337"/>
      <c r="AD53" s="1337"/>
      <c r="AE53" s="1337"/>
      <c r="AF53" s="1373"/>
      <c r="AG53" s="1337"/>
      <c r="AI53" s="1406"/>
      <c r="AJ53" s="1964"/>
    </row>
    <row r="54" spans="1:36" ht="18" customHeight="1">
      <c r="A54" s="1354" t="s">
        <v>151</v>
      </c>
      <c r="B54" s="1354"/>
      <c r="C54" s="1355"/>
      <c r="D54" s="1337"/>
      <c r="E54" s="1337"/>
      <c r="F54" s="1337"/>
      <c r="G54" s="1337"/>
      <c r="H54" s="1337"/>
      <c r="I54" s="1337"/>
      <c r="J54" s="1337"/>
      <c r="K54" s="1337"/>
      <c r="L54" s="1337"/>
      <c r="M54" s="1337"/>
      <c r="N54" s="1337"/>
      <c r="O54" s="1337"/>
      <c r="P54" s="1337"/>
      <c r="Q54" s="1337"/>
      <c r="R54" s="1337"/>
      <c r="S54" s="1371"/>
      <c r="T54" s="1371"/>
      <c r="U54" s="1337"/>
      <c r="V54" s="1337" t="s">
        <v>103</v>
      </c>
      <c r="W54" s="1337"/>
      <c r="X54" s="1337"/>
      <c r="Y54" s="1371"/>
      <c r="Z54" s="1372"/>
      <c r="AA54" s="1337"/>
      <c r="AB54" s="1337"/>
      <c r="AC54" s="1337"/>
      <c r="AD54" s="1337"/>
      <c r="AE54" s="1337"/>
      <c r="AF54" s="1373"/>
      <c r="AG54" s="1337"/>
      <c r="AI54" s="1342"/>
      <c r="AJ54" s="1964"/>
    </row>
    <row r="55" spans="1:36" ht="18" customHeight="1">
      <c r="A55" s="1354" t="s">
        <v>152</v>
      </c>
      <c r="B55" s="1354"/>
      <c r="C55" s="1355"/>
      <c r="D55" s="1376">
        <f>ROUND(SUM(D45+D51),1)</f>
        <v>3717</v>
      </c>
      <c r="E55" s="1376"/>
      <c r="F55" s="1376">
        <f>ROUND(SUM(F45)+SUM(F51),1)</f>
        <v>3717</v>
      </c>
      <c r="G55" s="1376"/>
      <c r="H55" s="1376">
        <f>ROUND(SUM(H45+H51),1)</f>
        <v>2426.3000000000002</v>
      </c>
      <c r="I55" s="1376"/>
      <c r="J55" s="1376">
        <f>ROUND(SUM(J45)+SUM(J51),1)</f>
        <v>2426.3000000000002</v>
      </c>
      <c r="K55" s="1376"/>
      <c r="L55" s="1376">
        <f>ROUND(SUM(L45+L51),1)</f>
        <v>157.5</v>
      </c>
      <c r="M55" s="1376"/>
      <c r="N55" s="1376">
        <f>ROUND(SUM(N45+N51),1)</f>
        <v>157.5</v>
      </c>
      <c r="O55" s="1376"/>
      <c r="P55" s="1376">
        <f>ROUND(SUM(P45+P51),1)</f>
        <v>-91.4</v>
      </c>
      <c r="Q55" s="1376"/>
      <c r="R55" s="1376">
        <f>ROUND(SUM(R45+R51),1)</f>
        <v>-91.4</v>
      </c>
      <c r="S55" s="1378"/>
      <c r="T55" s="1378"/>
      <c r="U55" s="1376"/>
      <c r="V55" s="1376">
        <f>ROUND(SUM(V45)+SUM(V51),1)</f>
        <v>6209.4</v>
      </c>
      <c r="W55" s="1376"/>
      <c r="X55" s="1376">
        <f>ROUND(SUM(X45)+SUM(X51),1)</f>
        <v>6209.4</v>
      </c>
      <c r="Y55" s="1402"/>
      <c r="Z55" s="1403"/>
      <c r="AA55" s="1404"/>
      <c r="AB55" s="1376">
        <f>ROUND(SUM(AB45)+SUM(AB51),1)</f>
        <v>7948.7</v>
      </c>
      <c r="AC55" s="1404"/>
      <c r="AD55" s="1">
        <f>ROUND(SUM(AD45)+SUM(AD51),1)</f>
        <v>7948.7</v>
      </c>
      <c r="AE55" s="1404"/>
      <c r="AF55" s="1407"/>
      <c r="AG55" s="1376">
        <f>ROUND(SUM(+AG45+AG51),1)</f>
        <v>-1739.3</v>
      </c>
      <c r="AH55" s="1381"/>
      <c r="AI55" s="1408">
        <f>ROUND(SUM((+X55-AD55)/ABS(AD55)),3)</f>
        <v>-0.219</v>
      </c>
      <c r="AJ55" s="1966"/>
    </row>
    <row r="56" spans="1:36" ht="16.399999999999999" customHeight="1">
      <c r="A56" s="1354"/>
      <c r="B56" s="1354"/>
      <c r="C56" s="1355"/>
      <c r="D56" s="1337"/>
      <c r="E56" s="1337"/>
      <c r="F56" s="1337"/>
      <c r="G56" s="1337"/>
      <c r="H56" s="1337"/>
      <c r="I56" s="1337"/>
      <c r="J56" s="1337"/>
      <c r="K56" s="1337"/>
      <c r="L56" s="1337"/>
      <c r="M56" s="1337"/>
      <c r="N56" s="1337"/>
      <c r="O56" s="1337"/>
      <c r="P56" s="1337"/>
      <c r="Q56" s="1337"/>
      <c r="R56" s="1337"/>
      <c r="S56" s="1371"/>
      <c r="T56" s="1371"/>
      <c r="U56" s="1337"/>
      <c r="V56" s="1337"/>
      <c r="W56" s="1337"/>
      <c r="X56" s="1337"/>
      <c r="Y56" s="1396"/>
      <c r="Z56" s="1397"/>
      <c r="AA56" s="1398"/>
      <c r="AB56" s="1398"/>
      <c r="AC56" s="1398"/>
      <c r="AD56" s="253"/>
      <c r="AE56" s="1398"/>
      <c r="AF56" s="1409"/>
      <c r="AG56" s="1337"/>
      <c r="AI56" s="1342"/>
      <c r="AJ56" s="1964"/>
    </row>
    <row r="57" spans="1:36" ht="18" customHeight="1">
      <c r="A57" s="1410" t="s">
        <v>153</v>
      </c>
      <c r="B57" s="1364"/>
      <c r="C57" s="1355"/>
      <c r="D57" s="1394">
        <f>'Exhibit F'!D13</f>
        <v>56177.599999999999</v>
      </c>
      <c r="E57" s="1376"/>
      <c r="F57" s="1394">
        <f>'Exhibit F'!D13</f>
        <v>56177.599999999999</v>
      </c>
      <c r="G57" s="1376"/>
      <c r="H57" s="1394">
        <f>'Exhibit G'!D13</f>
        <v>21208.6</v>
      </c>
      <c r="I57" s="1376"/>
      <c r="J57" s="1394">
        <f>'Exhibit G'!D13</f>
        <v>21208.6</v>
      </c>
      <c r="K57" s="1376"/>
      <c r="L57" s="1394">
        <f>'Exhibit H'!B13</f>
        <v>104.7</v>
      </c>
      <c r="M57" s="1376"/>
      <c r="N57" s="1394">
        <f>'Exhibit H'!B13</f>
        <v>104.7</v>
      </c>
      <c r="O57" s="1376"/>
      <c r="P57" s="1394">
        <f>'Exhibit I'!E13</f>
        <v>-2483.1</v>
      </c>
      <c r="Q57" s="1376"/>
      <c r="R57" s="1394">
        <f>'Exhibit I'!E13</f>
        <v>-2483.1</v>
      </c>
      <c r="S57" s="1378"/>
      <c r="T57" s="1378"/>
      <c r="U57" s="1376"/>
      <c r="V57" s="1394">
        <f>D57+H57+L57+P57</f>
        <v>75007.799999999988</v>
      </c>
      <c r="W57" s="1376"/>
      <c r="X57" s="1394">
        <f>F57+J57+N57+R57</f>
        <v>75007.799999999988</v>
      </c>
      <c r="Y57" s="1402"/>
      <c r="Z57" s="1403"/>
      <c r="AA57" s="1404"/>
      <c r="AB57" s="2011">
        <v>73696.399999999994</v>
      </c>
      <c r="AC57" s="1404"/>
      <c r="AD57" s="984">
        <f>'Exhibit F'!AF13+'Exhibit G'!AH13+'Exhibit H'!AD13+'Exhibit I'!AI13</f>
        <v>73696.399999999994</v>
      </c>
      <c r="AE57" s="1404"/>
      <c r="AF57" s="1407"/>
      <c r="AG57" s="1394">
        <f>ROUND(SUM(X57-AD57),1)</f>
        <v>1311.4</v>
      </c>
      <c r="AH57" s="1381"/>
      <c r="AI57" s="1411">
        <f>ROUND(SUM((+X57-AD57)/ABS(AD57)),3)</f>
        <v>1.7999999999999999E-2</v>
      </c>
      <c r="AJ57" s="1966"/>
    </row>
    <row r="58" spans="1:36" ht="16.399999999999999" customHeight="1">
      <c r="A58" s="1355"/>
      <c r="B58" s="1355"/>
      <c r="C58" s="1355"/>
      <c r="D58" s="1337"/>
      <c r="E58" s="1337"/>
      <c r="F58" s="1337"/>
      <c r="G58" s="1337"/>
      <c r="H58" s="1337"/>
      <c r="I58" s="1337"/>
      <c r="J58" s="1337"/>
      <c r="K58" s="1337"/>
      <c r="L58" s="1337"/>
      <c r="M58" s="1337"/>
      <c r="N58" s="1337"/>
      <c r="O58" s="1337"/>
      <c r="P58" s="1337"/>
      <c r="Q58" s="1337"/>
      <c r="R58" s="1337"/>
      <c r="S58" s="1371"/>
      <c r="T58" s="1371"/>
      <c r="U58" s="1337"/>
      <c r="V58" s="1337"/>
      <c r="W58" s="1337"/>
      <c r="X58" s="1337"/>
      <c r="Y58" s="1396"/>
      <c r="Z58" s="1397"/>
      <c r="AA58" s="1398"/>
      <c r="AB58" s="1398"/>
      <c r="AC58" s="1398"/>
      <c r="AD58" s="253"/>
      <c r="AE58" s="1398"/>
      <c r="AF58" s="1409"/>
      <c r="AG58" s="1337"/>
      <c r="AI58" s="1342"/>
      <c r="AJ58" s="1964"/>
    </row>
    <row r="59" spans="1:36" ht="18" customHeight="1" thickBot="1">
      <c r="A59" s="1410" t="s">
        <v>154</v>
      </c>
      <c r="B59" s="1388"/>
      <c r="C59" s="1193"/>
      <c r="D59" s="1412">
        <f>ROUND(SUM(D55+D57),1)</f>
        <v>59894.6</v>
      </c>
      <c r="E59" s="1413"/>
      <c r="F59" s="1412">
        <f>ROUND(SUM(F55+F57),1)</f>
        <v>59894.6</v>
      </c>
      <c r="G59" s="1413"/>
      <c r="H59" s="1412">
        <f>ROUND(SUM(H55+H57),1)</f>
        <v>23634.9</v>
      </c>
      <c r="I59" s="1413"/>
      <c r="J59" s="1412">
        <f>ROUND(SUM(J55)+SUM(J57),1)</f>
        <v>23634.9</v>
      </c>
      <c r="K59" s="1413"/>
      <c r="L59" s="1412">
        <f>ROUND(SUM(L55+L57),1)</f>
        <v>262.2</v>
      </c>
      <c r="M59" s="1413"/>
      <c r="N59" s="1412">
        <f>ROUND(SUM(N55+N57),1)</f>
        <v>262.2</v>
      </c>
      <c r="O59" s="1413"/>
      <c r="P59" s="1412">
        <f>ROUND(SUM(P55+P57),1)</f>
        <v>-2574.5</v>
      </c>
      <c r="Q59" s="1413"/>
      <c r="R59" s="1412">
        <f>ROUND(SUM(R55+R57),1)</f>
        <v>-2574.5</v>
      </c>
      <c r="S59" s="1974"/>
      <c r="T59" s="1974"/>
      <c r="U59" s="1413"/>
      <c r="V59" s="1412">
        <f>ROUND(SUM(V55+V57),1)</f>
        <v>81217.2</v>
      </c>
      <c r="W59" s="1413"/>
      <c r="X59" s="1412">
        <f>ROUND(SUM(X55+X57),1)</f>
        <v>81217.2</v>
      </c>
      <c r="Y59" s="1414"/>
      <c r="Z59" s="1415"/>
      <c r="AA59" s="1416"/>
      <c r="AB59" s="1412">
        <f>ROUND(SUM(AB55+AB57),1)</f>
        <v>81645.100000000006</v>
      </c>
      <c r="AC59" s="1416"/>
      <c r="AD59" s="1310">
        <f>ROUND(SUM(AD55+AD57),1)</f>
        <v>81645.100000000006</v>
      </c>
      <c r="AE59" s="1416"/>
      <c r="AF59" s="1417"/>
      <c r="AG59" s="1412">
        <f>ROUND(SUM(AG55+AG57),1)</f>
        <v>-427.9</v>
      </c>
      <c r="AH59" s="1381"/>
      <c r="AI59" s="1418">
        <f>ROUND(SUM((+X59-AD59)/ABS(AD59)),3)</f>
        <v>-5.0000000000000001E-3</v>
      </c>
      <c r="AJ59" s="1966"/>
    </row>
    <row r="60" spans="1:36" ht="16" thickTop="1">
      <c r="A60" s="1421"/>
      <c r="B60" s="1421"/>
      <c r="C60" s="1421"/>
      <c r="D60" s="1355"/>
      <c r="E60" s="1355"/>
      <c r="F60" s="1355"/>
      <c r="G60" s="1355"/>
      <c r="H60" s="1355"/>
      <c r="I60" s="1355"/>
      <c r="J60" s="1355" t="s">
        <v>103</v>
      </c>
      <c r="K60" s="1355"/>
      <c r="L60" s="1355"/>
      <c r="M60" s="1355"/>
      <c r="N60" s="1355"/>
      <c r="O60" s="1355"/>
      <c r="P60" s="1355"/>
      <c r="Q60" s="1355"/>
      <c r="R60" s="1355"/>
      <c r="S60" s="1422"/>
      <c r="T60" s="1422"/>
      <c r="U60" s="1422"/>
      <c r="V60" s="1422" t="s">
        <v>103</v>
      </c>
      <c r="W60" s="1422"/>
      <c r="X60" s="1355"/>
      <c r="Y60" s="1422"/>
      <c r="Z60" s="1422"/>
      <c r="AA60" s="1422"/>
      <c r="AB60" s="1422"/>
      <c r="AC60" s="1422"/>
      <c r="AD60" s="1422"/>
      <c r="AE60" s="1422"/>
      <c r="AF60" s="1422"/>
      <c r="AG60" s="1422"/>
      <c r="AI60" s="1423"/>
      <c r="AJ60" s="1963"/>
    </row>
    <row r="61" spans="1:36" ht="15.5">
      <c r="A61" s="1424"/>
      <c r="B61" s="1381"/>
      <c r="C61" s="1381"/>
      <c r="P61" s="1424"/>
      <c r="R61" s="1424"/>
      <c r="T61" s="1343" t="s">
        <v>103</v>
      </c>
      <c r="V61" s="1343" t="s">
        <v>103</v>
      </c>
      <c r="X61" s="1342"/>
      <c r="AI61" s="1423"/>
      <c r="AJ61" s="1963"/>
    </row>
    <row r="62" spans="1:36" ht="15.5">
      <c r="AB62" s="2012"/>
      <c r="AD62" s="1342"/>
      <c r="AI62" s="1423"/>
      <c r="AJ62" s="1963"/>
    </row>
    <row r="63" spans="1:36" ht="15.5">
      <c r="V63" s="1343" t="s">
        <v>103</v>
      </c>
      <c r="AB63" s="2012"/>
      <c r="AI63" s="1423"/>
      <c r="AJ63" s="1963"/>
    </row>
    <row r="64" spans="1:36" ht="15.5">
      <c r="A64" s="1425"/>
      <c r="AI64" s="1423"/>
      <c r="AJ64" s="1963"/>
    </row>
    <row r="65" spans="1:36" ht="15.5">
      <c r="A65" s="1425"/>
      <c r="AB65" s="2012"/>
      <c r="AI65" s="1423"/>
      <c r="AJ65" s="1963"/>
    </row>
    <row r="66" spans="1:36" ht="15.5">
      <c r="A66" s="1426"/>
      <c r="B66" s="1427"/>
      <c r="C66" s="1424"/>
      <c r="D66" s="1428"/>
      <c r="E66" s="1428"/>
      <c r="F66" s="1428"/>
      <c r="G66" s="1428"/>
      <c r="H66" s="1428"/>
      <c r="I66" s="1428"/>
      <c r="J66" s="1428"/>
      <c r="K66" s="1428"/>
      <c r="L66" s="1428"/>
      <c r="AI66" s="1423"/>
      <c r="AJ66" s="1963"/>
    </row>
    <row r="67" spans="1:36" ht="15.5">
      <c r="A67" s="1342"/>
      <c r="B67" s="1342"/>
      <c r="C67" s="1342"/>
      <c r="D67" s="1342"/>
      <c r="E67" s="1342"/>
      <c r="F67" s="1342"/>
      <c r="G67" s="1342"/>
      <c r="H67" s="1342"/>
      <c r="I67" s="1342"/>
      <c r="J67" s="1342"/>
      <c r="K67" s="1342"/>
      <c r="L67" s="1342"/>
      <c r="N67" s="1343" t="s">
        <v>103</v>
      </c>
      <c r="AI67" s="1423"/>
      <c r="AJ67" s="1963"/>
    </row>
    <row r="68" spans="1:36" ht="15.5">
      <c r="A68" s="1342"/>
      <c r="B68" s="1342"/>
      <c r="C68" s="1342"/>
      <c r="D68" s="1342"/>
      <c r="E68" s="1342"/>
      <c r="F68" s="1342"/>
      <c r="G68" s="1342"/>
      <c r="H68" s="1342"/>
      <c r="I68" s="1342"/>
      <c r="J68" s="1342"/>
      <c r="K68" s="1342"/>
      <c r="L68" s="1342"/>
      <c r="N68" s="1343" t="s">
        <v>103</v>
      </c>
      <c r="AI68" s="1423"/>
      <c r="AJ68" s="1963"/>
    </row>
    <row r="69" spans="1:36" ht="15.5">
      <c r="A69" s="1342"/>
      <c r="B69" s="1342"/>
      <c r="C69" s="1342"/>
      <c r="D69" s="1342"/>
      <c r="E69" s="1342"/>
      <c r="F69" s="1342"/>
      <c r="G69" s="1342"/>
      <c r="H69" s="1342"/>
      <c r="I69" s="1342"/>
      <c r="J69" s="1342"/>
      <c r="K69" s="1342"/>
      <c r="L69" s="1342"/>
      <c r="AI69" s="1423"/>
      <c r="AJ69" s="1963"/>
    </row>
    <row r="70" spans="1:36" ht="15.5">
      <c r="AI70" s="1423"/>
      <c r="AJ70" s="1963"/>
    </row>
    <row r="71" spans="1:36" ht="15.5">
      <c r="AI71" s="1423"/>
      <c r="AJ71" s="1963"/>
    </row>
    <row r="72" spans="1:36" ht="15.5">
      <c r="AI72" s="1423"/>
      <c r="AJ72" s="1963"/>
    </row>
    <row r="73" spans="1:36" ht="15.5">
      <c r="AI73" s="1423"/>
      <c r="AJ73" s="1963"/>
    </row>
    <row r="74" spans="1:36" ht="15.5">
      <c r="AI74" s="1423"/>
      <c r="AJ74" s="1963"/>
    </row>
    <row r="75" spans="1:36" ht="15.5">
      <c r="AI75" s="1423"/>
      <c r="AJ75" s="1963"/>
    </row>
    <row r="76" spans="1:36" ht="15.5">
      <c r="AI76" s="1423"/>
      <c r="AJ76" s="1963"/>
    </row>
    <row r="77" spans="1:36" ht="15.5">
      <c r="AI77" s="1423"/>
      <c r="AJ77" s="1963"/>
    </row>
    <row r="78" spans="1:36" ht="15.5">
      <c r="AI78" s="1423"/>
      <c r="AJ78" s="1963"/>
    </row>
    <row r="79" spans="1:36" ht="15.5">
      <c r="AI79" s="1423"/>
      <c r="AJ79" s="1963"/>
    </row>
    <row r="80" spans="1:36" ht="15.5">
      <c r="AI80" s="1423"/>
      <c r="AJ80" s="1963"/>
    </row>
    <row r="81" spans="35:36" ht="15.5">
      <c r="AI81" s="1423"/>
      <c r="AJ81" s="1963"/>
    </row>
    <row r="82" spans="35:36" ht="15.5">
      <c r="AI82" s="1423"/>
      <c r="AJ82" s="1963"/>
    </row>
    <row r="83" spans="35:36" ht="15.5">
      <c r="AI83" s="1423"/>
      <c r="AJ83" s="1963"/>
    </row>
    <row r="84" spans="35:36" ht="15.5">
      <c r="AI84" s="1423"/>
      <c r="AJ84" s="1963"/>
    </row>
    <row r="85" spans="35:36" ht="15.5">
      <c r="AI85" s="1423"/>
      <c r="AJ85" s="1963"/>
    </row>
    <row r="86" spans="35:36" ht="15.5">
      <c r="AI86" s="1423"/>
      <c r="AJ86" s="1963"/>
    </row>
    <row r="87" spans="35:36" ht="15.5">
      <c r="AI87" s="1423"/>
      <c r="AJ87" s="1963"/>
    </row>
    <row r="88" spans="35:36" ht="15.5">
      <c r="AI88" s="1423"/>
      <c r="AJ88" s="1963"/>
    </row>
    <row r="89" spans="35:36" ht="15.5">
      <c r="AI89" s="1423"/>
      <c r="AJ89" s="1963"/>
    </row>
    <row r="90" spans="35:36" ht="15.5">
      <c r="AI90" s="1423"/>
      <c r="AJ90" s="1963"/>
    </row>
    <row r="91" spans="35:36" ht="15.5">
      <c r="AI91" s="1423"/>
      <c r="AJ91" s="1963"/>
    </row>
    <row r="92" spans="35:36" ht="15.5">
      <c r="AI92" s="1423"/>
      <c r="AJ92" s="1963"/>
    </row>
    <row r="93" spans="35:36" ht="15.5">
      <c r="AI93" s="1423"/>
      <c r="AJ93" s="1963"/>
    </row>
    <row r="94" spans="35:36" ht="15.5">
      <c r="AI94" s="1423"/>
      <c r="AJ94" s="1963"/>
    </row>
    <row r="95" spans="35:36" ht="15.5">
      <c r="AI95" s="1423"/>
      <c r="AJ95" s="1963"/>
    </row>
    <row r="96" spans="35:36" ht="15.5">
      <c r="AI96" s="1423"/>
      <c r="AJ96" s="1963"/>
    </row>
    <row r="97" spans="35:36" ht="15.5">
      <c r="AI97" s="1423"/>
      <c r="AJ97" s="1963"/>
    </row>
    <row r="98" spans="35:36" ht="15.5">
      <c r="AI98" s="1423"/>
      <c r="AJ98" s="1963"/>
    </row>
    <row r="99" spans="35:36" ht="15.5">
      <c r="AI99" s="1423"/>
      <c r="AJ99" s="1963"/>
    </row>
    <row r="100" spans="35:36" ht="15.5">
      <c r="AI100" s="1423"/>
      <c r="AJ100" s="1963"/>
    </row>
    <row r="101" spans="35:36" ht="15.5">
      <c r="AI101" s="1423"/>
      <c r="AJ101" s="1963"/>
    </row>
    <row r="102" spans="35:36" ht="15.5">
      <c r="AI102" s="1423"/>
      <c r="AJ102" s="1963"/>
    </row>
    <row r="103" spans="35:36" ht="15.5">
      <c r="AI103" s="1423"/>
      <c r="AJ103" s="1963"/>
    </row>
    <row r="104" spans="35:36" ht="15.5">
      <c r="AI104" s="1423"/>
      <c r="AJ104" s="1963"/>
    </row>
    <row r="105" spans="35:36" ht="15.5">
      <c r="AI105" s="1423"/>
      <c r="AJ105" s="1963"/>
    </row>
    <row r="106" spans="35:36" ht="15.5">
      <c r="AI106" s="1423"/>
      <c r="AJ106" s="1963"/>
    </row>
  </sheetData>
  <mergeCells count="1">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A45 S42:AD42 S34:W34 S20:AA20 S56:AI56 S52:U52 S47: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 E16 E15 E27:G27 E34 E14 E19 E18 E28 I19 I14 O45 M45 O42 M42 O34 M34 O20 M20 K45 I45 H46:I46 E45 D46:F47 K42 I42 H44:K44 K34 I34 K20 I20 I21:P23 E42 D43:F44 E35:F35 I27:P27 I24 I25 I35:P35 D20:G20 E25 E26 E24 G35:G41 F34:G34 G43:G44 F42:G42 D21:G23 J20 J34 J42 G46:G49 F45:H45 J45 N20 N34 P34 N42 N45 P45 I50 H48:O48 I15 I16 I17 I18 I26 I33 I28 I29 I30 I31 I32 I39:K39 I36 I37 I38 I41 I40 I49 E39:F40 E36 E37 E38 E50 E49 M14 M15 M17 M18 M19 M37 M40 M49 M50 Q17 Q48:R48 Q37 Q38 Q36 Q30 Q28 Q27:R27 Q50 Q49 Q41 Q33 Q32 Q31 Q29 Q26 Q25 Q24 Q19 Q18 Q16 Q15 O57 Q40:R40 Q14:R14 D58:F58 H58:R58 Q39:R39 R59 R34 P59 N59 P55 N51 L59 J59 J55 J51 G59:H59 G55 G56:G58 F51:G51 G52:G54 Q35:R35 D54:F54 E51 D56:F56 E55 E59 Q23:R23 Q43:R44 Q46:R47 H54:R54 I51 K51 H56:R56 I55 K55 I59 K59 M51 O51 M55 O55 M59 O59 Q20 Q34 Q42 Q45 Q51 Q55 Q59 E30 E33 F59 E29 E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O49 K41 G15 G16 G17 K18 O18 G19 K19 O19 G24 K24:O24 G25 K25:O25 G26 K26:O26 K28:O28 G29 K29:O29 K30:O30 G31 K31:O31 E32 G32 G33 K33:O33 K36:O36 K37 O37 K38 O40 K49 AC20:AF20 AC45:AG45 T46:U46 W46:AI46 Y18:AA18"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L123"/>
  <sheetViews>
    <sheetView showGridLines="0" zoomScale="70" zoomScaleNormal="70" workbookViewId="0"/>
  </sheetViews>
  <sheetFormatPr defaultColWidth="8.84375" defaultRowHeight="12.5"/>
  <cols>
    <col min="1" max="1" width="1.84375" style="63" customWidth="1"/>
    <col min="2" max="2" width="42.4609375" style="63" customWidth="1"/>
    <col min="3" max="3" width="1.84375" style="63" customWidth="1"/>
    <col min="4" max="4" width="12.07421875" style="63" customWidth="1"/>
    <col min="5" max="5" width="1.84375" style="63" customWidth="1"/>
    <col min="6" max="6" width="12.84375" style="63" customWidth="1"/>
    <col min="7" max="7" width="1.84375" style="63" customWidth="1"/>
    <col min="8" max="8" width="13.07421875" style="63" customWidth="1"/>
    <col min="9" max="9" width="1.84375" style="63" customWidth="1"/>
    <col min="10" max="10" width="13.07421875" style="63" customWidth="1"/>
    <col min="11" max="11" width="1.84375" style="63" customWidth="1"/>
    <col min="12" max="12" width="13.07421875" style="63" customWidth="1"/>
    <col min="13" max="13" width="1.84375" style="63" customWidth="1"/>
    <col min="14" max="14" width="14" style="63" customWidth="1"/>
    <col min="15" max="15" width="1.84375" style="63" customWidth="1"/>
    <col min="16" max="16" width="11.84375" style="63" customWidth="1"/>
    <col min="17" max="17" width="1.84375" style="63" customWidth="1"/>
    <col min="18" max="18" width="11.53515625" style="63" customWidth="1"/>
    <col min="19" max="19" width="1.84375" style="63" customWidth="1"/>
    <col min="20" max="20" width="12.07421875" style="63" customWidth="1"/>
    <col min="21" max="21" width="1.84375" style="63" customWidth="1"/>
    <col min="22" max="22" width="13" style="63" customWidth="1"/>
    <col min="23" max="23" width="1.84375" style="63" customWidth="1"/>
    <col min="24" max="24" width="12.07421875" style="63" customWidth="1"/>
    <col min="25" max="25" width="1.84375" style="63" customWidth="1"/>
    <col min="26" max="26" width="12.84375" style="63" customWidth="1"/>
    <col min="27" max="28" width="1.84375" style="63" customWidth="1"/>
    <col min="29" max="29" width="12.84375" style="63" customWidth="1"/>
    <col min="30" max="31" width="1.4609375" style="63" customWidth="1"/>
    <col min="32" max="32" width="12.84375" style="63" customWidth="1"/>
    <col min="33" max="34" width="1.4609375" style="63" customWidth="1"/>
    <col min="35" max="35" width="12.84375" style="63" customWidth="1"/>
    <col min="36" max="36" width="1" style="63" customWidth="1"/>
    <col min="37" max="37" width="12.84375" style="63" customWidth="1"/>
    <col min="38" max="38" width="9.07421875" style="1533" bestFit="1" customWidth="1"/>
    <col min="39" max="16384" width="8.84375" style="63"/>
  </cols>
  <sheetData>
    <row r="1" spans="1:38" ht="15.5">
      <c r="B1" s="265" t="s">
        <v>97</v>
      </c>
    </row>
    <row r="2" spans="1:38" ht="15.5">
      <c r="M2" s="3"/>
      <c r="N2" s="3"/>
      <c r="O2" s="71"/>
    </row>
    <row r="3" spans="1:38" ht="20.25" customHeight="1">
      <c r="B3" s="65" t="s">
        <v>98</v>
      </c>
      <c r="M3" s="3"/>
      <c r="N3" s="3"/>
      <c r="O3" s="71"/>
      <c r="AE3" s="23"/>
      <c r="AF3" s="23"/>
      <c r="AG3" s="23"/>
      <c r="AH3" s="23"/>
      <c r="AI3" s="23"/>
      <c r="AJ3" s="23"/>
      <c r="AK3" s="106" t="s">
        <v>472</v>
      </c>
    </row>
    <row r="4" spans="1:38" ht="18">
      <c r="B4" s="65" t="s">
        <v>521</v>
      </c>
      <c r="L4" s="3"/>
      <c r="M4" s="3"/>
      <c r="O4" s="71"/>
    </row>
    <row r="5" spans="1:38" ht="18">
      <c r="B5" s="50" t="s">
        <v>444</v>
      </c>
      <c r="L5" s="71"/>
      <c r="M5" s="71"/>
      <c r="O5" s="71"/>
      <c r="X5" s="78"/>
    </row>
    <row r="6" spans="1:38" ht="20">
      <c r="B6" s="541" t="str">
        <f>'Cashflow Governmental'!A6</f>
        <v>FISCAL YEAR 2026-2027</v>
      </c>
      <c r="L6" s="71"/>
      <c r="M6" s="71"/>
      <c r="O6" s="71"/>
      <c r="AK6" s="72"/>
    </row>
    <row r="7" spans="1:38" ht="18">
      <c r="B7" s="65" t="s">
        <v>522</v>
      </c>
      <c r="AH7" s="35"/>
      <c r="AI7" s="35"/>
      <c r="AJ7" s="35"/>
      <c r="AK7" s="35"/>
    </row>
    <row r="8" spans="1:38" ht="13.5" customHeight="1">
      <c r="D8" s="1128"/>
      <c r="L8" s="71"/>
      <c r="M8" s="71"/>
      <c r="N8" s="71"/>
      <c r="O8" s="71"/>
      <c r="AB8" s="35"/>
      <c r="AC8" s="71"/>
      <c r="AD8" s="71"/>
      <c r="AE8" s="35"/>
      <c r="AF8" s="35"/>
      <c r="AG8" s="35"/>
      <c r="AH8" s="71"/>
      <c r="AI8" s="71"/>
      <c r="AJ8" s="71"/>
      <c r="AK8" s="71"/>
    </row>
    <row r="9" spans="1:38" ht="20.25" customHeight="1">
      <c r="D9" s="1119"/>
      <c r="M9" s="71"/>
      <c r="N9" s="71"/>
      <c r="O9" s="71"/>
      <c r="AB9" s="2068" t="str">
        <f>'Exhibit G'!AD9</f>
        <v>1 Month Ended April 30</v>
      </c>
      <c r="AC9" s="2066"/>
      <c r="AD9" s="2066"/>
      <c r="AE9" s="2066"/>
      <c r="AF9" s="2066"/>
      <c r="AG9" s="2066"/>
      <c r="AH9" s="2066"/>
      <c r="AI9" s="2066"/>
      <c r="AJ9" s="2066"/>
      <c r="AK9" s="2066"/>
    </row>
    <row r="10" spans="1:38" ht="15.5">
      <c r="B10" s="364"/>
      <c r="C10" s="364"/>
      <c r="D10" s="314" t="str">
        <f>'Cashflow Governmental'!C13</f>
        <v>2026</v>
      </c>
      <c r="E10" s="3"/>
      <c r="F10" s="3"/>
      <c r="G10" s="3"/>
      <c r="H10" s="3"/>
      <c r="I10" s="3"/>
      <c r="J10" s="3"/>
      <c r="K10" s="3"/>
      <c r="L10" s="3"/>
      <c r="M10" s="3"/>
      <c r="N10" s="3"/>
      <c r="O10" s="3"/>
      <c r="P10" s="3"/>
      <c r="Q10" s="3"/>
      <c r="R10" s="3"/>
      <c r="S10" s="3"/>
      <c r="T10" s="3"/>
      <c r="U10" s="3"/>
      <c r="V10" s="314">
        <f>'Cashflow Governmental'!U13</f>
        <v>2027</v>
      </c>
      <c r="W10" s="3"/>
      <c r="X10" s="3"/>
      <c r="Y10" s="3"/>
      <c r="Z10" s="3"/>
      <c r="AA10" s="3"/>
      <c r="AB10" s="3"/>
      <c r="AC10" s="57"/>
      <c r="AD10" s="57"/>
      <c r="AE10" s="57"/>
      <c r="AF10" s="57"/>
      <c r="AG10" s="57"/>
      <c r="AH10" s="57"/>
      <c r="AI10" s="320" t="s">
        <v>110</v>
      </c>
      <c r="AJ10" s="320"/>
      <c r="AK10" s="320" t="s">
        <v>111</v>
      </c>
    </row>
    <row r="11" spans="1:38" ht="15.5">
      <c r="B11" s="364"/>
      <c r="C11" s="364"/>
      <c r="D11" s="1219" t="s">
        <v>329</v>
      </c>
      <c r="E11" s="3"/>
      <c r="F11" s="1219" t="s">
        <v>330</v>
      </c>
      <c r="G11" s="3"/>
      <c r="H11" s="1219" t="s">
        <v>331</v>
      </c>
      <c r="I11" s="3"/>
      <c r="J11" s="1219" t="s">
        <v>332</v>
      </c>
      <c r="K11" s="3"/>
      <c r="L11" s="1219" t="s">
        <v>333</v>
      </c>
      <c r="M11" s="3"/>
      <c r="N11" s="1219" t="s">
        <v>445</v>
      </c>
      <c r="O11" s="3"/>
      <c r="P11" s="1219" t="s">
        <v>446</v>
      </c>
      <c r="Q11" s="3"/>
      <c r="R11" s="1219" t="s">
        <v>336</v>
      </c>
      <c r="S11" s="3"/>
      <c r="T11" s="1219" t="s">
        <v>337</v>
      </c>
      <c r="U11" s="3"/>
      <c r="V11" s="1219" t="s">
        <v>338</v>
      </c>
      <c r="W11" s="3"/>
      <c r="X11" s="1219" t="s">
        <v>339</v>
      </c>
      <c r="Y11" s="3"/>
      <c r="Z11" s="1219" t="s">
        <v>447</v>
      </c>
      <c r="AA11" s="3"/>
      <c r="AB11" s="3"/>
      <c r="AC11" s="1222" t="str">
        <f>'Cashflow Governmental'!AB14</f>
        <v>2026</v>
      </c>
      <c r="AD11" s="314"/>
      <c r="AE11" s="52" t="s">
        <v>103</v>
      </c>
      <c r="AF11" s="1222" t="str">
        <f>'Cashflow Governmental'!AE14</f>
        <v>2025</v>
      </c>
      <c r="AG11" s="314"/>
      <c r="AH11" s="57"/>
      <c r="AI11" s="416" t="s">
        <v>112</v>
      </c>
      <c r="AJ11" s="320"/>
      <c r="AK11" s="416" t="s">
        <v>113</v>
      </c>
    </row>
    <row r="12" spans="1:38" ht="5.25" customHeight="1">
      <c r="B12" s="364"/>
      <c r="C12" s="364"/>
      <c r="D12" s="52"/>
      <c r="E12" s="3"/>
      <c r="F12" s="52"/>
      <c r="G12" s="3"/>
      <c r="H12" s="52"/>
      <c r="I12" s="3"/>
      <c r="J12" s="52"/>
      <c r="K12" s="3"/>
      <c r="L12" s="52"/>
      <c r="M12" s="3"/>
      <c r="N12" s="52"/>
      <c r="O12" s="3"/>
      <c r="P12" s="52"/>
      <c r="Q12" s="3"/>
      <c r="R12" s="52"/>
      <c r="S12" s="3"/>
      <c r="T12" s="52"/>
      <c r="U12" s="3"/>
      <c r="V12" s="52"/>
      <c r="W12" s="3"/>
      <c r="X12" s="52"/>
      <c r="Y12" s="3"/>
      <c r="Z12" s="52"/>
      <c r="AA12" s="3"/>
      <c r="AB12" s="3"/>
      <c r="AC12" s="314"/>
      <c r="AD12" s="314"/>
      <c r="AE12" s="52"/>
      <c r="AF12" s="314"/>
      <c r="AG12" s="314"/>
      <c r="AH12" s="57"/>
      <c r="AI12" s="320"/>
      <c r="AJ12" s="320"/>
      <c r="AK12" s="320"/>
    </row>
    <row r="13" spans="1:38" ht="15.5">
      <c r="B13" s="3" t="s">
        <v>523</v>
      </c>
      <c r="C13" s="364"/>
      <c r="D13" s="82">
        <v>12731.9</v>
      </c>
      <c r="E13" s="3"/>
      <c r="F13" s="27"/>
      <c r="G13" s="27"/>
      <c r="H13" s="27"/>
      <c r="I13" s="3"/>
      <c r="J13" s="27"/>
      <c r="K13" s="3"/>
      <c r="L13" s="27"/>
      <c r="M13" s="3"/>
      <c r="N13" s="27"/>
      <c r="O13" s="3"/>
      <c r="P13" s="27"/>
      <c r="Q13" s="3"/>
      <c r="R13" s="27"/>
      <c r="S13" s="27"/>
      <c r="T13" s="27"/>
      <c r="U13" s="27"/>
      <c r="V13" s="27"/>
      <c r="W13" s="27"/>
      <c r="X13" s="27"/>
      <c r="Y13" s="27"/>
      <c r="Z13" s="27"/>
      <c r="AA13" s="3"/>
      <c r="AB13" s="672"/>
      <c r="AC13" s="1950">
        <f>D13</f>
        <v>12731.9</v>
      </c>
      <c r="AD13" s="314"/>
      <c r="AE13" s="1951"/>
      <c r="AF13" s="1949">
        <v>10288.700000000001</v>
      </c>
      <c r="AG13" s="314"/>
      <c r="AH13" s="1032"/>
      <c r="AI13" s="1765">
        <f>_xlfn.SINGLE(ROUND(SUM(+AC13-AF13),1))</f>
        <v>2443.1999999999998</v>
      </c>
      <c r="AJ13" s="13"/>
      <c r="AK13" s="74">
        <f>_xlfn.SINGLE(ROUND(IF(AF13=0,1,AI13/ABS(AF13)),3))</f>
        <v>0.23699999999999999</v>
      </c>
      <c r="AL13" s="1531"/>
    </row>
    <row r="14" spans="1:38" ht="15.5">
      <c r="B14" s="3"/>
      <c r="C14" s="364"/>
      <c r="D14" s="52"/>
      <c r="E14" s="3"/>
      <c r="F14" s="52"/>
      <c r="G14" s="52"/>
      <c r="H14" s="52"/>
      <c r="I14" s="3"/>
      <c r="J14" s="52"/>
      <c r="K14" s="3"/>
      <c r="L14" s="52"/>
      <c r="M14" s="3"/>
      <c r="N14" s="52"/>
      <c r="O14" s="3"/>
      <c r="P14" s="52"/>
      <c r="Q14" s="3"/>
      <c r="R14" s="52"/>
      <c r="S14" s="3"/>
      <c r="T14" s="52"/>
      <c r="U14" s="3"/>
      <c r="V14" s="52"/>
      <c r="W14" s="3"/>
      <c r="X14" s="52"/>
      <c r="Y14" s="3"/>
      <c r="Z14" s="52"/>
      <c r="AA14" s="3"/>
      <c r="AB14" s="672"/>
      <c r="AC14" s="314"/>
      <c r="AD14" s="314"/>
      <c r="AE14" s="1951"/>
      <c r="AF14" s="314"/>
      <c r="AG14" s="314"/>
      <c r="AH14" s="1032"/>
      <c r="AI14" s="320"/>
      <c r="AJ14" s="320"/>
      <c r="AK14" s="320"/>
    </row>
    <row r="15" spans="1:38" ht="15" customHeight="1">
      <c r="A15" s="35"/>
      <c r="B15" s="3" t="s">
        <v>114</v>
      </c>
      <c r="C15" s="291"/>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1047"/>
      <c r="AC15" s="364"/>
      <c r="AD15" s="364"/>
      <c r="AE15" s="1047"/>
      <c r="AF15" s="364"/>
      <c r="AG15" s="364"/>
      <c r="AH15" s="1032"/>
      <c r="AI15" s="364"/>
      <c r="AJ15" s="364"/>
      <c r="AK15" s="364"/>
    </row>
    <row r="16" spans="1:38" ht="15" customHeight="1">
      <c r="A16" s="35"/>
      <c r="B16" s="1218" t="s">
        <v>342</v>
      </c>
      <c r="C16" s="291"/>
      <c r="D16" s="364"/>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1047"/>
      <c r="AC16" s="364"/>
      <c r="AD16" s="364"/>
      <c r="AE16" s="1047"/>
      <c r="AF16" s="364"/>
      <c r="AG16" s="1034"/>
      <c r="AH16" s="364"/>
      <c r="AI16" s="364"/>
      <c r="AJ16" s="364"/>
      <c r="AK16" s="364"/>
    </row>
    <row r="17" spans="1:38" s="321" customFormat="1" ht="15" customHeight="1">
      <c r="A17" s="418"/>
      <c r="B17" s="413" t="s">
        <v>479</v>
      </c>
      <c r="C17" s="3"/>
      <c r="D17" s="367">
        <f>AC17</f>
        <v>0</v>
      </c>
      <c r="E17" s="367"/>
      <c r="F17" s="367"/>
      <c r="G17" s="367"/>
      <c r="H17" s="367"/>
      <c r="I17" s="264"/>
      <c r="J17" s="367"/>
      <c r="K17" s="554"/>
      <c r="L17" s="367"/>
      <c r="M17" s="607"/>
      <c r="N17" s="367"/>
      <c r="O17" s="607"/>
      <c r="P17" s="367"/>
      <c r="Q17" s="607"/>
      <c r="R17" s="367"/>
      <c r="S17" s="367"/>
      <c r="T17" s="367"/>
      <c r="U17" s="367"/>
      <c r="V17" s="367"/>
      <c r="W17" s="607"/>
      <c r="X17" s="367"/>
      <c r="Y17" s="367"/>
      <c r="Z17" s="367"/>
      <c r="AA17" s="274"/>
      <c r="AB17" s="1109"/>
      <c r="AC17" s="532">
        <v>0</v>
      </c>
      <c r="AD17" s="276"/>
      <c r="AE17" s="1783"/>
      <c r="AF17" s="532">
        <v>0</v>
      </c>
      <c r="AG17" s="1787"/>
      <c r="AH17" s="274"/>
      <c r="AI17" s="264">
        <f>_xlfn.SINGLE(ROUND(SUM(+AC17-AF17),1))</f>
        <v>0</v>
      </c>
      <c r="AJ17" s="264"/>
      <c r="AK17" s="283">
        <f>_xlfn.SINGLE(ROUND(IF(AF17=0,0,AI17/ABS(AF17)),3))</f>
        <v>0</v>
      </c>
      <c r="AL17" s="1531"/>
    </row>
    <row r="18" spans="1:38" s="321" customFormat="1" ht="6" customHeight="1">
      <c r="A18" s="418"/>
      <c r="B18" s="413"/>
      <c r="C18" s="3"/>
      <c r="D18" s="367" t="s">
        <v>103</v>
      </c>
      <c r="E18" s="20"/>
      <c r="F18" s="367"/>
      <c r="G18" s="367"/>
      <c r="H18" s="367"/>
      <c r="I18" s="20"/>
      <c r="J18" s="367"/>
      <c r="K18" s="20"/>
      <c r="L18" s="367"/>
      <c r="M18" s="20"/>
      <c r="N18" s="367"/>
      <c r="O18" s="20"/>
      <c r="P18" s="367"/>
      <c r="Q18" s="20"/>
      <c r="R18" s="367"/>
      <c r="S18" s="20"/>
      <c r="T18" s="367"/>
      <c r="U18" s="20"/>
      <c r="V18" s="367"/>
      <c r="W18" s="20"/>
      <c r="X18" s="367"/>
      <c r="Y18" s="20"/>
      <c r="Z18" s="367"/>
      <c r="AA18" s="20"/>
      <c r="AB18" s="1110"/>
      <c r="AC18" s="20" t="s">
        <v>103</v>
      </c>
      <c r="AD18" s="276"/>
      <c r="AE18" s="1783"/>
      <c r="AF18" s="20" t="s">
        <v>103</v>
      </c>
      <c r="AG18" s="1787"/>
      <c r="AH18" s="274"/>
      <c r="AI18" s="20"/>
      <c r="AJ18" s="13"/>
      <c r="AK18" s="1788"/>
      <c r="AL18" s="1531"/>
    </row>
    <row r="19" spans="1:38" ht="15" customHeight="1">
      <c r="A19" s="35"/>
      <c r="B19" s="413" t="s">
        <v>1429</v>
      </c>
      <c r="C19" s="291"/>
      <c r="D19" s="367" t="s">
        <v>103</v>
      </c>
      <c r="E19" s="264"/>
      <c r="F19" s="367"/>
      <c r="G19" s="367"/>
      <c r="H19" s="367"/>
      <c r="I19" s="264"/>
      <c r="J19" s="367"/>
      <c r="K19" s="264"/>
      <c r="L19" s="367"/>
      <c r="M19" s="264"/>
      <c r="N19" s="367"/>
      <c r="O19" s="264"/>
      <c r="P19" s="367"/>
      <c r="Q19" s="264"/>
      <c r="R19" s="367"/>
      <c r="S19" s="264"/>
      <c r="T19" s="367"/>
      <c r="U19" s="264"/>
      <c r="V19" s="367"/>
      <c r="W19" s="264"/>
      <c r="X19" s="367"/>
      <c r="Y19" s="264"/>
      <c r="Z19" s="367"/>
      <c r="AA19" s="264"/>
      <c r="AB19" s="525"/>
      <c r="AC19" s="264" t="s">
        <v>103</v>
      </c>
      <c r="AD19" s="264"/>
      <c r="AE19" s="525"/>
      <c r="AF19" s="264" t="s">
        <v>103</v>
      </c>
      <c r="AG19" s="520"/>
      <c r="AH19" s="264"/>
      <c r="AI19" s="264"/>
      <c r="AJ19" s="364"/>
      <c r="AK19" s="374"/>
      <c r="AL19" s="1531"/>
    </row>
    <row r="20" spans="1:38" ht="15" customHeight="1">
      <c r="A20" s="35"/>
      <c r="B20" s="364" t="s">
        <v>355</v>
      </c>
      <c r="C20" s="291"/>
      <c r="D20" s="367">
        <f>AC20</f>
        <v>154.80000000000001</v>
      </c>
      <c r="E20" s="1111"/>
      <c r="F20" s="367"/>
      <c r="G20" s="367"/>
      <c r="H20" s="367"/>
      <c r="I20" s="1111"/>
      <c r="J20" s="367"/>
      <c r="K20" s="554"/>
      <c r="L20" s="367"/>
      <c r="M20" s="554"/>
      <c r="N20" s="367"/>
      <c r="O20" s="554"/>
      <c r="P20" s="367"/>
      <c r="Q20" s="554"/>
      <c r="R20" s="367"/>
      <c r="S20" s="554"/>
      <c r="T20" s="367"/>
      <c r="U20" s="554"/>
      <c r="V20" s="367"/>
      <c r="W20" s="554"/>
      <c r="X20" s="367"/>
      <c r="Y20" s="554"/>
      <c r="Z20" s="367"/>
      <c r="AA20" s="264"/>
      <c r="AB20" s="525"/>
      <c r="AC20" s="1194">
        <v>154.80000000000001</v>
      </c>
      <c r="AD20" s="287"/>
      <c r="AE20" s="1769"/>
      <c r="AF20" s="1194">
        <v>151.1</v>
      </c>
      <c r="AG20" s="520"/>
      <c r="AH20" s="264"/>
      <c r="AI20" s="264">
        <f t="shared" ref="AI20:AI28" si="0">_xlfn.SINGLE(ROUND(SUM(+AC20-AF20),1))</f>
        <v>3.7</v>
      </c>
      <c r="AJ20" s="364"/>
      <c r="AK20" s="283">
        <f>_xlfn.SINGLE(ROUND(IF(AF20=0,0,AI20/ABS(AF20)),3))</f>
        <v>2.4E-2</v>
      </c>
      <c r="AL20" s="1531"/>
    </row>
    <row r="21" spans="1:38" ht="15" customHeight="1">
      <c r="A21" s="35"/>
      <c r="B21" s="364" t="s">
        <v>1430</v>
      </c>
      <c r="C21" s="291"/>
      <c r="D21" s="367">
        <f t="shared" ref="D21:D28" si="1">AC21</f>
        <v>1.7</v>
      </c>
      <c r="E21" s="1111"/>
      <c r="F21" s="367"/>
      <c r="G21" s="367"/>
      <c r="H21" s="367"/>
      <c r="I21" s="1111"/>
      <c r="J21" s="367"/>
      <c r="K21" s="554"/>
      <c r="L21" s="367"/>
      <c r="M21" s="554"/>
      <c r="N21" s="367"/>
      <c r="O21" s="554"/>
      <c r="P21" s="367"/>
      <c r="Q21" s="554"/>
      <c r="R21" s="367"/>
      <c r="S21" s="554"/>
      <c r="T21" s="367"/>
      <c r="U21" s="554"/>
      <c r="V21" s="367"/>
      <c r="W21" s="554"/>
      <c r="X21" s="367"/>
      <c r="Y21" s="554"/>
      <c r="Z21" s="367"/>
      <c r="AA21" s="264"/>
      <c r="AB21" s="525"/>
      <c r="AC21" s="532">
        <v>1.7</v>
      </c>
      <c r="AD21" s="287"/>
      <c r="AE21" s="1769"/>
      <c r="AF21" s="532">
        <v>5.0999999999999996</v>
      </c>
      <c r="AG21" s="520"/>
      <c r="AH21" s="264"/>
      <c r="AI21" s="264">
        <f t="shared" si="0"/>
        <v>-3.4</v>
      </c>
      <c r="AJ21" s="364"/>
      <c r="AK21" s="283">
        <f>_xlfn.SINGLE(ROUND(IF(AF21=0,0,AI21/ABS(AF21)),3))</f>
        <v>-0.66700000000000004</v>
      </c>
      <c r="AL21" s="1531"/>
    </row>
    <row r="22" spans="1:38" ht="15" customHeight="1">
      <c r="A22" s="35"/>
      <c r="B22" s="364" t="s">
        <v>357</v>
      </c>
      <c r="C22" s="291"/>
      <c r="D22" s="367">
        <f t="shared" si="1"/>
        <v>52.9</v>
      </c>
      <c r="E22" s="1111"/>
      <c r="F22" s="367"/>
      <c r="G22" s="367"/>
      <c r="H22" s="367"/>
      <c r="I22" s="1111"/>
      <c r="J22" s="367"/>
      <c r="K22" s="554"/>
      <c r="L22" s="367"/>
      <c r="M22" s="554"/>
      <c r="N22" s="367"/>
      <c r="O22" s="554"/>
      <c r="P22" s="367"/>
      <c r="Q22" s="554"/>
      <c r="R22" s="367"/>
      <c r="S22" s="554"/>
      <c r="T22" s="367"/>
      <c r="U22" s="554"/>
      <c r="V22" s="367"/>
      <c r="W22" s="554"/>
      <c r="X22" s="367"/>
      <c r="Y22" s="554"/>
      <c r="Z22" s="367"/>
      <c r="AA22" s="264"/>
      <c r="AB22" s="525"/>
      <c r="AC22" s="532">
        <v>52.9</v>
      </c>
      <c r="AD22" s="287"/>
      <c r="AE22" s="1769"/>
      <c r="AF22" s="532">
        <v>56.7</v>
      </c>
      <c r="AG22" s="520"/>
      <c r="AH22" s="264"/>
      <c r="AI22" s="264">
        <f t="shared" si="0"/>
        <v>-3.8</v>
      </c>
      <c r="AJ22" s="364"/>
      <c r="AK22" s="283">
        <f>_xlfn.SINGLE(ROUND(IF(AF22=0,0,AI22/ABS(AF22)),3))</f>
        <v>-6.7000000000000004E-2</v>
      </c>
      <c r="AL22" s="1531"/>
    </row>
    <row r="23" spans="1:38" ht="15" customHeight="1">
      <c r="A23" s="35"/>
      <c r="B23" s="284" t="s">
        <v>436</v>
      </c>
      <c r="C23" s="291"/>
      <c r="D23" s="367">
        <f t="shared" si="1"/>
        <v>4.4000000000000004</v>
      </c>
      <c r="E23" s="1111"/>
      <c r="F23" s="367"/>
      <c r="G23" s="367"/>
      <c r="H23" s="367"/>
      <c r="I23" s="1111"/>
      <c r="J23" s="367"/>
      <c r="K23" s="554"/>
      <c r="L23" s="367"/>
      <c r="M23" s="554"/>
      <c r="N23" s="367"/>
      <c r="O23" s="554"/>
      <c r="P23" s="367"/>
      <c r="Q23" s="554"/>
      <c r="R23" s="367"/>
      <c r="S23" s="554"/>
      <c r="T23" s="367"/>
      <c r="U23" s="554"/>
      <c r="V23" s="367"/>
      <c r="W23" s="554"/>
      <c r="X23" s="367"/>
      <c r="Y23" s="554"/>
      <c r="Z23" s="367"/>
      <c r="AA23" s="264"/>
      <c r="AB23" s="525"/>
      <c r="AC23" s="532">
        <v>4.4000000000000004</v>
      </c>
      <c r="AD23" s="287"/>
      <c r="AE23" s="1769"/>
      <c r="AF23" s="532">
        <v>-3.3</v>
      </c>
      <c r="AG23" s="520"/>
      <c r="AH23" s="264"/>
      <c r="AI23" s="264">
        <f t="shared" si="0"/>
        <v>7.7</v>
      </c>
      <c r="AJ23" s="364"/>
      <c r="AK23" s="283">
        <f>_xlfn.SINGLE(ROUND(IF(AF23=0,0,AI23/ABS(AF23)),3))</f>
        <v>2.3330000000000002</v>
      </c>
      <c r="AL23" s="1531"/>
    </row>
    <row r="24" spans="1:38" ht="15" customHeight="1">
      <c r="A24" s="35"/>
      <c r="B24" s="422" t="s">
        <v>359</v>
      </c>
      <c r="C24" s="291"/>
      <c r="D24" s="367">
        <f t="shared" si="1"/>
        <v>7.8</v>
      </c>
      <c r="E24" s="1111"/>
      <c r="F24" s="367"/>
      <c r="G24" s="367"/>
      <c r="H24" s="367"/>
      <c r="I24" s="1111"/>
      <c r="J24" s="367"/>
      <c r="K24" s="554"/>
      <c r="L24" s="367"/>
      <c r="M24" s="554"/>
      <c r="N24" s="367"/>
      <c r="O24" s="554"/>
      <c r="P24" s="367"/>
      <c r="Q24" s="554"/>
      <c r="R24" s="367"/>
      <c r="S24" s="554"/>
      <c r="T24" s="367"/>
      <c r="U24" s="554"/>
      <c r="V24" s="367"/>
      <c r="W24" s="554"/>
      <c r="X24" s="367"/>
      <c r="Y24" s="554"/>
      <c r="Z24" s="367"/>
      <c r="AA24" s="264"/>
      <c r="AB24" s="525"/>
      <c r="AC24" s="532">
        <v>7.8</v>
      </c>
      <c r="AD24" s="287"/>
      <c r="AE24" s="1769"/>
      <c r="AF24" s="532">
        <v>7.6</v>
      </c>
      <c r="AG24" s="520"/>
      <c r="AH24" s="264"/>
      <c r="AI24" s="264">
        <f t="shared" si="0"/>
        <v>0.2</v>
      </c>
      <c r="AJ24" s="364"/>
      <c r="AK24" s="283">
        <f>_xlfn.SINGLE(ROUND(IF(AF24=0,0,AI24/ABS(AF24)),3))</f>
        <v>2.5999999999999999E-2</v>
      </c>
      <c r="AL24" s="1531"/>
    </row>
    <row r="25" spans="1:38" ht="15" customHeight="1">
      <c r="A25" s="35"/>
      <c r="B25" s="364" t="s">
        <v>1408</v>
      </c>
      <c r="C25" s="291"/>
      <c r="D25" s="367">
        <f t="shared" si="1"/>
        <v>0</v>
      </c>
      <c r="E25" s="1111"/>
      <c r="F25" s="367"/>
      <c r="G25" s="367"/>
      <c r="H25" s="367"/>
      <c r="I25" s="1111"/>
      <c r="J25" s="367"/>
      <c r="K25" s="554"/>
      <c r="L25" s="367"/>
      <c r="M25" s="554"/>
      <c r="N25" s="367"/>
      <c r="O25" s="554"/>
      <c r="P25" s="367"/>
      <c r="Q25" s="554"/>
      <c r="R25" s="367"/>
      <c r="S25" s="554"/>
      <c r="T25" s="367"/>
      <c r="U25" s="554"/>
      <c r="V25" s="367"/>
      <c r="W25" s="554"/>
      <c r="X25" s="367"/>
      <c r="Y25" s="554"/>
      <c r="Z25" s="367"/>
      <c r="AA25" s="264"/>
      <c r="AB25" s="525"/>
      <c r="AC25" s="532">
        <v>0</v>
      </c>
      <c r="AD25" s="287"/>
      <c r="AE25" s="1769"/>
      <c r="AF25" s="532">
        <v>-0.2</v>
      </c>
      <c r="AG25" s="520"/>
      <c r="AH25" s="264"/>
      <c r="AI25" s="264">
        <f t="shared" si="0"/>
        <v>0.2</v>
      </c>
      <c r="AJ25" s="364"/>
      <c r="AK25" s="283">
        <f>ROUND(IF(AF25=0,1,AI25/ABS(AF25)),3)</f>
        <v>1</v>
      </c>
      <c r="AL25" s="1531"/>
    </row>
    <row r="26" spans="1:38" ht="15" customHeight="1">
      <c r="A26" s="35"/>
      <c r="B26" s="364" t="s">
        <v>1431</v>
      </c>
      <c r="C26" s="291"/>
      <c r="D26" s="367">
        <f t="shared" si="1"/>
        <v>0</v>
      </c>
      <c r="E26" s="1111"/>
      <c r="F26" s="367"/>
      <c r="G26" s="367"/>
      <c r="H26" s="367"/>
      <c r="I26" s="1111"/>
      <c r="J26" s="367"/>
      <c r="K26" s="554"/>
      <c r="L26" s="367"/>
      <c r="M26" s="554"/>
      <c r="N26" s="367"/>
      <c r="O26" s="554"/>
      <c r="P26" s="367"/>
      <c r="Q26" s="554"/>
      <c r="R26" s="367"/>
      <c r="S26" s="554"/>
      <c r="T26" s="367"/>
      <c r="U26" s="554"/>
      <c r="V26" s="367"/>
      <c r="W26" s="554"/>
      <c r="X26" s="367"/>
      <c r="Y26" s="554"/>
      <c r="Z26" s="367"/>
      <c r="AA26" s="264"/>
      <c r="AB26" s="525"/>
      <c r="AC26" s="532">
        <v>0</v>
      </c>
      <c r="AD26" s="287"/>
      <c r="AE26" s="1769"/>
      <c r="AF26" s="532">
        <v>0</v>
      </c>
      <c r="AG26" s="520"/>
      <c r="AH26" s="264"/>
      <c r="AI26" s="264">
        <f t="shared" si="0"/>
        <v>0</v>
      </c>
      <c r="AJ26" s="364"/>
      <c r="AK26" s="283">
        <f>_xlfn.SINGLE(ROUND(IF(AF26=0,0,AI26/ABS(AF26)),3))</f>
        <v>0</v>
      </c>
      <c r="AL26" s="1531"/>
    </row>
    <row r="27" spans="1:38" ht="15" customHeight="1">
      <c r="A27" s="35"/>
      <c r="B27" s="422" t="s">
        <v>362</v>
      </c>
      <c r="C27" s="291"/>
      <c r="D27" s="367">
        <f t="shared" si="1"/>
        <v>0</v>
      </c>
      <c r="E27" s="1111"/>
      <c r="F27" s="367"/>
      <c r="G27" s="367"/>
      <c r="H27" s="367"/>
      <c r="I27" s="1111"/>
      <c r="J27" s="367"/>
      <c r="K27" s="554"/>
      <c r="L27" s="367"/>
      <c r="M27" s="554"/>
      <c r="N27" s="367"/>
      <c r="O27" s="554"/>
      <c r="P27" s="367"/>
      <c r="Q27" s="554"/>
      <c r="R27" s="367"/>
      <c r="S27" s="554"/>
      <c r="T27" s="367"/>
      <c r="U27" s="554"/>
      <c r="V27" s="367"/>
      <c r="W27" s="554"/>
      <c r="X27" s="367"/>
      <c r="Y27" s="554"/>
      <c r="Z27" s="367"/>
      <c r="AA27" s="264"/>
      <c r="AB27" s="525"/>
      <c r="AC27" s="532">
        <v>0</v>
      </c>
      <c r="AD27" s="287"/>
      <c r="AE27" s="1769"/>
      <c r="AF27" s="532">
        <v>0.1</v>
      </c>
      <c r="AG27" s="520"/>
      <c r="AH27" s="264"/>
      <c r="AI27" s="264">
        <f t="shared" si="0"/>
        <v>-0.1</v>
      </c>
      <c r="AJ27" s="364"/>
      <c r="AK27" s="608">
        <f>ROUND(IF(AF27=0,1,AI27/ABS(AF27)),3)</f>
        <v>-1</v>
      </c>
      <c r="AL27" s="1531"/>
    </row>
    <row r="28" spans="1:38" ht="15" customHeight="1">
      <c r="A28" s="35"/>
      <c r="B28" s="284" t="s">
        <v>437</v>
      </c>
      <c r="C28" s="291"/>
      <c r="D28" s="367">
        <f t="shared" si="1"/>
        <v>0.3</v>
      </c>
      <c r="E28" s="1111"/>
      <c r="F28" s="367"/>
      <c r="G28" s="367"/>
      <c r="H28" s="367"/>
      <c r="I28" s="1111"/>
      <c r="J28" s="367"/>
      <c r="K28" s="554"/>
      <c r="L28" s="367"/>
      <c r="M28" s="554"/>
      <c r="N28" s="367"/>
      <c r="O28" s="554"/>
      <c r="P28" s="367"/>
      <c r="Q28" s="554"/>
      <c r="R28" s="367"/>
      <c r="S28" s="554"/>
      <c r="T28" s="367"/>
      <c r="U28" s="554"/>
      <c r="V28" s="367"/>
      <c r="W28" s="554"/>
      <c r="X28" s="367"/>
      <c r="Y28" s="554"/>
      <c r="Z28" s="367"/>
      <c r="AA28" s="264"/>
      <c r="AB28" s="525"/>
      <c r="AC28" s="532">
        <v>0.3</v>
      </c>
      <c r="AD28" s="287"/>
      <c r="AE28" s="1769"/>
      <c r="AF28" s="532">
        <v>0.2</v>
      </c>
      <c r="AG28" s="520"/>
      <c r="AH28" s="264"/>
      <c r="AI28" s="264">
        <f t="shared" si="0"/>
        <v>0.1</v>
      </c>
      <c r="AJ28" s="364"/>
      <c r="AK28" s="608">
        <f>_xlfn.SINGLE(ROUND(IF(AF28=0,1,AI28/ABS(AF28)),3))</f>
        <v>0.5</v>
      </c>
      <c r="AL28" s="1531"/>
    </row>
    <row r="29" spans="1:38" s="321" customFormat="1" ht="15" customHeight="1">
      <c r="A29" s="418"/>
      <c r="B29" s="3" t="s">
        <v>480</v>
      </c>
      <c r="C29" s="3"/>
      <c r="D29" s="674">
        <f>_xlfn.SINGLE(ROUND(SUM(D20:D28),1))</f>
        <v>221.9</v>
      </c>
      <c r="E29" s="13"/>
      <c r="F29" s="674">
        <f>_xlfn.SINGLE(ROUND(SUM(F20:F28),1))</f>
        <v>0</v>
      </c>
      <c r="G29" s="13"/>
      <c r="H29" s="674">
        <f>_xlfn.SINGLE(ROUND(SUM(H20:H28),1))</f>
        <v>0</v>
      </c>
      <c r="I29" s="13"/>
      <c r="J29" s="674">
        <f>_xlfn.SINGLE(ROUND(SUM(J20:J28),1))</f>
        <v>0</v>
      </c>
      <c r="K29" s="13"/>
      <c r="L29" s="674">
        <f>_xlfn.SINGLE(ROUND(SUM(L20:L28),1))</f>
        <v>0</v>
      </c>
      <c r="M29" s="13"/>
      <c r="N29" s="674">
        <f>_xlfn.SINGLE(ROUND(SUM(N20:N28),1))</f>
        <v>0</v>
      </c>
      <c r="O29" s="13"/>
      <c r="P29" s="674">
        <f>_xlfn.SINGLE(ROUND(SUM(P20:P28),1))</f>
        <v>0</v>
      </c>
      <c r="Q29" s="13"/>
      <c r="R29" s="674">
        <f>_xlfn.SINGLE(ROUND(SUM(R20:R28),1))</f>
        <v>0</v>
      </c>
      <c r="S29" s="13"/>
      <c r="T29" s="674">
        <f>_xlfn.SINGLE(ROUND(SUM(T20:T28),1))</f>
        <v>0</v>
      </c>
      <c r="U29" s="13"/>
      <c r="V29" s="674">
        <f>_xlfn.SINGLE(ROUND(SUM(V20:V28),1))</f>
        <v>0</v>
      </c>
      <c r="W29" s="13"/>
      <c r="X29" s="674">
        <f>_xlfn.SINGLE(ROUND(SUM(X20:X28),1))</f>
        <v>0</v>
      </c>
      <c r="Y29" s="13"/>
      <c r="Z29" s="674">
        <f>_xlfn.SINGLE(ROUND(SUM(Z20:Z28),1))</f>
        <v>0</v>
      </c>
      <c r="AA29" s="13"/>
      <c r="AB29" s="670"/>
      <c r="AC29" s="674">
        <f>ROUND(SUM(AC20:AC28),1)</f>
        <v>221.9</v>
      </c>
      <c r="AD29" s="13"/>
      <c r="AE29" s="670"/>
      <c r="AF29" s="674">
        <f>ROUND(SUM(AF20:AF28),1)</f>
        <v>217.3</v>
      </c>
      <c r="AG29" s="75"/>
      <c r="AH29" s="13"/>
      <c r="AI29" s="674">
        <f>_xlfn.SINGLE(ROUND(SUM(AI20:AI28),1))</f>
        <v>4.5999999999999996</v>
      </c>
      <c r="AJ29" s="57"/>
      <c r="AK29" s="1789">
        <f>_xlfn.SINGLE(ROUND(IF(AF29=0,0,AI29/ABS(AF29)),3))</f>
        <v>2.1000000000000001E-2</v>
      </c>
      <c r="AL29" s="1531"/>
    </row>
    <row r="30" spans="1:38" ht="15" customHeight="1">
      <c r="A30" s="35"/>
      <c r="B30" s="413" t="s">
        <v>524</v>
      </c>
      <c r="C30" s="291"/>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525"/>
      <c r="AC30" s="264"/>
      <c r="AD30" s="264"/>
      <c r="AE30" s="525"/>
      <c r="AF30" s="264"/>
      <c r="AG30" s="520"/>
      <c r="AH30" s="264"/>
      <c r="AI30" s="264"/>
      <c r="AJ30" s="364"/>
      <c r="AK30" s="364"/>
      <c r="AL30" s="1531"/>
    </row>
    <row r="31" spans="1:38" ht="15" customHeight="1">
      <c r="A31" s="35"/>
      <c r="B31" s="422" t="s">
        <v>367</v>
      </c>
      <c r="C31" s="291"/>
      <c r="D31" s="367">
        <f>AC31</f>
        <v>299.2</v>
      </c>
      <c r="E31" s="1111"/>
      <c r="F31" s="367"/>
      <c r="G31" s="367"/>
      <c r="H31" s="367"/>
      <c r="I31" s="264"/>
      <c r="J31" s="367"/>
      <c r="K31" s="554"/>
      <c r="L31" s="367"/>
      <c r="M31" s="554"/>
      <c r="N31" s="367"/>
      <c r="O31" s="554"/>
      <c r="P31" s="367"/>
      <c r="Q31" s="554"/>
      <c r="R31" s="367"/>
      <c r="S31" s="554"/>
      <c r="T31" s="367"/>
      <c r="U31" s="554"/>
      <c r="V31" s="367"/>
      <c r="W31" s="554"/>
      <c r="X31" s="367"/>
      <c r="Y31" s="554"/>
      <c r="Z31" s="367"/>
      <c r="AA31" s="264"/>
      <c r="AB31" s="525"/>
      <c r="AC31" s="532">
        <v>299.2</v>
      </c>
      <c r="AD31" s="287"/>
      <c r="AE31" s="1769"/>
      <c r="AF31" s="532">
        <v>226.7</v>
      </c>
      <c r="AG31" s="520"/>
      <c r="AH31" s="264"/>
      <c r="AI31" s="264">
        <f>_xlfn.SINGLE(ROUND(SUM(+AC31-AF31),1))</f>
        <v>72.5</v>
      </c>
      <c r="AJ31" s="364"/>
      <c r="AK31" s="1790">
        <f>_xlfn.SINGLE(ROUND(IF(AF31=0,0,AI31/ABS(AF31)),3))</f>
        <v>0.32</v>
      </c>
      <c r="AL31" s="1531"/>
    </row>
    <row r="32" spans="1:38" ht="15" customHeight="1">
      <c r="A32" s="35"/>
      <c r="B32" s="422" t="s">
        <v>368</v>
      </c>
      <c r="C32" s="291"/>
      <c r="D32" s="367">
        <f t="shared" ref="D32:D35" si="2">AC32</f>
        <v>15.4</v>
      </c>
      <c r="E32" s="1111"/>
      <c r="F32" s="367"/>
      <c r="G32" s="367"/>
      <c r="H32" s="367"/>
      <c r="I32" s="264"/>
      <c r="J32" s="367"/>
      <c r="K32" s="554"/>
      <c r="L32" s="367"/>
      <c r="M32" s="554"/>
      <c r="N32" s="367"/>
      <c r="O32" s="554"/>
      <c r="P32" s="367"/>
      <c r="Q32" s="554"/>
      <c r="R32" s="367"/>
      <c r="S32" s="554"/>
      <c r="T32" s="367"/>
      <c r="U32" s="554"/>
      <c r="V32" s="367"/>
      <c r="W32" s="554"/>
      <c r="X32" s="367"/>
      <c r="Y32" s="554"/>
      <c r="Z32" s="367"/>
      <c r="AA32" s="264"/>
      <c r="AB32" s="525"/>
      <c r="AC32" s="532">
        <v>15.4</v>
      </c>
      <c r="AD32" s="287"/>
      <c r="AE32" s="1769"/>
      <c r="AF32" s="532">
        <v>19.399999999999999</v>
      </c>
      <c r="AG32" s="520"/>
      <c r="AH32" s="264"/>
      <c r="AI32" s="264">
        <f>_xlfn.SINGLE(ROUND(SUM(+AC32-AF32),1))</f>
        <v>-4</v>
      </c>
      <c r="AJ32" s="364"/>
      <c r="AK32" s="1790">
        <f>_xlfn.SINGLE(ROUND(IF(AF32=0,0,AI32/ABS(AF32)),3))</f>
        <v>-0.20599999999999999</v>
      </c>
      <c r="AL32" s="1531"/>
    </row>
    <row r="33" spans="1:38" s="1119" customFormat="1" ht="15" customHeight="1">
      <c r="A33" s="1116"/>
      <c r="B33" s="1207" t="s">
        <v>369</v>
      </c>
      <c r="C33" s="372"/>
      <c r="D33" s="367">
        <f t="shared" si="2"/>
        <v>3.9</v>
      </c>
      <c r="E33" s="1212"/>
      <c r="F33" s="367"/>
      <c r="G33" s="1129"/>
      <c r="H33" s="367"/>
      <c r="I33" s="611"/>
      <c r="J33" s="367"/>
      <c r="K33" s="1117"/>
      <c r="L33" s="367"/>
      <c r="M33" s="1117"/>
      <c r="N33" s="367"/>
      <c r="O33" s="1117"/>
      <c r="P33" s="367"/>
      <c r="Q33" s="1117"/>
      <c r="R33" s="367"/>
      <c r="S33" s="1117"/>
      <c r="T33" s="367"/>
      <c r="U33" s="1117"/>
      <c r="V33" s="367"/>
      <c r="W33" s="1117"/>
      <c r="X33" s="367"/>
      <c r="Y33" s="1117"/>
      <c r="Z33" s="367"/>
      <c r="AA33" s="611"/>
      <c r="AB33" s="856"/>
      <c r="AC33" s="532">
        <v>3.9</v>
      </c>
      <c r="AD33" s="1197"/>
      <c r="AE33" s="1952"/>
      <c r="AF33" s="532">
        <v>6.2</v>
      </c>
      <c r="AG33" s="1213"/>
      <c r="AH33" s="1195"/>
      <c r="AI33" s="1195">
        <f>_xlfn.SINGLE(ROUND(SUM(+AC33-AF33),1))</f>
        <v>-2.2999999999999998</v>
      </c>
      <c r="AJ33" s="1207"/>
      <c r="AK33" s="1791">
        <f>_xlfn.SINGLE(ROUND(IF(AF33=0,0,AI33/ABS(AF33)),3))</f>
        <v>-0.371</v>
      </c>
      <c r="AL33" s="1531"/>
    </row>
    <row r="34" spans="1:38" ht="15" customHeight="1">
      <c r="A34" s="35"/>
      <c r="B34" s="422" t="s">
        <v>370</v>
      </c>
      <c r="C34" s="291"/>
      <c r="D34" s="367">
        <f t="shared" si="2"/>
        <v>-0.8</v>
      </c>
      <c r="E34" s="1111"/>
      <c r="F34" s="367"/>
      <c r="G34" s="367"/>
      <c r="H34" s="367"/>
      <c r="I34" s="264"/>
      <c r="J34" s="367"/>
      <c r="K34" s="554"/>
      <c r="L34" s="367"/>
      <c r="M34" s="554"/>
      <c r="N34" s="367"/>
      <c r="O34" s="554"/>
      <c r="P34" s="367"/>
      <c r="Q34" s="554"/>
      <c r="R34" s="367"/>
      <c r="S34" s="554"/>
      <c r="T34" s="367"/>
      <c r="U34" s="554"/>
      <c r="V34" s="367"/>
      <c r="W34" s="554"/>
      <c r="X34" s="367"/>
      <c r="Y34" s="554"/>
      <c r="Z34" s="367"/>
      <c r="AA34" s="264"/>
      <c r="AB34" s="525"/>
      <c r="AC34" s="532">
        <v>-0.8</v>
      </c>
      <c r="AD34" s="287"/>
      <c r="AE34" s="1769"/>
      <c r="AF34" s="532">
        <v>-0.8</v>
      </c>
      <c r="AG34" s="520"/>
      <c r="AH34" s="264"/>
      <c r="AI34" s="264">
        <f>_xlfn.SINGLE(ROUND(SUM(+AC34-AF34),1))</f>
        <v>0</v>
      </c>
      <c r="AJ34" s="364"/>
      <c r="AK34" s="608">
        <f>_xlfn.SINGLE(ROUND(IF(AF34=0,1,AI34/ABS(AF34)),3))</f>
        <v>0</v>
      </c>
      <c r="AL34" s="1531"/>
    </row>
    <row r="35" spans="1:38" ht="15" customHeight="1">
      <c r="A35" s="35"/>
      <c r="B35" s="422" t="s">
        <v>372</v>
      </c>
      <c r="C35" s="291"/>
      <c r="D35" s="367">
        <f t="shared" si="2"/>
        <v>32.700000000000003</v>
      </c>
      <c r="E35" s="1111"/>
      <c r="F35" s="367"/>
      <c r="G35" s="367"/>
      <c r="H35" s="367"/>
      <c r="I35" s="264"/>
      <c r="J35" s="367"/>
      <c r="K35" s="554"/>
      <c r="L35" s="367"/>
      <c r="M35" s="554"/>
      <c r="N35" s="367"/>
      <c r="O35" s="554"/>
      <c r="P35" s="367"/>
      <c r="Q35" s="554"/>
      <c r="R35" s="367"/>
      <c r="S35" s="554"/>
      <c r="T35" s="367"/>
      <c r="U35" s="554"/>
      <c r="V35" s="367"/>
      <c r="W35" s="554"/>
      <c r="X35" s="367"/>
      <c r="Y35" s="554"/>
      <c r="Z35" s="367"/>
      <c r="AA35" s="264"/>
      <c r="AB35" s="525"/>
      <c r="AC35" s="532">
        <v>32.700000000000003</v>
      </c>
      <c r="AD35" s="287"/>
      <c r="AE35" s="1769"/>
      <c r="AF35" s="532">
        <v>34.4</v>
      </c>
      <c r="AG35" s="520"/>
      <c r="AH35" s="264"/>
      <c r="AI35" s="264">
        <f>_xlfn.SINGLE(ROUND(SUM(+AC35-AF35),1))</f>
        <v>-1.7</v>
      </c>
      <c r="AJ35" s="364"/>
      <c r="AK35" s="1790">
        <f>_xlfn.SINGLE(ROUND(IF(AF35=0,0,AI35/ABS(AF35)),3))</f>
        <v>-4.9000000000000002E-2</v>
      </c>
      <c r="AL35" s="1531"/>
    </row>
    <row r="36" spans="1:38" s="321" customFormat="1" ht="15" customHeight="1">
      <c r="A36" s="418"/>
      <c r="B36" s="3" t="s">
        <v>525</v>
      </c>
      <c r="C36" s="3"/>
      <c r="D36" s="674">
        <f>_xlfn.SINGLE(ROUND(SUM(D31:D35),1))</f>
        <v>350.4</v>
      </c>
      <c r="E36" s="13"/>
      <c r="F36" s="674">
        <f>_xlfn.SINGLE(ROUND(SUM(F31:F35),1))</f>
        <v>0</v>
      </c>
      <c r="G36" s="13"/>
      <c r="H36" s="674">
        <f>_xlfn.SINGLE(ROUND(SUM(H31:H35),1))</f>
        <v>0</v>
      </c>
      <c r="I36" s="13"/>
      <c r="J36" s="674">
        <f>_xlfn.SINGLE(ROUND(SUM(J31:J35),1))</f>
        <v>0</v>
      </c>
      <c r="K36" s="13"/>
      <c r="L36" s="674">
        <f>_xlfn.SINGLE(ROUND(SUM(L31:L35),1))</f>
        <v>0</v>
      </c>
      <c r="M36" s="13"/>
      <c r="N36" s="674">
        <f>_xlfn.SINGLE(ROUND(SUM(N31:N35),1))</f>
        <v>0</v>
      </c>
      <c r="O36" s="13"/>
      <c r="P36" s="674">
        <f>_xlfn.SINGLE(ROUND(SUM(P31:P35),1))</f>
        <v>0</v>
      </c>
      <c r="Q36" s="13"/>
      <c r="R36" s="674">
        <f>_xlfn.SINGLE(ROUND(SUM(R31:R35),1))</f>
        <v>0</v>
      </c>
      <c r="S36" s="13"/>
      <c r="T36" s="674">
        <f>_xlfn.SINGLE(ROUND(SUM(T31:T35),1))</f>
        <v>0</v>
      </c>
      <c r="U36" s="13"/>
      <c r="V36" s="674">
        <f>_xlfn.SINGLE(ROUND(SUM(V31:V35),1))</f>
        <v>0</v>
      </c>
      <c r="W36" s="13"/>
      <c r="X36" s="674">
        <f>_xlfn.SINGLE(ROUND(SUM(X31:X35),1))</f>
        <v>0</v>
      </c>
      <c r="Y36" s="13"/>
      <c r="Z36" s="674">
        <f>_xlfn.SINGLE(ROUND(SUM(Z31:Z35),1))</f>
        <v>0</v>
      </c>
      <c r="AA36" s="13"/>
      <c r="AB36" s="670"/>
      <c r="AC36" s="674">
        <f>ROUND(SUM(AC31:AC35),1)</f>
        <v>350.4</v>
      </c>
      <c r="AD36" s="13"/>
      <c r="AE36" s="670"/>
      <c r="AF36" s="674">
        <f>ROUND(SUM(AF31:AF35),1)</f>
        <v>285.89999999999998</v>
      </c>
      <c r="AG36" s="75"/>
      <c r="AH36" s="13"/>
      <c r="AI36" s="674">
        <f>_xlfn.SINGLE(ROUND(SUM(AI31:AI35),1))</f>
        <v>64.5</v>
      </c>
      <c r="AJ36" s="57"/>
      <c r="AK36" s="1015">
        <f>_xlfn.SINGLE(ROUND(IF(AF36=0,0,AI36/ABS(AF36)),3))</f>
        <v>0.22600000000000001</v>
      </c>
      <c r="AL36" s="1531"/>
    </row>
    <row r="37" spans="1:38" ht="15" customHeight="1">
      <c r="A37" s="35"/>
      <c r="B37" s="3"/>
      <c r="C37" s="291"/>
      <c r="D37" s="264"/>
      <c r="E37" s="264"/>
      <c r="F37" s="264"/>
      <c r="G37" s="264"/>
      <c r="H37" s="264"/>
      <c r="I37" s="264"/>
      <c r="J37" s="264"/>
      <c r="K37" s="264"/>
      <c r="L37" s="264"/>
      <c r="M37" s="264"/>
      <c r="N37" s="264"/>
      <c r="O37" s="264"/>
      <c r="P37" s="264"/>
      <c r="Q37" s="264"/>
      <c r="R37" s="264"/>
      <c r="S37" s="264"/>
      <c r="T37" s="264"/>
      <c r="U37" s="264"/>
      <c r="V37" s="264"/>
      <c r="W37" s="264"/>
      <c r="X37" s="367"/>
      <c r="Y37" s="264"/>
      <c r="Z37" s="264"/>
      <c r="AA37" s="264"/>
      <c r="AB37" s="525"/>
      <c r="AC37" s="264"/>
      <c r="AD37" s="264"/>
      <c r="AE37" s="525"/>
      <c r="AF37" s="264"/>
      <c r="AG37" s="520"/>
      <c r="AH37" s="264"/>
      <c r="AI37" s="264"/>
      <c r="AJ37" s="364"/>
      <c r="AK37" s="364"/>
      <c r="AL37" s="1531"/>
    </row>
    <row r="38" spans="1:38" ht="15" customHeight="1">
      <c r="A38" s="35"/>
      <c r="B38" s="83" t="s">
        <v>438</v>
      </c>
      <c r="C38" s="291"/>
      <c r="D38" s="1043">
        <f>_xlfn.SINGLE(ROUND(SUM(D17+D29+D36),1))</f>
        <v>572.29999999999995</v>
      </c>
      <c r="E38" s="264"/>
      <c r="F38" s="1043">
        <f>_xlfn.SINGLE(ROUND(SUM(F17+F29+F36),1))</f>
        <v>0</v>
      </c>
      <c r="G38" s="264"/>
      <c r="H38" s="1043">
        <f>_xlfn.SINGLE(ROUND(SUM(H17+H29+H36),1))</f>
        <v>0</v>
      </c>
      <c r="I38" s="264"/>
      <c r="J38" s="1043">
        <f>_xlfn.SINGLE(ROUND(SUM(J17+J29+J36),1))</f>
        <v>0</v>
      </c>
      <c r="K38" s="264"/>
      <c r="L38" s="1043">
        <f>_xlfn.SINGLE(ROUND(SUM(L17+L29+L36),1))</f>
        <v>0</v>
      </c>
      <c r="M38" s="264"/>
      <c r="N38" s="1043">
        <f>_xlfn.SINGLE(ROUND(SUM(N17+N29+N36),1))</f>
        <v>0</v>
      </c>
      <c r="O38" s="264"/>
      <c r="P38" s="1043">
        <f>_xlfn.SINGLE(ROUND(SUM(P17+P29+P36),1))</f>
        <v>0</v>
      </c>
      <c r="Q38" s="264"/>
      <c r="R38" s="1043">
        <f>_xlfn.SINGLE(ROUND(SUM(R17+R29+R36),1))</f>
        <v>0</v>
      </c>
      <c r="S38" s="610"/>
      <c r="T38" s="1043">
        <f>_xlfn.SINGLE(ROUND(SUM(T17+T29+T36),1))</f>
        <v>0</v>
      </c>
      <c r="U38" s="264"/>
      <c r="V38" s="1043">
        <f>_xlfn.SINGLE(ROUND(SUM(V17+V29+V36),1))</f>
        <v>0</v>
      </c>
      <c r="W38" s="264"/>
      <c r="X38" s="1043">
        <f>_xlfn.SINGLE(ROUND(SUM(X17+X29+X36),1))</f>
        <v>0</v>
      </c>
      <c r="Y38" s="264"/>
      <c r="Z38" s="1043">
        <f>_xlfn.SINGLE(ROUND(SUM(Z17+Z29+Z36),1))</f>
        <v>0</v>
      </c>
      <c r="AA38" s="264"/>
      <c r="AB38" s="524"/>
      <c r="AC38" s="1043">
        <f>ROUND(SUM(AC17+AC29+AC36),1)</f>
        <v>572.29999999999995</v>
      </c>
      <c r="AD38" s="264"/>
      <c r="AE38" s="524"/>
      <c r="AF38" s="1043">
        <f>ROUND(SUM(AF17+AF29+AF36),1)</f>
        <v>503.2</v>
      </c>
      <c r="AG38" s="1035"/>
      <c r="AH38" s="264"/>
      <c r="AI38" s="1043">
        <f>_xlfn.SINGLE(ROUND(SUM(AI17+AI29+AI36),1))</f>
        <v>69.099999999999994</v>
      </c>
      <c r="AJ38" s="264"/>
      <c r="AK38" s="1044">
        <f>_xlfn.SINGLE(ROUND(IF(AF38=0,0,AI38/ABS(AF38)),3))</f>
        <v>0.13700000000000001</v>
      </c>
      <c r="AL38" s="1531"/>
    </row>
    <row r="39" spans="1:38" ht="15" customHeight="1">
      <c r="A39" s="35"/>
      <c r="B39" s="291"/>
      <c r="C39" s="291"/>
      <c r="D39" s="287"/>
      <c r="E39" s="264"/>
      <c r="F39" s="287"/>
      <c r="G39" s="264"/>
      <c r="H39" s="264"/>
      <c r="I39" s="264"/>
      <c r="J39" s="287"/>
      <c r="K39" s="264"/>
      <c r="L39" s="287"/>
      <c r="M39" s="264"/>
      <c r="N39" s="287"/>
      <c r="O39" s="264"/>
      <c r="P39" s="287"/>
      <c r="Q39" s="264"/>
      <c r="R39" s="287"/>
      <c r="S39" s="264"/>
      <c r="T39" s="287"/>
      <c r="U39" s="264"/>
      <c r="V39" s="287"/>
      <c r="W39" s="264"/>
      <c r="X39" s="367"/>
      <c r="Y39" s="264"/>
      <c r="Z39" s="287"/>
      <c r="AA39" s="264"/>
      <c r="AB39" s="524"/>
      <c r="AC39" s="288"/>
      <c r="AD39" s="367"/>
      <c r="AE39" s="525"/>
      <c r="AF39" s="288"/>
      <c r="AG39" s="1035"/>
      <c r="AH39" s="264"/>
      <c r="AI39" s="264"/>
      <c r="AJ39" s="264"/>
      <c r="AK39" s="283"/>
      <c r="AL39" s="1531"/>
    </row>
    <row r="40" spans="1:38" ht="15" customHeight="1">
      <c r="A40" s="35"/>
      <c r="B40" s="1218" t="s">
        <v>383</v>
      </c>
      <c r="C40" s="291"/>
      <c r="D40" s="287"/>
      <c r="E40" s="264"/>
      <c r="F40" s="287"/>
      <c r="G40" s="264"/>
      <c r="H40" s="264"/>
      <c r="I40" s="264"/>
      <c r="J40" s="287"/>
      <c r="K40" s="264"/>
      <c r="L40" s="287"/>
      <c r="M40" s="264"/>
      <c r="N40" s="287"/>
      <c r="O40" s="264"/>
      <c r="P40" s="287"/>
      <c r="Q40" s="264"/>
      <c r="R40" s="287"/>
      <c r="S40" s="264"/>
      <c r="T40" s="287"/>
      <c r="U40" s="264"/>
      <c r="V40" s="287"/>
      <c r="W40" s="264"/>
      <c r="X40" s="367"/>
      <c r="Y40" s="264"/>
      <c r="Z40" s="287"/>
      <c r="AA40" s="264"/>
      <c r="AB40" s="524"/>
      <c r="AC40" s="264"/>
      <c r="AD40" s="264"/>
      <c r="AE40" s="525"/>
      <c r="AF40" s="264"/>
      <c r="AG40" s="520"/>
      <c r="AH40" s="264"/>
      <c r="AI40" s="264"/>
      <c r="AJ40" s="264"/>
      <c r="AK40" s="283"/>
      <c r="AL40" s="1531"/>
    </row>
    <row r="41" spans="1:38" ht="15" customHeight="1">
      <c r="A41" s="35"/>
      <c r="B41" s="350" t="s">
        <v>384</v>
      </c>
      <c r="C41" s="291"/>
      <c r="D41" s="287"/>
      <c r="E41" s="264"/>
      <c r="F41" s="287"/>
      <c r="G41" s="264"/>
      <c r="H41" s="264"/>
      <c r="I41" s="264"/>
      <c r="J41" s="287"/>
      <c r="K41" s="264"/>
      <c r="L41" s="287"/>
      <c r="M41" s="264"/>
      <c r="N41" s="287"/>
      <c r="O41" s="264"/>
      <c r="P41" s="287"/>
      <c r="Q41" s="264"/>
      <c r="R41" s="287"/>
      <c r="S41" s="264"/>
      <c r="T41" s="287"/>
      <c r="U41" s="264"/>
      <c r="V41" s="287"/>
      <c r="W41" s="264"/>
      <c r="X41" s="367"/>
      <c r="Y41" s="264"/>
      <c r="Z41" s="287"/>
      <c r="AA41" s="264"/>
      <c r="AB41" s="524"/>
      <c r="AC41" s="264"/>
      <c r="AD41" s="264"/>
      <c r="AE41" s="525"/>
      <c r="AF41" s="264"/>
      <c r="AG41" s="520"/>
      <c r="AH41" s="264"/>
      <c r="AI41" s="264"/>
      <c r="AJ41" s="264"/>
      <c r="AK41" s="283"/>
      <c r="AL41" s="1531"/>
    </row>
    <row r="42" spans="1:38" ht="15" customHeight="1">
      <c r="A42" s="35"/>
      <c r="B42" s="350" t="s">
        <v>1432</v>
      </c>
      <c r="C42" s="291"/>
      <c r="D42" s="367">
        <f>AC42</f>
        <v>1.4</v>
      </c>
      <c r="E42" s="264"/>
      <c r="F42" s="367"/>
      <c r="G42" s="367"/>
      <c r="H42" s="367"/>
      <c r="I42" s="264"/>
      <c r="J42" s="367"/>
      <c r="K42" s="554"/>
      <c r="L42" s="367"/>
      <c r="M42" s="1117"/>
      <c r="N42" s="367"/>
      <c r="O42" s="554"/>
      <c r="P42" s="367"/>
      <c r="Q42" s="554"/>
      <c r="R42" s="367"/>
      <c r="S42" s="554"/>
      <c r="T42" s="367"/>
      <c r="U42" s="554"/>
      <c r="V42" s="367"/>
      <c r="W42" s="554"/>
      <c r="X42" s="367"/>
      <c r="Y42" s="554"/>
      <c r="Z42" s="367"/>
      <c r="AA42" s="264"/>
      <c r="AB42" s="525"/>
      <c r="AC42" s="532">
        <v>1.4</v>
      </c>
      <c r="AD42" s="287"/>
      <c r="AE42" s="1769"/>
      <c r="AF42" s="532">
        <v>1.2</v>
      </c>
      <c r="AG42" s="520"/>
      <c r="AH42" s="264"/>
      <c r="AI42" s="264">
        <f>_xlfn.SINGLE(ROUND(SUM(+AC42-AF42),1))</f>
        <v>0.2</v>
      </c>
      <c r="AJ42" s="264"/>
      <c r="AK42" s="283">
        <f>_xlfn.SINGLE(ROUND(IF(AF42=0,0,AI42/ABS(AF42)),3))</f>
        <v>0.16700000000000001</v>
      </c>
      <c r="AL42" s="1531"/>
    </row>
    <row r="43" spans="1:38" ht="15" customHeight="1">
      <c r="A43" s="35"/>
      <c r="B43" s="350" t="s">
        <v>387</v>
      </c>
      <c r="C43" s="291"/>
      <c r="D43" s="367" t="s">
        <v>103</v>
      </c>
      <c r="E43" s="264"/>
      <c r="F43" s="367"/>
      <c r="G43" s="367"/>
      <c r="H43" s="367"/>
      <c r="I43" s="264"/>
      <c r="J43" s="367"/>
      <c r="K43" s="264"/>
      <c r="L43" s="367"/>
      <c r="M43" s="1120"/>
      <c r="N43" s="367"/>
      <c r="O43" s="264"/>
      <c r="P43" s="367"/>
      <c r="Q43" s="264"/>
      <c r="R43" s="367"/>
      <c r="S43" s="264"/>
      <c r="T43" s="367"/>
      <c r="U43" s="264"/>
      <c r="V43" s="367"/>
      <c r="W43" s="264"/>
      <c r="X43" s="367"/>
      <c r="Y43" s="264"/>
      <c r="Z43" s="367"/>
      <c r="AA43" s="264"/>
      <c r="AB43" s="524"/>
      <c r="AC43" s="264" t="s">
        <v>103</v>
      </c>
      <c r="AD43" s="264"/>
      <c r="AE43" s="525"/>
      <c r="AF43" s="264" t="s">
        <v>103</v>
      </c>
      <c r="AG43" s="520"/>
      <c r="AH43" s="264"/>
      <c r="AI43" s="264"/>
      <c r="AJ43" s="264"/>
      <c r="AK43" s="283"/>
      <c r="AL43" s="1531"/>
    </row>
    <row r="44" spans="1:38" ht="15" customHeight="1">
      <c r="A44" s="35"/>
      <c r="B44" s="350" t="s">
        <v>1410</v>
      </c>
      <c r="C44" s="291"/>
      <c r="D44" s="367">
        <f>AC44</f>
        <v>121.7</v>
      </c>
      <c r="E44" s="264"/>
      <c r="F44" s="367"/>
      <c r="G44" s="367"/>
      <c r="H44" s="367"/>
      <c r="I44" s="264"/>
      <c r="J44" s="367"/>
      <c r="K44" s="554"/>
      <c r="L44" s="367"/>
      <c r="M44" s="1117"/>
      <c r="N44" s="367"/>
      <c r="O44" s="554"/>
      <c r="P44" s="367"/>
      <c r="Q44" s="554"/>
      <c r="R44" s="367"/>
      <c r="S44" s="554"/>
      <c r="T44" s="367"/>
      <c r="U44" s="554"/>
      <c r="V44" s="367"/>
      <c r="W44" s="554"/>
      <c r="X44" s="367"/>
      <c r="Y44" s="554"/>
      <c r="Z44" s="367"/>
      <c r="AA44" s="264"/>
      <c r="AB44" s="525"/>
      <c r="AC44" s="532">
        <v>121.7</v>
      </c>
      <c r="AD44" s="287"/>
      <c r="AE44" s="1769"/>
      <c r="AF44" s="532">
        <v>57.5</v>
      </c>
      <c r="AG44" s="520"/>
      <c r="AH44" s="264"/>
      <c r="AI44" s="264">
        <f>_xlfn.SINGLE(ROUND(SUM(+AC44-AF44),1))</f>
        <v>64.2</v>
      </c>
      <c r="AJ44" s="264"/>
      <c r="AK44" s="283">
        <f>_xlfn.SINGLE(ROUND(IF(AF44=0,0,AI44/ABS(AF44)),3))</f>
        <v>1.117</v>
      </c>
      <c r="AL44" s="1531"/>
    </row>
    <row r="45" spans="1:38" ht="15" customHeight="1">
      <c r="A45" s="35"/>
      <c r="B45" s="350" t="s">
        <v>1411</v>
      </c>
      <c r="C45" s="291"/>
      <c r="D45" s="367">
        <f t="shared" ref="D45:D80" si="3">AC45</f>
        <v>653.4</v>
      </c>
      <c r="E45" s="264"/>
      <c r="F45" s="367"/>
      <c r="G45" s="367"/>
      <c r="H45" s="367"/>
      <c r="I45" s="264"/>
      <c r="J45" s="367"/>
      <c r="K45" s="554"/>
      <c r="L45" s="367"/>
      <c r="M45" s="1117"/>
      <c r="N45" s="367"/>
      <c r="O45" s="554"/>
      <c r="P45" s="367"/>
      <c r="Q45" s="554"/>
      <c r="R45" s="367"/>
      <c r="S45" s="554"/>
      <c r="T45" s="367"/>
      <c r="U45" s="554"/>
      <c r="V45" s="367"/>
      <c r="W45" s="554"/>
      <c r="X45" s="367"/>
      <c r="Y45" s="554"/>
      <c r="Z45" s="367"/>
      <c r="AA45" s="264"/>
      <c r="AB45" s="525"/>
      <c r="AC45" s="532">
        <v>653.4</v>
      </c>
      <c r="AD45" s="287"/>
      <c r="AE45" s="1769"/>
      <c r="AF45" s="532">
        <v>665.8</v>
      </c>
      <c r="AG45" s="520"/>
      <c r="AH45" s="264"/>
      <c r="AI45" s="264">
        <f>_xlfn.SINGLE(ROUND(SUM(+AC45-AF45),1))</f>
        <v>-12.4</v>
      </c>
      <c r="AJ45" s="264"/>
      <c r="AK45" s="283">
        <f>_xlfn.SINGLE(ROUND(IF(AF45=0,0,AI45/ABS(AF45)),3))</f>
        <v>-1.9E-2</v>
      </c>
      <c r="AL45" s="1531"/>
    </row>
    <row r="46" spans="1:38" ht="15" customHeight="1">
      <c r="A46" s="35"/>
      <c r="B46" s="350" t="s">
        <v>1412</v>
      </c>
      <c r="C46" s="291"/>
      <c r="D46" s="367">
        <f t="shared" si="3"/>
        <v>2.9</v>
      </c>
      <c r="E46" s="264"/>
      <c r="F46" s="367"/>
      <c r="G46" s="367"/>
      <c r="H46" s="367"/>
      <c r="I46" s="264"/>
      <c r="J46" s="367"/>
      <c r="K46" s="554"/>
      <c r="L46" s="367"/>
      <c r="M46" s="1117"/>
      <c r="N46" s="367"/>
      <c r="O46" s="554"/>
      <c r="P46" s="367"/>
      <c r="Q46" s="554"/>
      <c r="R46" s="367"/>
      <c r="S46" s="554"/>
      <c r="T46" s="367"/>
      <c r="U46" s="554"/>
      <c r="V46" s="367"/>
      <c r="W46" s="554"/>
      <c r="X46" s="367"/>
      <c r="Y46" s="554"/>
      <c r="Z46" s="367"/>
      <c r="AA46" s="264"/>
      <c r="AB46" s="525"/>
      <c r="AC46" s="532">
        <v>2.9</v>
      </c>
      <c r="AD46" s="287"/>
      <c r="AE46" s="1769"/>
      <c r="AF46" s="532">
        <v>0.6</v>
      </c>
      <c r="AG46" s="520"/>
      <c r="AH46" s="264"/>
      <c r="AI46" s="264">
        <f>_xlfn.SINGLE(ROUND(SUM(+AC46-AF46),1))</f>
        <v>2.2999999999999998</v>
      </c>
      <c r="AJ46" s="264"/>
      <c r="AK46" s="608">
        <f>_xlfn.SINGLE(ROUND(IF(AF46=0,0,AI46/ABS(AF46)),3))</f>
        <v>3.8330000000000002</v>
      </c>
      <c r="AL46" s="1531"/>
    </row>
    <row r="47" spans="1:38" ht="15" customHeight="1">
      <c r="A47" s="35"/>
      <c r="B47" s="350" t="s">
        <v>1433</v>
      </c>
      <c r="C47" s="291"/>
      <c r="D47" s="367">
        <f t="shared" si="3"/>
        <v>0</v>
      </c>
      <c r="E47" s="264"/>
      <c r="F47" s="367"/>
      <c r="G47" s="367"/>
      <c r="H47" s="367"/>
      <c r="I47" s="264"/>
      <c r="J47" s="367"/>
      <c r="K47" s="554"/>
      <c r="L47" s="367"/>
      <c r="M47" s="1117"/>
      <c r="N47" s="367"/>
      <c r="O47" s="554"/>
      <c r="P47" s="367"/>
      <c r="Q47" s="554"/>
      <c r="R47" s="367"/>
      <c r="S47" s="554"/>
      <c r="T47" s="367"/>
      <c r="U47" s="554"/>
      <c r="V47" s="367"/>
      <c r="W47" s="554"/>
      <c r="X47" s="367"/>
      <c r="Y47" s="554"/>
      <c r="Z47" s="367"/>
      <c r="AA47" s="264"/>
      <c r="AB47" s="525"/>
      <c r="AC47" s="532">
        <v>0</v>
      </c>
      <c r="AD47" s="287"/>
      <c r="AE47" s="1769"/>
      <c r="AF47" s="532">
        <v>0</v>
      </c>
      <c r="AG47" s="520"/>
      <c r="AH47" s="264"/>
      <c r="AI47" s="264">
        <f>_xlfn.SINGLE(ROUND(SUM(+AC47-AF47),1))</f>
        <v>0</v>
      </c>
      <c r="AJ47" s="264"/>
      <c r="AK47" s="608">
        <f>ROUND(IF(AF47=0,0,AI47/ABS(AF47)),3)</f>
        <v>0</v>
      </c>
      <c r="AL47" s="1531"/>
    </row>
    <row r="48" spans="1:38" ht="15" customHeight="1">
      <c r="A48" s="35"/>
      <c r="B48" s="350" t="s">
        <v>392</v>
      </c>
      <c r="C48" s="291"/>
      <c r="D48" s="367"/>
      <c r="E48" s="264"/>
      <c r="F48" s="367"/>
      <c r="G48" s="367"/>
      <c r="H48" s="367"/>
      <c r="I48" s="264"/>
      <c r="J48" s="367"/>
      <c r="K48" s="264"/>
      <c r="L48" s="367"/>
      <c r="M48" s="1120"/>
      <c r="N48" s="367"/>
      <c r="O48" s="264"/>
      <c r="P48" s="367"/>
      <c r="Q48" s="264"/>
      <c r="R48" s="367"/>
      <c r="S48" s="264"/>
      <c r="T48" s="367"/>
      <c r="U48" s="264"/>
      <c r="V48" s="367"/>
      <c r="W48" s="264"/>
      <c r="X48" s="367"/>
      <c r="Y48" s="264"/>
      <c r="Z48" s="367"/>
      <c r="AA48" s="264"/>
      <c r="AB48" s="524"/>
      <c r="AC48" s="12" t="s">
        <v>103</v>
      </c>
      <c r="AD48" s="264"/>
      <c r="AE48" s="525"/>
      <c r="AF48" s="12" t="s">
        <v>103</v>
      </c>
      <c r="AG48" s="520"/>
      <c r="AH48" s="264"/>
      <c r="AI48" s="264"/>
      <c r="AJ48" s="264"/>
      <c r="AK48" s="283"/>
      <c r="AL48" s="1531"/>
    </row>
    <row r="49" spans="1:38" ht="15" customHeight="1">
      <c r="A49" s="35"/>
      <c r="B49" s="350" t="s">
        <v>1434</v>
      </c>
      <c r="C49" s="291"/>
      <c r="D49" s="367">
        <f t="shared" si="3"/>
        <v>0</v>
      </c>
      <c r="E49" s="264"/>
      <c r="F49" s="367"/>
      <c r="G49" s="367"/>
      <c r="H49" s="367"/>
      <c r="I49" s="264"/>
      <c r="J49" s="367"/>
      <c r="K49" s="554"/>
      <c r="L49" s="367"/>
      <c r="M49" s="1117"/>
      <c r="N49" s="367"/>
      <c r="O49" s="554"/>
      <c r="P49" s="367"/>
      <c r="Q49" s="554"/>
      <c r="R49" s="367"/>
      <c r="S49" s="554"/>
      <c r="T49" s="367"/>
      <c r="U49" s="554"/>
      <c r="V49" s="367"/>
      <c r="W49" s="554"/>
      <c r="X49" s="367"/>
      <c r="Y49" s="554"/>
      <c r="Z49" s="367"/>
      <c r="AA49" s="264"/>
      <c r="AB49" s="525"/>
      <c r="AC49" s="532">
        <v>0</v>
      </c>
      <c r="AD49" s="287"/>
      <c r="AE49" s="1769"/>
      <c r="AF49" s="532">
        <v>0</v>
      </c>
      <c r="AG49" s="520"/>
      <c r="AH49" s="264"/>
      <c r="AI49" s="264">
        <f t="shared" ref="AI49:AI55" si="4">_xlfn.SINGLE(ROUND(SUM(+AC49-AF49),1))</f>
        <v>0</v>
      </c>
      <c r="AJ49" s="264"/>
      <c r="AK49" s="266">
        <f>ROUND(IF(AF49=0,0,AI49/ABS(AF49)),3)</f>
        <v>0</v>
      </c>
      <c r="AL49" s="1531"/>
    </row>
    <row r="50" spans="1:38" ht="15" customHeight="1">
      <c r="A50" s="35"/>
      <c r="B50" s="350" t="s">
        <v>1435</v>
      </c>
      <c r="C50" s="291"/>
      <c r="D50" s="367">
        <f t="shared" si="3"/>
        <v>53.4</v>
      </c>
      <c r="E50" s="264"/>
      <c r="F50" s="367"/>
      <c r="G50" s="367"/>
      <c r="H50" s="367"/>
      <c r="I50" s="264"/>
      <c r="J50" s="367"/>
      <c r="K50" s="554"/>
      <c r="L50" s="367"/>
      <c r="M50" s="1117"/>
      <c r="N50" s="367"/>
      <c r="O50" s="554"/>
      <c r="P50" s="367"/>
      <c r="Q50" s="554"/>
      <c r="R50" s="367"/>
      <c r="S50" s="554"/>
      <c r="T50" s="367"/>
      <c r="U50" s="554"/>
      <c r="V50" s="367"/>
      <c r="W50" s="554"/>
      <c r="X50" s="367"/>
      <c r="Y50" s="554"/>
      <c r="Z50" s="367"/>
      <c r="AA50" s="264"/>
      <c r="AB50" s="525"/>
      <c r="AC50" s="532">
        <v>53.4</v>
      </c>
      <c r="AD50" s="287"/>
      <c r="AE50" s="1769"/>
      <c r="AF50" s="532">
        <v>47</v>
      </c>
      <c r="AG50" s="520"/>
      <c r="AH50" s="264"/>
      <c r="AI50" s="264">
        <f t="shared" si="4"/>
        <v>6.4</v>
      </c>
      <c r="AJ50" s="264"/>
      <c r="AK50" s="283">
        <f>_xlfn.SINGLE(ROUND(IF(AF50=0,0,AI50/ABS(AF50)),3))</f>
        <v>0.13600000000000001</v>
      </c>
      <c r="AL50" s="1531"/>
    </row>
    <row r="51" spans="1:38" ht="15" customHeight="1">
      <c r="A51" s="35"/>
      <c r="B51" s="350" t="s">
        <v>487</v>
      </c>
      <c r="C51" s="291"/>
      <c r="D51" s="367">
        <f t="shared" si="3"/>
        <v>3.9</v>
      </c>
      <c r="E51" s="264"/>
      <c r="F51" s="367"/>
      <c r="G51" s="367"/>
      <c r="H51" s="367"/>
      <c r="I51" s="264"/>
      <c r="J51" s="367"/>
      <c r="K51" s="554"/>
      <c r="L51" s="367"/>
      <c r="M51" s="1117"/>
      <c r="N51" s="367"/>
      <c r="O51" s="554"/>
      <c r="P51" s="367"/>
      <c r="Q51" s="554"/>
      <c r="R51" s="367"/>
      <c r="S51" s="554"/>
      <c r="T51" s="367"/>
      <c r="U51" s="554"/>
      <c r="V51" s="367"/>
      <c r="W51" s="554"/>
      <c r="X51" s="367"/>
      <c r="Y51" s="554"/>
      <c r="Z51" s="367"/>
      <c r="AA51" s="264"/>
      <c r="AB51" s="525"/>
      <c r="AC51" s="532">
        <v>3.9</v>
      </c>
      <c r="AD51" s="287"/>
      <c r="AE51" s="1769"/>
      <c r="AF51" s="532">
        <v>4.9000000000000004</v>
      </c>
      <c r="AG51" s="520"/>
      <c r="AH51" s="264"/>
      <c r="AI51" s="264">
        <f t="shared" si="4"/>
        <v>-1</v>
      </c>
      <c r="AJ51" s="264"/>
      <c r="AK51" s="283">
        <f>_xlfn.SINGLE(ROUND(IF(AF51=0,0,AI51/ABS(AF51)),3))</f>
        <v>-0.20399999999999999</v>
      </c>
      <c r="AL51" s="1531"/>
    </row>
    <row r="52" spans="1:38" ht="15" customHeight="1">
      <c r="A52" s="35"/>
      <c r="B52" s="350" t="s">
        <v>488</v>
      </c>
      <c r="C52" s="291"/>
      <c r="D52" s="367">
        <f t="shared" si="3"/>
        <v>0</v>
      </c>
      <c r="E52" s="264"/>
      <c r="F52" s="367"/>
      <c r="G52" s="367"/>
      <c r="H52" s="367"/>
      <c r="I52" s="264"/>
      <c r="J52" s="367"/>
      <c r="K52" s="554"/>
      <c r="L52" s="367"/>
      <c r="M52" s="1117"/>
      <c r="N52" s="367"/>
      <c r="O52" s="554"/>
      <c r="P52" s="367"/>
      <c r="Q52" s="554"/>
      <c r="R52" s="367"/>
      <c r="S52" s="554"/>
      <c r="T52" s="367"/>
      <c r="U52" s="554"/>
      <c r="V52" s="367"/>
      <c r="W52" s="554"/>
      <c r="X52" s="367"/>
      <c r="Y52" s="554"/>
      <c r="Z52" s="367"/>
      <c r="AA52" s="264"/>
      <c r="AB52" s="525"/>
      <c r="AC52" s="532">
        <v>0</v>
      </c>
      <c r="AD52" s="287"/>
      <c r="AE52" s="1769"/>
      <c r="AF52" s="532">
        <v>0</v>
      </c>
      <c r="AG52" s="520"/>
      <c r="AH52" s="264"/>
      <c r="AI52" s="264">
        <f t="shared" si="4"/>
        <v>0</v>
      </c>
      <c r="AJ52" s="264"/>
      <c r="AK52" s="283">
        <f>ROUND(IF(AF52=0,0,AI52/ABS(AF52)),3)</f>
        <v>0</v>
      </c>
      <c r="AL52" s="1531"/>
    </row>
    <row r="53" spans="1:38" ht="15" customHeight="1">
      <c r="A53" s="35"/>
      <c r="B53" s="350" t="s">
        <v>1415</v>
      </c>
      <c r="C53" s="291"/>
      <c r="D53" s="367">
        <f t="shared" si="3"/>
        <v>14.1</v>
      </c>
      <c r="E53" s="264"/>
      <c r="F53" s="367"/>
      <c r="G53" s="367"/>
      <c r="H53" s="367"/>
      <c r="I53" s="264"/>
      <c r="J53" s="367"/>
      <c r="K53" s="554"/>
      <c r="L53" s="367"/>
      <c r="M53" s="1117"/>
      <c r="N53" s="367"/>
      <c r="O53" s="554"/>
      <c r="P53" s="367"/>
      <c r="Q53" s="554"/>
      <c r="R53" s="367"/>
      <c r="S53" s="554"/>
      <c r="T53" s="367"/>
      <c r="U53" s="554"/>
      <c r="V53" s="367"/>
      <c r="W53" s="554"/>
      <c r="X53" s="367"/>
      <c r="Y53" s="554"/>
      <c r="Z53" s="367"/>
      <c r="AA53" s="264"/>
      <c r="AB53" s="525"/>
      <c r="AC53" s="532">
        <v>14.1</v>
      </c>
      <c r="AD53" s="287"/>
      <c r="AE53" s="1769"/>
      <c r="AF53" s="532">
        <v>45.6</v>
      </c>
      <c r="AG53" s="520"/>
      <c r="AH53" s="264"/>
      <c r="AI53" s="264">
        <f t="shared" si="4"/>
        <v>-31.5</v>
      </c>
      <c r="AJ53" s="264"/>
      <c r="AK53" s="283">
        <f>_xlfn.SINGLE(ROUND(IF(AF53=0,0,AI53/ABS(AF53)),3))</f>
        <v>-0.69099999999999995</v>
      </c>
      <c r="AL53" s="1531"/>
    </row>
    <row r="54" spans="1:38" ht="15" customHeight="1">
      <c r="A54" s="35"/>
      <c r="B54" s="350" t="s">
        <v>1416</v>
      </c>
      <c r="C54" s="291"/>
      <c r="D54" s="367">
        <f t="shared" si="3"/>
        <v>91</v>
      </c>
      <c r="E54" s="264"/>
      <c r="F54" s="367"/>
      <c r="G54" s="367"/>
      <c r="H54" s="367"/>
      <c r="I54" s="264"/>
      <c r="J54" s="367"/>
      <c r="K54" s="554"/>
      <c r="L54" s="367"/>
      <c r="M54" s="1117"/>
      <c r="N54" s="367"/>
      <c r="O54" s="554"/>
      <c r="P54" s="367"/>
      <c r="Q54" s="554"/>
      <c r="R54" s="367"/>
      <c r="S54" s="554"/>
      <c r="T54" s="367"/>
      <c r="U54" s="554"/>
      <c r="V54" s="367"/>
      <c r="W54" s="554"/>
      <c r="X54" s="367"/>
      <c r="Y54" s="554"/>
      <c r="Z54" s="367"/>
      <c r="AA54" s="264"/>
      <c r="AB54" s="525"/>
      <c r="AC54" s="532">
        <v>91</v>
      </c>
      <c r="AD54" s="287"/>
      <c r="AE54" s="1769"/>
      <c r="AF54" s="532">
        <v>82</v>
      </c>
      <c r="AG54" s="520"/>
      <c r="AH54" s="264"/>
      <c r="AI54" s="264">
        <f t="shared" si="4"/>
        <v>9</v>
      </c>
      <c r="AJ54" s="264"/>
      <c r="AK54" s="283">
        <f>_xlfn.SINGLE(ROUND(IF(AF54=0,0,AI54/ABS(AF54)),3))</f>
        <v>0.11</v>
      </c>
      <c r="AL54" s="1531"/>
    </row>
    <row r="55" spans="1:38" ht="15" customHeight="1">
      <c r="A55" s="35"/>
      <c r="B55" s="350" t="s">
        <v>1407</v>
      </c>
      <c r="C55" s="291"/>
      <c r="D55" s="367">
        <f t="shared" si="3"/>
        <v>44.8</v>
      </c>
      <c r="E55" s="264"/>
      <c r="F55" s="367"/>
      <c r="G55" s="367"/>
      <c r="H55" s="367"/>
      <c r="I55" s="264"/>
      <c r="J55" s="367"/>
      <c r="K55" s="554"/>
      <c r="L55" s="367"/>
      <c r="M55" s="1117"/>
      <c r="N55" s="367"/>
      <c r="O55" s="554"/>
      <c r="P55" s="367"/>
      <c r="Q55" s="554"/>
      <c r="R55" s="367"/>
      <c r="S55" s="554"/>
      <c r="T55" s="367"/>
      <c r="U55" s="554"/>
      <c r="V55" s="367"/>
      <c r="W55" s="554"/>
      <c r="X55" s="367"/>
      <c r="Y55" s="554"/>
      <c r="Z55" s="367"/>
      <c r="AA55" s="264"/>
      <c r="AB55" s="525"/>
      <c r="AC55" s="532">
        <v>44.8</v>
      </c>
      <c r="AD55" s="287"/>
      <c r="AE55" s="1769"/>
      <c r="AF55" s="532">
        <v>7.8</v>
      </c>
      <c r="AG55" s="520"/>
      <c r="AH55" s="264"/>
      <c r="AI55" s="264">
        <f t="shared" si="4"/>
        <v>37</v>
      </c>
      <c r="AJ55" s="264"/>
      <c r="AK55" s="543">
        <f>_xlfn.SINGLE(ROUND(IF(AF55=0,0,AI55/ABS(AF55)),3))</f>
        <v>4.7439999999999998</v>
      </c>
      <c r="AL55" s="1531"/>
    </row>
    <row r="56" spans="1:38" ht="15" customHeight="1">
      <c r="A56" s="35"/>
      <c r="B56" s="350" t="s">
        <v>401</v>
      </c>
      <c r="C56" s="291"/>
      <c r="D56" s="367"/>
      <c r="E56" s="264"/>
      <c r="F56" s="367"/>
      <c r="G56" s="367"/>
      <c r="H56" s="367"/>
      <c r="I56" s="264"/>
      <c r="J56" s="367"/>
      <c r="K56" s="264"/>
      <c r="L56" s="367"/>
      <c r="M56" s="1120"/>
      <c r="N56" s="367"/>
      <c r="O56" s="264"/>
      <c r="P56" s="367"/>
      <c r="Q56" s="264"/>
      <c r="R56" s="367"/>
      <c r="S56" s="264"/>
      <c r="T56" s="367"/>
      <c r="U56" s="264"/>
      <c r="V56" s="367"/>
      <c r="W56" s="264"/>
      <c r="X56" s="367"/>
      <c r="Y56" s="264"/>
      <c r="Z56" s="367"/>
      <c r="AA56" s="264"/>
      <c r="AB56" s="524"/>
      <c r="AC56" s="264" t="s">
        <v>103</v>
      </c>
      <c r="AD56" s="264"/>
      <c r="AE56" s="525"/>
      <c r="AF56" s="264" t="s">
        <v>103</v>
      </c>
      <c r="AG56" s="520"/>
      <c r="AH56" s="264"/>
      <c r="AI56" s="264"/>
      <c r="AJ56" s="264"/>
      <c r="AK56" s="283"/>
      <c r="AL56" s="1531"/>
    </row>
    <row r="57" spans="1:38" ht="15" customHeight="1">
      <c r="A57" s="35"/>
      <c r="B57" s="350" t="s">
        <v>1436</v>
      </c>
      <c r="C57" s="291"/>
      <c r="D57" s="367">
        <f t="shared" si="3"/>
        <v>57.6</v>
      </c>
      <c r="E57" s="264"/>
      <c r="F57" s="367"/>
      <c r="G57" s="367"/>
      <c r="H57" s="367"/>
      <c r="I57" s="264"/>
      <c r="J57" s="367"/>
      <c r="K57" s="554"/>
      <c r="L57" s="367"/>
      <c r="M57" s="1117"/>
      <c r="N57" s="367"/>
      <c r="O57" s="554"/>
      <c r="P57" s="367"/>
      <c r="Q57" s="554"/>
      <c r="R57" s="367"/>
      <c r="S57" s="554"/>
      <c r="T57" s="367"/>
      <c r="U57" s="554"/>
      <c r="V57" s="367"/>
      <c r="W57" s="554"/>
      <c r="X57" s="367"/>
      <c r="Y57" s="554"/>
      <c r="Z57" s="367"/>
      <c r="AA57" s="264"/>
      <c r="AB57" s="525"/>
      <c r="AC57" s="532">
        <v>57.6</v>
      </c>
      <c r="AD57" s="287"/>
      <c r="AE57" s="1769"/>
      <c r="AF57" s="532">
        <v>46.8</v>
      </c>
      <c r="AG57" s="520"/>
      <c r="AH57" s="264"/>
      <c r="AI57" s="264">
        <f t="shared" ref="AI57:AI62" si="5">_xlfn.SINGLE(ROUND(SUM(+AC57-AF57),1))</f>
        <v>10.8</v>
      </c>
      <c r="AJ57" s="264"/>
      <c r="AK57" s="543">
        <f>_xlfn.SINGLE(ROUND(IF(AF57=0,1,AI57/ABS(AF57)),3))</f>
        <v>0.23100000000000001</v>
      </c>
      <c r="AL57" s="1531"/>
    </row>
    <row r="58" spans="1:38" ht="15" customHeight="1">
      <c r="A58" s="35"/>
      <c r="B58" s="350" t="s">
        <v>1437</v>
      </c>
      <c r="C58" s="291"/>
      <c r="D58" s="367">
        <f t="shared" si="3"/>
        <v>218.6</v>
      </c>
      <c r="E58" s="264"/>
      <c r="F58" s="367"/>
      <c r="G58" s="367"/>
      <c r="H58" s="367"/>
      <c r="I58" s="264"/>
      <c r="J58" s="367"/>
      <c r="K58" s="554"/>
      <c r="L58" s="367"/>
      <c r="M58" s="1117"/>
      <c r="N58" s="367"/>
      <c r="O58" s="554"/>
      <c r="P58" s="367"/>
      <c r="Q58" s="554"/>
      <c r="R58" s="367"/>
      <c r="S58" s="554"/>
      <c r="T58" s="367"/>
      <c r="U58" s="554"/>
      <c r="V58" s="367"/>
      <c r="W58" s="554"/>
      <c r="X58" s="367"/>
      <c r="Y58" s="554"/>
      <c r="Z58" s="367"/>
      <c r="AA58" s="264"/>
      <c r="AB58" s="525"/>
      <c r="AC58" s="532">
        <v>218.6</v>
      </c>
      <c r="AD58" s="287"/>
      <c r="AE58" s="1769"/>
      <c r="AF58" s="532">
        <v>232</v>
      </c>
      <c r="AG58" s="520"/>
      <c r="AH58" s="264"/>
      <c r="AI58" s="264">
        <f t="shared" si="5"/>
        <v>-13.4</v>
      </c>
      <c r="AJ58" s="264"/>
      <c r="AK58" s="283">
        <f>_xlfn.SINGLE(ROUND(IF(AF58=0,0,AI58/ABS(AF58)),3))</f>
        <v>-5.8000000000000003E-2</v>
      </c>
      <c r="AL58" s="1531"/>
    </row>
    <row r="59" spans="1:38" ht="15" customHeight="1">
      <c r="A59" s="35"/>
      <c r="B59" s="350" t="s">
        <v>1438</v>
      </c>
      <c r="C59" s="291"/>
      <c r="D59" s="367">
        <f t="shared" si="3"/>
        <v>117.4</v>
      </c>
      <c r="E59" s="264"/>
      <c r="F59" s="367"/>
      <c r="G59" s="367"/>
      <c r="H59" s="367"/>
      <c r="I59" s="264"/>
      <c r="J59" s="367"/>
      <c r="K59" s="554"/>
      <c r="L59" s="367"/>
      <c r="M59" s="1117"/>
      <c r="N59" s="367"/>
      <c r="O59" s="554"/>
      <c r="P59" s="367"/>
      <c r="Q59" s="554"/>
      <c r="R59" s="367"/>
      <c r="S59" s="554"/>
      <c r="T59" s="367"/>
      <c r="U59" s="554"/>
      <c r="V59" s="367"/>
      <c r="W59" s="554"/>
      <c r="X59" s="367"/>
      <c r="Y59" s="554"/>
      <c r="Z59" s="367"/>
      <c r="AA59" s="264"/>
      <c r="AB59" s="525"/>
      <c r="AC59" s="532">
        <v>117.4</v>
      </c>
      <c r="AD59" s="287"/>
      <c r="AE59" s="1769"/>
      <c r="AF59" s="532">
        <v>82.2</v>
      </c>
      <c r="AG59" s="520"/>
      <c r="AH59" s="264"/>
      <c r="AI59" s="264">
        <f t="shared" si="5"/>
        <v>35.200000000000003</v>
      </c>
      <c r="AJ59" s="264"/>
      <c r="AK59" s="283">
        <f>_xlfn.SINGLE(ROUND(IF(AF59=0,1,AI59/ABS(AF59)),3))</f>
        <v>0.42799999999999999</v>
      </c>
      <c r="AL59" s="1531"/>
    </row>
    <row r="60" spans="1:38" ht="15" customHeight="1">
      <c r="A60" s="35"/>
      <c r="B60" s="350" t="s">
        <v>1439</v>
      </c>
      <c r="C60" s="291"/>
      <c r="D60" s="367">
        <f t="shared" si="3"/>
        <v>103</v>
      </c>
      <c r="E60" s="264"/>
      <c r="F60" s="367"/>
      <c r="G60" s="367"/>
      <c r="H60" s="367"/>
      <c r="I60" s="264"/>
      <c r="J60" s="367"/>
      <c r="K60" s="554"/>
      <c r="L60" s="367"/>
      <c r="M60" s="1117"/>
      <c r="N60" s="367"/>
      <c r="O60" s="554"/>
      <c r="P60" s="367"/>
      <c r="Q60" s="554"/>
      <c r="R60" s="367"/>
      <c r="S60" s="554"/>
      <c r="T60" s="367"/>
      <c r="U60" s="554"/>
      <c r="V60" s="367"/>
      <c r="W60" s="554"/>
      <c r="X60" s="367"/>
      <c r="Y60" s="554"/>
      <c r="Z60" s="367"/>
      <c r="AA60" s="264"/>
      <c r="AB60" s="525"/>
      <c r="AC60" s="532">
        <v>103</v>
      </c>
      <c r="AD60" s="287"/>
      <c r="AE60" s="1769"/>
      <c r="AF60" s="532">
        <v>101.9</v>
      </c>
      <c r="AG60" s="520"/>
      <c r="AH60" s="264"/>
      <c r="AI60" s="264">
        <f t="shared" si="5"/>
        <v>1.1000000000000001</v>
      </c>
      <c r="AJ60" s="264"/>
      <c r="AK60" s="608">
        <f>_xlfn.SINGLE(ROUND(IF(AF60=0,1,AI60/ABS(AF60)),3))</f>
        <v>1.0999999999999999E-2</v>
      </c>
      <c r="AL60" s="1531"/>
    </row>
    <row r="61" spans="1:38" ht="15" customHeight="1">
      <c r="A61" s="35"/>
      <c r="B61" s="350" t="s">
        <v>1440</v>
      </c>
      <c r="C61" s="291"/>
      <c r="D61" s="367">
        <f t="shared" si="3"/>
        <v>60.6</v>
      </c>
      <c r="E61" s="264"/>
      <c r="F61" s="367"/>
      <c r="G61" s="367"/>
      <c r="H61" s="367"/>
      <c r="I61" s="264"/>
      <c r="J61" s="367"/>
      <c r="K61" s="554"/>
      <c r="L61" s="367"/>
      <c r="M61" s="1117"/>
      <c r="N61" s="367"/>
      <c r="O61" s="554"/>
      <c r="P61" s="367"/>
      <c r="Q61" s="554"/>
      <c r="R61" s="367"/>
      <c r="S61" s="554"/>
      <c r="T61" s="367"/>
      <c r="U61" s="554"/>
      <c r="V61" s="367"/>
      <c r="W61" s="554"/>
      <c r="X61" s="367"/>
      <c r="Y61" s="554"/>
      <c r="Z61" s="367"/>
      <c r="AA61" s="264"/>
      <c r="AB61" s="525"/>
      <c r="AC61" s="532">
        <v>60.6</v>
      </c>
      <c r="AD61" s="287"/>
      <c r="AE61" s="1769"/>
      <c r="AF61" s="532">
        <v>59.6</v>
      </c>
      <c r="AG61" s="520"/>
      <c r="AH61" s="264"/>
      <c r="AI61" s="264">
        <f t="shared" si="5"/>
        <v>1</v>
      </c>
      <c r="AJ61" s="264"/>
      <c r="AK61" s="608">
        <f>_xlfn.SINGLE(ROUND(IF(AF61=0,0,AI61/ABS(AF61)),3))</f>
        <v>1.7000000000000001E-2</v>
      </c>
      <c r="AL61" s="1531"/>
    </row>
    <row r="62" spans="1:38" ht="15" customHeight="1">
      <c r="A62" s="35"/>
      <c r="B62" s="350" t="s">
        <v>1418</v>
      </c>
      <c r="C62" s="291"/>
      <c r="D62" s="367">
        <f t="shared" si="3"/>
        <v>7.3</v>
      </c>
      <c r="E62" s="264"/>
      <c r="F62" s="367"/>
      <c r="G62" s="367"/>
      <c r="H62" s="367"/>
      <c r="I62" s="264"/>
      <c r="J62" s="367"/>
      <c r="K62" s="554"/>
      <c r="L62" s="367"/>
      <c r="M62" s="1117"/>
      <c r="N62" s="367"/>
      <c r="O62" s="554"/>
      <c r="P62" s="367"/>
      <c r="Q62" s="554"/>
      <c r="R62" s="367"/>
      <c r="S62" s="554"/>
      <c r="T62" s="367"/>
      <c r="U62" s="554"/>
      <c r="V62" s="367"/>
      <c r="W62" s="554"/>
      <c r="X62" s="367"/>
      <c r="Y62" s="554"/>
      <c r="Z62" s="367"/>
      <c r="AA62" s="264"/>
      <c r="AB62" s="525"/>
      <c r="AC62" s="532">
        <v>7.3</v>
      </c>
      <c r="AD62" s="287"/>
      <c r="AE62" s="1769"/>
      <c r="AF62" s="532">
        <v>7.7</v>
      </c>
      <c r="AG62" s="520"/>
      <c r="AH62" s="264"/>
      <c r="AI62" s="264">
        <f t="shared" si="5"/>
        <v>-0.4</v>
      </c>
      <c r="AJ62" s="264"/>
      <c r="AK62" s="283">
        <f>_xlfn.SINGLE(ROUND(IF(AF62=0,0,AI62/ABS(AF62)),3))</f>
        <v>-5.1999999999999998E-2</v>
      </c>
      <c r="AL62" s="1531"/>
    </row>
    <row r="63" spans="1:38" ht="15" customHeight="1">
      <c r="A63" s="35"/>
      <c r="B63" s="350" t="s">
        <v>408</v>
      </c>
      <c r="C63" s="291"/>
      <c r="D63" s="367"/>
      <c r="E63" s="264"/>
      <c r="F63" s="367"/>
      <c r="G63" s="367"/>
      <c r="H63" s="367"/>
      <c r="I63" s="264"/>
      <c r="J63" s="367"/>
      <c r="K63" s="264"/>
      <c r="L63" s="367"/>
      <c r="M63" s="1120"/>
      <c r="N63" s="367"/>
      <c r="O63" s="264"/>
      <c r="P63" s="367"/>
      <c r="Q63" s="264"/>
      <c r="R63" s="367"/>
      <c r="S63" s="264"/>
      <c r="T63" s="367"/>
      <c r="U63" s="264"/>
      <c r="V63" s="367"/>
      <c r="W63" s="264"/>
      <c r="X63" s="367"/>
      <c r="Y63" s="264"/>
      <c r="Z63" s="367"/>
      <c r="AA63" s="264"/>
      <c r="AB63" s="524"/>
      <c r="AC63" s="264" t="s">
        <v>103</v>
      </c>
      <c r="AD63" s="264"/>
      <c r="AE63" s="525"/>
      <c r="AF63" s="264" t="s">
        <v>103</v>
      </c>
      <c r="AG63" s="520"/>
      <c r="AH63" s="264"/>
      <c r="AI63" s="264"/>
      <c r="AJ63" s="264"/>
      <c r="AK63" s="283"/>
      <c r="AL63" s="1531"/>
    </row>
    <row r="64" spans="1:38" ht="15" customHeight="1">
      <c r="A64" s="35"/>
      <c r="B64" s="350" t="s">
        <v>494</v>
      </c>
      <c r="C64" s="291"/>
      <c r="D64" s="367">
        <f t="shared" si="3"/>
        <v>0</v>
      </c>
      <c r="E64" s="264"/>
      <c r="F64" s="367"/>
      <c r="G64" s="367"/>
      <c r="H64" s="367"/>
      <c r="I64" s="264"/>
      <c r="J64" s="367"/>
      <c r="K64" s="554"/>
      <c r="L64" s="367"/>
      <c r="M64" s="1117"/>
      <c r="N64" s="367"/>
      <c r="O64" s="554"/>
      <c r="P64" s="367"/>
      <c r="Q64" s="554"/>
      <c r="R64" s="367"/>
      <c r="S64" s="554"/>
      <c r="T64" s="367"/>
      <c r="U64" s="554"/>
      <c r="V64" s="367"/>
      <c r="W64" s="554"/>
      <c r="X64" s="367"/>
      <c r="Y64" s="554"/>
      <c r="Z64" s="367"/>
      <c r="AA64" s="264"/>
      <c r="AB64" s="525"/>
      <c r="AC64" s="532">
        <v>0</v>
      </c>
      <c r="AD64" s="287"/>
      <c r="AE64" s="1769"/>
      <c r="AF64" s="532">
        <v>0</v>
      </c>
      <c r="AG64" s="520"/>
      <c r="AH64" s="264"/>
      <c r="AI64" s="264">
        <f>_xlfn.SINGLE(ROUND(SUM(+AC64-AF64),1))</f>
        <v>0</v>
      </c>
      <c r="AJ64" s="264"/>
      <c r="AK64" s="283">
        <f>_xlfn.SINGLE(ROUND(IF(AF64=0,0,AI64/ABS(AF64)),3))</f>
        <v>0</v>
      </c>
      <c r="AL64" s="1531"/>
    </row>
    <row r="65" spans="1:38" ht="15" customHeight="1">
      <c r="A65" s="35"/>
      <c r="B65" s="350" t="s">
        <v>1441</v>
      </c>
      <c r="C65" s="291"/>
      <c r="D65" s="367">
        <f t="shared" si="3"/>
        <v>0.4</v>
      </c>
      <c r="E65" s="264"/>
      <c r="F65" s="367"/>
      <c r="G65" s="367"/>
      <c r="H65" s="367"/>
      <c r="I65" s="264"/>
      <c r="J65" s="367"/>
      <c r="K65" s="554"/>
      <c r="L65" s="367"/>
      <c r="M65" s="1117"/>
      <c r="N65" s="367"/>
      <c r="O65" s="554"/>
      <c r="P65" s="367"/>
      <c r="Q65" s="554"/>
      <c r="R65" s="367"/>
      <c r="S65" s="554"/>
      <c r="T65" s="367"/>
      <c r="U65" s="554"/>
      <c r="V65" s="367"/>
      <c r="W65" s="554"/>
      <c r="X65" s="367"/>
      <c r="Y65" s="554"/>
      <c r="Z65" s="367"/>
      <c r="AA65" s="264"/>
      <c r="AB65" s="525"/>
      <c r="AC65" s="532">
        <v>0.4</v>
      </c>
      <c r="AD65" s="287"/>
      <c r="AE65" s="1769"/>
      <c r="AF65" s="532">
        <v>0.4</v>
      </c>
      <c r="AG65" s="520"/>
      <c r="AH65" s="264"/>
      <c r="AI65" s="264">
        <f>_xlfn.SINGLE(ROUND(SUM(+AC65-AF65),1))</f>
        <v>0</v>
      </c>
      <c r="AJ65" s="264"/>
      <c r="AK65" s="608">
        <f>_xlfn.SINGLE(ROUND(IF(AF65=0,1,AI65/ABS(AF65)),3))</f>
        <v>0</v>
      </c>
      <c r="AL65" s="1531"/>
    </row>
    <row r="66" spans="1:38" ht="15" customHeight="1">
      <c r="A66" s="35"/>
      <c r="B66" s="350" t="s">
        <v>1419</v>
      </c>
      <c r="C66" s="291"/>
      <c r="D66" s="367">
        <f t="shared" si="3"/>
        <v>0</v>
      </c>
      <c r="E66" s="264"/>
      <c r="F66" s="367"/>
      <c r="G66" s="367"/>
      <c r="H66" s="367"/>
      <c r="I66" s="264"/>
      <c r="J66" s="367"/>
      <c r="K66" s="554"/>
      <c r="L66" s="367"/>
      <c r="M66" s="1117"/>
      <c r="N66" s="367"/>
      <c r="O66" s="554"/>
      <c r="P66" s="367"/>
      <c r="Q66" s="554"/>
      <c r="R66" s="367"/>
      <c r="S66" s="554"/>
      <c r="T66" s="367"/>
      <c r="U66" s="554"/>
      <c r="V66" s="367"/>
      <c r="W66" s="554"/>
      <c r="X66" s="367"/>
      <c r="Y66" s="554"/>
      <c r="Z66" s="367"/>
      <c r="AA66" s="264"/>
      <c r="AB66" s="525"/>
      <c r="AC66" s="532">
        <v>0</v>
      </c>
      <c r="AD66" s="287"/>
      <c r="AE66" s="1769"/>
      <c r="AF66" s="532">
        <v>0.5</v>
      </c>
      <c r="AG66" s="520"/>
      <c r="AH66" s="264"/>
      <c r="AI66" s="264">
        <f>_xlfn.SINGLE(ROUND(SUM(+AC66-AF66),1))</f>
        <v>-0.5</v>
      </c>
      <c r="AJ66" s="264"/>
      <c r="AK66" s="608">
        <f>_xlfn.SINGLE(ROUND(IF(AF66=0,0,AI66/ABS(AF66)),3))</f>
        <v>-1</v>
      </c>
      <c r="AL66" s="1531"/>
    </row>
    <row r="67" spans="1:38" ht="15" customHeight="1">
      <c r="A67" s="35"/>
      <c r="B67" s="350" t="s">
        <v>1442</v>
      </c>
      <c r="C67" s="291"/>
      <c r="D67" s="367">
        <f t="shared" si="3"/>
        <v>4.7</v>
      </c>
      <c r="E67" s="264"/>
      <c r="F67" s="367"/>
      <c r="G67" s="367"/>
      <c r="H67" s="367"/>
      <c r="I67" s="264"/>
      <c r="J67" s="367"/>
      <c r="K67" s="554"/>
      <c r="L67" s="367"/>
      <c r="M67" s="1117"/>
      <c r="N67" s="367"/>
      <c r="O67" s="554"/>
      <c r="P67" s="367"/>
      <c r="Q67" s="554"/>
      <c r="R67" s="367"/>
      <c r="S67" s="554"/>
      <c r="T67" s="367"/>
      <c r="U67" s="554"/>
      <c r="V67" s="367"/>
      <c r="W67" s="554"/>
      <c r="X67" s="367"/>
      <c r="Y67" s="554"/>
      <c r="Z67" s="367"/>
      <c r="AA67" s="264"/>
      <c r="AB67" s="525"/>
      <c r="AC67" s="532">
        <v>4.7</v>
      </c>
      <c r="AD67" s="287"/>
      <c r="AE67" s="1769"/>
      <c r="AF67" s="532">
        <v>4.2</v>
      </c>
      <c r="AG67" s="520"/>
      <c r="AH67" s="264"/>
      <c r="AI67" s="264">
        <f>_xlfn.SINGLE(ROUND(SUM(+AC67-AF67),1))</f>
        <v>0.5</v>
      </c>
      <c r="AJ67" s="264"/>
      <c r="AK67" s="608">
        <f>_xlfn.SINGLE(ROUND(IF(AF67=0,0,AI67/ABS(AF67)),3))</f>
        <v>0.11899999999999999</v>
      </c>
      <c r="AL67" s="1531"/>
    </row>
    <row r="68" spans="1:38" ht="15" customHeight="1">
      <c r="A68" s="35"/>
      <c r="B68" s="350" t="s">
        <v>413</v>
      </c>
      <c r="C68" s="291"/>
      <c r="D68" s="367">
        <f t="shared" si="3"/>
        <v>59.6</v>
      </c>
      <c r="E68" s="264"/>
      <c r="F68" s="367"/>
      <c r="G68" s="367"/>
      <c r="H68" s="367"/>
      <c r="I68" s="264"/>
      <c r="J68" s="367"/>
      <c r="K68" s="554"/>
      <c r="L68" s="367"/>
      <c r="M68" s="1117"/>
      <c r="N68" s="367"/>
      <c r="O68" s="554"/>
      <c r="P68" s="367"/>
      <c r="Q68" s="554"/>
      <c r="R68" s="367"/>
      <c r="S68" s="554"/>
      <c r="T68" s="367"/>
      <c r="U68" s="554"/>
      <c r="V68" s="367"/>
      <c r="W68" s="554"/>
      <c r="X68" s="367"/>
      <c r="Y68" s="554"/>
      <c r="Z68" s="367"/>
      <c r="AA68" s="264"/>
      <c r="AB68" s="525"/>
      <c r="AC68" s="532">
        <v>59.6</v>
      </c>
      <c r="AD68" s="287"/>
      <c r="AE68" s="1769"/>
      <c r="AF68" s="532">
        <v>68.7</v>
      </c>
      <c r="AG68" s="520"/>
      <c r="AH68" s="264"/>
      <c r="AI68" s="264">
        <f>_xlfn.SINGLE(ROUND(SUM(+AC68-AF68),1))</f>
        <v>-9.1</v>
      </c>
      <c r="AJ68" s="264"/>
      <c r="AK68" s="608">
        <f>_xlfn.SINGLE(ROUND(IF(AF68=0,0,AI68/ABS(AF68)),3))</f>
        <v>-0.13200000000000001</v>
      </c>
      <c r="AL68" s="1531"/>
    </row>
    <row r="69" spans="1:38" ht="17.25" customHeight="1">
      <c r="A69" s="35"/>
      <c r="B69" s="350" t="s">
        <v>414</v>
      </c>
      <c r="C69" s="291"/>
      <c r="D69" s="367"/>
      <c r="E69" s="264"/>
      <c r="F69" s="367"/>
      <c r="G69" s="367"/>
      <c r="H69" s="367"/>
      <c r="I69" s="264"/>
      <c r="J69" s="367"/>
      <c r="K69" s="264"/>
      <c r="L69" s="367"/>
      <c r="M69" s="1120"/>
      <c r="N69" s="367"/>
      <c r="O69" s="264"/>
      <c r="P69" s="367"/>
      <c r="Q69" s="264"/>
      <c r="R69" s="367"/>
      <c r="S69" s="264"/>
      <c r="T69" s="367"/>
      <c r="U69" s="264"/>
      <c r="V69" s="367"/>
      <c r="W69" s="264"/>
      <c r="X69" s="367"/>
      <c r="Y69" s="264"/>
      <c r="Z69" s="367"/>
      <c r="AA69" s="264"/>
      <c r="AB69" s="524"/>
      <c r="AC69" s="264" t="s">
        <v>103</v>
      </c>
      <c r="AD69" s="264"/>
      <c r="AE69" s="525"/>
      <c r="AF69" s="264" t="s">
        <v>103</v>
      </c>
      <c r="AG69" s="520"/>
      <c r="AH69" s="264"/>
      <c r="AI69" s="264"/>
      <c r="AJ69" s="264"/>
      <c r="AK69" s="283"/>
      <c r="AL69" s="1531"/>
    </row>
    <row r="70" spans="1:38" ht="15" customHeight="1">
      <c r="A70" s="35"/>
      <c r="B70" s="350" t="s">
        <v>1420</v>
      </c>
      <c r="C70" s="291"/>
      <c r="D70" s="367">
        <f t="shared" si="3"/>
        <v>0.3</v>
      </c>
      <c r="E70" s="264"/>
      <c r="F70" s="367"/>
      <c r="G70" s="367"/>
      <c r="H70" s="367"/>
      <c r="I70" s="264"/>
      <c r="J70" s="367"/>
      <c r="K70" s="554"/>
      <c r="L70" s="367"/>
      <c r="M70" s="1117"/>
      <c r="N70" s="367"/>
      <c r="O70" s="554"/>
      <c r="P70" s="367"/>
      <c r="Q70" s="554"/>
      <c r="R70" s="367"/>
      <c r="S70" s="554"/>
      <c r="T70" s="367"/>
      <c r="U70" s="554"/>
      <c r="V70" s="367"/>
      <c r="W70" s="554"/>
      <c r="X70" s="367"/>
      <c r="Y70" s="554"/>
      <c r="Z70" s="367"/>
      <c r="AA70" s="264"/>
      <c r="AB70" s="525"/>
      <c r="AC70" s="532">
        <v>0.3</v>
      </c>
      <c r="AD70" s="287"/>
      <c r="AE70" s="1769"/>
      <c r="AF70" s="532">
        <v>0.2</v>
      </c>
      <c r="AG70" s="520"/>
      <c r="AH70" s="264"/>
      <c r="AI70" s="264">
        <f t="shared" ref="AI70:AI80" si="6">_xlfn.SINGLE(ROUND(SUM(+AC70-AF70),1))</f>
        <v>0.1</v>
      </c>
      <c r="AJ70" s="264"/>
      <c r="AK70" s="608">
        <f>_xlfn.SINGLE(ROUND(IF(AF70=0,0,AI70/ABS(AF70)),3))</f>
        <v>0.5</v>
      </c>
      <c r="AL70" s="1531"/>
    </row>
    <row r="71" spans="1:38" ht="15" customHeight="1">
      <c r="A71" s="35"/>
      <c r="B71" s="350" t="s">
        <v>499</v>
      </c>
      <c r="C71" s="291"/>
      <c r="D71" s="367">
        <f t="shared" si="3"/>
        <v>1.3</v>
      </c>
      <c r="E71" s="264"/>
      <c r="F71" s="367"/>
      <c r="G71" s="367"/>
      <c r="H71" s="367"/>
      <c r="I71" s="264"/>
      <c r="J71" s="367"/>
      <c r="K71" s="554"/>
      <c r="L71" s="367"/>
      <c r="M71" s="1117"/>
      <c r="N71" s="367"/>
      <c r="O71" s="554"/>
      <c r="P71" s="367"/>
      <c r="Q71" s="554"/>
      <c r="R71" s="367"/>
      <c r="S71" s="554"/>
      <c r="T71" s="367"/>
      <c r="U71" s="554"/>
      <c r="V71" s="367"/>
      <c r="W71" s="554"/>
      <c r="X71" s="367"/>
      <c r="Y71" s="554"/>
      <c r="Z71" s="367"/>
      <c r="AA71" s="264"/>
      <c r="AB71" s="525"/>
      <c r="AC71" s="532">
        <v>1.3</v>
      </c>
      <c r="AD71" s="287"/>
      <c r="AE71" s="1769"/>
      <c r="AF71" s="532">
        <v>0.2</v>
      </c>
      <c r="AG71" s="520"/>
      <c r="AH71" s="264"/>
      <c r="AI71" s="264">
        <f t="shared" si="6"/>
        <v>1.1000000000000001</v>
      </c>
      <c r="AJ71" s="264"/>
      <c r="AK71" s="608">
        <f>_xlfn.SINGLE(ROUND(IF(AF71=0,1,AI71/ABS(AF71)),3))</f>
        <v>5.5</v>
      </c>
      <c r="AL71" s="1531"/>
    </row>
    <row r="72" spans="1:38" ht="15" customHeight="1">
      <c r="A72" s="35"/>
      <c r="B72" s="350" t="s">
        <v>1421</v>
      </c>
      <c r="C72" s="291"/>
      <c r="D72" s="367">
        <f t="shared" si="3"/>
        <v>6.5</v>
      </c>
      <c r="E72" s="264"/>
      <c r="F72" s="367"/>
      <c r="G72" s="367"/>
      <c r="H72" s="367"/>
      <c r="I72" s="264"/>
      <c r="J72" s="367"/>
      <c r="K72" s="554"/>
      <c r="L72" s="367"/>
      <c r="M72" s="1117"/>
      <c r="N72" s="367"/>
      <c r="O72" s="554"/>
      <c r="P72" s="367"/>
      <c r="Q72" s="554"/>
      <c r="R72" s="367"/>
      <c r="S72" s="554"/>
      <c r="T72" s="367"/>
      <c r="U72" s="554"/>
      <c r="V72" s="367"/>
      <c r="W72" s="554"/>
      <c r="X72" s="367"/>
      <c r="Y72" s="554"/>
      <c r="Z72" s="367"/>
      <c r="AA72" s="264"/>
      <c r="AB72" s="525"/>
      <c r="AC72" s="532">
        <v>6.5</v>
      </c>
      <c r="AD72" s="287"/>
      <c r="AE72" s="1769"/>
      <c r="AF72" s="532">
        <v>5.7</v>
      </c>
      <c r="AG72" s="520"/>
      <c r="AH72" s="264"/>
      <c r="AI72" s="264">
        <f t="shared" si="6"/>
        <v>0.8</v>
      </c>
      <c r="AJ72" s="264"/>
      <c r="AK72" s="608">
        <f>_xlfn.SINGLE(ROUND(IF(AF72=0,0,AI72/ABS(AF72)),3))</f>
        <v>0.14000000000000001</v>
      </c>
      <c r="AL72" s="1531"/>
    </row>
    <row r="73" spans="1:38" ht="15" customHeight="1">
      <c r="A73" s="35"/>
      <c r="B73" s="350" t="s">
        <v>1422</v>
      </c>
      <c r="C73" s="291"/>
      <c r="D73" s="367">
        <f t="shared" si="3"/>
        <v>-0.2</v>
      </c>
      <c r="E73" s="264"/>
      <c r="F73" s="367"/>
      <c r="G73" s="367"/>
      <c r="H73" s="367"/>
      <c r="I73" s="264"/>
      <c r="J73" s="367"/>
      <c r="K73" s="554"/>
      <c r="L73" s="367"/>
      <c r="M73" s="1117"/>
      <c r="N73" s="367"/>
      <c r="O73" s="554"/>
      <c r="P73" s="367"/>
      <c r="Q73" s="554"/>
      <c r="R73" s="367"/>
      <c r="S73" s="554"/>
      <c r="T73" s="367"/>
      <c r="U73" s="554"/>
      <c r="V73" s="367"/>
      <c r="W73" s="554"/>
      <c r="X73" s="367"/>
      <c r="Y73" s="554"/>
      <c r="Z73" s="367"/>
      <c r="AA73" s="264"/>
      <c r="AB73" s="525"/>
      <c r="AC73" s="532">
        <v>-0.2</v>
      </c>
      <c r="AD73" s="287"/>
      <c r="AE73" s="1769"/>
      <c r="AF73" s="532">
        <v>0</v>
      </c>
      <c r="AG73" s="520"/>
      <c r="AH73" s="264"/>
      <c r="AI73" s="264">
        <f t="shared" si="6"/>
        <v>-0.2</v>
      </c>
      <c r="AJ73" s="264"/>
      <c r="AK73" s="608">
        <f>-ROUND(IF(AF73=0,1,AI73/ABS(AF73)),3)</f>
        <v>-1</v>
      </c>
      <c r="AL73" s="1531"/>
    </row>
    <row r="74" spans="1:38" ht="15" customHeight="1">
      <c r="A74" s="35"/>
      <c r="B74" s="350" t="s">
        <v>1423</v>
      </c>
      <c r="C74" s="291"/>
      <c r="D74" s="367">
        <f t="shared" si="3"/>
        <v>337</v>
      </c>
      <c r="E74" s="264"/>
      <c r="F74" s="367"/>
      <c r="G74" s="367"/>
      <c r="H74" s="367"/>
      <c r="I74" s="264"/>
      <c r="J74" s="367"/>
      <c r="K74" s="554"/>
      <c r="L74" s="367"/>
      <c r="M74" s="1117"/>
      <c r="N74" s="367"/>
      <c r="O74" s="554"/>
      <c r="P74" s="367"/>
      <c r="Q74" s="554"/>
      <c r="R74" s="367"/>
      <c r="S74" s="554"/>
      <c r="T74" s="367"/>
      <c r="U74" s="554"/>
      <c r="V74" s="367"/>
      <c r="W74" s="554"/>
      <c r="X74" s="367"/>
      <c r="Y74" s="554"/>
      <c r="Z74" s="367"/>
      <c r="AA74" s="264"/>
      <c r="AB74" s="525"/>
      <c r="AC74" s="532">
        <v>337</v>
      </c>
      <c r="AD74" s="287"/>
      <c r="AE74" s="1769"/>
      <c r="AF74" s="532">
        <v>326</v>
      </c>
      <c r="AG74" s="520"/>
      <c r="AH74" s="264"/>
      <c r="AI74" s="264">
        <f t="shared" si="6"/>
        <v>11</v>
      </c>
      <c r="AJ74" s="264"/>
      <c r="AK74" s="608">
        <f>_xlfn.SINGLE(ROUND(IF(AF74=0,0,AI74/ABS(AF74)),3))</f>
        <v>3.4000000000000002E-2</v>
      </c>
      <c r="AL74" s="1531"/>
    </row>
    <row r="75" spans="1:38" ht="15" customHeight="1">
      <c r="A75" s="35"/>
      <c r="B75" s="350" t="s">
        <v>1443</v>
      </c>
      <c r="C75" s="291"/>
      <c r="D75" s="367">
        <f t="shared" si="3"/>
        <v>1.4</v>
      </c>
      <c r="E75" s="264"/>
      <c r="F75" s="367"/>
      <c r="G75" s="367"/>
      <c r="H75" s="367"/>
      <c r="I75" s="264"/>
      <c r="J75" s="367"/>
      <c r="K75" s="554"/>
      <c r="L75" s="367"/>
      <c r="M75" s="1117"/>
      <c r="N75" s="367"/>
      <c r="O75" s="554"/>
      <c r="P75" s="367"/>
      <c r="Q75" s="554"/>
      <c r="R75" s="367"/>
      <c r="S75" s="554"/>
      <c r="T75" s="367"/>
      <c r="U75" s="554"/>
      <c r="V75" s="367"/>
      <c r="W75" s="554"/>
      <c r="X75" s="367"/>
      <c r="Y75" s="554"/>
      <c r="Z75" s="367"/>
      <c r="AA75" s="264"/>
      <c r="AB75" s="525"/>
      <c r="AC75" s="532">
        <v>1.4</v>
      </c>
      <c r="AD75" s="287"/>
      <c r="AE75" s="1769"/>
      <c r="AF75" s="532">
        <v>1.1000000000000001</v>
      </c>
      <c r="AG75" s="520"/>
      <c r="AH75" s="264"/>
      <c r="AI75" s="264">
        <f t="shared" si="6"/>
        <v>0.3</v>
      </c>
      <c r="AJ75" s="264"/>
      <c r="AK75" s="608">
        <f>_xlfn.SINGLE(ROUND(IF(AF75=0,0,AI75/ABS(AF75)),3))</f>
        <v>0.27300000000000002</v>
      </c>
      <c r="AL75" s="1531"/>
    </row>
    <row r="76" spans="1:38" ht="15" customHeight="1">
      <c r="A76" s="35"/>
      <c r="B76" s="350" t="s">
        <v>1424</v>
      </c>
      <c r="C76" s="291"/>
      <c r="D76" s="367">
        <f t="shared" si="3"/>
        <v>21.8</v>
      </c>
      <c r="E76" s="264"/>
      <c r="F76" s="367"/>
      <c r="G76" s="367"/>
      <c r="H76" s="367"/>
      <c r="I76" s="264"/>
      <c r="J76" s="367"/>
      <c r="K76" s="554"/>
      <c r="L76" s="367"/>
      <c r="M76" s="1117"/>
      <c r="N76" s="367"/>
      <c r="O76" s="554"/>
      <c r="P76" s="367"/>
      <c r="Q76" s="554"/>
      <c r="R76" s="367"/>
      <c r="S76" s="554"/>
      <c r="T76" s="367"/>
      <c r="U76" s="554"/>
      <c r="V76" s="367"/>
      <c r="W76" s="554"/>
      <c r="X76" s="367"/>
      <c r="Y76" s="554"/>
      <c r="Z76" s="367"/>
      <c r="AA76" s="264"/>
      <c r="AB76" s="525"/>
      <c r="AC76" s="532">
        <v>21.8</v>
      </c>
      <c r="AD76" s="287"/>
      <c r="AE76" s="1769"/>
      <c r="AF76" s="532">
        <v>13.8</v>
      </c>
      <c r="AG76" s="520"/>
      <c r="AH76" s="264"/>
      <c r="AI76" s="264">
        <f t="shared" si="6"/>
        <v>8</v>
      </c>
      <c r="AJ76" s="264"/>
      <c r="AK76" s="608">
        <f>_xlfn.SINGLE(ROUND(IF(AF76=0,1,AI76/ABS(AF76)),3))</f>
        <v>0.57999999999999996</v>
      </c>
      <c r="AL76" s="1531"/>
    </row>
    <row r="77" spans="1:38" ht="15" customHeight="1">
      <c r="A77" s="35"/>
      <c r="B77" s="350" t="s">
        <v>1450</v>
      </c>
      <c r="C77" s="291"/>
      <c r="D77" s="367">
        <f t="shared" si="3"/>
        <v>1</v>
      </c>
      <c r="E77" s="264"/>
      <c r="F77" s="367"/>
      <c r="G77" s="367"/>
      <c r="H77" s="367"/>
      <c r="I77" s="264"/>
      <c r="J77" s="367"/>
      <c r="K77" s="554"/>
      <c r="L77" s="367"/>
      <c r="M77" s="1117"/>
      <c r="N77" s="367"/>
      <c r="O77" s="554"/>
      <c r="P77" s="367"/>
      <c r="Q77" s="554"/>
      <c r="R77" s="367"/>
      <c r="S77" s="554"/>
      <c r="T77" s="367"/>
      <c r="U77" s="554"/>
      <c r="V77" s="367"/>
      <c r="W77" s="554"/>
      <c r="X77" s="367"/>
      <c r="Y77" s="554"/>
      <c r="Z77" s="367"/>
      <c r="AA77" s="264"/>
      <c r="AB77" s="525"/>
      <c r="AC77" s="532">
        <v>1</v>
      </c>
      <c r="AD77" s="287"/>
      <c r="AE77" s="1769"/>
      <c r="AF77" s="532">
        <v>0.8</v>
      </c>
      <c r="AG77" s="520"/>
      <c r="AH77" s="264"/>
      <c r="AI77" s="264">
        <f t="shared" si="6"/>
        <v>0.2</v>
      </c>
      <c r="AJ77" s="264"/>
      <c r="AK77" s="283">
        <f>_xlfn.SINGLE(ROUND(IF(AF77=0,0,AI77/ABS(AF77)),3))</f>
        <v>0.25</v>
      </c>
      <c r="AL77" s="1531"/>
    </row>
    <row r="78" spans="1:38" ht="15" customHeight="1">
      <c r="A78" s="35"/>
      <c r="B78" s="350" t="s">
        <v>1444</v>
      </c>
      <c r="C78" s="291"/>
      <c r="D78" s="367">
        <f t="shared" si="3"/>
        <v>29.6</v>
      </c>
      <c r="E78" s="264"/>
      <c r="F78" s="367"/>
      <c r="G78" s="367"/>
      <c r="H78" s="367"/>
      <c r="I78" s="264"/>
      <c r="J78" s="367"/>
      <c r="K78" s="554"/>
      <c r="L78" s="367"/>
      <c r="M78" s="1117"/>
      <c r="N78" s="367"/>
      <c r="O78" s="554"/>
      <c r="P78" s="367"/>
      <c r="Q78" s="554"/>
      <c r="R78" s="367"/>
      <c r="S78" s="554"/>
      <c r="T78" s="367"/>
      <c r="U78" s="554"/>
      <c r="V78" s="367"/>
      <c r="W78" s="554"/>
      <c r="X78" s="367"/>
      <c r="Y78" s="554"/>
      <c r="Z78" s="367"/>
      <c r="AA78" s="264"/>
      <c r="AB78" s="524"/>
      <c r="AC78" s="532">
        <v>29.6</v>
      </c>
      <c r="AD78" s="264"/>
      <c r="AE78" s="525"/>
      <c r="AF78" s="532">
        <v>57</v>
      </c>
      <c r="AG78" s="520"/>
      <c r="AH78" s="264"/>
      <c r="AI78" s="264">
        <f t="shared" si="6"/>
        <v>-27.4</v>
      </c>
      <c r="AJ78" s="264"/>
      <c r="AK78" s="608">
        <f>_xlfn.SINGLE(ROUND(IF(AF78=0,0,AI78/ABS(AF78)),3))</f>
        <v>-0.48099999999999998</v>
      </c>
      <c r="AL78" s="1531"/>
    </row>
    <row r="79" spans="1:38" ht="15" customHeight="1">
      <c r="A79" s="35"/>
      <c r="B79" s="350" t="s">
        <v>424</v>
      </c>
      <c r="C79" s="291"/>
      <c r="D79" s="367">
        <f t="shared" si="3"/>
        <v>1.3</v>
      </c>
      <c r="E79" s="264"/>
      <c r="F79" s="367"/>
      <c r="G79" s="367"/>
      <c r="H79" s="367"/>
      <c r="I79" s="264"/>
      <c r="J79" s="367"/>
      <c r="K79" s="554"/>
      <c r="L79" s="367"/>
      <c r="M79" s="1117"/>
      <c r="N79" s="367"/>
      <c r="O79" s="554"/>
      <c r="P79" s="367"/>
      <c r="Q79" s="554"/>
      <c r="R79" s="367"/>
      <c r="S79" s="554"/>
      <c r="T79" s="367"/>
      <c r="U79" s="554"/>
      <c r="V79" s="367"/>
      <c r="W79" s="554"/>
      <c r="X79" s="367"/>
      <c r="Y79" s="554"/>
      <c r="Z79" s="367"/>
      <c r="AA79" s="264"/>
      <c r="AB79" s="524"/>
      <c r="AC79" s="532">
        <v>1.3</v>
      </c>
      <c r="AD79" s="264"/>
      <c r="AE79" s="525"/>
      <c r="AF79" s="532">
        <v>0.7</v>
      </c>
      <c r="AG79" s="520"/>
      <c r="AH79" s="264"/>
      <c r="AI79" s="264">
        <f t="shared" si="6"/>
        <v>0.6</v>
      </c>
      <c r="AJ79" s="264"/>
      <c r="AK79" s="283">
        <f>_xlfn.SINGLE(ROUND(IF(AF79=0,0,AI79/ABS(AF79)),3))</f>
        <v>0.85699999999999998</v>
      </c>
      <c r="AL79" s="1531"/>
    </row>
    <row r="80" spans="1:38" ht="15" customHeight="1">
      <c r="A80" s="35"/>
      <c r="B80" s="350" t="s">
        <v>1425</v>
      </c>
      <c r="C80" s="291"/>
      <c r="D80" s="367">
        <f t="shared" si="3"/>
        <v>36.4</v>
      </c>
      <c r="E80" s="264"/>
      <c r="F80" s="367"/>
      <c r="G80" s="367"/>
      <c r="H80" s="367"/>
      <c r="I80" s="264"/>
      <c r="J80" s="367"/>
      <c r="K80" s="554"/>
      <c r="L80" s="367"/>
      <c r="M80" s="1117"/>
      <c r="N80" s="367"/>
      <c r="O80" s="554"/>
      <c r="P80" s="367"/>
      <c r="Q80" s="554"/>
      <c r="R80" s="367"/>
      <c r="S80" s="554"/>
      <c r="T80" s="367"/>
      <c r="U80" s="554"/>
      <c r="V80" s="367"/>
      <c r="W80" s="554"/>
      <c r="X80" s="367"/>
      <c r="Y80" s="554"/>
      <c r="Z80" s="367"/>
      <c r="AA80" s="264"/>
      <c r="AB80" s="525"/>
      <c r="AC80" s="532">
        <v>36.4</v>
      </c>
      <c r="AD80" s="287"/>
      <c r="AE80" s="1769"/>
      <c r="AF80" s="532">
        <v>30.9</v>
      </c>
      <c r="AG80" s="520"/>
      <c r="AH80" s="264"/>
      <c r="AI80" s="264">
        <f t="shared" si="6"/>
        <v>5.5</v>
      </c>
      <c r="AJ80" s="264"/>
      <c r="AK80" s="283">
        <f>_xlfn.SINGLE(ROUND(IF(AF80=0,0,AI80/ABS(AF80)),3))</f>
        <v>0.17799999999999999</v>
      </c>
      <c r="AL80" s="1531"/>
    </row>
    <row r="81" spans="1:38" ht="15" customHeight="1">
      <c r="A81" s="35"/>
      <c r="B81" s="83" t="s">
        <v>526</v>
      </c>
      <c r="C81" s="291"/>
      <c r="D81" s="674">
        <f>_xlfn.SINGLE(ROUND(SUM(D42:D80),1))</f>
        <v>2052.1999999999998</v>
      </c>
      <c r="E81" s="264"/>
      <c r="F81" s="674">
        <f>_xlfn.SINGLE(ROUND(SUM(F42:F80),1))</f>
        <v>0</v>
      </c>
      <c r="G81" s="264"/>
      <c r="H81" s="674">
        <f>_xlfn.SINGLE(ROUND(SUM(H42:H80),1))</f>
        <v>0</v>
      </c>
      <c r="I81" s="264"/>
      <c r="J81" s="674">
        <f>_xlfn.SINGLE(ROUND(SUM(J42:J80),1))</f>
        <v>0</v>
      </c>
      <c r="K81" s="264"/>
      <c r="L81" s="674">
        <f>_xlfn.SINGLE(ROUND(SUM(L42:L80),1))</f>
        <v>0</v>
      </c>
      <c r="M81" s="264"/>
      <c r="N81" s="674">
        <f>_xlfn.SINGLE(ROUND(SUM(N42:N80),1))</f>
        <v>0</v>
      </c>
      <c r="O81" s="264"/>
      <c r="P81" s="674">
        <f>_xlfn.SINGLE(ROUND(SUM(P42:P80),1))</f>
        <v>0</v>
      </c>
      <c r="Q81" s="264"/>
      <c r="R81" s="674">
        <f>_xlfn.SINGLE(ROUND(SUM(R42:R80),1))</f>
        <v>0</v>
      </c>
      <c r="S81" s="13"/>
      <c r="T81" s="674">
        <f>_xlfn.SINGLE(ROUND(SUM(T42:T80),1))</f>
        <v>0</v>
      </c>
      <c r="U81" s="264"/>
      <c r="V81" s="674">
        <f>_xlfn.SINGLE(ROUND(SUM(V42:V80),1))</f>
        <v>0</v>
      </c>
      <c r="W81" s="264"/>
      <c r="X81" s="674">
        <f>_xlfn.SINGLE(ROUND(SUM(X42:X80),1))</f>
        <v>0</v>
      </c>
      <c r="Y81" s="264"/>
      <c r="Z81" s="674">
        <f>_xlfn.SINGLE(ROUND(SUM(Z42:Z80),1))</f>
        <v>0</v>
      </c>
      <c r="AA81" s="264"/>
      <c r="AB81" s="524"/>
      <c r="AC81" s="674">
        <f>ROUND(SUM(AC42:AC80),1)</f>
        <v>2052.1999999999998</v>
      </c>
      <c r="AD81" s="264"/>
      <c r="AE81" s="525"/>
      <c r="AF81" s="674">
        <f>ROUND(SUM(AF42:AF80),1)</f>
        <v>1952.8</v>
      </c>
      <c r="AG81" s="520"/>
      <c r="AH81" s="264"/>
      <c r="AI81" s="674">
        <f>_xlfn.SINGLE(ROUND(SUM(AI42:AI80),1))</f>
        <v>99.4</v>
      </c>
      <c r="AJ81" s="264"/>
      <c r="AK81" s="924">
        <f>_xlfn.SINGLE(ROUND(SUM(+AI81/AF81),3))</f>
        <v>5.0999999999999997E-2</v>
      </c>
      <c r="AL81" s="1531"/>
    </row>
    <row r="82" spans="1:38" ht="15" customHeight="1">
      <c r="A82" s="35"/>
      <c r="B82" s="83"/>
      <c r="C82" s="291"/>
      <c r="D82" s="13"/>
      <c r="E82" s="264"/>
      <c r="F82" s="13"/>
      <c r="G82" s="264"/>
      <c r="H82" s="13"/>
      <c r="I82" s="264"/>
      <c r="J82" s="13"/>
      <c r="K82" s="264"/>
      <c r="L82" s="13"/>
      <c r="M82" s="264"/>
      <c r="N82" s="13"/>
      <c r="O82" s="264"/>
      <c r="P82" s="13"/>
      <c r="Q82" s="264"/>
      <c r="R82" s="13"/>
      <c r="S82" s="264"/>
      <c r="T82" s="13"/>
      <c r="U82" s="264"/>
      <c r="V82" s="13"/>
      <c r="W82" s="264"/>
      <c r="X82" s="367"/>
      <c r="Y82" s="264"/>
      <c r="Z82" s="13"/>
      <c r="AA82" s="264"/>
      <c r="AB82" s="524"/>
      <c r="AC82" s="13"/>
      <c r="AD82" s="264"/>
      <c r="AE82" s="525"/>
      <c r="AF82" s="13"/>
      <c r="AG82" s="520"/>
      <c r="AH82" s="264"/>
      <c r="AI82" s="13"/>
      <c r="AJ82" s="264"/>
      <c r="AK82" s="74"/>
      <c r="AL82" s="1531"/>
    </row>
    <row r="83" spans="1:38" ht="15" customHeight="1">
      <c r="A83" s="35"/>
      <c r="B83" s="1036" t="s">
        <v>543</v>
      </c>
      <c r="C83" s="291"/>
      <c r="D83" s="367">
        <f>AC83</f>
        <v>0.1</v>
      </c>
      <c r="E83" s="264"/>
      <c r="F83" s="367"/>
      <c r="G83" s="367"/>
      <c r="H83" s="367"/>
      <c r="I83" s="264"/>
      <c r="J83" s="367"/>
      <c r="K83" s="554"/>
      <c r="L83" s="367"/>
      <c r="M83" s="554"/>
      <c r="N83" s="367"/>
      <c r="O83" s="554"/>
      <c r="P83" s="367"/>
      <c r="Q83" s="554"/>
      <c r="R83" s="367"/>
      <c r="S83" s="554"/>
      <c r="T83" s="367"/>
      <c r="U83" s="554"/>
      <c r="V83" s="367"/>
      <c r="W83" s="554"/>
      <c r="X83" s="886"/>
      <c r="Y83" s="554"/>
      <c r="Z83" s="367"/>
      <c r="AA83" s="264"/>
      <c r="AB83" s="525"/>
      <c r="AC83" s="532">
        <v>0.1</v>
      </c>
      <c r="AD83" s="287"/>
      <c r="AE83" s="1769"/>
      <c r="AF83" s="532">
        <v>0</v>
      </c>
      <c r="AG83" s="520"/>
      <c r="AH83" s="264"/>
      <c r="AI83" s="264">
        <f>_xlfn.SINGLE(ROUND(SUM(+AC83-AF83),1))</f>
        <v>0.1</v>
      </c>
      <c r="AJ83" s="264"/>
      <c r="AK83" s="543">
        <f>ROUND(IF(AF83=0,1,AI83/ABS(AF83)),3)</f>
        <v>1</v>
      </c>
      <c r="AL83" s="1531"/>
    </row>
    <row r="84" spans="1:38" ht="15" customHeight="1">
      <c r="A84" s="35"/>
      <c r="B84" s="291"/>
      <c r="C84" s="291"/>
      <c r="D84" s="616"/>
      <c r="E84" s="264"/>
      <c r="F84" s="616"/>
      <c r="G84" s="264"/>
      <c r="H84" s="616"/>
      <c r="I84" s="264"/>
      <c r="J84" s="616"/>
      <c r="K84" s="264"/>
      <c r="L84" s="616"/>
      <c r="M84" s="264"/>
      <c r="N84" s="616"/>
      <c r="O84" s="264"/>
      <c r="P84" s="616"/>
      <c r="Q84" s="264"/>
      <c r="R84" s="616"/>
      <c r="S84" s="264"/>
      <c r="T84" s="616"/>
      <c r="U84" s="264"/>
      <c r="V84" s="616"/>
      <c r="W84" s="264"/>
      <c r="X84" s="367"/>
      <c r="Y84" s="264"/>
      <c r="Z84" s="616"/>
      <c r="AA84" s="264"/>
      <c r="AB84" s="524"/>
      <c r="AC84" s="616"/>
      <c r="AD84" s="264"/>
      <c r="AE84" s="525"/>
      <c r="AF84" s="616"/>
      <c r="AG84" s="520"/>
      <c r="AH84" s="264"/>
      <c r="AI84" s="1037"/>
      <c r="AJ84" s="364"/>
      <c r="AK84" s="1038"/>
      <c r="AL84" s="1531"/>
    </row>
    <row r="85" spans="1:38" ht="15" customHeight="1">
      <c r="A85" s="35"/>
      <c r="B85" s="3" t="s">
        <v>427</v>
      </c>
      <c r="C85" s="291"/>
      <c r="D85" s="13">
        <f>_xlfn.SINGLE(ROUND(SUM(D38+D81+D83),1))</f>
        <v>2624.6</v>
      </c>
      <c r="E85" s="13"/>
      <c r="F85" s="13">
        <f>_xlfn.SINGLE(ROUND(SUM(F38+F81+F83),1))</f>
        <v>0</v>
      </c>
      <c r="G85" s="13"/>
      <c r="H85" s="13">
        <f>_xlfn.SINGLE(ROUND(SUM(H38+H81+H83),1))</f>
        <v>0</v>
      </c>
      <c r="I85" s="13"/>
      <c r="J85" s="13">
        <f>_xlfn.SINGLE(ROUND(SUM(J38+J81+J83),1))</f>
        <v>0</v>
      </c>
      <c r="K85" s="13"/>
      <c r="L85" s="13">
        <f>_xlfn.SINGLE(ROUND(SUM(L38+L81+L83),1))</f>
        <v>0</v>
      </c>
      <c r="M85" s="13"/>
      <c r="N85" s="13">
        <f>_xlfn.SINGLE(ROUND(SUM(N38+N81+N83),1))</f>
        <v>0</v>
      </c>
      <c r="O85" s="13"/>
      <c r="P85" s="13">
        <f>_xlfn.SINGLE(ROUND(SUM(P38+P81+P83),1))</f>
        <v>0</v>
      </c>
      <c r="Q85" s="13"/>
      <c r="R85" s="13">
        <f>_xlfn.SINGLE(ROUND(SUM(R38+R81+R83),1))</f>
        <v>0</v>
      </c>
      <c r="S85" s="13"/>
      <c r="T85" s="13">
        <f>_xlfn.SINGLE(ROUND(SUM(T38+T81+T83),1))</f>
        <v>0</v>
      </c>
      <c r="U85" s="13"/>
      <c r="V85" s="13">
        <f>_xlfn.SINGLE(ROUND(SUM(V38+V81+V83),1))</f>
        <v>0</v>
      </c>
      <c r="W85" s="13"/>
      <c r="X85" s="357">
        <f>_xlfn.SINGLE(ROUND(SUM(X38+X81+X83),1))</f>
        <v>0</v>
      </c>
      <c r="Y85" s="13"/>
      <c r="Z85" s="13">
        <f>_xlfn.SINGLE(ROUND(SUM(Z38+Z81+Z83),1))</f>
        <v>0</v>
      </c>
      <c r="AA85" s="13"/>
      <c r="AB85" s="14"/>
      <c r="AC85" s="13">
        <f>ROUND(SUM(AC38+AC81+AC83),1)</f>
        <v>2624.6</v>
      </c>
      <c r="AD85" s="13"/>
      <c r="AE85" s="670"/>
      <c r="AF85" s="13">
        <f>ROUND(SUM(AF38+AF81+AF83),1)</f>
        <v>2456</v>
      </c>
      <c r="AG85" s="75"/>
      <c r="AH85" s="13"/>
      <c r="AI85" s="357">
        <f>_xlfn.SINGLE(ROUND(SUM(AI38+AI81+AI83),1))</f>
        <v>168.6</v>
      </c>
      <c r="AJ85" s="76"/>
      <c r="AK85" s="368">
        <f>_xlfn.SINGLE(ROUND(SUM((AC85-AF85)/ABS(AF85)),3))</f>
        <v>6.9000000000000006E-2</v>
      </c>
      <c r="AL85" s="1531"/>
    </row>
    <row r="86" spans="1:38" ht="15" customHeight="1">
      <c r="A86" s="35"/>
      <c r="B86" s="291"/>
      <c r="C86" s="291"/>
      <c r="D86" s="616"/>
      <c r="E86" s="264"/>
      <c r="F86" s="616"/>
      <c r="G86" s="264"/>
      <c r="H86" s="616"/>
      <c r="I86" s="264"/>
      <c r="J86" s="616"/>
      <c r="K86" s="264"/>
      <c r="L86" s="616"/>
      <c r="M86" s="264"/>
      <c r="N86" s="616"/>
      <c r="O86" s="264"/>
      <c r="P86" s="616"/>
      <c r="Q86" s="264"/>
      <c r="R86" s="616"/>
      <c r="S86" s="264"/>
      <c r="T86" s="616"/>
      <c r="U86" s="264"/>
      <c r="V86" s="616"/>
      <c r="W86" s="264"/>
      <c r="X86" s="367"/>
      <c r="Y86" s="264"/>
      <c r="Z86" s="616"/>
      <c r="AA86" s="264"/>
      <c r="AB86" s="524"/>
      <c r="AC86" s="616"/>
      <c r="AD86" s="264"/>
      <c r="AE86" s="525"/>
      <c r="AF86" s="616"/>
      <c r="AG86" s="520"/>
      <c r="AH86" s="264"/>
      <c r="AI86" s="264"/>
      <c r="AJ86" s="364"/>
      <c r="AK86" s="283"/>
      <c r="AL86" s="1531"/>
    </row>
    <row r="87" spans="1:38" ht="15" customHeight="1">
      <c r="A87" s="35"/>
      <c r="B87" s="1218" t="s">
        <v>122</v>
      </c>
      <c r="C87" s="291"/>
      <c r="D87" s="264"/>
      <c r="E87" s="264"/>
      <c r="F87" s="264"/>
      <c r="G87" s="264"/>
      <c r="H87" s="264"/>
      <c r="I87" s="264"/>
      <c r="J87" s="264"/>
      <c r="K87" s="264"/>
      <c r="L87" s="264"/>
      <c r="M87" s="264"/>
      <c r="N87" s="264"/>
      <c r="O87" s="264"/>
      <c r="P87" s="264"/>
      <c r="Q87" s="264"/>
      <c r="R87" s="264"/>
      <c r="S87" s="264"/>
      <c r="T87" s="264"/>
      <c r="U87" s="264"/>
      <c r="V87" s="264"/>
      <c r="W87" s="264"/>
      <c r="X87" s="367"/>
      <c r="Y87" s="264"/>
      <c r="Z87" s="264"/>
      <c r="AA87" s="264"/>
      <c r="AB87" s="524"/>
      <c r="AC87" s="264"/>
      <c r="AD87" s="264"/>
      <c r="AE87" s="525"/>
      <c r="AF87" s="264"/>
      <c r="AG87" s="520"/>
      <c r="AH87" s="264"/>
      <c r="AI87" s="264"/>
      <c r="AJ87" s="364"/>
      <c r="AK87" s="283"/>
      <c r="AL87" s="1531"/>
    </row>
    <row r="88" spans="1:38" ht="15" customHeight="1">
      <c r="A88" s="35"/>
      <c r="B88" s="291" t="s">
        <v>451</v>
      </c>
      <c r="C88" s="291"/>
      <c r="D88" s="287"/>
      <c r="E88" s="264"/>
      <c r="F88" s="287"/>
      <c r="G88" s="264"/>
      <c r="H88" s="264"/>
      <c r="I88" s="264"/>
      <c r="J88" s="367"/>
      <c r="K88" s="264"/>
      <c r="L88" s="287"/>
      <c r="M88" s="264"/>
      <c r="N88" s="287"/>
      <c r="O88" s="264"/>
      <c r="P88" s="287"/>
      <c r="Q88" s="264"/>
      <c r="R88" s="287"/>
      <c r="S88" s="264"/>
      <c r="T88" s="287"/>
      <c r="U88" s="264"/>
      <c r="V88" s="264"/>
      <c r="W88" s="264"/>
      <c r="X88" s="367"/>
      <c r="Y88" s="264"/>
      <c r="Z88" s="264"/>
      <c r="AA88" s="264"/>
      <c r="AB88" s="524"/>
      <c r="AC88" s="275"/>
      <c r="AD88" s="264"/>
      <c r="AE88" s="525"/>
      <c r="AF88" s="275"/>
      <c r="AG88" s="520"/>
      <c r="AH88" s="264"/>
      <c r="AI88" s="264"/>
      <c r="AJ88" s="364"/>
      <c r="AK88" s="283"/>
      <c r="AL88" s="1531"/>
    </row>
    <row r="89" spans="1:38" ht="15" customHeight="1">
      <c r="A89" s="35"/>
      <c r="B89" s="385" t="s">
        <v>124</v>
      </c>
      <c r="C89" s="291"/>
      <c r="D89" s="367">
        <f>AC89</f>
        <v>0.8</v>
      </c>
      <c r="E89" s="264"/>
      <c r="F89" s="367"/>
      <c r="G89" s="367"/>
      <c r="H89" s="367"/>
      <c r="I89" s="264"/>
      <c r="J89" s="367"/>
      <c r="K89" s="554"/>
      <c r="L89" s="367"/>
      <c r="M89" s="554"/>
      <c r="N89" s="367"/>
      <c r="O89" s="554"/>
      <c r="P89" s="367"/>
      <c r="Q89" s="554"/>
      <c r="R89" s="367"/>
      <c r="S89" s="554"/>
      <c r="T89" s="367"/>
      <c r="U89" s="554"/>
      <c r="V89" s="367"/>
      <c r="W89" s="554"/>
      <c r="X89" s="367"/>
      <c r="Y89" s="554"/>
      <c r="Z89" s="367"/>
      <c r="AA89" s="264"/>
      <c r="AB89" s="525"/>
      <c r="AC89" s="532">
        <v>0.8</v>
      </c>
      <c r="AD89" s="287"/>
      <c r="AE89" s="1769"/>
      <c r="AF89" s="532">
        <v>0.1</v>
      </c>
      <c r="AG89" s="520"/>
      <c r="AH89" s="264"/>
      <c r="AI89" s="264">
        <f>_xlfn.SINGLE(ROUND(SUM(+AC89-AF89),1))</f>
        <v>0.7</v>
      </c>
      <c r="AJ89" s="264"/>
      <c r="AK89" s="543">
        <f>_xlfn.SINGLE(ROUND(IF(AF89=0,1,AI89/ABS(AF89)),3))</f>
        <v>7</v>
      </c>
      <c r="AL89" s="1531"/>
    </row>
    <row r="90" spans="1:38" ht="15" customHeight="1">
      <c r="A90" s="35"/>
      <c r="B90" s="385" t="s">
        <v>1427</v>
      </c>
      <c r="C90" s="291"/>
      <c r="D90" s="367">
        <f t="shared" ref="D90:D98" si="7">AC90</f>
        <v>0</v>
      </c>
      <c r="E90" s="264"/>
      <c r="F90" s="367"/>
      <c r="G90" s="367"/>
      <c r="H90" s="367"/>
      <c r="I90" s="264"/>
      <c r="J90" s="367"/>
      <c r="K90" s="554"/>
      <c r="L90" s="367"/>
      <c r="M90" s="554"/>
      <c r="N90" s="367"/>
      <c r="O90" s="554"/>
      <c r="P90" s="367"/>
      <c r="Q90" s="554"/>
      <c r="R90" s="367"/>
      <c r="S90" s="554"/>
      <c r="T90" s="367"/>
      <c r="U90" s="554"/>
      <c r="V90" s="367"/>
      <c r="W90" s="554"/>
      <c r="X90" s="367"/>
      <c r="Y90" s="554"/>
      <c r="Z90" s="367"/>
      <c r="AA90" s="264"/>
      <c r="AB90" s="525"/>
      <c r="AC90" s="532">
        <v>0</v>
      </c>
      <c r="AD90" s="287"/>
      <c r="AE90" s="1769"/>
      <c r="AF90" s="532">
        <v>0</v>
      </c>
      <c r="AG90" s="520"/>
      <c r="AH90" s="264"/>
      <c r="AI90" s="264">
        <f>_xlfn.SINGLE(ROUND(SUM(+AC90-AF90),1))</f>
        <v>0</v>
      </c>
      <c r="AJ90" s="264"/>
      <c r="AK90" s="283">
        <f>_xlfn.SINGLE(ROUND(IF(AF90=0,0,AI90/ABS(AF90)),3))</f>
        <v>0</v>
      </c>
      <c r="AL90" s="1531"/>
    </row>
    <row r="91" spans="1:38" ht="15" customHeight="1">
      <c r="A91" s="35"/>
      <c r="B91" s="385" t="s">
        <v>1426</v>
      </c>
      <c r="C91" s="291"/>
      <c r="D91" s="367">
        <f t="shared" si="7"/>
        <v>16.8</v>
      </c>
      <c r="E91" s="264"/>
      <c r="F91" s="367"/>
      <c r="G91" s="367"/>
      <c r="H91" s="367"/>
      <c r="I91" s="264"/>
      <c r="J91" s="367"/>
      <c r="K91" s="554"/>
      <c r="L91" s="367"/>
      <c r="M91" s="554"/>
      <c r="N91" s="367"/>
      <c r="O91" s="554"/>
      <c r="P91" s="367"/>
      <c r="Q91" s="554"/>
      <c r="R91" s="367"/>
      <c r="S91" s="554"/>
      <c r="T91" s="367"/>
      <c r="U91" s="554"/>
      <c r="V91" s="367"/>
      <c r="W91" s="554"/>
      <c r="X91" s="367"/>
      <c r="Y91" s="554"/>
      <c r="Z91" s="367"/>
      <c r="AA91" s="264"/>
      <c r="AB91" s="525"/>
      <c r="AC91" s="532">
        <v>16.8</v>
      </c>
      <c r="AD91" s="287"/>
      <c r="AE91" s="1769"/>
      <c r="AF91" s="532">
        <v>2</v>
      </c>
      <c r="AG91" s="520"/>
      <c r="AH91" s="264"/>
      <c r="AI91" s="264">
        <f>_xlfn.SINGLE(ROUND(SUM(+AC91-AF91),1))</f>
        <v>14.8</v>
      </c>
      <c r="AJ91" s="264"/>
      <c r="AK91" s="608">
        <f>_xlfn.SINGLE(ROUND(IF(AF91=0,0,AI91/ABS(AF91)),3))</f>
        <v>7.4</v>
      </c>
      <c r="AL91" s="1531"/>
    </row>
    <row r="92" spans="1:38" ht="15" customHeight="1">
      <c r="A92" s="35"/>
      <c r="B92" s="291" t="s">
        <v>527</v>
      </c>
      <c r="C92" s="291"/>
      <c r="D92" s="367"/>
      <c r="E92" s="264"/>
      <c r="F92" s="367"/>
      <c r="G92" s="367"/>
      <c r="H92" s="367"/>
      <c r="I92" s="264"/>
      <c r="J92" s="367"/>
      <c r="K92" s="554"/>
      <c r="L92" s="367"/>
      <c r="M92" s="554"/>
      <c r="N92" s="367"/>
      <c r="O92" s="554"/>
      <c r="P92" s="367"/>
      <c r="Q92" s="554"/>
      <c r="R92" s="367"/>
      <c r="S92" s="554"/>
      <c r="T92" s="367"/>
      <c r="U92" s="554"/>
      <c r="V92" s="367"/>
      <c r="W92" s="554"/>
      <c r="X92" s="367"/>
      <c r="Y92" s="554"/>
      <c r="Z92" s="367"/>
      <c r="AA92" s="264"/>
      <c r="AB92" s="525"/>
      <c r="AC92" s="513"/>
      <c r="AD92" s="287"/>
      <c r="AE92" s="1769"/>
      <c r="AF92" s="513"/>
      <c r="AG92" s="520"/>
      <c r="AH92" s="264"/>
      <c r="AI92" s="264"/>
      <c r="AJ92" s="268"/>
      <c r="AK92" s="283"/>
      <c r="AL92" s="1531"/>
    </row>
    <row r="93" spans="1:38" ht="15" customHeight="1">
      <c r="A93" s="35"/>
      <c r="B93" s="1028" t="s">
        <v>128</v>
      </c>
      <c r="C93" s="291"/>
      <c r="D93" s="367">
        <f t="shared" si="7"/>
        <v>443.40000000000003</v>
      </c>
      <c r="E93" s="264"/>
      <c r="F93" s="367"/>
      <c r="G93" s="367"/>
      <c r="H93" s="367"/>
      <c r="I93" s="264"/>
      <c r="J93" s="367"/>
      <c r="K93" s="554"/>
      <c r="L93" s="367"/>
      <c r="M93" s="554"/>
      <c r="N93" s="367"/>
      <c r="O93" s="554"/>
      <c r="P93" s="367"/>
      <c r="Q93" s="554"/>
      <c r="R93" s="367"/>
      <c r="S93" s="554"/>
      <c r="T93" s="367"/>
      <c r="U93" s="554"/>
      <c r="V93" s="367"/>
      <c r="W93" s="554"/>
      <c r="X93" s="367"/>
      <c r="Y93" s="554"/>
      <c r="Z93" s="367"/>
      <c r="AA93" s="264"/>
      <c r="AB93" s="525"/>
      <c r="AC93" s="532">
        <v>443.40000000000003</v>
      </c>
      <c r="AD93" s="287"/>
      <c r="AE93" s="1769"/>
      <c r="AF93" s="532">
        <v>449.1</v>
      </c>
      <c r="AG93" s="520"/>
      <c r="AH93" s="264"/>
      <c r="AI93" s="264">
        <f t="shared" ref="AI93:AI98" si="8">_xlfn.SINGLE(ROUND(SUM(+AC93-AF93),1))</f>
        <v>-5.7</v>
      </c>
      <c r="AJ93" s="264"/>
      <c r="AK93" s="608">
        <f>_xlfn.SINGLE(ROUND(IF(AF93=0,0,AI93/ABS(AF93)),3))</f>
        <v>-1.2999999999999999E-2</v>
      </c>
      <c r="AL93" s="1531"/>
    </row>
    <row r="94" spans="1:38" ht="15" customHeight="1">
      <c r="A94" s="35"/>
      <c r="B94" s="385" t="s">
        <v>129</v>
      </c>
      <c r="C94" s="291"/>
      <c r="D94" s="367">
        <f t="shared" si="7"/>
        <v>79.900000000000006</v>
      </c>
      <c r="E94" s="264"/>
      <c r="F94" s="367"/>
      <c r="G94" s="367"/>
      <c r="H94" s="367"/>
      <c r="I94" s="264"/>
      <c r="J94" s="367"/>
      <c r="K94" s="554"/>
      <c r="L94" s="367"/>
      <c r="M94" s="554"/>
      <c r="N94" s="367"/>
      <c r="O94" s="554"/>
      <c r="P94" s="367"/>
      <c r="Q94" s="554"/>
      <c r="R94" s="367"/>
      <c r="S94" s="554"/>
      <c r="T94" s="367"/>
      <c r="U94" s="554"/>
      <c r="V94" s="367"/>
      <c r="W94" s="554"/>
      <c r="X94" s="367"/>
      <c r="Y94" s="554"/>
      <c r="Z94" s="367"/>
      <c r="AA94" s="264"/>
      <c r="AB94" s="525"/>
      <c r="AC94" s="532">
        <v>79.900000000000006</v>
      </c>
      <c r="AD94" s="287"/>
      <c r="AE94" s="1769"/>
      <c r="AF94" s="532">
        <v>86.6</v>
      </c>
      <c r="AG94" s="520"/>
      <c r="AH94" s="264"/>
      <c r="AI94" s="264">
        <f t="shared" si="8"/>
        <v>-6.7</v>
      </c>
      <c r="AJ94" s="264"/>
      <c r="AK94" s="283">
        <f>_xlfn.SINGLE(ROUND(IF(AF94=0,0,AI94/ABS(AF94)),3))</f>
        <v>-7.6999999999999999E-2</v>
      </c>
      <c r="AL94" s="1531"/>
    </row>
    <row r="95" spans="1:38" ht="15" customHeight="1">
      <c r="A95" s="35"/>
      <c r="B95" s="385" t="s">
        <v>130</v>
      </c>
      <c r="C95" s="291"/>
      <c r="D95" s="367">
        <f t="shared" si="7"/>
        <v>47</v>
      </c>
      <c r="E95" s="264"/>
      <c r="F95" s="367"/>
      <c r="G95" s="367"/>
      <c r="H95" s="367"/>
      <c r="I95" s="264"/>
      <c r="J95" s="367"/>
      <c r="K95" s="554"/>
      <c r="L95" s="367"/>
      <c r="M95" s="554"/>
      <c r="N95" s="367"/>
      <c r="O95" s="554"/>
      <c r="P95" s="367"/>
      <c r="Q95" s="554"/>
      <c r="R95" s="367"/>
      <c r="S95" s="554"/>
      <c r="T95" s="367"/>
      <c r="U95" s="554"/>
      <c r="V95" s="367"/>
      <c r="W95" s="554"/>
      <c r="X95" s="367"/>
      <c r="Y95" s="554"/>
      <c r="Z95" s="367"/>
      <c r="AA95" s="264"/>
      <c r="AB95" s="525"/>
      <c r="AC95" s="532">
        <v>47</v>
      </c>
      <c r="AD95" s="287"/>
      <c r="AE95" s="1769"/>
      <c r="AF95" s="532">
        <v>32.799999999999997</v>
      </c>
      <c r="AG95" s="520"/>
      <c r="AH95" s="264"/>
      <c r="AI95" s="264">
        <f t="shared" si="8"/>
        <v>14.2</v>
      </c>
      <c r="AJ95" s="264"/>
      <c r="AK95" s="283">
        <f>_xlfn.SINGLE(ROUND(IF(AF95=0,0,AI95/ABS(AF95)),3))</f>
        <v>0.433</v>
      </c>
      <c r="AL95" s="1531"/>
    </row>
    <row r="96" spans="1:38" ht="15" customHeight="1">
      <c r="A96" s="35"/>
      <c r="B96" s="385" t="s">
        <v>131</v>
      </c>
      <c r="C96" s="291"/>
      <c r="D96" s="367">
        <f t="shared" si="7"/>
        <v>2</v>
      </c>
      <c r="E96" s="264"/>
      <c r="F96" s="367"/>
      <c r="G96" s="367"/>
      <c r="H96" s="367"/>
      <c r="I96" s="264"/>
      <c r="J96" s="367"/>
      <c r="K96" s="554"/>
      <c r="L96" s="367"/>
      <c r="M96" s="554"/>
      <c r="N96" s="367"/>
      <c r="O96" s="554"/>
      <c r="P96" s="367"/>
      <c r="Q96" s="554"/>
      <c r="R96" s="367"/>
      <c r="S96" s="554"/>
      <c r="T96" s="367"/>
      <c r="U96" s="554"/>
      <c r="V96" s="367"/>
      <c r="W96" s="554"/>
      <c r="X96" s="367"/>
      <c r="Y96" s="554"/>
      <c r="Z96" s="367"/>
      <c r="AA96" s="264"/>
      <c r="AB96" s="525"/>
      <c r="AC96" s="532">
        <v>2</v>
      </c>
      <c r="AD96" s="287"/>
      <c r="AE96" s="1769"/>
      <c r="AF96" s="532">
        <v>3.1</v>
      </c>
      <c r="AG96" s="520"/>
      <c r="AH96" s="264"/>
      <c r="AI96" s="264">
        <f t="shared" si="8"/>
        <v>-1.1000000000000001</v>
      </c>
      <c r="AJ96" s="264"/>
      <c r="AK96" s="608">
        <f>_xlfn.SINGLE(ROUND(IF(AF96=0,1,AI96/ABS(AF96)),3))</f>
        <v>-0.35499999999999998</v>
      </c>
      <c r="AL96" s="1531"/>
    </row>
    <row r="97" spans="1:38" ht="15" customHeight="1">
      <c r="A97" s="35"/>
      <c r="B97" s="385" t="s">
        <v>132</v>
      </c>
      <c r="C97" s="291"/>
      <c r="D97" s="367">
        <f t="shared" si="7"/>
        <v>0.2</v>
      </c>
      <c r="E97" s="264"/>
      <c r="F97" s="367"/>
      <c r="G97" s="367"/>
      <c r="H97" s="367"/>
      <c r="I97" s="264"/>
      <c r="J97" s="367"/>
      <c r="K97" s="554"/>
      <c r="L97" s="367"/>
      <c r="M97" s="554"/>
      <c r="N97" s="367"/>
      <c r="O97" s="554"/>
      <c r="P97" s="367"/>
      <c r="Q97" s="554"/>
      <c r="R97" s="367"/>
      <c r="S97" s="554"/>
      <c r="T97" s="367"/>
      <c r="U97" s="554"/>
      <c r="V97" s="367"/>
      <c r="W97" s="554"/>
      <c r="X97" s="367"/>
      <c r="Y97" s="554"/>
      <c r="Z97" s="367"/>
      <c r="AA97" s="264"/>
      <c r="AB97" s="525"/>
      <c r="AC97" s="532">
        <v>0.2</v>
      </c>
      <c r="AD97" s="287"/>
      <c r="AE97" s="1769"/>
      <c r="AF97" s="532">
        <v>1</v>
      </c>
      <c r="AG97" s="520"/>
      <c r="AH97" s="264"/>
      <c r="AI97" s="264">
        <f t="shared" si="8"/>
        <v>-0.8</v>
      </c>
      <c r="AJ97" s="264"/>
      <c r="AK97" s="608">
        <f>_xlfn.SINGLE(ROUND(IF(AF97=0,1,AI97/ABS(AF97)),3))</f>
        <v>-0.8</v>
      </c>
      <c r="AL97" s="1531"/>
    </row>
    <row r="98" spans="1:38" ht="15" customHeight="1">
      <c r="A98" s="35"/>
      <c r="B98" s="385" t="s">
        <v>1445</v>
      </c>
      <c r="C98" s="291"/>
      <c r="D98" s="367">
        <f t="shared" si="7"/>
        <v>84.2</v>
      </c>
      <c r="E98" s="264"/>
      <c r="F98" s="367"/>
      <c r="G98" s="367"/>
      <c r="H98" s="367"/>
      <c r="I98" s="264"/>
      <c r="J98" s="367"/>
      <c r="K98" s="554"/>
      <c r="L98" s="367"/>
      <c r="M98" s="554"/>
      <c r="N98" s="367"/>
      <c r="O98" s="554"/>
      <c r="P98" s="367"/>
      <c r="Q98" s="554"/>
      <c r="R98" s="367"/>
      <c r="S98" s="554"/>
      <c r="T98" s="367"/>
      <c r="U98" s="554"/>
      <c r="V98" s="367"/>
      <c r="W98" s="554"/>
      <c r="X98" s="367"/>
      <c r="Y98" s="554"/>
      <c r="Z98" s="367"/>
      <c r="AA98" s="264"/>
      <c r="AB98" s="525"/>
      <c r="AC98" s="532">
        <v>84.2</v>
      </c>
      <c r="AD98" s="287"/>
      <c r="AE98" s="1769"/>
      <c r="AF98" s="532">
        <v>92.7</v>
      </c>
      <c r="AG98" s="520"/>
      <c r="AH98" s="264"/>
      <c r="AI98" s="264">
        <f t="shared" si="8"/>
        <v>-8.5</v>
      </c>
      <c r="AJ98" s="264"/>
      <c r="AK98" s="283">
        <f>_xlfn.SINGLE(ROUND(IF(AF98=0,0,AI98/ABS(AF98)),3))</f>
        <v>-9.1999999999999998E-2</v>
      </c>
      <c r="AL98" s="1531"/>
    </row>
    <row r="99" spans="1:38" ht="15" customHeight="1">
      <c r="A99" s="35"/>
      <c r="B99" s="3" t="s">
        <v>528</v>
      </c>
      <c r="C99" s="291"/>
      <c r="D99" s="617">
        <f>_xlfn.SINGLE(ROUND(SUM(D89:D98),1))</f>
        <v>674.3</v>
      </c>
      <c r="E99" s="13"/>
      <c r="F99" s="617">
        <f>_xlfn.SINGLE(ROUND(SUM(F89:F98),1))</f>
        <v>0</v>
      </c>
      <c r="G99" s="13"/>
      <c r="H99" s="617">
        <f>_xlfn.SINGLE(ROUND(SUM(H89:H98),1))</f>
        <v>0</v>
      </c>
      <c r="I99" s="13"/>
      <c r="J99" s="617">
        <f>_xlfn.SINGLE(ROUND(SUM(J89:J98),1))</f>
        <v>0</v>
      </c>
      <c r="K99" s="13"/>
      <c r="L99" s="617">
        <f>_xlfn.SINGLE(ROUND(SUM(L89:L98),1))</f>
        <v>0</v>
      </c>
      <c r="M99" s="13"/>
      <c r="N99" s="617">
        <f>_xlfn.SINGLE(ROUND(SUM(N89:N98),1))</f>
        <v>0</v>
      </c>
      <c r="O99" s="13"/>
      <c r="P99" s="617">
        <f>_xlfn.SINGLE(ROUND(SUM(P89:P98),1))</f>
        <v>0</v>
      </c>
      <c r="Q99" s="13"/>
      <c r="R99" s="617">
        <f>_xlfn.SINGLE(ROUND(SUM(R89:R98),1))</f>
        <v>0</v>
      </c>
      <c r="S99" s="13"/>
      <c r="T99" s="617">
        <f>_xlfn.SINGLE(ROUND(SUM(T89:T98),1))</f>
        <v>0</v>
      </c>
      <c r="U99" s="13"/>
      <c r="V99" s="617">
        <f>_xlfn.SINGLE(ROUND(SUM(V89:V98),1))</f>
        <v>0</v>
      </c>
      <c r="W99" s="13"/>
      <c r="X99" s="617">
        <f>_xlfn.SINGLE(ROUND(SUM(X89:X98),1))</f>
        <v>0</v>
      </c>
      <c r="Y99" s="13"/>
      <c r="Z99" s="617">
        <f>_xlfn.SINGLE(ROUND(SUM(Z89:Z98),1))</f>
        <v>0</v>
      </c>
      <c r="AA99" s="13"/>
      <c r="AB99" s="14"/>
      <c r="AC99" s="674">
        <f>ROUND(SUM(AC89:AC98),1)</f>
        <v>674.3</v>
      </c>
      <c r="AD99" s="13"/>
      <c r="AE99" s="670"/>
      <c r="AF99" s="674">
        <f>ROUND(SUM(AF89:AF98),1)</f>
        <v>667.4</v>
      </c>
      <c r="AG99" s="75"/>
      <c r="AH99" s="13"/>
      <c r="AI99" s="674">
        <f>_xlfn.SINGLE(ROUND(SUM(AC99-AF99),1))</f>
        <v>6.9</v>
      </c>
      <c r="AJ99" s="40"/>
      <c r="AK99" s="924">
        <f>_xlfn.SINGLE(ROUND(SUM((AC99-AF99)/ABS(AF99)),3))</f>
        <v>0.01</v>
      </c>
      <c r="AL99" s="1531"/>
    </row>
    <row r="100" spans="1:38" ht="15" customHeight="1">
      <c r="A100" s="35"/>
      <c r="B100" s="291" t="s">
        <v>509</v>
      </c>
      <c r="C100" s="291"/>
      <c r="D100" s="264"/>
      <c r="E100" s="264"/>
      <c r="F100" s="264"/>
      <c r="G100" s="264"/>
      <c r="H100" s="264"/>
      <c r="I100" s="264"/>
      <c r="J100" s="264"/>
      <c r="K100" s="264"/>
      <c r="L100" s="264"/>
      <c r="M100" s="264"/>
      <c r="N100" s="264"/>
      <c r="O100" s="264"/>
      <c r="P100" s="264"/>
      <c r="Q100" s="264"/>
      <c r="R100" s="264"/>
      <c r="S100" s="264"/>
      <c r="T100" s="264"/>
      <c r="U100" s="264"/>
      <c r="V100" s="264"/>
      <c r="W100" s="264"/>
      <c r="X100" s="367"/>
      <c r="Y100" s="264"/>
      <c r="Z100" s="264"/>
      <c r="AA100" s="264"/>
      <c r="AB100" s="524"/>
      <c r="AC100" s="264"/>
      <c r="AD100" s="264"/>
      <c r="AE100" s="525"/>
      <c r="AF100" s="264"/>
      <c r="AG100" s="520"/>
      <c r="AH100" s="264"/>
      <c r="AI100" s="264"/>
      <c r="AJ100" s="364"/>
      <c r="AK100" s="283"/>
      <c r="AL100" s="1531"/>
    </row>
    <row r="101" spans="1:38" ht="15" customHeight="1">
      <c r="A101" s="35"/>
      <c r="B101" s="291" t="s">
        <v>454</v>
      </c>
      <c r="C101" s="291"/>
      <c r="D101" s="367">
        <f>AC101</f>
        <v>555.79999999999995</v>
      </c>
      <c r="E101" s="264"/>
      <c r="F101" s="367"/>
      <c r="G101" s="367"/>
      <c r="H101" s="367"/>
      <c r="I101" s="264"/>
      <c r="J101" s="367"/>
      <c r="K101" s="554"/>
      <c r="L101" s="367"/>
      <c r="M101" s="554"/>
      <c r="N101" s="367"/>
      <c r="O101" s="554"/>
      <c r="P101" s="367"/>
      <c r="Q101" s="554"/>
      <c r="R101" s="367"/>
      <c r="S101" s="554"/>
      <c r="T101" s="367"/>
      <c r="U101" s="554"/>
      <c r="V101" s="367"/>
      <c r="W101" s="554"/>
      <c r="X101" s="367"/>
      <c r="Y101" s="554"/>
      <c r="Z101" s="367"/>
      <c r="AA101" s="264"/>
      <c r="AB101" s="525"/>
      <c r="AC101" s="532">
        <v>555.79999999999995</v>
      </c>
      <c r="AD101" s="287"/>
      <c r="AE101" s="1769"/>
      <c r="AF101" s="532">
        <v>510.9</v>
      </c>
      <c r="AG101" s="520"/>
      <c r="AH101" s="264"/>
      <c r="AI101" s="264">
        <f>_xlfn.SINGLE(ROUND(SUM(+AC101-AF101),1))</f>
        <v>44.9</v>
      </c>
      <c r="AJ101" s="264"/>
      <c r="AK101" s="283">
        <f>_xlfn.SINGLE(ROUND(IF(AF101=0,0,AI101/ABS(AF101)),3))</f>
        <v>8.7999999999999995E-2</v>
      </c>
      <c r="AL101" s="1531"/>
    </row>
    <row r="102" spans="1:38" ht="15" customHeight="1">
      <c r="A102" s="35"/>
      <c r="B102" s="291" t="s">
        <v>510</v>
      </c>
      <c r="C102" s="291"/>
      <c r="D102" s="367">
        <f t="shared" ref="D102:D104" si="9">AC102</f>
        <v>325</v>
      </c>
      <c r="E102" s="264"/>
      <c r="F102" s="367"/>
      <c r="G102" s="367"/>
      <c r="H102" s="367"/>
      <c r="I102" s="264"/>
      <c r="J102" s="367"/>
      <c r="K102" s="554"/>
      <c r="L102" s="367"/>
      <c r="M102" s="554"/>
      <c r="N102" s="367"/>
      <c r="O102" s="554"/>
      <c r="P102" s="367"/>
      <c r="Q102" s="554"/>
      <c r="R102" s="367"/>
      <c r="S102" s="554"/>
      <c r="T102" s="367"/>
      <c r="U102" s="554"/>
      <c r="V102" s="367"/>
      <c r="W102" s="554"/>
      <c r="X102" s="367"/>
      <c r="Y102" s="554"/>
      <c r="Z102" s="367"/>
      <c r="AA102" s="264"/>
      <c r="AB102" s="525"/>
      <c r="AC102" s="532">
        <v>325</v>
      </c>
      <c r="AD102" s="287"/>
      <c r="AE102" s="1769"/>
      <c r="AF102" s="532">
        <v>317.39999999999998</v>
      </c>
      <c r="AG102" s="520"/>
      <c r="AH102" s="264"/>
      <c r="AI102" s="264">
        <f>_xlfn.SINGLE(ROUND(SUM(+AC102-AF102),1))</f>
        <v>7.6</v>
      </c>
      <c r="AJ102" s="264"/>
      <c r="AK102" s="283">
        <f>_xlfn.SINGLE(ROUND(IF(AF102=0,0,AI102/ABS(AF102)),3))</f>
        <v>2.4E-2</v>
      </c>
      <c r="AL102" s="1531"/>
    </row>
    <row r="103" spans="1:38" ht="15" customHeight="1">
      <c r="A103" s="35"/>
      <c r="B103" s="291" t="s">
        <v>511</v>
      </c>
      <c r="C103" s="291"/>
      <c r="D103" s="367">
        <f t="shared" si="9"/>
        <v>34.5</v>
      </c>
      <c r="E103" s="264"/>
      <c r="F103" s="367"/>
      <c r="G103" s="367"/>
      <c r="H103" s="367"/>
      <c r="I103" s="264"/>
      <c r="J103" s="367"/>
      <c r="K103" s="554"/>
      <c r="L103" s="367"/>
      <c r="M103" s="554"/>
      <c r="N103" s="367"/>
      <c r="O103" s="554"/>
      <c r="P103" s="367"/>
      <c r="Q103" s="554"/>
      <c r="R103" s="367"/>
      <c r="S103" s="554"/>
      <c r="T103" s="367"/>
      <c r="U103" s="554"/>
      <c r="V103" s="367"/>
      <c r="W103" s="554"/>
      <c r="X103" s="367"/>
      <c r="Y103" s="554"/>
      <c r="Z103" s="367"/>
      <c r="AA103" s="264"/>
      <c r="AB103" s="525"/>
      <c r="AC103" s="532">
        <v>34.5</v>
      </c>
      <c r="AD103" s="287"/>
      <c r="AE103" s="1769"/>
      <c r="AF103" s="532">
        <v>45.5</v>
      </c>
      <c r="AG103" s="520"/>
      <c r="AH103" s="264"/>
      <c r="AI103" s="264">
        <f>_xlfn.SINGLE(ROUND(SUM(+AC103-AF103),1))</f>
        <v>-11</v>
      </c>
      <c r="AJ103" s="264"/>
      <c r="AK103" s="283">
        <f>_xlfn.SINGLE(ROUND(IF(AF103=0,0,AI103/ABS(AF103)),3))</f>
        <v>-0.24199999999999999</v>
      </c>
      <c r="AL103" s="1531"/>
    </row>
    <row r="104" spans="1:38" ht="15" customHeight="1">
      <c r="A104" s="35"/>
      <c r="B104" s="291" t="s">
        <v>513</v>
      </c>
      <c r="C104" s="291"/>
      <c r="D104" s="367">
        <f t="shared" si="9"/>
        <v>0</v>
      </c>
      <c r="E104" s="264"/>
      <c r="F104" s="367"/>
      <c r="G104" s="367"/>
      <c r="H104" s="367"/>
      <c r="I104" s="264"/>
      <c r="J104" s="367"/>
      <c r="K104" s="554"/>
      <c r="L104" s="367"/>
      <c r="M104" s="554"/>
      <c r="N104" s="367"/>
      <c r="O104" s="554"/>
      <c r="P104" s="367"/>
      <c r="Q104" s="554"/>
      <c r="R104" s="367"/>
      <c r="S104" s="554"/>
      <c r="T104" s="367"/>
      <c r="U104" s="554"/>
      <c r="V104" s="367"/>
      <c r="W104" s="554"/>
      <c r="X104" s="886"/>
      <c r="Y104" s="554"/>
      <c r="Z104" s="367"/>
      <c r="AA104" s="264"/>
      <c r="AB104" s="525"/>
      <c r="AC104" s="532">
        <v>0</v>
      </c>
      <c r="AD104" s="287"/>
      <c r="AE104" s="1769"/>
      <c r="AF104" s="532">
        <v>0</v>
      </c>
      <c r="AG104" s="520"/>
      <c r="AH104" s="264"/>
      <c r="AI104" s="264">
        <f>_xlfn.SINGLE(ROUND(SUM(+AC104-AF104),1))</f>
        <v>0</v>
      </c>
      <c r="AJ104" s="264"/>
      <c r="AK104" s="266">
        <f>_xlfn.SINGLE(ROUND(IF(AF104=0,0,AI104/ABS(AF104)),3))</f>
        <v>0</v>
      </c>
      <c r="AL104" s="1531"/>
    </row>
    <row r="105" spans="1:38" ht="15" customHeight="1">
      <c r="A105" s="35"/>
      <c r="B105" s="291"/>
      <c r="C105" s="291"/>
      <c r="D105" s="616"/>
      <c r="E105" s="264"/>
      <c r="F105" s="616"/>
      <c r="G105" s="264"/>
      <c r="H105" s="616"/>
      <c r="I105" s="264"/>
      <c r="J105" s="616"/>
      <c r="K105" s="264"/>
      <c r="L105" s="616"/>
      <c r="M105" s="264"/>
      <c r="N105" s="616"/>
      <c r="O105" s="264"/>
      <c r="P105" s="616"/>
      <c r="Q105" s="264"/>
      <c r="R105" s="616"/>
      <c r="S105" s="264"/>
      <c r="T105" s="616"/>
      <c r="U105" s="264"/>
      <c r="V105" s="616"/>
      <c r="W105" s="264"/>
      <c r="X105" s="367"/>
      <c r="Y105" s="264"/>
      <c r="Z105" s="616"/>
      <c r="AA105" s="264"/>
      <c r="AB105" s="524"/>
      <c r="AC105" s="616"/>
      <c r="AD105" s="264"/>
      <c r="AE105" s="525"/>
      <c r="AF105" s="616"/>
      <c r="AG105" s="520"/>
      <c r="AH105" s="264"/>
      <c r="AI105" s="1037"/>
      <c r="AJ105" s="364"/>
      <c r="AK105" s="1038"/>
      <c r="AL105" s="1531"/>
    </row>
    <row r="106" spans="1:38" ht="15" customHeight="1">
      <c r="A106" s="35"/>
      <c r="B106" s="3" t="s">
        <v>1446</v>
      </c>
      <c r="C106" s="291"/>
      <c r="D106" s="13">
        <f>_xlfn.SINGLE(ROUND(SUM(D99:D104),1))</f>
        <v>1589.6</v>
      </c>
      <c r="E106" s="13"/>
      <c r="F106" s="13">
        <f>_xlfn.SINGLE(ROUND(SUM(F99:F104),1))</f>
        <v>0</v>
      </c>
      <c r="G106" s="13"/>
      <c r="H106" s="13">
        <f>_xlfn.SINGLE(ROUND(SUM(H99:H104),1))</f>
        <v>0</v>
      </c>
      <c r="I106" s="13"/>
      <c r="J106" s="13">
        <f>_xlfn.SINGLE(ROUND(SUM(J99:J104),1))</f>
        <v>0</v>
      </c>
      <c r="K106" s="13"/>
      <c r="L106" s="13">
        <f>_xlfn.SINGLE(ROUND(SUM(L99:L104),1))</f>
        <v>0</v>
      </c>
      <c r="M106" s="13"/>
      <c r="N106" s="13">
        <f>_xlfn.SINGLE(ROUND(SUM(N99:N104),1))</f>
        <v>0</v>
      </c>
      <c r="O106" s="13"/>
      <c r="P106" s="13">
        <f>_xlfn.SINGLE(ROUND(SUM(P99:P104),1))</f>
        <v>0</v>
      </c>
      <c r="Q106" s="13"/>
      <c r="R106" s="13">
        <f>_xlfn.SINGLE(ROUND(SUM(R99:R104),1))</f>
        <v>0</v>
      </c>
      <c r="S106" s="13"/>
      <c r="T106" s="13">
        <f t="shared" ref="T106" si="10">_xlfn.SINGLE(ROUND(SUM(T99:T104),1))</f>
        <v>0</v>
      </c>
      <c r="U106" s="13"/>
      <c r="V106" s="13">
        <f>_xlfn.SINGLE(ROUND(SUM(V99:V104),1))</f>
        <v>0</v>
      </c>
      <c r="W106" s="13"/>
      <c r="X106" s="357">
        <f>_xlfn.SINGLE(ROUND(SUM(X99:X104),1))</f>
        <v>0</v>
      </c>
      <c r="Y106" s="13"/>
      <c r="Z106" s="13">
        <f>_xlfn.SINGLE(ROUND(SUM(Z99:Z104),1))</f>
        <v>0</v>
      </c>
      <c r="AA106" s="13"/>
      <c r="AB106" s="14"/>
      <c r="AC106" s="13">
        <f>ROUND(SUM(AC99:AC104),1)</f>
        <v>1589.6</v>
      </c>
      <c r="AD106" s="13"/>
      <c r="AE106" s="670"/>
      <c r="AF106" s="13">
        <f>ROUND(SUM(AF99:AF104),1)</f>
        <v>1541.2</v>
      </c>
      <c r="AG106" s="75"/>
      <c r="AH106" s="13"/>
      <c r="AI106" s="357">
        <f>_xlfn.SINGLE(ROUND(SUM(AC106-AF106),1))</f>
        <v>48.4</v>
      </c>
      <c r="AJ106" s="57"/>
      <c r="AK106" s="368">
        <f>_xlfn.SINGLE(ROUND(SUM((AC106-AF106)/ABS(AF106)),3))</f>
        <v>3.1E-2</v>
      </c>
      <c r="AL106" s="1531"/>
    </row>
    <row r="107" spans="1:38" ht="15" customHeight="1">
      <c r="A107" s="35"/>
      <c r="B107" s="291"/>
      <c r="C107" s="291"/>
      <c r="D107" s="616"/>
      <c r="E107" s="264"/>
      <c r="F107" s="616"/>
      <c r="G107" s="264"/>
      <c r="H107" s="616"/>
      <c r="I107" s="264"/>
      <c r="J107" s="616"/>
      <c r="K107" s="264"/>
      <c r="L107" s="616"/>
      <c r="M107" s="264"/>
      <c r="N107" s="616"/>
      <c r="O107" s="264"/>
      <c r="P107" s="616"/>
      <c r="Q107" s="264"/>
      <c r="R107" s="616"/>
      <c r="S107" s="264"/>
      <c r="T107" s="616"/>
      <c r="U107" s="264"/>
      <c r="V107" s="616"/>
      <c r="W107" s="264"/>
      <c r="X107" s="367"/>
      <c r="Y107" s="264"/>
      <c r="Z107" s="616"/>
      <c r="AA107" s="264"/>
      <c r="AB107" s="524"/>
      <c r="AC107" s="616"/>
      <c r="AD107" s="264"/>
      <c r="AE107" s="525"/>
      <c r="AF107" s="616"/>
      <c r="AG107" s="520"/>
      <c r="AH107" s="264"/>
      <c r="AI107" s="264"/>
      <c r="AJ107" s="364"/>
      <c r="AK107" s="283"/>
      <c r="AL107" s="1531"/>
    </row>
    <row r="108" spans="1:38" ht="15" customHeight="1">
      <c r="A108" s="35"/>
      <c r="B108" s="3" t="s">
        <v>458</v>
      </c>
      <c r="C108" s="291"/>
      <c r="D108" s="264"/>
      <c r="E108" s="264"/>
      <c r="F108" s="264"/>
      <c r="G108" s="264"/>
      <c r="H108" s="264"/>
      <c r="I108" s="264"/>
      <c r="J108" s="264"/>
      <c r="K108" s="264"/>
      <c r="L108" s="264"/>
      <c r="M108" s="264"/>
      <c r="N108" s="264"/>
      <c r="O108" s="264"/>
      <c r="P108" s="264"/>
      <c r="Q108" s="264"/>
      <c r="R108" s="264"/>
      <c r="S108" s="264"/>
      <c r="T108" s="264"/>
      <c r="U108" s="264"/>
      <c r="V108" s="264"/>
      <c r="W108" s="264"/>
      <c r="X108" s="367"/>
      <c r="Y108" s="264"/>
      <c r="Z108" s="264"/>
      <c r="AA108" s="264"/>
      <c r="AB108" s="524"/>
      <c r="AC108" s="264"/>
      <c r="AD108" s="264"/>
      <c r="AE108" s="525"/>
      <c r="AF108" s="264"/>
      <c r="AG108" s="520"/>
      <c r="AH108" s="264"/>
      <c r="AI108" s="264"/>
      <c r="AJ108" s="364"/>
      <c r="AK108" s="283"/>
      <c r="AL108" s="1531"/>
    </row>
    <row r="109" spans="1:38" ht="15" customHeight="1">
      <c r="A109" s="35"/>
      <c r="B109" s="3" t="s">
        <v>1447</v>
      </c>
      <c r="C109" s="291"/>
      <c r="D109" s="13">
        <f>_xlfn.SINGLE(ROUND(SUM(D85-D106),1))</f>
        <v>1035</v>
      </c>
      <c r="E109" s="13"/>
      <c r="F109" s="13">
        <f>_xlfn.SINGLE(ROUND(SUM(F85-F106),1))</f>
        <v>0</v>
      </c>
      <c r="G109" s="13"/>
      <c r="H109" s="13">
        <f>_xlfn.SINGLE(ROUND(SUM(H85-H106),1))</f>
        <v>0</v>
      </c>
      <c r="I109" s="13"/>
      <c r="J109" s="13">
        <f>_xlfn.SINGLE(ROUND(SUM(J85-J106),1))</f>
        <v>0</v>
      </c>
      <c r="K109" s="13"/>
      <c r="L109" s="13">
        <f>_xlfn.SINGLE(ROUND(SUM(L85-L106),1))</f>
        <v>0</v>
      </c>
      <c r="M109" s="13"/>
      <c r="N109" s="13">
        <f>_xlfn.SINGLE(ROUND(SUM(N85-N106),1))</f>
        <v>0</v>
      </c>
      <c r="O109" s="13"/>
      <c r="P109" s="13">
        <f>_xlfn.SINGLE(ROUND(SUM(P85-P106),1))</f>
        <v>0</v>
      </c>
      <c r="Q109" s="13"/>
      <c r="R109" s="13">
        <f>_xlfn.SINGLE(ROUND(SUM(R85-R106),1))</f>
        <v>0</v>
      </c>
      <c r="S109" s="13"/>
      <c r="T109" s="13">
        <f>_xlfn.SINGLE(ROUND(SUM(T85-T106),1))</f>
        <v>0</v>
      </c>
      <c r="U109" s="13"/>
      <c r="V109" s="13">
        <f>_xlfn.SINGLE(ROUND(SUM(V85-V106),1))</f>
        <v>0</v>
      </c>
      <c r="W109" s="13"/>
      <c r="X109" s="357">
        <f>_xlfn.SINGLE(ROUND(SUM(X85-X106),1))</f>
        <v>0</v>
      </c>
      <c r="Y109" s="13"/>
      <c r="Z109" s="13">
        <f>_xlfn.SINGLE(ROUND(SUM(Z85-Z106),1))</f>
        <v>0</v>
      </c>
      <c r="AA109" s="13"/>
      <c r="AB109" s="14"/>
      <c r="AC109" s="13">
        <f>ROUND(SUM(AC85-AC106),1)</f>
        <v>1035</v>
      </c>
      <c r="AD109" s="13"/>
      <c r="AE109" s="670"/>
      <c r="AF109" s="13">
        <f>ROUND(SUM(AF85-AF106),1)</f>
        <v>914.8</v>
      </c>
      <c r="AG109" s="75"/>
      <c r="AH109" s="13"/>
      <c r="AI109" s="357">
        <f>_xlfn.SINGLE(ROUND(SUM(AC109-AF109),1))</f>
        <v>120.2</v>
      </c>
      <c r="AJ109" s="57"/>
      <c r="AK109" s="612">
        <f>_xlfn.SINGLE(ROUND(IF(AF109=0,0,AI109/ABS(AF109)),3))</f>
        <v>0.13100000000000001</v>
      </c>
      <c r="AL109" s="1531"/>
    </row>
    <row r="110" spans="1:38" ht="15" customHeight="1">
      <c r="A110" s="35"/>
      <c r="B110" s="291"/>
      <c r="C110" s="291"/>
      <c r="D110" s="616"/>
      <c r="E110" s="264"/>
      <c r="F110" s="616"/>
      <c r="G110" s="264"/>
      <c r="H110" s="616"/>
      <c r="I110" s="264"/>
      <c r="J110" s="616"/>
      <c r="K110" s="264"/>
      <c r="L110" s="616"/>
      <c r="M110" s="264"/>
      <c r="N110" s="616"/>
      <c r="O110" s="264"/>
      <c r="P110" s="616"/>
      <c r="Q110" s="264"/>
      <c r="R110" s="616"/>
      <c r="S110" s="264"/>
      <c r="T110" s="616"/>
      <c r="U110" s="264"/>
      <c r="V110" s="616"/>
      <c r="W110" s="264"/>
      <c r="X110" s="367"/>
      <c r="Y110" s="264"/>
      <c r="Z110" s="616"/>
      <c r="AA110" s="264"/>
      <c r="AB110" s="524"/>
      <c r="AC110" s="616"/>
      <c r="AD110" s="264"/>
      <c r="AE110" s="525"/>
      <c r="AF110" s="616"/>
      <c r="AG110" s="520"/>
      <c r="AH110" s="264"/>
      <c r="AI110" s="264"/>
      <c r="AJ110" s="364"/>
      <c r="AK110" s="283"/>
      <c r="AL110" s="1531"/>
    </row>
    <row r="111" spans="1:38" ht="15" customHeight="1">
      <c r="A111" s="35"/>
      <c r="B111" s="3" t="s">
        <v>145</v>
      </c>
      <c r="C111" s="291"/>
      <c r="D111" s="264"/>
      <c r="E111" s="264"/>
      <c r="F111" s="264"/>
      <c r="G111" s="264"/>
      <c r="H111" s="264"/>
      <c r="I111" s="264"/>
      <c r="J111" s="264"/>
      <c r="K111" s="264"/>
      <c r="L111" s="264"/>
      <c r="M111" s="264"/>
      <c r="N111" s="264"/>
      <c r="O111" s="264"/>
      <c r="P111" s="264"/>
      <c r="Q111" s="264"/>
      <c r="S111" s="264"/>
      <c r="T111" s="264"/>
      <c r="U111" s="264"/>
      <c r="V111" s="264"/>
      <c r="W111" s="264"/>
      <c r="X111" s="367"/>
      <c r="Y111" s="264"/>
      <c r="Z111" s="264"/>
      <c r="AA111" s="264"/>
      <c r="AB111" s="524"/>
      <c r="AC111" s="264"/>
      <c r="AD111" s="264"/>
      <c r="AE111" s="525"/>
      <c r="AF111" s="264"/>
      <c r="AG111" s="520"/>
      <c r="AH111" s="264"/>
      <c r="AI111" s="264"/>
      <c r="AJ111" s="364"/>
      <c r="AK111" s="283"/>
      <c r="AL111" s="1531"/>
    </row>
    <row r="112" spans="1:38" ht="15" customHeight="1">
      <c r="A112" s="35"/>
      <c r="B112" s="291" t="s">
        <v>529</v>
      </c>
      <c r="C112" s="291"/>
      <c r="D112" s="367">
        <f>AC112</f>
        <v>243.1</v>
      </c>
      <c r="E112" s="264"/>
      <c r="F112" s="367"/>
      <c r="G112" s="367"/>
      <c r="H112" s="367"/>
      <c r="I112" s="264"/>
      <c r="J112" s="367"/>
      <c r="K112" s="554"/>
      <c r="L112" s="367"/>
      <c r="M112" s="554"/>
      <c r="N112" s="367"/>
      <c r="O112" s="554"/>
      <c r="P112" s="367"/>
      <c r="Q112" s="554"/>
      <c r="R112" s="367"/>
      <c r="S112" s="554"/>
      <c r="T112" s="367"/>
      <c r="U112" s="554"/>
      <c r="V112" s="367"/>
      <c r="W112" s="554"/>
      <c r="X112" s="367"/>
      <c r="Y112" s="554"/>
      <c r="Z112" s="367"/>
      <c r="AA112" s="264"/>
      <c r="AB112" s="525"/>
      <c r="AC112" s="532">
        <v>243.1</v>
      </c>
      <c r="AD112" s="287"/>
      <c r="AE112" s="1769"/>
      <c r="AF112" s="532">
        <v>379.4</v>
      </c>
      <c r="AG112" s="520"/>
      <c r="AH112" s="264"/>
      <c r="AI112" s="264">
        <f>_xlfn.SINGLE(ROUND(SUM(+AC112-AF112),1))</f>
        <v>-136.30000000000001</v>
      </c>
      <c r="AJ112" s="264"/>
      <c r="AK112" s="283">
        <f>_xlfn.SINGLE(ROUND(IF(AF112=0,0,AI112/ABS(AF112)),3))</f>
        <v>-0.35899999999999999</v>
      </c>
      <c r="AL112" s="1531"/>
    </row>
    <row r="113" spans="1:38" ht="15" customHeight="1">
      <c r="A113" s="35"/>
      <c r="B113" s="291" t="s">
        <v>516</v>
      </c>
      <c r="C113" s="291"/>
      <c r="D113" s="367">
        <f>AC113</f>
        <v>-22.4</v>
      </c>
      <c r="E113" s="264"/>
      <c r="F113" s="367"/>
      <c r="G113" s="367"/>
      <c r="H113" s="367"/>
      <c r="I113" s="264"/>
      <c r="J113" s="367"/>
      <c r="K113" s="554"/>
      <c r="L113" s="367"/>
      <c r="M113" s="554"/>
      <c r="N113" s="367"/>
      <c r="O113" s="554"/>
      <c r="P113" s="367"/>
      <c r="Q113" s="554"/>
      <c r="R113" s="367"/>
      <c r="S113" s="554"/>
      <c r="T113" s="367"/>
      <c r="U113" s="554"/>
      <c r="V113" s="367"/>
      <c r="W113" s="554"/>
      <c r="X113" s="367"/>
      <c r="Y113" s="554"/>
      <c r="Z113" s="367"/>
      <c r="AA113" s="264"/>
      <c r="AB113" s="525"/>
      <c r="AC113" s="532">
        <v>-22.4</v>
      </c>
      <c r="AD113" s="287"/>
      <c r="AE113" s="1769"/>
      <c r="AF113" s="532">
        <v>1.4</v>
      </c>
      <c r="AG113" s="520"/>
      <c r="AH113" s="264"/>
      <c r="AI113" s="264">
        <f>_xlfn.SINGLE(ROUND(SUM(+AC113-AF113)*-1,1))</f>
        <v>23.8</v>
      </c>
      <c r="AJ113" s="264"/>
      <c r="AK113" s="543">
        <f>_xlfn.SINGLE(ROUND(IF(AF113=0,0,AI113/ABS(AF113)),3))</f>
        <v>17</v>
      </c>
      <c r="AL113" s="1531"/>
    </row>
    <row r="114" spans="1:38" ht="15" customHeight="1">
      <c r="A114" s="35"/>
      <c r="B114" s="291"/>
      <c r="C114" s="291"/>
      <c r="D114" s="616"/>
      <c r="E114" s="264"/>
      <c r="F114" s="616"/>
      <c r="G114" s="264"/>
      <c r="H114" s="616"/>
      <c r="I114" s="264"/>
      <c r="J114" s="616"/>
      <c r="K114" s="264"/>
      <c r="L114" s="616"/>
      <c r="M114" s="264"/>
      <c r="N114" s="616"/>
      <c r="O114" s="264"/>
      <c r="P114" s="616"/>
      <c r="Q114" s="264"/>
      <c r="R114" s="616"/>
      <c r="S114" s="264"/>
      <c r="T114" s="616"/>
      <c r="U114" s="264"/>
      <c r="V114" s="616"/>
      <c r="W114" s="264"/>
      <c r="X114" s="616"/>
      <c r="Y114" s="264"/>
      <c r="Z114" s="616"/>
      <c r="AA114" s="264"/>
      <c r="AB114" s="524"/>
      <c r="AC114" s="616"/>
      <c r="AD114" s="264"/>
      <c r="AE114" s="525"/>
      <c r="AF114" s="616"/>
      <c r="AG114" s="520"/>
      <c r="AH114" s="264"/>
      <c r="AI114" s="1037"/>
      <c r="AJ114" s="364"/>
      <c r="AK114" s="1038"/>
      <c r="AL114" s="1531"/>
    </row>
    <row r="115" spans="1:38" ht="15" customHeight="1">
      <c r="A115" s="35"/>
      <c r="B115" s="3" t="s">
        <v>530</v>
      </c>
      <c r="C115" s="291"/>
      <c r="D115" s="13">
        <f>_xlfn.SINGLE(ROUND(SUM(D112:D114),1))</f>
        <v>220.7</v>
      </c>
      <c r="E115" s="13"/>
      <c r="F115" s="13">
        <f>_xlfn.SINGLE(ROUND(SUM(F112:F114),1))</f>
        <v>0</v>
      </c>
      <c r="G115" s="13"/>
      <c r="H115" s="13">
        <f>_xlfn.SINGLE(ROUND(SUM(H112:H114),1))</f>
        <v>0</v>
      </c>
      <c r="I115" s="13"/>
      <c r="J115" s="13">
        <f>_xlfn.SINGLE(ROUND(SUM(J112:J114),1))</f>
        <v>0</v>
      </c>
      <c r="K115" s="13"/>
      <c r="L115" s="13">
        <f>_xlfn.SINGLE(ROUND(SUM(L112:L114),1))</f>
        <v>0</v>
      </c>
      <c r="M115" s="13"/>
      <c r="N115" s="13">
        <f>_xlfn.SINGLE(ROUND(SUM(N112:N114),1))</f>
        <v>0</v>
      </c>
      <c r="O115" s="13"/>
      <c r="P115" s="13">
        <f>_xlfn.SINGLE(ROUND(SUM(P112:P114),1))</f>
        <v>0</v>
      </c>
      <c r="Q115" s="13"/>
      <c r="R115" s="13">
        <f>_xlfn.SINGLE(ROUND(SUM(R112:R114),1))</f>
        <v>0</v>
      </c>
      <c r="S115" s="13"/>
      <c r="T115" s="13">
        <f>_xlfn.SINGLE(ROUND(SUM(T112:T114),1))</f>
        <v>0</v>
      </c>
      <c r="U115" s="13"/>
      <c r="V115" s="13">
        <f>_xlfn.SINGLE(ROUND(SUM(V112:V114),1))</f>
        <v>0</v>
      </c>
      <c r="W115" s="13"/>
      <c r="X115" s="13">
        <f>_xlfn.SINGLE(ROUND(SUM(X112:X114),1))</f>
        <v>0</v>
      </c>
      <c r="Y115" s="13"/>
      <c r="Z115" s="13">
        <f>_xlfn.SINGLE(ROUND(SUM(Z112:Z114),1))</f>
        <v>0</v>
      </c>
      <c r="AA115" s="13"/>
      <c r="AB115" s="14"/>
      <c r="AC115" s="13">
        <f>ROUND(SUM(AC112:AC114),1)</f>
        <v>220.7</v>
      </c>
      <c r="AD115" s="13"/>
      <c r="AE115" s="670"/>
      <c r="AF115" s="13">
        <f>ROUND(SUM(AF112:AF114),1)</f>
        <v>380.8</v>
      </c>
      <c r="AG115" s="75"/>
      <c r="AH115" s="13"/>
      <c r="AI115" s="357">
        <f>_xlfn.SINGLE(ROUND(SUM(AC115-AF115),1))</f>
        <v>-160.1</v>
      </c>
      <c r="AJ115" s="40"/>
      <c r="AK115" s="368">
        <f>_xlfn.SINGLE(ROUND(SUM((AC115-AF115)/ABS(AF115)),3))</f>
        <v>-0.42</v>
      </c>
      <c r="AL115" s="1531"/>
    </row>
    <row r="116" spans="1:38" ht="15" customHeight="1">
      <c r="A116" s="35"/>
      <c r="B116" s="291"/>
      <c r="C116" s="291"/>
      <c r="D116" s="616"/>
      <c r="E116" s="264"/>
      <c r="F116" s="616"/>
      <c r="G116" s="264"/>
      <c r="H116" s="616"/>
      <c r="I116" s="264"/>
      <c r="J116" s="616"/>
      <c r="K116" s="264"/>
      <c r="L116" s="616"/>
      <c r="M116" s="264"/>
      <c r="N116" s="616"/>
      <c r="O116" s="264"/>
      <c r="P116" s="616"/>
      <c r="Q116" s="264"/>
      <c r="R116" s="616"/>
      <c r="S116" s="264"/>
      <c r="T116" s="616"/>
      <c r="U116" s="264"/>
      <c r="V116" s="616"/>
      <c r="W116" s="264"/>
      <c r="X116" s="616"/>
      <c r="Y116" s="264"/>
      <c r="Z116" s="616"/>
      <c r="AA116" s="264"/>
      <c r="AB116" s="524"/>
      <c r="AC116" s="616"/>
      <c r="AD116" s="264"/>
      <c r="AE116" s="525"/>
      <c r="AF116" s="616"/>
      <c r="AG116" s="520"/>
      <c r="AH116" s="264"/>
      <c r="AI116" s="264"/>
      <c r="AJ116" s="364"/>
      <c r="AK116" s="283"/>
      <c r="AL116" s="1531"/>
    </row>
    <row r="117" spans="1:38" ht="15" customHeight="1">
      <c r="A117" s="35"/>
      <c r="B117" s="3" t="s">
        <v>469</v>
      </c>
      <c r="C117" s="291"/>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524"/>
      <c r="AC117" s="264"/>
      <c r="AD117" s="264"/>
      <c r="AE117" s="525"/>
      <c r="AF117" s="264"/>
      <c r="AG117" s="520"/>
      <c r="AH117" s="264"/>
      <c r="AI117" s="264"/>
      <c r="AJ117" s="364"/>
      <c r="AK117" s="283"/>
      <c r="AL117" s="1531"/>
    </row>
    <row r="118" spans="1:38" ht="15" customHeight="1">
      <c r="A118" s="35"/>
      <c r="B118" s="3" t="s">
        <v>531</v>
      </c>
      <c r="C118" s="291"/>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524"/>
      <c r="AC118" s="264"/>
      <c r="AD118" s="264"/>
      <c r="AE118" s="525"/>
      <c r="AF118" s="264"/>
      <c r="AG118" s="520"/>
      <c r="AH118" s="264"/>
      <c r="AI118" s="264"/>
      <c r="AJ118" s="364"/>
      <c r="AK118" s="283"/>
      <c r="AL118" s="1531"/>
    </row>
    <row r="119" spans="1:38" ht="15" customHeight="1">
      <c r="A119" s="35"/>
      <c r="B119" s="3" t="s">
        <v>518</v>
      </c>
      <c r="C119" s="291"/>
      <c r="D119" s="357">
        <f>_xlfn.SINGLE(ROUND(SUM(D109+D115),1))</f>
        <v>1255.7</v>
      </c>
      <c r="E119" s="13"/>
      <c r="F119" s="357">
        <f>_xlfn.SINGLE(ROUND(SUM(F109+F115),1))</f>
        <v>0</v>
      </c>
      <c r="G119" s="13"/>
      <c r="H119" s="357">
        <f>_xlfn.SINGLE(ROUND(SUM(H109+H115),1))</f>
        <v>0</v>
      </c>
      <c r="I119" s="13"/>
      <c r="J119" s="357">
        <f>_xlfn.SINGLE(ROUND(SUM(J109+J115),1))</f>
        <v>0</v>
      </c>
      <c r="K119" s="13"/>
      <c r="L119" s="357">
        <f>_xlfn.SINGLE(ROUND(SUM(L109+L115),1))</f>
        <v>0</v>
      </c>
      <c r="M119" s="13"/>
      <c r="N119" s="357">
        <f>_xlfn.SINGLE(ROUND(SUM(N109+N115),1))</f>
        <v>0</v>
      </c>
      <c r="O119" s="13"/>
      <c r="P119" s="357">
        <f>_xlfn.SINGLE(ROUND(SUM(P109+P115),1))</f>
        <v>0</v>
      </c>
      <c r="Q119" s="13"/>
      <c r="R119" s="357">
        <f>_xlfn.SINGLE(ROUND(SUM(R109+R115),1))</f>
        <v>0</v>
      </c>
      <c r="S119" s="13"/>
      <c r="T119" s="357">
        <f>_xlfn.SINGLE(ROUND(SUM(T109+T115),1))</f>
        <v>0</v>
      </c>
      <c r="U119" s="13"/>
      <c r="V119" s="357">
        <f>_xlfn.SINGLE(ROUND(SUM(V109+V115),1))</f>
        <v>0</v>
      </c>
      <c r="W119" s="13"/>
      <c r="X119" s="357">
        <f>_xlfn.SINGLE(ROUND(SUM(X109+X115),1))</f>
        <v>0</v>
      </c>
      <c r="Y119" s="13"/>
      <c r="Z119" s="357">
        <f>_xlfn.SINGLE(ROUND(SUM(Z109+Z115),1))</f>
        <v>0</v>
      </c>
      <c r="AA119" s="1234"/>
      <c r="AB119" s="13"/>
      <c r="AC119" s="357">
        <f>ROUND(SUM(AC109+AC115),1)</f>
        <v>1255.7</v>
      </c>
      <c r="AD119" s="1236"/>
      <c r="AE119" s="13"/>
      <c r="AF119" s="357">
        <f>ROUND(SUM(AF109+AF115),1)</f>
        <v>1295.5999999999999</v>
      </c>
      <c r="AG119" s="520"/>
      <c r="AH119" s="13"/>
      <c r="AI119" s="357">
        <f>_xlfn.SINGLE(ROUND(SUM(AI109+AI115),1))</f>
        <v>-39.9</v>
      </c>
      <c r="AJ119" s="13"/>
      <c r="AK119" s="612">
        <f>_xlfn.SINGLE(ROUND(IF(AF119=0,0,AI119/ABS(AF119)),3))</f>
        <v>-3.1E-2</v>
      </c>
      <c r="AL119" s="1531"/>
    </row>
    <row r="120" spans="1:38" ht="15" customHeight="1">
      <c r="A120" s="35"/>
      <c r="B120" s="3"/>
      <c r="C120" s="291"/>
      <c r="D120" s="268"/>
      <c r="E120" s="268"/>
      <c r="F120" s="268"/>
      <c r="G120" s="268"/>
      <c r="H120" s="268"/>
      <c r="I120" s="268"/>
      <c r="J120" s="268"/>
      <c r="K120" s="268"/>
      <c r="L120" s="268"/>
      <c r="M120" s="268"/>
      <c r="N120" s="268"/>
      <c r="O120" s="268"/>
      <c r="P120" s="268"/>
      <c r="Q120" s="268"/>
      <c r="R120" s="268"/>
      <c r="S120" s="268"/>
      <c r="T120" s="20"/>
      <c r="U120" s="268"/>
      <c r="V120" s="268"/>
      <c r="W120" s="268"/>
      <c r="X120" s="268"/>
      <c r="Y120" s="268"/>
      <c r="Z120" s="268"/>
      <c r="AA120" s="268"/>
      <c r="AB120" s="1045"/>
      <c r="AC120" s="268"/>
      <c r="AD120" s="268"/>
      <c r="AE120" s="1045"/>
      <c r="AF120" s="268"/>
      <c r="AG120" s="268"/>
      <c r="AH120" s="1032"/>
      <c r="AI120" s="364"/>
      <c r="AJ120" s="364"/>
      <c r="AK120" s="283"/>
      <c r="AL120" s="1531"/>
    </row>
    <row r="121" spans="1:38" ht="17.25" customHeight="1" thickBot="1">
      <c r="A121" s="35"/>
      <c r="B121" s="3" t="s">
        <v>532</v>
      </c>
      <c r="C121" s="291"/>
      <c r="D121" s="70">
        <f>_xlfn.SINGLE(ROUND(SUM(+D119+D13),1))</f>
        <v>13987.6</v>
      </c>
      <c r="E121" s="268"/>
      <c r="F121" s="70">
        <f>_xlfn.SINGLE(ROUND(SUM(+F119+F13),1))</f>
        <v>0</v>
      </c>
      <c r="G121" s="268"/>
      <c r="H121" s="70">
        <f>_xlfn.SINGLE(ROUND(SUM(+H119+H13),1))</f>
        <v>0</v>
      </c>
      <c r="I121" s="268"/>
      <c r="J121" s="70">
        <f>_xlfn.SINGLE(ROUND(SUM(+J119+J13),1))</f>
        <v>0</v>
      </c>
      <c r="K121" s="268"/>
      <c r="L121" s="70">
        <f>_xlfn.SINGLE(ROUND(SUM(+L119+L13),1))</f>
        <v>0</v>
      </c>
      <c r="M121" s="268"/>
      <c r="N121" s="70">
        <f>_xlfn.SINGLE(ROUND(SUM(+N119+N13),1))</f>
        <v>0</v>
      </c>
      <c r="O121" s="268"/>
      <c r="P121" s="70">
        <f>_xlfn.SINGLE(ROUND(SUM(+P119+P13),1))</f>
        <v>0</v>
      </c>
      <c r="Q121" s="268"/>
      <c r="R121" s="70">
        <f>_xlfn.SINGLE(ROUND(SUM(+R119+R13),1))</f>
        <v>0</v>
      </c>
      <c r="S121" s="268"/>
      <c r="T121" s="70">
        <f>_xlfn.SINGLE(ROUND(SUM(+T119+T13),1))</f>
        <v>0</v>
      </c>
      <c r="U121" s="268"/>
      <c r="V121" s="70">
        <f>_xlfn.SINGLE(ROUND(SUM(+V119+V13),1))</f>
        <v>0</v>
      </c>
      <c r="W121" s="268"/>
      <c r="X121" s="70">
        <f>_xlfn.SINGLE(ROUND(SUM(+X119+X13),1))</f>
        <v>0</v>
      </c>
      <c r="Y121" s="268"/>
      <c r="Z121" s="70">
        <f>_xlfn.SINGLE(ROUND(SUM(+Z119+Z13),1))</f>
        <v>0</v>
      </c>
      <c r="AA121" s="268"/>
      <c r="AB121" s="1045"/>
      <c r="AC121" s="70">
        <f>ROUND(SUM(+AC119+AC13),1)</f>
        <v>13987.6</v>
      </c>
      <c r="AD121" s="268"/>
      <c r="AE121" s="1045"/>
      <c r="AF121" s="70">
        <f>ROUND(SUM(+AF119+AF13),1)</f>
        <v>11584.3</v>
      </c>
      <c r="AG121" s="268"/>
      <c r="AH121" s="1032"/>
      <c r="AI121" s="70">
        <f>_xlfn.SINGLE(ROUND(SUM(+AI119+AI13),1))</f>
        <v>2403.3000000000002</v>
      </c>
      <c r="AJ121" s="364"/>
      <c r="AK121" s="77">
        <f>_xlfn.SINGLE(ROUND(IF(AF121=0,0,AI121/ABS(AF121)),3))</f>
        <v>0.20699999999999999</v>
      </c>
      <c r="AL121" s="1531"/>
    </row>
    <row r="122" spans="1:38" ht="15" customHeight="1" thickTop="1">
      <c r="A122" s="35"/>
      <c r="B122" s="3"/>
      <c r="C122" s="291"/>
      <c r="D122" s="268"/>
      <c r="E122" s="268"/>
      <c r="F122" s="268"/>
      <c r="G122" s="268"/>
      <c r="H122" s="268"/>
      <c r="I122" s="268"/>
      <c r="J122" s="268"/>
      <c r="K122" s="268"/>
      <c r="L122" s="268"/>
      <c r="M122" s="268"/>
      <c r="N122" s="268"/>
      <c r="O122" s="268"/>
      <c r="P122" s="20"/>
      <c r="Q122" s="268"/>
      <c r="R122" s="268"/>
      <c r="S122" s="268"/>
      <c r="T122" s="268"/>
      <c r="U122" s="268"/>
      <c r="V122" s="268"/>
      <c r="W122" s="268"/>
      <c r="X122" s="268"/>
      <c r="Y122" s="268"/>
      <c r="Z122" s="268"/>
      <c r="AA122" s="268"/>
      <c r="AB122" s="268"/>
      <c r="AC122" s="268"/>
      <c r="AD122" s="268"/>
      <c r="AE122" s="268"/>
      <c r="AF122" s="268"/>
      <c r="AG122" s="268"/>
      <c r="AH122" s="364"/>
      <c r="AI122" s="364"/>
      <c r="AJ122" s="364"/>
      <c r="AK122" s="283"/>
    </row>
    <row r="123" spans="1:38" ht="15" customHeight="1">
      <c r="B123" s="58"/>
      <c r="C123" s="364"/>
      <c r="D123" s="406"/>
      <c r="E123" s="406"/>
      <c r="F123" s="406"/>
      <c r="G123" s="406"/>
      <c r="H123" s="406"/>
      <c r="I123" s="406"/>
      <c r="J123" s="406"/>
      <c r="K123" s="406"/>
      <c r="L123" s="406"/>
      <c r="M123" s="406"/>
      <c r="N123" s="406"/>
      <c r="O123" s="406"/>
      <c r="P123" s="406"/>
      <c r="Q123" s="406"/>
      <c r="R123" s="406"/>
      <c r="S123" s="406"/>
      <c r="T123" s="406"/>
      <c r="U123" s="406"/>
      <c r="V123" s="406"/>
      <c r="W123" s="406"/>
      <c r="X123" s="406"/>
      <c r="Y123" s="406"/>
      <c r="Z123" s="406"/>
      <c r="AA123" s="406"/>
      <c r="AB123" s="406"/>
      <c r="AC123" s="406"/>
      <c r="AD123" s="406"/>
      <c r="AE123" s="406"/>
      <c r="AF123" s="406" t="s">
        <v>103</v>
      </c>
      <c r="AG123" s="406"/>
      <c r="AH123" s="406"/>
      <c r="AI123" s="406"/>
      <c r="AJ123" s="406"/>
      <c r="AK123" s="283"/>
    </row>
  </sheetData>
  <mergeCells count="1">
    <mergeCell ref="AB9:AK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6" min="1" max="36" man="1"/>
  </rowBreaks>
  <customProperties>
    <customPr name="SheetOptions" r:id="rId2"/>
  </customProperties>
  <ignoredErrors>
    <ignoredError sqref="AK43 AK56 AK48 AK63 AK69 AK39:AK41 AK29:AK32 AK35:AK37" unlockedFormula="1"/>
    <ignoredError sqref="AK76 AK73 AK71 AK65 AK58 AK52 AK34 AK25:AK2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L97"/>
  <sheetViews>
    <sheetView showGridLines="0" zoomScale="70" zoomScaleNormal="70" workbookViewId="0"/>
  </sheetViews>
  <sheetFormatPr defaultColWidth="8.84375" defaultRowHeight="12.5"/>
  <cols>
    <col min="1" max="1" width="1.84375" style="63" customWidth="1"/>
    <col min="2" max="2" width="44.84375" style="63" customWidth="1"/>
    <col min="3" max="3" width="1.84375" style="63" customWidth="1"/>
    <col min="4" max="4" width="15.07421875" style="63" bestFit="1" customWidth="1"/>
    <col min="5" max="5" width="1.84375" style="63" customWidth="1"/>
    <col min="6" max="6" width="12" style="63" customWidth="1"/>
    <col min="7" max="7" width="1.84375" style="63" customWidth="1"/>
    <col min="8" max="8" width="12.07421875" style="63" bestFit="1" customWidth="1"/>
    <col min="9" max="9" width="1.84375" style="63" customWidth="1"/>
    <col min="10" max="10" width="12.07421875" style="63" bestFit="1" customWidth="1"/>
    <col min="11" max="11" width="1.84375" style="63" customWidth="1"/>
    <col min="12" max="12" width="11.07421875" style="63" customWidth="1"/>
    <col min="13" max="13" width="1.84375" style="63" customWidth="1"/>
    <col min="14" max="14" width="12.07421875" style="63" customWidth="1"/>
    <col min="15" max="15" width="1.84375" style="63" customWidth="1"/>
    <col min="16" max="16" width="11" style="63" bestFit="1" customWidth="1"/>
    <col min="17" max="17" width="1.84375" style="63" customWidth="1"/>
    <col min="18" max="18" width="11.53515625" style="63" bestFit="1" customWidth="1"/>
    <col min="19" max="19" width="1.84375" style="63" customWidth="1"/>
    <col min="20" max="20" width="11.4609375" style="63" customWidth="1"/>
    <col min="21" max="21" width="1.84375" style="63" customWidth="1"/>
    <col min="22" max="22" width="11.07421875" style="63" customWidth="1"/>
    <col min="23" max="23" width="1.84375" style="63" customWidth="1"/>
    <col min="24" max="24" width="11.07421875" style="63" bestFit="1" customWidth="1"/>
    <col min="25" max="25" width="1.84375" style="63" customWidth="1"/>
    <col min="26" max="26" width="10.84375" style="63" bestFit="1" customWidth="1"/>
    <col min="27" max="28" width="1.84375" style="63" customWidth="1"/>
    <col min="29" max="29" width="12.07421875" style="63" customWidth="1"/>
    <col min="30" max="31" width="1.07421875" style="63" customWidth="1"/>
    <col min="32" max="32" width="11.84375" style="63" customWidth="1"/>
    <col min="33" max="34" width="1.07421875" style="63" customWidth="1"/>
    <col min="35" max="35" width="13.07421875" style="63" bestFit="1" customWidth="1"/>
    <col min="36" max="36" width="0.84375" style="63" customWidth="1"/>
    <col min="37" max="37" width="13.84375" style="328" bestFit="1" customWidth="1"/>
    <col min="38" max="38" width="8.84375" style="1533"/>
    <col min="39" max="16384" width="8.84375" style="63"/>
  </cols>
  <sheetData>
    <row r="1" spans="1:38" ht="15.5">
      <c r="B1" s="265" t="s">
        <v>97</v>
      </c>
    </row>
    <row r="2" spans="1:38" ht="15.5">
      <c r="M2" s="3"/>
      <c r="N2" s="3"/>
      <c r="O2" s="71"/>
    </row>
    <row r="3" spans="1:38" ht="18">
      <c r="B3" s="65" t="s">
        <v>98</v>
      </c>
      <c r="M3" s="3"/>
      <c r="N3" s="3"/>
      <c r="O3" s="71"/>
      <c r="AE3" s="23"/>
      <c r="AF3" s="23"/>
      <c r="AG3" s="23"/>
      <c r="AH3" s="23"/>
      <c r="AI3" s="23"/>
      <c r="AJ3" s="23"/>
      <c r="AK3" s="66" t="s">
        <v>472</v>
      </c>
    </row>
    <row r="4" spans="1:38" ht="18">
      <c r="B4" s="65" t="s">
        <v>533</v>
      </c>
      <c r="L4" s="3"/>
      <c r="M4" s="3"/>
      <c r="O4" s="71"/>
    </row>
    <row r="5" spans="1:38" ht="18">
      <c r="B5" s="541" t="s">
        <v>444</v>
      </c>
      <c r="L5" s="71"/>
      <c r="M5" s="71"/>
      <c r="O5" s="71"/>
      <c r="X5" s="78"/>
    </row>
    <row r="6" spans="1:38" ht="20">
      <c r="B6" s="541" t="str">
        <f>'Cashflow Governmental'!A6</f>
        <v>FISCAL YEAR 2026-2027</v>
      </c>
      <c r="L6" s="71"/>
      <c r="M6" s="71"/>
      <c r="O6" s="71"/>
      <c r="AK6" s="329"/>
    </row>
    <row r="7" spans="1:38" ht="18">
      <c r="B7" s="65" t="s">
        <v>522</v>
      </c>
      <c r="AH7" s="35"/>
      <c r="AI7" s="35"/>
      <c r="AJ7" s="35"/>
      <c r="AK7" s="330"/>
    </row>
    <row r="8" spans="1:38" ht="13.5" customHeight="1">
      <c r="B8" s="79"/>
      <c r="D8" s="1535"/>
      <c r="AH8" s="35"/>
      <c r="AI8" s="35"/>
      <c r="AJ8" s="35"/>
      <c r="AK8" s="330"/>
    </row>
    <row r="9" spans="1:38" ht="15.5">
      <c r="D9" s="1119"/>
      <c r="L9" s="71"/>
      <c r="M9" s="71"/>
      <c r="N9" s="71"/>
      <c r="O9" s="71"/>
      <c r="AB9" s="2068" t="str">
        <f>'Exhibit G'!AD9</f>
        <v>1 Month Ended April 30</v>
      </c>
      <c r="AC9" s="2066"/>
      <c r="AD9" s="2066"/>
      <c r="AE9" s="2066"/>
      <c r="AF9" s="2066"/>
      <c r="AG9" s="2066"/>
      <c r="AH9" s="2066"/>
      <c r="AI9" s="2066"/>
      <c r="AJ9" s="2066"/>
      <c r="AK9" s="2066"/>
    </row>
    <row r="10" spans="1:38" ht="15.5">
      <c r="B10" s="364"/>
      <c r="C10" s="364"/>
      <c r="D10" s="314" t="str">
        <f>'Cashflow Governmental'!C13</f>
        <v>2026</v>
      </c>
      <c r="E10" s="3"/>
      <c r="F10" s="3"/>
      <c r="G10" s="3"/>
      <c r="H10" s="3"/>
      <c r="I10" s="3"/>
      <c r="J10" s="3"/>
      <c r="K10" s="3"/>
      <c r="L10" s="3"/>
      <c r="M10" s="3"/>
      <c r="N10" s="3"/>
      <c r="O10" s="3"/>
      <c r="P10" s="3"/>
      <c r="Q10" s="3"/>
      <c r="R10" s="3"/>
      <c r="S10" s="3"/>
      <c r="T10" s="3"/>
      <c r="U10" s="3"/>
      <c r="V10" s="314">
        <f>'Cashflow Governmental'!U13</f>
        <v>2027</v>
      </c>
      <c r="W10" s="3"/>
      <c r="X10" s="3"/>
      <c r="Y10" s="3"/>
      <c r="Z10" s="3"/>
      <c r="AA10" s="3"/>
      <c r="AB10" s="3"/>
      <c r="AC10" s="57"/>
      <c r="AD10" s="57"/>
      <c r="AE10" s="57"/>
      <c r="AF10" s="57"/>
      <c r="AG10" s="57"/>
      <c r="AH10" s="57"/>
      <c r="AI10" s="320" t="s">
        <v>110</v>
      </c>
      <c r="AJ10" s="320"/>
      <c r="AK10" s="331" t="s">
        <v>111</v>
      </c>
      <c r="AL10" s="1534"/>
    </row>
    <row r="11" spans="1:38" ht="15.5">
      <c r="B11" s="364"/>
      <c r="C11" s="364"/>
      <c r="D11" s="52" t="s">
        <v>329</v>
      </c>
      <c r="E11" s="3"/>
      <c r="F11" s="52" t="s">
        <v>330</v>
      </c>
      <c r="G11" s="3"/>
      <c r="H11" s="52" t="s">
        <v>331</v>
      </c>
      <c r="I11" s="3"/>
      <c r="J11" s="52" t="s">
        <v>332</v>
      </c>
      <c r="K11" s="3"/>
      <c r="L11" s="52" t="s">
        <v>333</v>
      </c>
      <c r="M11" s="3"/>
      <c r="N11" s="52" t="s">
        <v>445</v>
      </c>
      <c r="O11" s="3"/>
      <c r="P11" s="52" t="s">
        <v>446</v>
      </c>
      <c r="Q11" s="3"/>
      <c r="R11" s="52" t="s">
        <v>336</v>
      </c>
      <c r="S11" s="3"/>
      <c r="T11" s="52" t="s">
        <v>337</v>
      </c>
      <c r="U11" s="3"/>
      <c r="V11" s="52" t="s">
        <v>338</v>
      </c>
      <c r="W11" s="3"/>
      <c r="X11" s="52" t="s">
        <v>339</v>
      </c>
      <c r="Y11" s="3"/>
      <c r="Z11" s="52" t="s">
        <v>447</v>
      </c>
      <c r="AA11" s="3"/>
      <c r="AB11" s="3"/>
      <c r="AC11" s="314" t="str">
        <f>'Cashflow Governmental'!AB14</f>
        <v>2026</v>
      </c>
      <c r="AD11" s="314"/>
      <c r="AE11" s="3" t="s">
        <v>103</v>
      </c>
      <c r="AF11" s="314" t="str">
        <f>'Cashflow Governmental'!AE14</f>
        <v>2025</v>
      </c>
      <c r="AG11" s="314"/>
      <c r="AH11" s="57"/>
      <c r="AI11" s="416" t="s">
        <v>112</v>
      </c>
      <c r="AJ11" s="320"/>
      <c r="AK11" s="1046" t="s">
        <v>113</v>
      </c>
      <c r="AL11" s="1534"/>
    </row>
    <row r="12" spans="1:38" ht="6.75" customHeight="1">
      <c r="B12" s="364"/>
      <c r="C12" s="364"/>
      <c r="D12" s="989"/>
      <c r="E12" s="364"/>
      <c r="F12" s="989"/>
      <c r="G12" s="364"/>
      <c r="H12" s="989"/>
      <c r="I12" s="364"/>
      <c r="J12" s="989"/>
      <c r="K12" s="364"/>
      <c r="L12" s="989"/>
      <c r="M12" s="364"/>
      <c r="N12" s="989"/>
      <c r="O12" s="364"/>
      <c r="P12" s="989"/>
      <c r="Q12" s="364"/>
      <c r="R12" s="989"/>
      <c r="S12" s="364"/>
      <c r="T12" s="989"/>
      <c r="U12" s="364"/>
      <c r="V12" s="989"/>
      <c r="W12" s="364"/>
      <c r="X12" s="989"/>
      <c r="Y12" s="364"/>
      <c r="Z12" s="989"/>
      <c r="AA12" s="364"/>
      <c r="AB12" s="364"/>
      <c r="AC12" s="989"/>
      <c r="AD12" s="989"/>
      <c r="AE12" s="364"/>
      <c r="AF12" s="989"/>
      <c r="AG12" s="364"/>
      <c r="AH12" s="364"/>
      <c r="AI12" s="364"/>
      <c r="AJ12" s="364"/>
      <c r="AK12" s="283"/>
    </row>
    <row r="13" spans="1:38" ht="15.5">
      <c r="B13" s="3" t="s">
        <v>523</v>
      </c>
      <c r="C13" s="364"/>
      <c r="D13" s="82">
        <v>8476.7000000000007</v>
      </c>
      <c r="E13" s="364"/>
      <c r="F13" s="20"/>
      <c r="G13" s="20"/>
      <c r="H13" s="20"/>
      <c r="I13" s="364"/>
      <c r="J13" s="20"/>
      <c r="K13" s="364"/>
      <c r="L13" s="20"/>
      <c r="M13" s="364"/>
      <c r="N13" s="20"/>
      <c r="O13" s="364"/>
      <c r="P13" s="20"/>
      <c r="Q13" s="364"/>
      <c r="R13" s="20"/>
      <c r="S13" s="20"/>
      <c r="T13" s="20"/>
      <c r="U13" s="20"/>
      <c r="V13" s="20"/>
      <c r="W13" s="20"/>
      <c r="X13" s="20"/>
      <c r="Y13" s="20"/>
      <c r="Z13" s="20"/>
      <c r="AA13" s="364"/>
      <c r="AB13" s="1042"/>
      <c r="AC13" s="20">
        <f>D13</f>
        <v>8476.7000000000007</v>
      </c>
      <c r="AD13" s="364"/>
      <c r="AE13" s="1042"/>
      <c r="AF13" s="1949">
        <v>7830.5</v>
      </c>
      <c r="AG13" s="364"/>
      <c r="AH13" s="1032"/>
      <c r="AI13" s="20">
        <f>+AC13-AF13</f>
        <v>646.20000000000073</v>
      </c>
      <c r="AJ13" s="364"/>
      <c r="AK13" s="74">
        <f>AI13/AF13</f>
        <v>8.2523465934487034E-2</v>
      </c>
      <c r="AL13" s="1531"/>
    </row>
    <row r="14" spans="1:38" ht="15.5">
      <c r="B14" s="3"/>
      <c r="C14" s="364"/>
      <c r="D14" s="364"/>
      <c r="E14" s="364"/>
      <c r="F14" s="364"/>
      <c r="G14" s="364"/>
      <c r="H14" s="364"/>
      <c r="I14" s="364"/>
      <c r="J14" s="364"/>
      <c r="K14" s="364"/>
      <c r="L14" s="364"/>
      <c r="M14" s="364"/>
      <c r="N14" s="364"/>
      <c r="O14" s="364"/>
      <c r="P14" s="364"/>
      <c r="Q14" s="364"/>
      <c r="R14" s="364"/>
      <c r="S14" s="364"/>
      <c r="T14" s="364"/>
      <c r="U14" s="364"/>
      <c r="V14" s="364"/>
      <c r="W14" s="364"/>
      <c r="X14" s="364"/>
      <c r="Y14" s="364"/>
      <c r="Z14" s="364"/>
      <c r="AA14" s="1237"/>
      <c r="AB14" s="364"/>
      <c r="AC14" s="364"/>
      <c r="AD14" s="364"/>
      <c r="AE14" s="1042"/>
      <c r="AF14" s="364"/>
      <c r="AG14" s="1034"/>
      <c r="AH14" s="364"/>
      <c r="AI14" s="364"/>
      <c r="AJ14" s="364"/>
      <c r="AK14" s="283"/>
      <c r="AL14" s="1531"/>
    </row>
    <row r="15" spans="1:38" ht="15" customHeight="1">
      <c r="A15" s="35"/>
      <c r="B15" s="3" t="s">
        <v>114</v>
      </c>
      <c r="C15" s="291"/>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1033"/>
      <c r="AC15" s="364"/>
      <c r="AD15" s="364"/>
      <c r="AE15" s="1047"/>
      <c r="AF15" s="364"/>
      <c r="AG15" s="1229"/>
      <c r="AH15" s="364"/>
      <c r="AI15" s="531"/>
      <c r="AJ15" s="531"/>
      <c r="AK15" s="536"/>
      <c r="AL15" s="1531"/>
    </row>
    <row r="16" spans="1:38" ht="7.5" customHeight="1">
      <c r="A16" s="35"/>
      <c r="B16" s="291"/>
      <c r="C16" s="291"/>
      <c r="D16" s="275"/>
      <c r="E16" s="268"/>
      <c r="F16" s="275"/>
      <c r="G16" s="275"/>
      <c r="H16" s="275"/>
      <c r="I16" s="268"/>
      <c r="J16" s="275"/>
      <c r="K16" s="268"/>
      <c r="L16" s="275"/>
      <c r="M16" s="268"/>
      <c r="N16" s="275"/>
      <c r="O16" s="268"/>
      <c r="P16" s="275"/>
      <c r="Q16" s="268"/>
      <c r="R16" s="275"/>
      <c r="S16" s="268"/>
      <c r="T16" s="275"/>
      <c r="U16" s="268"/>
      <c r="V16" s="275"/>
      <c r="W16" s="264"/>
      <c r="X16" s="275"/>
      <c r="Y16" s="264"/>
      <c r="Z16" s="275"/>
      <c r="AA16" s="268"/>
      <c r="AB16" s="668"/>
      <c r="AC16" s="264"/>
      <c r="AD16" s="1784"/>
      <c r="AE16" s="1048"/>
      <c r="AF16" s="275"/>
      <c r="AG16" s="1229"/>
      <c r="AH16" s="364"/>
      <c r="AI16" s="264"/>
      <c r="AJ16" s="264"/>
      <c r="AK16" s="374"/>
      <c r="AL16" s="1531"/>
    </row>
    <row r="17" spans="1:38" ht="15" customHeight="1">
      <c r="A17" s="35"/>
      <c r="B17" s="1218" t="s">
        <v>383</v>
      </c>
      <c r="C17" s="291"/>
      <c r="D17" s="287"/>
      <c r="E17" s="268"/>
      <c r="F17" s="275"/>
      <c r="G17" s="275"/>
      <c r="H17" s="275"/>
      <c r="I17" s="268"/>
      <c r="J17" s="275"/>
      <c r="K17" s="268"/>
      <c r="L17" s="268"/>
      <c r="M17" s="268"/>
      <c r="N17" s="268"/>
      <c r="O17" s="268"/>
      <c r="P17" s="268"/>
      <c r="Q17" s="268"/>
      <c r="R17" s="384"/>
      <c r="S17" s="268"/>
      <c r="T17" s="384"/>
      <c r="U17" s="268"/>
      <c r="V17" s="384"/>
      <c r="W17" s="264"/>
      <c r="X17" s="384"/>
      <c r="Y17" s="264"/>
      <c r="Z17" s="384"/>
      <c r="AA17" s="268"/>
      <c r="AB17" s="668"/>
      <c r="AC17" s="264"/>
      <c r="AD17" s="264"/>
      <c r="AE17" s="525"/>
      <c r="AF17" s="264"/>
      <c r="AG17" s="520"/>
      <c r="AH17" s="264"/>
      <c r="AI17" s="264"/>
      <c r="AJ17" s="264"/>
      <c r="AK17" s="283"/>
      <c r="AL17" s="1531"/>
    </row>
    <row r="18" spans="1:38" ht="15" customHeight="1">
      <c r="A18" s="35"/>
      <c r="B18" s="350" t="s">
        <v>384</v>
      </c>
      <c r="C18" s="291"/>
      <c r="D18" s="287" t="s">
        <v>103</v>
      </c>
      <c r="E18" s="268"/>
      <c r="F18" s="275"/>
      <c r="G18" s="275"/>
      <c r="H18" s="275"/>
      <c r="I18" s="268"/>
      <c r="J18" s="275"/>
      <c r="K18" s="268"/>
      <c r="L18" s="268"/>
      <c r="M18" s="268"/>
      <c r="N18" s="268"/>
      <c r="O18" s="268"/>
      <c r="P18" s="268"/>
      <c r="Q18" s="268"/>
      <c r="R18" s="384"/>
      <c r="S18" s="268"/>
      <c r="T18" s="384"/>
      <c r="U18" s="268"/>
      <c r="V18" s="384"/>
      <c r="W18" s="264"/>
      <c r="X18" s="384"/>
      <c r="Y18" s="264"/>
      <c r="Z18" s="384"/>
      <c r="AA18" s="268"/>
      <c r="AB18" s="668"/>
      <c r="AC18" s="264"/>
      <c r="AD18" s="264"/>
      <c r="AE18" s="525"/>
      <c r="AF18" s="264"/>
      <c r="AG18" s="520"/>
      <c r="AH18" s="264"/>
      <c r="AI18" s="264"/>
      <c r="AJ18" s="264"/>
      <c r="AK18" s="283"/>
      <c r="AL18" s="1531"/>
    </row>
    <row r="19" spans="1:38" ht="15" customHeight="1">
      <c r="A19" s="35"/>
      <c r="B19" s="350" t="s">
        <v>1409</v>
      </c>
      <c r="C19" s="291"/>
      <c r="D19" s="287">
        <f>AC19</f>
        <v>0</v>
      </c>
      <c r="E19" s="287"/>
      <c r="F19" s="287"/>
      <c r="G19" s="287"/>
      <c r="H19" s="287"/>
      <c r="I19" s="264"/>
      <c r="J19" s="287"/>
      <c r="K19" s="554"/>
      <c r="L19" s="287"/>
      <c r="M19" s="554"/>
      <c r="N19" s="287"/>
      <c r="O19" s="607"/>
      <c r="P19" s="287"/>
      <c r="Q19" s="607"/>
      <c r="R19" s="287"/>
      <c r="S19" s="287"/>
      <c r="T19" s="287"/>
      <c r="U19" s="287"/>
      <c r="V19" s="287"/>
      <c r="W19" s="607"/>
      <c r="X19" s="287"/>
      <c r="Y19" s="287"/>
      <c r="Z19" s="287"/>
      <c r="AA19" s="268"/>
      <c r="AB19" s="668"/>
      <c r="AC19" s="532">
        <v>0</v>
      </c>
      <c r="AD19" s="287"/>
      <c r="AE19" s="1769"/>
      <c r="AF19" s="532">
        <v>0</v>
      </c>
      <c r="AG19" s="520"/>
      <c r="AH19" s="264"/>
      <c r="AI19" s="264">
        <f>ROUND(SUM(+AC19-AF19),1)</f>
        <v>0</v>
      </c>
      <c r="AJ19" s="264"/>
      <c r="AK19" s="266">
        <f>ROUND(IF(AF19=0,0,AI19/ABS(AF19)),3)</f>
        <v>0</v>
      </c>
      <c r="AL19" s="1531"/>
    </row>
    <row r="20" spans="1:38" ht="15" customHeight="1">
      <c r="A20" s="35"/>
      <c r="B20" s="350" t="s">
        <v>387</v>
      </c>
      <c r="C20" s="291"/>
      <c r="D20" s="287" t="s">
        <v>103</v>
      </c>
      <c r="E20" s="268"/>
      <c r="F20" s="287"/>
      <c r="G20" s="287"/>
      <c r="H20" s="287"/>
      <c r="I20" s="268"/>
      <c r="J20" s="287"/>
      <c r="K20" s="268"/>
      <c r="L20" s="287"/>
      <c r="M20" s="268"/>
      <c r="N20" s="287"/>
      <c r="O20" s="268"/>
      <c r="P20" s="287"/>
      <c r="Q20" s="268"/>
      <c r="R20" s="287"/>
      <c r="S20" s="268"/>
      <c r="T20" s="287"/>
      <c r="U20" s="268"/>
      <c r="V20" s="287"/>
      <c r="W20" s="264"/>
      <c r="X20" s="287"/>
      <c r="Y20" s="264"/>
      <c r="Z20" s="287"/>
      <c r="AA20" s="268"/>
      <c r="AB20" s="668"/>
      <c r="AC20" s="264" t="s">
        <v>103</v>
      </c>
      <c r="AD20" s="264"/>
      <c r="AE20" s="525"/>
      <c r="AF20" s="264" t="s">
        <v>103</v>
      </c>
      <c r="AG20" s="520"/>
      <c r="AH20" s="264"/>
      <c r="AI20" s="264"/>
      <c r="AJ20" s="264"/>
      <c r="AK20" s="283"/>
      <c r="AL20" s="1531"/>
    </row>
    <row r="21" spans="1:38" ht="15" customHeight="1">
      <c r="A21" s="35"/>
      <c r="B21" s="350" t="s">
        <v>1410</v>
      </c>
      <c r="C21" s="291"/>
      <c r="D21" s="287">
        <f>AC21</f>
        <v>9.9</v>
      </c>
      <c r="E21" s="268"/>
      <c r="F21" s="287"/>
      <c r="G21" s="287"/>
      <c r="H21" s="287"/>
      <c r="I21" s="268"/>
      <c r="J21" s="287"/>
      <c r="K21" s="554"/>
      <c r="L21" s="287"/>
      <c r="M21" s="554"/>
      <c r="N21" s="287"/>
      <c r="O21" s="554"/>
      <c r="P21" s="287"/>
      <c r="Q21" s="554"/>
      <c r="R21" s="287"/>
      <c r="S21" s="554"/>
      <c r="T21" s="287"/>
      <c r="U21" s="554"/>
      <c r="V21" s="287"/>
      <c r="W21" s="554"/>
      <c r="X21" s="287"/>
      <c r="Y21" s="554"/>
      <c r="Z21" s="287"/>
      <c r="AA21" s="264"/>
      <c r="AB21" s="524"/>
      <c r="AC21" s="532">
        <v>9.9</v>
      </c>
      <c r="AD21" s="287"/>
      <c r="AE21" s="1769"/>
      <c r="AF21" s="532">
        <v>7.5</v>
      </c>
      <c r="AG21" s="520"/>
      <c r="AH21" s="264"/>
      <c r="AI21" s="264">
        <f>ROUND(SUM(+AC21-AF21),1)</f>
        <v>2.4</v>
      </c>
      <c r="AJ21" s="264"/>
      <c r="AK21" s="266">
        <f>ROUND(IF(AF21=0,0,AI21/ABS(AF21)),3)</f>
        <v>0.32</v>
      </c>
      <c r="AL21" s="1531"/>
    </row>
    <row r="22" spans="1:38" ht="15" customHeight="1">
      <c r="A22" s="35"/>
      <c r="B22" s="350" t="s">
        <v>1411</v>
      </c>
      <c r="C22" s="291"/>
      <c r="D22" s="287">
        <f t="shared" ref="D22:D51" si="0">AC22</f>
        <v>0</v>
      </c>
      <c r="E22" s="268"/>
      <c r="F22" s="287"/>
      <c r="G22" s="287"/>
      <c r="H22" s="287"/>
      <c r="I22" s="268"/>
      <c r="J22" s="287"/>
      <c r="K22" s="554"/>
      <c r="L22" s="287"/>
      <c r="M22" s="554"/>
      <c r="N22" s="287"/>
      <c r="O22" s="554"/>
      <c r="P22" s="287"/>
      <c r="Q22" s="554"/>
      <c r="R22" s="287"/>
      <c r="S22" s="554"/>
      <c r="T22" s="287"/>
      <c r="U22" s="554"/>
      <c r="V22" s="287"/>
      <c r="W22" s="554"/>
      <c r="X22" s="287"/>
      <c r="Y22" s="554"/>
      <c r="Z22" s="287"/>
      <c r="AA22" s="264"/>
      <c r="AB22" s="524"/>
      <c r="AC22" s="532">
        <v>0</v>
      </c>
      <c r="AD22" s="287"/>
      <c r="AE22" s="1769"/>
      <c r="AF22" s="532">
        <v>0</v>
      </c>
      <c r="AG22" s="520"/>
      <c r="AH22" s="264"/>
      <c r="AI22" s="264">
        <f t="shared" ref="AI22:AI51" si="1">ROUND(SUM(+AC22-AF22),1)</f>
        <v>0</v>
      </c>
      <c r="AJ22" s="264"/>
      <c r="AK22" s="266">
        <f>ROUND(IF(AF22=0,0,AI22/ABS(AF22)),3)</f>
        <v>0</v>
      </c>
      <c r="AL22" s="1531"/>
    </row>
    <row r="23" spans="1:38" ht="15" customHeight="1">
      <c r="A23" s="35"/>
      <c r="B23" s="350" t="s">
        <v>1412</v>
      </c>
      <c r="C23" s="291"/>
      <c r="D23" s="287">
        <f t="shared" si="0"/>
        <v>0</v>
      </c>
      <c r="E23" s="268"/>
      <c r="F23" s="287"/>
      <c r="G23" s="287"/>
      <c r="H23" s="287"/>
      <c r="I23" s="268"/>
      <c r="J23" s="287"/>
      <c r="K23" s="554"/>
      <c r="L23" s="287"/>
      <c r="M23" s="554"/>
      <c r="N23" s="287"/>
      <c r="O23" s="554"/>
      <c r="P23" s="287"/>
      <c r="Q23" s="554"/>
      <c r="R23" s="287"/>
      <c r="S23" s="554"/>
      <c r="T23" s="287"/>
      <c r="U23" s="554"/>
      <c r="V23" s="287"/>
      <c r="W23" s="554"/>
      <c r="X23" s="287"/>
      <c r="Y23" s="554"/>
      <c r="Z23" s="287"/>
      <c r="AA23" s="264"/>
      <c r="AB23" s="524"/>
      <c r="AC23" s="532">
        <v>0</v>
      </c>
      <c r="AD23" s="287"/>
      <c r="AE23" s="1769"/>
      <c r="AF23" s="532">
        <v>0</v>
      </c>
      <c r="AG23" s="520"/>
      <c r="AH23" s="264"/>
      <c r="AI23" s="264">
        <f t="shared" si="1"/>
        <v>0</v>
      </c>
      <c r="AJ23" s="264"/>
      <c r="AK23" s="266">
        <f>ROUND(IF(AF23=0,0,AI23/ABS(AF23)),3)</f>
        <v>0</v>
      </c>
      <c r="AL23" s="1531"/>
    </row>
    <row r="24" spans="1:38" ht="15" customHeight="1">
      <c r="A24" s="35"/>
      <c r="B24" s="350" t="s">
        <v>484</v>
      </c>
      <c r="C24" s="291"/>
      <c r="D24" s="287">
        <f t="shared" si="0"/>
        <v>0</v>
      </c>
      <c r="E24" s="268"/>
      <c r="F24" s="287"/>
      <c r="G24" s="287"/>
      <c r="H24" s="287"/>
      <c r="I24" s="268"/>
      <c r="J24" s="287"/>
      <c r="K24" s="554"/>
      <c r="L24" s="287"/>
      <c r="M24" s="554"/>
      <c r="N24" s="287"/>
      <c r="O24" s="554"/>
      <c r="P24" s="287"/>
      <c r="Q24" s="554"/>
      <c r="R24" s="287"/>
      <c r="S24" s="554"/>
      <c r="T24" s="287"/>
      <c r="U24" s="554"/>
      <c r="V24" s="287"/>
      <c r="W24" s="554"/>
      <c r="X24" s="287"/>
      <c r="Y24" s="554"/>
      <c r="Z24" s="287"/>
      <c r="AA24" s="264"/>
      <c r="AB24" s="524"/>
      <c r="AC24" s="532">
        <v>0</v>
      </c>
      <c r="AD24" s="287"/>
      <c r="AE24" s="1769"/>
      <c r="AF24" s="532">
        <v>0</v>
      </c>
      <c r="AG24" s="520"/>
      <c r="AH24" s="264"/>
      <c r="AI24" s="264">
        <f t="shared" si="1"/>
        <v>0</v>
      </c>
      <c r="AJ24" s="264"/>
      <c r="AK24" s="266">
        <f>ROUND(IF(AF24=0,0,AI24/ABS(AF24)),3)</f>
        <v>0</v>
      </c>
      <c r="AL24" s="1531"/>
    </row>
    <row r="25" spans="1:38" ht="15" customHeight="1">
      <c r="A25" s="35"/>
      <c r="B25" s="350" t="s">
        <v>392</v>
      </c>
      <c r="C25" s="291"/>
      <c r="D25" s="287"/>
      <c r="E25" s="268"/>
      <c r="F25" s="287"/>
      <c r="G25" s="287"/>
      <c r="H25" s="287"/>
      <c r="I25" s="268"/>
      <c r="J25" s="287"/>
      <c r="K25" s="268"/>
      <c r="L25" s="287"/>
      <c r="M25" s="268"/>
      <c r="N25" s="287"/>
      <c r="O25" s="268"/>
      <c r="P25" s="287"/>
      <c r="Q25" s="268"/>
      <c r="R25" s="287"/>
      <c r="S25" s="268"/>
      <c r="T25" s="287"/>
      <c r="U25" s="268"/>
      <c r="V25" s="287"/>
      <c r="W25" s="264"/>
      <c r="X25" s="287"/>
      <c r="Y25" s="264"/>
      <c r="Z25" s="287"/>
      <c r="AA25" s="268"/>
      <c r="AB25" s="668"/>
      <c r="AC25" s="264" t="s">
        <v>103</v>
      </c>
      <c r="AD25" s="264"/>
      <c r="AE25" s="525"/>
      <c r="AF25" s="264" t="s">
        <v>103</v>
      </c>
      <c r="AG25" s="520"/>
      <c r="AH25" s="264"/>
      <c r="AI25" s="264"/>
      <c r="AJ25" s="264"/>
      <c r="AK25" s="266"/>
      <c r="AL25" s="1531"/>
    </row>
    <row r="26" spans="1:38" ht="15" customHeight="1">
      <c r="A26" s="35"/>
      <c r="B26" s="350" t="s">
        <v>1414</v>
      </c>
      <c r="C26" s="291"/>
      <c r="D26" s="287">
        <f t="shared" si="0"/>
        <v>0</v>
      </c>
      <c r="E26" s="268"/>
      <c r="F26" s="287"/>
      <c r="G26" s="287"/>
      <c r="H26" s="287"/>
      <c r="I26" s="268"/>
      <c r="J26" s="287"/>
      <c r="K26" s="554"/>
      <c r="L26" s="287"/>
      <c r="M26" s="554"/>
      <c r="N26" s="287"/>
      <c r="O26" s="554"/>
      <c r="P26" s="287"/>
      <c r="Q26" s="554"/>
      <c r="R26" s="287"/>
      <c r="S26" s="554"/>
      <c r="T26" s="287"/>
      <c r="U26" s="554"/>
      <c r="V26" s="287"/>
      <c r="W26" s="554"/>
      <c r="X26" s="287"/>
      <c r="Y26" s="554"/>
      <c r="Z26" s="287"/>
      <c r="AA26" s="264"/>
      <c r="AB26" s="524"/>
      <c r="AC26" s="532">
        <v>0</v>
      </c>
      <c r="AD26" s="287"/>
      <c r="AE26" s="1769"/>
      <c r="AF26" s="532">
        <v>0</v>
      </c>
      <c r="AG26" s="520"/>
      <c r="AH26" s="264"/>
      <c r="AI26" s="264">
        <f t="shared" si="1"/>
        <v>0</v>
      </c>
      <c r="AJ26" s="264"/>
      <c r="AK26" s="266">
        <f t="shared" ref="AK26:AK32" si="2">ROUND(IF(AF26=0,0,AI26/ABS(AF26)),3)</f>
        <v>0</v>
      </c>
      <c r="AL26" s="1531"/>
    </row>
    <row r="27" spans="1:38" ht="15" customHeight="1">
      <c r="A27" s="35"/>
      <c r="B27" s="350" t="s">
        <v>487</v>
      </c>
      <c r="C27" s="291"/>
      <c r="D27" s="287">
        <f t="shared" si="0"/>
        <v>0</v>
      </c>
      <c r="E27" s="268"/>
      <c r="F27" s="287"/>
      <c r="G27" s="287"/>
      <c r="H27" s="287"/>
      <c r="I27" s="268"/>
      <c r="J27" s="287"/>
      <c r="K27" s="554"/>
      <c r="L27" s="287"/>
      <c r="M27" s="554"/>
      <c r="N27" s="287"/>
      <c r="O27" s="554"/>
      <c r="P27" s="287"/>
      <c r="Q27" s="554"/>
      <c r="R27" s="287"/>
      <c r="S27" s="554"/>
      <c r="T27" s="287"/>
      <c r="U27" s="554"/>
      <c r="V27" s="287"/>
      <c r="W27" s="554"/>
      <c r="X27" s="287"/>
      <c r="Y27" s="554"/>
      <c r="Z27" s="287"/>
      <c r="AA27" s="264"/>
      <c r="AB27" s="524"/>
      <c r="AC27" s="532">
        <v>0</v>
      </c>
      <c r="AD27" s="287"/>
      <c r="AE27" s="1769"/>
      <c r="AF27" s="532">
        <v>0</v>
      </c>
      <c r="AG27" s="520"/>
      <c r="AH27" s="264"/>
      <c r="AI27" s="264">
        <f t="shared" si="1"/>
        <v>0</v>
      </c>
      <c r="AJ27" s="264"/>
      <c r="AK27" s="266">
        <f t="shared" si="2"/>
        <v>0</v>
      </c>
      <c r="AL27" s="1531"/>
    </row>
    <row r="28" spans="1:38" ht="15" customHeight="1">
      <c r="A28" s="35"/>
      <c r="B28" s="350" t="s">
        <v>488</v>
      </c>
      <c r="C28" s="291"/>
      <c r="D28" s="287">
        <f t="shared" si="0"/>
        <v>0</v>
      </c>
      <c r="E28" s="268"/>
      <c r="F28" s="287"/>
      <c r="G28" s="287"/>
      <c r="H28" s="287"/>
      <c r="I28" s="268"/>
      <c r="J28" s="287"/>
      <c r="K28" s="554"/>
      <c r="L28" s="287"/>
      <c r="M28" s="554"/>
      <c r="N28" s="287"/>
      <c r="O28" s="554"/>
      <c r="P28" s="287"/>
      <c r="Q28" s="554"/>
      <c r="R28" s="287"/>
      <c r="S28" s="554"/>
      <c r="T28" s="287"/>
      <c r="U28" s="554"/>
      <c r="V28" s="287"/>
      <c r="W28" s="554"/>
      <c r="X28" s="287"/>
      <c r="Y28" s="554"/>
      <c r="Z28" s="287"/>
      <c r="AA28" s="264"/>
      <c r="AB28" s="524"/>
      <c r="AC28" s="532">
        <v>0</v>
      </c>
      <c r="AD28" s="287"/>
      <c r="AE28" s="1769"/>
      <c r="AF28" s="532">
        <v>0</v>
      </c>
      <c r="AG28" s="520"/>
      <c r="AH28" s="264"/>
      <c r="AI28" s="264">
        <f t="shared" si="1"/>
        <v>0</v>
      </c>
      <c r="AJ28" s="264"/>
      <c r="AK28" s="266">
        <f t="shared" si="2"/>
        <v>0</v>
      </c>
      <c r="AL28" s="1531"/>
    </row>
    <row r="29" spans="1:38" ht="15" customHeight="1">
      <c r="A29" s="35"/>
      <c r="B29" s="350" t="s">
        <v>1415</v>
      </c>
      <c r="C29" s="291"/>
      <c r="D29" s="287">
        <f t="shared" si="0"/>
        <v>0</v>
      </c>
      <c r="E29" s="268"/>
      <c r="F29" s="287"/>
      <c r="G29" s="287"/>
      <c r="H29" s="287"/>
      <c r="I29" s="268"/>
      <c r="J29" s="287"/>
      <c r="K29" s="554"/>
      <c r="L29" s="287"/>
      <c r="M29" s="554"/>
      <c r="N29" s="287"/>
      <c r="O29" s="554"/>
      <c r="P29" s="287"/>
      <c r="Q29" s="554"/>
      <c r="R29" s="287"/>
      <c r="S29" s="554"/>
      <c r="T29" s="287"/>
      <c r="U29" s="554"/>
      <c r="V29" s="287"/>
      <c r="W29" s="554"/>
      <c r="X29" s="287"/>
      <c r="Y29" s="554"/>
      <c r="Z29" s="287"/>
      <c r="AA29" s="264"/>
      <c r="AB29" s="524"/>
      <c r="AC29" s="532">
        <v>0</v>
      </c>
      <c r="AD29" s="287"/>
      <c r="AE29" s="1769"/>
      <c r="AF29" s="532">
        <v>0</v>
      </c>
      <c r="AG29" s="520"/>
      <c r="AH29" s="264"/>
      <c r="AI29" s="264">
        <f t="shared" si="1"/>
        <v>0</v>
      </c>
      <c r="AJ29" s="264"/>
      <c r="AK29" s="266">
        <f t="shared" si="2"/>
        <v>0</v>
      </c>
      <c r="AL29" s="1531"/>
    </row>
    <row r="30" spans="1:38" ht="15" customHeight="1">
      <c r="A30" s="35"/>
      <c r="B30" s="350" t="s">
        <v>1416</v>
      </c>
      <c r="C30" s="291"/>
      <c r="D30" s="287">
        <f t="shared" si="0"/>
        <v>0</v>
      </c>
      <c r="E30" s="268"/>
      <c r="F30" s="287"/>
      <c r="G30" s="287"/>
      <c r="H30" s="287"/>
      <c r="I30" s="268"/>
      <c r="J30" s="287"/>
      <c r="K30" s="554"/>
      <c r="L30" s="287"/>
      <c r="M30" s="554"/>
      <c r="N30" s="287"/>
      <c r="O30" s="554"/>
      <c r="P30" s="287"/>
      <c r="Q30" s="554"/>
      <c r="R30" s="287"/>
      <c r="S30" s="554"/>
      <c r="T30" s="287"/>
      <c r="U30" s="554"/>
      <c r="V30" s="287"/>
      <c r="W30" s="554"/>
      <c r="X30" s="287"/>
      <c r="Y30" s="554"/>
      <c r="Z30" s="287"/>
      <c r="AA30" s="264"/>
      <c r="AB30" s="524"/>
      <c r="AC30" s="532">
        <v>0</v>
      </c>
      <c r="AD30" s="287"/>
      <c r="AE30" s="1769"/>
      <c r="AF30" s="532">
        <v>0</v>
      </c>
      <c r="AG30" s="520"/>
      <c r="AH30" s="264"/>
      <c r="AI30" s="264">
        <f t="shared" si="1"/>
        <v>0</v>
      </c>
      <c r="AJ30" s="264"/>
      <c r="AK30" s="266">
        <f t="shared" si="2"/>
        <v>0</v>
      </c>
      <c r="AL30" s="1531"/>
    </row>
    <row r="31" spans="1:38" ht="15" customHeight="1">
      <c r="A31" s="35"/>
      <c r="B31" s="350" t="s">
        <v>1417</v>
      </c>
      <c r="C31" s="291"/>
      <c r="D31" s="287">
        <f t="shared" si="0"/>
        <v>0.3</v>
      </c>
      <c r="E31" s="268"/>
      <c r="F31" s="287"/>
      <c r="G31" s="287"/>
      <c r="H31" s="287"/>
      <c r="I31" s="268"/>
      <c r="J31" s="287"/>
      <c r="K31" s="554"/>
      <c r="L31" s="287"/>
      <c r="M31" s="554"/>
      <c r="N31" s="287"/>
      <c r="O31" s="554"/>
      <c r="P31" s="287"/>
      <c r="Q31" s="554"/>
      <c r="R31" s="287"/>
      <c r="S31" s="554"/>
      <c r="T31" s="287"/>
      <c r="U31" s="554"/>
      <c r="V31" s="287"/>
      <c r="W31" s="554"/>
      <c r="X31" s="287"/>
      <c r="Y31" s="554"/>
      <c r="Z31" s="287"/>
      <c r="AA31" s="264"/>
      <c r="AB31" s="524"/>
      <c r="AC31" s="532">
        <v>0.3</v>
      </c>
      <c r="AD31" s="287"/>
      <c r="AE31" s="1769"/>
      <c r="AF31" s="532">
        <v>1.2</v>
      </c>
      <c r="AG31" s="520"/>
      <c r="AH31" s="264"/>
      <c r="AI31" s="264">
        <f>ROUND(SUM(+AC31-AF31),1)</f>
        <v>-0.9</v>
      </c>
      <c r="AJ31" s="264"/>
      <c r="AK31" s="266">
        <f t="shared" si="2"/>
        <v>-0.75</v>
      </c>
      <c r="AL31" s="1531"/>
    </row>
    <row r="32" spans="1:38" ht="15" customHeight="1">
      <c r="A32" s="35"/>
      <c r="B32" s="350" t="s">
        <v>1440</v>
      </c>
      <c r="C32" s="291"/>
      <c r="D32" s="287">
        <f t="shared" si="0"/>
        <v>32.9</v>
      </c>
      <c r="E32" s="268"/>
      <c r="F32" s="287"/>
      <c r="G32" s="287"/>
      <c r="H32" s="287"/>
      <c r="I32" s="268"/>
      <c r="J32" s="287"/>
      <c r="K32" s="554"/>
      <c r="L32" s="287"/>
      <c r="M32" s="554"/>
      <c r="N32" s="287"/>
      <c r="O32" s="554"/>
      <c r="P32" s="287"/>
      <c r="Q32" s="554"/>
      <c r="R32" s="287"/>
      <c r="S32" s="554"/>
      <c r="T32" s="287"/>
      <c r="U32" s="554"/>
      <c r="V32" s="287"/>
      <c r="W32" s="554"/>
      <c r="X32" s="287"/>
      <c r="Y32" s="554"/>
      <c r="Z32" s="287"/>
      <c r="AA32" s="264"/>
      <c r="AB32" s="524"/>
      <c r="AC32" s="532">
        <v>32.9</v>
      </c>
      <c r="AD32" s="287"/>
      <c r="AE32" s="1769"/>
      <c r="AF32" s="532">
        <v>37.200000000000003</v>
      </c>
      <c r="AG32" s="520"/>
      <c r="AH32" s="264"/>
      <c r="AI32" s="264">
        <f t="shared" si="1"/>
        <v>-4.3</v>
      </c>
      <c r="AJ32" s="264"/>
      <c r="AK32" s="266">
        <f t="shared" si="2"/>
        <v>-0.11600000000000001</v>
      </c>
      <c r="AL32" s="1531"/>
    </row>
    <row r="33" spans="1:38" ht="15" customHeight="1">
      <c r="A33" s="35"/>
      <c r="B33" s="350" t="s">
        <v>1418</v>
      </c>
      <c r="C33" s="291"/>
      <c r="D33" s="287">
        <f t="shared" si="0"/>
        <v>0</v>
      </c>
      <c r="E33" s="268"/>
      <c r="F33" s="287"/>
      <c r="G33" s="287"/>
      <c r="H33" s="287"/>
      <c r="I33" s="268"/>
      <c r="J33" s="287"/>
      <c r="K33" s="554"/>
      <c r="L33" s="287"/>
      <c r="M33" s="554"/>
      <c r="N33" s="287"/>
      <c r="O33" s="554"/>
      <c r="P33" s="287"/>
      <c r="Q33" s="554"/>
      <c r="R33" s="287"/>
      <c r="S33" s="554"/>
      <c r="T33" s="287"/>
      <c r="U33" s="554"/>
      <c r="V33" s="287"/>
      <c r="W33" s="554"/>
      <c r="X33" s="287"/>
      <c r="Y33" s="554"/>
      <c r="Z33" s="287"/>
      <c r="AA33" s="264"/>
      <c r="AB33" s="524"/>
      <c r="AC33" s="532">
        <v>0</v>
      </c>
      <c r="AD33" s="287"/>
      <c r="AE33" s="1769"/>
      <c r="AF33" s="532">
        <v>0</v>
      </c>
      <c r="AG33" s="520"/>
      <c r="AH33" s="264"/>
      <c r="AI33" s="264">
        <f>ROUND(SUM(+AC33-AF33),1)</f>
        <v>0</v>
      </c>
      <c r="AJ33" s="264"/>
      <c r="AK33" s="266">
        <f>ROUND(IF(AF33=0,0,AI33/ABS(AF33)),3)</f>
        <v>0</v>
      </c>
      <c r="AL33" s="1531"/>
    </row>
    <row r="34" spans="1:38" ht="15" customHeight="1">
      <c r="A34" s="35"/>
      <c r="B34" s="350" t="s">
        <v>408</v>
      </c>
      <c r="C34" s="291"/>
      <c r="D34" s="287"/>
      <c r="E34" s="268"/>
      <c r="F34" s="287"/>
      <c r="G34" s="287"/>
      <c r="H34" s="287"/>
      <c r="I34" s="268"/>
      <c r="J34" s="287"/>
      <c r="K34" s="268"/>
      <c r="L34" s="287"/>
      <c r="M34" s="268"/>
      <c r="N34" s="287"/>
      <c r="O34" s="268"/>
      <c r="P34" s="287"/>
      <c r="Q34" s="268"/>
      <c r="R34" s="287"/>
      <c r="S34" s="268"/>
      <c r="T34" s="287"/>
      <c r="U34" s="268"/>
      <c r="V34" s="287"/>
      <c r="W34" s="264"/>
      <c r="X34" s="287"/>
      <c r="Y34" s="264"/>
      <c r="Z34" s="287"/>
      <c r="AA34" s="268"/>
      <c r="AB34" s="668"/>
      <c r="AC34" s="264" t="s">
        <v>103</v>
      </c>
      <c r="AD34" s="264"/>
      <c r="AE34" s="525"/>
      <c r="AF34" s="264" t="s">
        <v>103</v>
      </c>
      <c r="AG34" s="520"/>
      <c r="AH34" s="264"/>
      <c r="AI34" s="264"/>
      <c r="AJ34" s="264"/>
      <c r="AK34" s="283"/>
      <c r="AL34" s="1531"/>
    </row>
    <row r="35" spans="1:38" ht="15" customHeight="1">
      <c r="A35" s="35"/>
      <c r="B35" s="350" t="s">
        <v>1448</v>
      </c>
      <c r="C35" s="291"/>
      <c r="D35" s="287">
        <f t="shared" si="0"/>
        <v>0</v>
      </c>
      <c r="E35" s="268"/>
      <c r="F35" s="287"/>
      <c r="G35" s="287"/>
      <c r="H35" s="287"/>
      <c r="I35" s="268"/>
      <c r="J35" s="287"/>
      <c r="K35" s="554"/>
      <c r="L35" s="287"/>
      <c r="M35" s="554"/>
      <c r="N35" s="287"/>
      <c r="O35" s="554"/>
      <c r="P35" s="287"/>
      <c r="Q35" s="554"/>
      <c r="R35" s="287"/>
      <c r="S35" s="554"/>
      <c r="T35" s="287"/>
      <c r="U35" s="554"/>
      <c r="V35" s="287"/>
      <c r="W35" s="554"/>
      <c r="X35" s="287"/>
      <c r="Y35" s="554"/>
      <c r="Z35" s="287"/>
      <c r="AA35" s="264"/>
      <c r="AB35" s="524"/>
      <c r="AC35" s="532">
        <v>0</v>
      </c>
      <c r="AD35" s="287"/>
      <c r="AE35" s="1769"/>
      <c r="AF35" s="532">
        <v>0</v>
      </c>
      <c r="AG35" s="520"/>
      <c r="AH35" s="264"/>
      <c r="AI35" s="264">
        <f t="shared" si="1"/>
        <v>0</v>
      </c>
      <c r="AJ35" s="264"/>
      <c r="AK35" s="266">
        <f t="shared" ref="AK35:AK39" si="3">ROUND(IF(AF35=0,0,AI35/ABS(AF35)),3)</f>
        <v>0</v>
      </c>
      <c r="AL35" s="1531"/>
    </row>
    <row r="36" spans="1:38" ht="15" customHeight="1">
      <c r="A36" s="35"/>
      <c r="B36" s="350" t="s">
        <v>1441</v>
      </c>
      <c r="C36" s="291"/>
      <c r="D36" s="287">
        <f t="shared" si="0"/>
        <v>0</v>
      </c>
      <c r="E36" s="268"/>
      <c r="F36" s="287"/>
      <c r="G36" s="287"/>
      <c r="H36" s="287"/>
      <c r="I36" s="268"/>
      <c r="J36" s="287"/>
      <c r="K36" s="554"/>
      <c r="L36" s="287"/>
      <c r="M36" s="554"/>
      <c r="N36" s="287"/>
      <c r="O36" s="554"/>
      <c r="P36" s="287"/>
      <c r="Q36" s="554"/>
      <c r="R36" s="287"/>
      <c r="S36" s="554"/>
      <c r="T36" s="287"/>
      <c r="U36" s="554"/>
      <c r="V36" s="287"/>
      <c r="W36" s="554"/>
      <c r="X36" s="287"/>
      <c r="Y36" s="554"/>
      <c r="Z36" s="287"/>
      <c r="AA36" s="264"/>
      <c r="AB36" s="524"/>
      <c r="AC36" s="532">
        <v>0</v>
      </c>
      <c r="AD36" s="287"/>
      <c r="AE36" s="1769"/>
      <c r="AF36" s="532">
        <v>0</v>
      </c>
      <c r="AG36" s="520"/>
      <c r="AH36" s="264"/>
      <c r="AI36" s="264">
        <f t="shared" si="1"/>
        <v>0</v>
      </c>
      <c r="AJ36" s="264"/>
      <c r="AK36" s="266">
        <f t="shared" si="3"/>
        <v>0</v>
      </c>
      <c r="AL36" s="1531"/>
    </row>
    <row r="37" spans="1:38" ht="15" customHeight="1">
      <c r="A37" s="35"/>
      <c r="B37" s="350" t="s">
        <v>1419</v>
      </c>
      <c r="C37" s="291"/>
      <c r="D37" s="287">
        <f t="shared" si="0"/>
        <v>0</v>
      </c>
      <c r="E37" s="268"/>
      <c r="F37" s="287"/>
      <c r="G37" s="287"/>
      <c r="H37" s="287"/>
      <c r="I37" s="268"/>
      <c r="J37" s="287"/>
      <c r="K37" s="554"/>
      <c r="L37" s="287"/>
      <c r="M37" s="554"/>
      <c r="N37" s="287"/>
      <c r="O37" s="554"/>
      <c r="P37" s="287"/>
      <c r="Q37" s="554"/>
      <c r="R37" s="287"/>
      <c r="S37" s="554"/>
      <c r="T37" s="287"/>
      <c r="U37" s="554"/>
      <c r="V37" s="287"/>
      <c r="W37" s="554"/>
      <c r="X37" s="287"/>
      <c r="Y37" s="554"/>
      <c r="Z37" s="287"/>
      <c r="AA37" s="264"/>
      <c r="AB37" s="524"/>
      <c r="AC37" s="532">
        <v>0</v>
      </c>
      <c r="AD37" s="287"/>
      <c r="AE37" s="1769"/>
      <c r="AF37" s="532">
        <v>0</v>
      </c>
      <c r="AG37" s="520"/>
      <c r="AH37" s="264"/>
      <c r="AI37" s="264">
        <f t="shared" si="1"/>
        <v>0</v>
      </c>
      <c r="AJ37" s="264"/>
      <c r="AK37" s="266">
        <f t="shared" si="3"/>
        <v>0</v>
      </c>
      <c r="AL37" s="1531"/>
    </row>
    <row r="38" spans="1:38" ht="15" customHeight="1">
      <c r="A38" s="35"/>
      <c r="B38" s="350" t="s">
        <v>497</v>
      </c>
      <c r="C38" s="291"/>
      <c r="D38" s="287">
        <f t="shared" si="0"/>
        <v>0</v>
      </c>
      <c r="E38" s="268"/>
      <c r="F38" s="287"/>
      <c r="G38" s="287"/>
      <c r="H38" s="287"/>
      <c r="I38" s="268"/>
      <c r="J38" s="287"/>
      <c r="K38" s="554"/>
      <c r="L38" s="287"/>
      <c r="M38" s="554"/>
      <c r="N38" s="287"/>
      <c r="O38" s="554"/>
      <c r="P38" s="287"/>
      <c r="Q38" s="554"/>
      <c r="R38" s="287"/>
      <c r="S38" s="554"/>
      <c r="T38" s="287"/>
      <c r="U38" s="554"/>
      <c r="V38" s="287"/>
      <c r="W38" s="554"/>
      <c r="X38" s="287"/>
      <c r="Y38" s="554"/>
      <c r="Z38" s="287"/>
      <c r="AA38" s="264"/>
      <c r="AB38" s="524"/>
      <c r="AC38" s="532">
        <v>0</v>
      </c>
      <c r="AD38" s="287"/>
      <c r="AE38" s="1769"/>
      <c r="AF38" s="532">
        <v>0</v>
      </c>
      <c r="AG38" s="520"/>
      <c r="AH38" s="264"/>
      <c r="AI38" s="264">
        <f t="shared" si="1"/>
        <v>0</v>
      </c>
      <c r="AJ38" s="264"/>
      <c r="AK38" s="266">
        <f t="shared" si="3"/>
        <v>0</v>
      </c>
      <c r="AL38" s="1531"/>
    </row>
    <row r="39" spans="1:38" ht="15" customHeight="1">
      <c r="A39" s="35"/>
      <c r="B39" s="350" t="s">
        <v>413</v>
      </c>
      <c r="C39" s="291"/>
      <c r="D39" s="287">
        <f t="shared" si="0"/>
        <v>0</v>
      </c>
      <c r="E39" s="268"/>
      <c r="F39" s="287"/>
      <c r="G39" s="287"/>
      <c r="H39" s="287"/>
      <c r="I39" s="268"/>
      <c r="J39" s="287"/>
      <c r="K39" s="554"/>
      <c r="L39" s="287"/>
      <c r="M39" s="554"/>
      <c r="N39" s="287"/>
      <c r="O39" s="554"/>
      <c r="P39" s="287"/>
      <c r="Q39" s="554"/>
      <c r="R39" s="287"/>
      <c r="S39" s="554"/>
      <c r="T39" s="287"/>
      <c r="U39" s="554"/>
      <c r="V39" s="287"/>
      <c r="W39" s="554"/>
      <c r="X39" s="287"/>
      <c r="Y39" s="554"/>
      <c r="Z39" s="287"/>
      <c r="AA39" s="264"/>
      <c r="AB39" s="524"/>
      <c r="AC39" s="532">
        <v>0</v>
      </c>
      <c r="AD39" s="287"/>
      <c r="AE39" s="1769"/>
      <c r="AF39" s="532">
        <v>0</v>
      </c>
      <c r="AG39" s="520"/>
      <c r="AH39" s="264"/>
      <c r="AI39" s="264">
        <f t="shared" si="1"/>
        <v>0</v>
      </c>
      <c r="AJ39" s="264"/>
      <c r="AK39" s="266">
        <f t="shared" si="3"/>
        <v>0</v>
      </c>
      <c r="AL39" s="1531"/>
    </row>
    <row r="40" spans="1:38" ht="15" customHeight="1">
      <c r="A40" s="35"/>
      <c r="B40" s="350" t="s">
        <v>414</v>
      </c>
      <c r="C40" s="291"/>
      <c r="D40" s="287"/>
      <c r="E40" s="268"/>
      <c r="F40" s="287"/>
      <c r="G40" s="287"/>
      <c r="H40" s="287"/>
      <c r="I40" s="268"/>
      <c r="J40" s="287"/>
      <c r="K40" s="268"/>
      <c r="L40" s="287"/>
      <c r="M40" s="268"/>
      <c r="N40" s="287"/>
      <c r="O40" s="268"/>
      <c r="P40" s="287"/>
      <c r="Q40" s="268"/>
      <c r="R40" s="287"/>
      <c r="S40" s="268"/>
      <c r="T40" s="287"/>
      <c r="U40" s="268"/>
      <c r="V40" s="287"/>
      <c r="W40" s="264"/>
      <c r="X40" s="287"/>
      <c r="Y40" s="264"/>
      <c r="Z40" s="287"/>
      <c r="AA40" s="268"/>
      <c r="AB40" s="668"/>
      <c r="AC40" s="264" t="s">
        <v>103</v>
      </c>
      <c r="AD40" s="264"/>
      <c r="AE40" s="525"/>
      <c r="AF40" s="264" t="s">
        <v>103</v>
      </c>
      <c r="AG40" s="520"/>
      <c r="AH40" s="264"/>
      <c r="AI40" s="264"/>
      <c r="AJ40" s="264"/>
      <c r="AK40" s="283"/>
      <c r="AL40" s="1531"/>
    </row>
    <row r="41" spans="1:38" ht="15" customHeight="1">
      <c r="A41" s="35"/>
      <c r="B41" s="350" t="s">
        <v>1420</v>
      </c>
      <c r="C41" s="291"/>
      <c r="D41" s="287">
        <f t="shared" si="0"/>
        <v>0</v>
      </c>
      <c r="E41" s="268"/>
      <c r="F41" s="287"/>
      <c r="G41" s="287"/>
      <c r="H41" s="287"/>
      <c r="I41" s="268"/>
      <c r="J41" s="287"/>
      <c r="K41" s="554"/>
      <c r="L41" s="287"/>
      <c r="M41" s="554"/>
      <c r="N41" s="287"/>
      <c r="O41" s="554"/>
      <c r="P41" s="287"/>
      <c r="Q41" s="554"/>
      <c r="R41" s="287"/>
      <c r="S41" s="554"/>
      <c r="T41" s="287"/>
      <c r="U41" s="554"/>
      <c r="V41" s="287"/>
      <c r="W41" s="554"/>
      <c r="X41" s="287"/>
      <c r="Y41" s="554"/>
      <c r="Z41" s="287"/>
      <c r="AA41" s="264"/>
      <c r="AB41" s="524"/>
      <c r="AC41" s="532">
        <v>0</v>
      </c>
      <c r="AD41" s="287"/>
      <c r="AE41" s="1769"/>
      <c r="AF41" s="532">
        <v>0</v>
      </c>
      <c r="AG41" s="520"/>
      <c r="AH41" s="264"/>
      <c r="AI41" s="264">
        <f t="shared" si="1"/>
        <v>0</v>
      </c>
      <c r="AJ41" s="264"/>
      <c r="AK41" s="266">
        <f>ROUND(IF(AF41=0,0,AI41/ABS(AF41)),3)</f>
        <v>0</v>
      </c>
      <c r="AL41" s="1531"/>
    </row>
    <row r="42" spans="1:38" ht="15" customHeight="1">
      <c r="A42" s="35"/>
      <c r="B42" s="350" t="s">
        <v>499</v>
      </c>
      <c r="C42" s="291"/>
      <c r="D42" s="287">
        <f t="shared" si="0"/>
        <v>0</v>
      </c>
      <c r="E42" s="268"/>
      <c r="F42" s="287"/>
      <c r="G42" s="287"/>
      <c r="H42" s="287"/>
      <c r="I42" s="268"/>
      <c r="J42" s="287"/>
      <c r="K42" s="554"/>
      <c r="L42" s="287"/>
      <c r="M42" s="554"/>
      <c r="N42" s="287"/>
      <c r="O42" s="554"/>
      <c r="P42" s="287"/>
      <c r="Q42" s="554"/>
      <c r="R42" s="287"/>
      <c r="S42" s="554"/>
      <c r="T42" s="287"/>
      <c r="U42" s="554"/>
      <c r="V42" s="287"/>
      <c r="W42" s="554"/>
      <c r="X42" s="287"/>
      <c r="Y42" s="554"/>
      <c r="Z42" s="287"/>
      <c r="AA42" s="264"/>
      <c r="AB42" s="524"/>
      <c r="AC42" s="532">
        <v>0</v>
      </c>
      <c r="AD42" s="287"/>
      <c r="AE42" s="1769"/>
      <c r="AF42" s="532">
        <v>0</v>
      </c>
      <c r="AG42" s="520"/>
      <c r="AH42" s="264"/>
      <c r="AI42" s="264">
        <f t="shared" si="1"/>
        <v>0</v>
      </c>
      <c r="AJ42" s="264"/>
      <c r="AK42" s="266">
        <f t="shared" ref="AK42:AK48" si="4">ROUND(IF(AF42=0,0,AI42/ABS(AF42)),3)</f>
        <v>0</v>
      </c>
      <c r="AL42" s="1531"/>
    </row>
    <row r="43" spans="1:38" ht="15" customHeight="1">
      <c r="A43" s="35"/>
      <c r="B43" s="350" t="s">
        <v>1421</v>
      </c>
      <c r="C43" s="291"/>
      <c r="D43" s="287">
        <f t="shared" si="0"/>
        <v>0</v>
      </c>
      <c r="E43" s="268"/>
      <c r="F43" s="287"/>
      <c r="G43" s="287"/>
      <c r="H43" s="287"/>
      <c r="I43" s="268"/>
      <c r="J43" s="287"/>
      <c r="K43" s="554"/>
      <c r="L43" s="287"/>
      <c r="M43" s="554"/>
      <c r="N43" s="287"/>
      <c r="O43" s="554"/>
      <c r="P43" s="287"/>
      <c r="Q43" s="554"/>
      <c r="R43" s="287"/>
      <c r="S43" s="554"/>
      <c r="T43" s="287"/>
      <c r="U43" s="554"/>
      <c r="V43" s="287"/>
      <c r="W43" s="554"/>
      <c r="X43" s="287"/>
      <c r="Y43" s="554"/>
      <c r="Z43" s="287"/>
      <c r="AA43" s="264"/>
      <c r="AB43" s="524"/>
      <c r="AC43" s="532">
        <v>0</v>
      </c>
      <c r="AD43" s="287"/>
      <c r="AE43" s="1769"/>
      <c r="AF43" s="532">
        <v>0</v>
      </c>
      <c r="AG43" s="520"/>
      <c r="AH43" s="264"/>
      <c r="AI43" s="264">
        <f t="shared" si="1"/>
        <v>0</v>
      </c>
      <c r="AJ43" s="264"/>
      <c r="AK43" s="266">
        <f>ROUND(IF(AF43=0,0,AI43/ABS(AF43)),3)</f>
        <v>0</v>
      </c>
      <c r="AL43" s="1531"/>
    </row>
    <row r="44" spans="1:38" ht="15" customHeight="1">
      <c r="A44" s="35"/>
      <c r="B44" s="350" t="s">
        <v>1422</v>
      </c>
      <c r="C44" s="291"/>
      <c r="D44" s="287">
        <f t="shared" si="0"/>
        <v>0</v>
      </c>
      <c r="E44" s="268"/>
      <c r="F44" s="287"/>
      <c r="G44" s="287"/>
      <c r="H44" s="287"/>
      <c r="I44" s="268"/>
      <c r="J44" s="287"/>
      <c r="K44" s="554"/>
      <c r="L44" s="287"/>
      <c r="M44" s="554"/>
      <c r="N44" s="287"/>
      <c r="O44" s="554"/>
      <c r="P44" s="287"/>
      <c r="Q44" s="554"/>
      <c r="R44" s="287"/>
      <c r="S44" s="554"/>
      <c r="T44" s="287"/>
      <c r="U44" s="554"/>
      <c r="V44" s="287"/>
      <c r="W44" s="554"/>
      <c r="X44" s="287"/>
      <c r="Y44" s="554"/>
      <c r="Z44" s="287"/>
      <c r="AA44" s="264"/>
      <c r="AB44" s="524"/>
      <c r="AC44" s="532">
        <v>0</v>
      </c>
      <c r="AD44" s="287"/>
      <c r="AE44" s="1769"/>
      <c r="AF44" s="532">
        <v>0</v>
      </c>
      <c r="AG44" s="520"/>
      <c r="AH44" s="264"/>
      <c r="AI44" s="264">
        <f t="shared" si="1"/>
        <v>0</v>
      </c>
      <c r="AJ44" s="264"/>
      <c r="AK44" s="266">
        <f t="shared" si="4"/>
        <v>0</v>
      </c>
      <c r="AL44" s="1531"/>
    </row>
    <row r="45" spans="1:38" ht="15" customHeight="1">
      <c r="A45" s="35"/>
      <c r="B45" s="350" t="s">
        <v>502</v>
      </c>
      <c r="C45" s="291"/>
      <c r="D45" s="287">
        <f t="shared" si="0"/>
        <v>0</v>
      </c>
      <c r="E45" s="268"/>
      <c r="F45" s="287"/>
      <c r="G45" s="287"/>
      <c r="H45" s="287"/>
      <c r="I45" s="268"/>
      <c r="J45" s="287"/>
      <c r="K45" s="554"/>
      <c r="L45" s="287"/>
      <c r="M45" s="554"/>
      <c r="N45" s="287"/>
      <c r="O45" s="554"/>
      <c r="P45" s="287"/>
      <c r="Q45" s="554"/>
      <c r="R45" s="287"/>
      <c r="S45" s="554"/>
      <c r="T45" s="287"/>
      <c r="U45" s="554"/>
      <c r="V45" s="287"/>
      <c r="W45" s="554"/>
      <c r="X45" s="287"/>
      <c r="Y45" s="554"/>
      <c r="Z45" s="287"/>
      <c r="AA45" s="264"/>
      <c r="AB45" s="524"/>
      <c r="AC45" s="532">
        <v>0</v>
      </c>
      <c r="AD45" s="287"/>
      <c r="AE45" s="1769"/>
      <c r="AF45" s="532">
        <v>0</v>
      </c>
      <c r="AG45" s="520"/>
      <c r="AH45" s="264"/>
      <c r="AI45" s="264">
        <f t="shared" si="1"/>
        <v>0</v>
      </c>
      <c r="AJ45" s="264"/>
      <c r="AK45" s="266">
        <f t="shared" si="4"/>
        <v>0</v>
      </c>
      <c r="AL45" s="1531"/>
    </row>
    <row r="46" spans="1:38" ht="15" customHeight="1">
      <c r="A46" s="35"/>
      <c r="B46" s="350" t="s">
        <v>1443</v>
      </c>
      <c r="C46" s="291"/>
      <c r="D46" s="287">
        <f t="shared" si="0"/>
        <v>8.4</v>
      </c>
      <c r="E46" s="268"/>
      <c r="F46" s="287"/>
      <c r="G46" s="287"/>
      <c r="H46" s="287"/>
      <c r="I46" s="268"/>
      <c r="J46" s="287"/>
      <c r="K46" s="554"/>
      <c r="L46" s="287"/>
      <c r="M46" s="554"/>
      <c r="N46" s="287"/>
      <c r="O46" s="554"/>
      <c r="P46" s="287"/>
      <c r="Q46" s="554"/>
      <c r="R46" s="287"/>
      <c r="S46" s="554"/>
      <c r="T46" s="287"/>
      <c r="U46" s="554"/>
      <c r="V46" s="287"/>
      <c r="W46" s="554"/>
      <c r="X46" s="287"/>
      <c r="Y46" s="554"/>
      <c r="Z46" s="287"/>
      <c r="AA46" s="264"/>
      <c r="AB46" s="524"/>
      <c r="AC46" s="532">
        <v>8.4</v>
      </c>
      <c r="AD46" s="287"/>
      <c r="AE46" s="1769"/>
      <c r="AF46" s="532">
        <v>8.8000000000000007</v>
      </c>
      <c r="AG46" s="520"/>
      <c r="AH46" s="264"/>
      <c r="AI46" s="264">
        <f t="shared" si="1"/>
        <v>-0.4</v>
      </c>
      <c r="AJ46" s="264"/>
      <c r="AK46" s="266">
        <f t="shared" si="4"/>
        <v>-4.4999999999999998E-2</v>
      </c>
      <c r="AL46" s="1531"/>
    </row>
    <row r="47" spans="1:38" ht="15" customHeight="1">
      <c r="A47" s="35"/>
      <c r="B47" s="350" t="s">
        <v>1424</v>
      </c>
      <c r="C47" s="291"/>
      <c r="D47" s="287">
        <f t="shared" si="0"/>
        <v>0</v>
      </c>
      <c r="E47" s="268"/>
      <c r="F47" s="287"/>
      <c r="G47" s="287"/>
      <c r="H47" s="287"/>
      <c r="I47" s="268"/>
      <c r="J47" s="287"/>
      <c r="K47" s="554"/>
      <c r="L47" s="287"/>
      <c r="M47" s="554"/>
      <c r="N47" s="287"/>
      <c r="O47" s="554"/>
      <c r="P47" s="287"/>
      <c r="Q47" s="554"/>
      <c r="R47" s="287"/>
      <c r="S47" s="554"/>
      <c r="T47" s="287"/>
      <c r="U47" s="554"/>
      <c r="V47" s="287"/>
      <c r="W47" s="554"/>
      <c r="X47" s="287"/>
      <c r="Y47" s="554"/>
      <c r="Z47" s="287"/>
      <c r="AA47" s="264"/>
      <c r="AB47" s="524"/>
      <c r="AC47" s="532">
        <v>0</v>
      </c>
      <c r="AD47" s="287"/>
      <c r="AE47" s="1769"/>
      <c r="AF47" s="532">
        <v>0</v>
      </c>
      <c r="AG47" s="520"/>
      <c r="AH47" s="264"/>
      <c r="AI47" s="264">
        <f t="shared" si="1"/>
        <v>0</v>
      </c>
      <c r="AJ47" s="264"/>
      <c r="AK47" s="266">
        <f t="shared" si="4"/>
        <v>0</v>
      </c>
      <c r="AL47" s="1531"/>
    </row>
    <row r="48" spans="1:38" ht="15" customHeight="1">
      <c r="A48" s="35"/>
      <c r="B48" s="350" t="s">
        <v>1451</v>
      </c>
      <c r="C48" s="291"/>
      <c r="D48" s="287">
        <f t="shared" si="0"/>
        <v>0</v>
      </c>
      <c r="E48" s="268"/>
      <c r="F48" s="287"/>
      <c r="G48" s="287"/>
      <c r="H48" s="287"/>
      <c r="I48" s="268"/>
      <c r="J48" s="287"/>
      <c r="K48" s="554"/>
      <c r="L48" s="287"/>
      <c r="M48" s="554"/>
      <c r="N48" s="287"/>
      <c r="O48" s="554"/>
      <c r="P48" s="287"/>
      <c r="Q48" s="554"/>
      <c r="R48" s="287"/>
      <c r="S48" s="554"/>
      <c r="T48" s="287"/>
      <c r="U48" s="554"/>
      <c r="V48" s="287"/>
      <c r="W48" s="554"/>
      <c r="X48" s="287"/>
      <c r="Y48" s="554"/>
      <c r="Z48" s="287"/>
      <c r="AA48" s="264"/>
      <c r="AB48" s="524"/>
      <c r="AC48" s="532">
        <v>0</v>
      </c>
      <c r="AD48" s="287"/>
      <c r="AE48" s="1769"/>
      <c r="AF48" s="532">
        <v>0</v>
      </c>
      <c r="AG48" s="520"/>
      <c r="AH48" s="264"/>
      <c r="AI48" s="264">
        <f t="shared" si="1"/>
        <v>0</v>
      </c>
      <c r="AJ48" s="264"/>
      <c r="AK48" s="266">
        <f t="shared" si="4"/>
        <v>0</v>
      </c>
      <c r="AL48" s="1531"/>
    </row>
    <row r="49" spans="1:38" ht="15" customHeight="1">
      <c r="A49" s="35"/>
      <c r="B49" s="350" t="s">
        <v>505</v>
      </c>
      <c r="C49" s="291"/>
      <c r="D49" s="287">
        <f t="shared" si="0"/>
        <v>0.5</v>
      </c>
      <c r="E49" s="268"/>
      <c r="F49" s="287"/>
      <c r="G49" s="287"/>
      <c r="H49" s="287"/>
      <c r="I49" s="268"/>
      <c r="J49" s="287"/>
      <c r="K49" s="554"/>
      <c r="L49" s="287"/>
      <c r="M49" s="554"/>
      <c r="N49" s="287"/>
      <c r="O49" s="554"/>
      <c r="P49" s="287"/>
      <c r="Q49" s="554"/>
      <c r="R49" s="287"/>
      <c r="S49" s="554"/>
      <c r="T49" s="287"/>
      <c r="U49" s="554"/>
      <c r="V49" s="287"/>
      <c r="W49" s="554"/>
      <c r="X49" s="287"/>
      <c r="Y49" s="554"/>
      <c r="Z49" s="287"/>
      <c r="AA49" s="264"/>
      <c r="AB49" s="524"/>
      <c r="AC49" s="532">
        <v>0.5</v>
      </c>
      <c r="AD49" s="264"/>
      <c r="AE49" s="525"/>
      <c r="AF49" s="532">
        <v>0.3</v>
      </c>
      <c r="AG49" s="520"/>
      <c r="AH49" s="264"/>
      <c r="AI49" s="264">
        <f t="shared" si="1"/>
        <v>0.2</v>
      </c>
      <c r="AJ49" s="264"/>
      <c r="AK49" s="543">
        <f>ROUND(IF(AF49=0,1,AI49/ABS(AF49)),3)</f>
        <v>0.66700000000000004</v>
      </c>
      <c r="AL49" s="1531"/>
    </row>
    <row r="50" spans="1:38" ht="15" customHeight="1">
      <c r="A50" s="35"/>
      <c r="B50" s="350" t="s">
        <v>424</v>
      </c>
      <c r="C50" s="291"/>
      <c r="D50" s="287">
        <f t="shared" si="0"/>
        <v>0</v>
      </c>
      <c r="E50" s="268"/>
      <c r="F50" s="287"/>
      <c r="G50" s="287"/>
      <c r="H50" s="287"/>
      <c r="I50" s="268"/>
      <c r="J50" s="287"/>
      <c r="K50" s="554"/>
      <c r="L50" s="287"/>
      <c r="M50" s="554"/>
      <c r="N50" s="287"/>
      <c r="O50" s="554"/>
      <c r="P50" s="287"/>
      <c r="Q50" s="554"/>
      <c r="R50" s="287"/>
      <c r="S50" s="554"/>
      <c r="T50" s="287"/>
      <c r="U50" s="554"/>
      <c r="V50" s="287"/>
      <c r="W50" s="554"/>
      <c r="X50" s="287"/>
      <c r="Y50" s="554"/>
      <c r="Z50" s="287"/>
      <c r="AA50" s="264"/>
      <c r="AB50" s="524"/>
      <c r="AC50" s="532">
        <v>0</v>
      </c>
      <c r="AD50" s="264"/>
      <c r="AE50" s="525"/>
      <c r="AF50" s="532">
        <v>0</v>
      </c>
      <c r="AG50" s="520"/>
      <c r="AH50" s="264"/>
      <c r="AI50" s="264">
        <f t="shared" si="1"/>
        <v>0</v>
      </c>
      <c r="AJ50" s="264"/>
      <c r="AK50" s="266">
        <f>ROUND(IF(AF50=0,0,AI50/ABS(AF50)),3)</f>
        <v>0</v>
      </c>
      <c r="AL50" s="1531"/>
    </row>
    <row r="51" spans="1:38" ht="15" customHeight="1">
      <c r="A51" s="35"/>
      <c r="B51" s="350" t="s">
        <v>425</v>
      </c>
      <c r="C51" s="291"/>
      <c r="D51" s="287">
        <f t="shared" si="0"/>
        <v>0</v>
      </c>
      <c r="E51" s="268"/>
      <c r="F51" s="287"/>
      <c r="G51" s="287"/>
      <c r="H51" s="287"/>
      <c r="I51" s="268"/>
      <c r="J51" s="287"/>
      <c r="K51" s="554"/>
      <c r="L51" s="287"/>
      <c r="M51" s="554"/>
      <c r="N51" s="287"/>
      <c r="O51" s="554"/>
      <c r="P51" s="287"/>
      <c r="Q51" s="554"/>
      <c r="R51" s="287"/>
      <c r="S51" s="554"/>
      <c r="T51" s="287"/>
      <c r="U51" s="554"/>
      <c r="V51" s="287"/>
      <c r="W51" s="554"/>
      <c r="X51" s="287"/>
      <c r="Y51" s="554"/>
      <c r="Z51" s="287"/>
      <c r="AA51" s="264"/>
      <c r="AB51" s="524"/>
      <c r="AC51" s="532">
        <v>0</v>
      </c>
      <c r="AD51" s="287"/>
      <c r="AE51" s="1769"/>
      <c r="AF51" s="532">
        <v>0</v>
      </c>
      <c r="AG51" s="520"/>
      <c r="AH51" s="264"/>
      <c r="AI51" s="264">
        <f t="shared" si="1"/>
        <v>0</v>
      </c>
      <c r="AJ51" s="264"/>
      <c r="AK51" s="266">
        <f>ROUND(IF(AF51=0,0,AI51/ABS(AF51)),3)</f>
        <v>0</v>
      </c>
      <c r="AL51" s="1531"/>
    </row>
    <row r="52" spans="1:38" ht="15" customHeight="1">
      <c r="A52" s="35"/>
      <c r="B52" s="83" t="s">
        <v>526</v>
      </c>
      <c r="C52" s="291"/>
      <c r="D52" s="420">
        <f>ROUND(SUM(D19:D51),1)</f>
        <v>52</v>
      </c>
      <c r="E52" s="268"/>
      <c r="F52" s="420">
        <f>ROUND(SUM(F19:F51),1)</f>
        <v>0</v>
      </c>
      <c r="G52" s="268"/>
      <c r="H52" s="420">
        <f>ROUND(SUM(H19:H51),1)</f>
        <v>0</v>
      </c>
      <c r="I52" s="268"/>
      <c r="J52" s="420">
        <f>ROUND(SUM(J19:J51),1)</f>
        <v>0</v>
      </c>
      <c r="K52" s="268"/>
      <c r="L52" s="420">
        <f>ROUND(SUM(L19:L51),1)</f>
        <v>0</v>
      </c>
      <c r="M52" s="268"/>
      <c r="N52" s="420">
        <f>ROUND(SUM(N19:N51),1)</f>
        <v>0</v>
      </c>
      <c r="O52" s="268"/>
      <c r="P52" s="420">
        <f>ROUND(SUM(P19:P51),1)</f>
        <v>0</v>
      </c>
      <c r="Q52" s="268"/>
      <c r="R52" s="420">
        <f>ROUND(SUM(R19:R51),1)</f>
        <v>0</v>
      </c>
      <c r="S52" s="18"/>
      <c r="T52" s="420">
        <f>ROUND(SUM(T19:T51),1)</f>
        <v>0</v>
      </c>
      <c r="U52" s="268"/>
      <c r="V52" s="420">
        <f>ROUND(SUM(V19:V51),1)</f>
        <v>0</v>
      </c>
      <c r="W52" s="264"/>
      <c r="X52" s="420">
        <f>ROUND(SUM(X19:X51),1)</f>
        <v>0</v>
      </c>
      <c r="Y52" s="264"/>
      <c r="Z52" s="420">
        <f>ROUND(SUM(Z19:Z51),1)</f>
        <v>0</v>
      </c>
      <c r="AA52" s="268"/>
      <c r="AB52" s="668"/>
      <c r="AC52" s="420">
        <f>ROUND(SUM(AC19:AC51),1)</f>
        <v>52</v>
      </c>
      <c r="AD52" s="264"/>
      <c r="AE52" s="525"/>
      <c r="AF52" s="420">
        <f>ROUND(SUM(AF19:AF51),1)</f>
        <v>55</v>
      </c>
      <c r="AG52" s="520"/>
      <c r="AH52" s="264"/>
      <c r="AI52" s="420">
        <f>ROUND(SUM(AI19:AI51),1)</f>
        <v>-3</v>
      </c>
      <c r="AJ52" s="264"/>
      <c r="AK52" s="1049">
        <f>ROUND(SUM((AC52-AF52)/ABS(AF52)),3)</f>
        <v>-5.5E-2</v>
      </c>
      <c r="AL52" s="1531"/>
    </row>
    <row r="53" spans="1:38" ht="15" customHeight="1">
      <c r="A53" s="35"/>
      <c r="B53" s="350"/>
      <c r="C53" s="291"/>
      <c r="D53" s="287"/>
      <c r="E53" s="268"/>
      <c r="F53" s="275"/>
      <c r="G53" s="268"/>
      <c r="H53" s="264"/>
      <c r="I53" s="268"/>
      <c r="J53" s="264"/>
      <c r="K53" s="268"/>
      <c r="L53" s="264"/>
      <c r="M53" s="268"/>
      <c r="N53" s="264"/>
      <c r="O53" s="268"/>
      <c r="P53" s="58"/>
      <c r="Q53" s="268"/>
      <c r="R53" s="384"/>
      <c r="S53" s="268"/>
      <c r="T53" s="275"/>
      <c r="U53" s="268"/>
      <c r="V53" s="287"/>
      <c r="W53" s="264"/>
      <c r="X53" s="287"/>
      <c r="Y53" s="264"/>
      <c r="Z53" s="287"/>
      <c r="AA53" s="268"/>
      <c r="AB53" s="668"/>
      <c r="AC53" s="264"/>
      <c r="AD53" s="264"/>
      <c r="AE53" s="525"/>
      <c r="AF53" s="264"/>
      <c r="AG53" s="520"/>
      <c r="AH53" s="264"/>
      <c r="AI53" s="264"/>
      <c r="AJ53" s="264"/>
      <c r="AK53" s="283"/>
      <c r="AL53" s="1531"/>
    </row>
    <row r="54" spans="1:38" ht="15" customHeight="1">
      <c r="A54" s="35"/>
      <c r="B54" s="1036" t="s">
        <v>507</v>
      </c>
      <c r="C54" s="291"/>
      <c r="D54" s="287">
        <f>AC54</f>
        <v>8995.2000000000007</v>
      </c>
      <c r="E54" s="268"/>
      <c r="F54" s="287"/>
      <c r="G54" s="287"/>
      <c r="H54" s="287"/>
      <c r="I54" s="268"/>
      <c r="J54" s="287"/>
      <c r="K54" s="554"/>
      <c r="L54" s="287"/>
      <c r="M54" s="554"/>
      <c r="N54" s="287"/>
      <c r="O54" s="554"/>
      <c r="P54" s="287"/>
      <c r="Q54" s="554"/>
      <c r="R54" s="287"/>
      <c r="S54" s="554"/>
      <c r="T54" s="287"/>
      <c r="U54" s="554"/>
      <c r="V54" s="287"/>
      <c r="W54" s="554"/>
      <c r="X54" s="287"/>
      <c r="Y54" s="554"/>
      <c r="Z54" s="287"/>
      <c r="AA54" s="264"/>
      <c r="AB54" s="524"/>
      <c r="AC54" s="532">
        <v>8995.2000000000007</v>
      </c>
      <c r="AD54" s="287"/>
      <c r="AE54" s="1769"/>
      <c r="AF54" s="532">
        <v>10312.799999999999</v>
      </c>
      <c r="AG54" s="520"/>
      <c r="AH54" s="264"/>
      <c r="AI54" s="264">
        <f>ROUND(SUM(+AC54-AF54),1)</f>
        <v>-1317.6</v>
      </c>
      <c r="AJ54" s="264"/>
      <c r="AK54" s="535">
        <f>ROUND(SUM((AC54-AF54)/ABS(AF54)),3)</f>
        <v>-0.128</v>
      </c>
      <c r="AL54" s="1531"/>
    </row>
    <row r="55" spans="1:38" ht="15" customHeight="1">
      <c r="A55" s="35"/>
      <c r="B55" s="291"/>
      <c r="C55" s="291"/>
      <c r="D55" s="1030"/>
      <c r="E55" s="268"/>
      <c r="F55" s="1030"/>
      <c r="G55" s="268"/>
      <c r="H55" s="1030"/>
      <c r="I55" s="268"/>
      <c r="J55" s="1030"/>
      <c r="K55" s="268"/>
      <c r="L55" s="1030"/>
      <c r="M55" s="268"/>
      <c r="N55" s="1030"/>
      <c r="O55" s="268"/>
      <c r="P55" s="1030"/>
      <c r="Q55" s="268"/>
      <c r="R55" s="1030"/>
      <c r="S55" s="268"/>
      <c r="T55" s="616"/>
      <c r="U55" s="268"/>
      <c r="V55" s="616"/>
      <c r="W55" s="264"/>
      <c r="X55" s="616"/>
      <c r="Y55" s="264"/>
      <c r="Z55" s="616"/>
      <c r="AA55" s="268"/>
      <c r="AB55" s="668"/>
      <c r="AC55" s="616"/>
      <c r="AD55" s="264"/>
      <c r="AE55" s="525"/>
      <c r="AF55" s="616"/>
      <c r="AG55" s="520"/>
      <c r="AH55" s="264"/>
      <c r="AI55" s="1050"/>
      <c r="AJ55" s="531"/>
      <c r="AK55" s="536"/>
      <c r="AL55" s="1531"/>
    </row>
    <row r="56" spans="1:38" ht="15" customHeight="1">
      <c r="A56" s="35"/>
      <c r="B56" s="3" t="s">
        <v>427</v>
      </c>
      <c r="C56" s="291"/>
      <c r="D56" s="13">
        <f>ROUND(SUM(+D52+D54),2)</f>
        <v>9047.2000000000007</v>
      </c>
      <c r="E56" s="40"/>
      <c r="F56" s="13">
        <f>ROUND(SUM(+F52+F54),2)</f>
        <v>0</v>
      </c>
      <c r="G56" s="40"/>
      <c r="H56" s="13">
        <f>ROUND(SUM(+H52+H54),2)</f>
        <v>0</v>
      </c>
      <c r="I56" s="40"/>
      <c r="J56" s="13">
        <f>ROUND(SUM(+J52+J54),2)</f>
        <v>0</v>
      </c>
      <c r="K56" s="40"/>
      <c r="L56" s="13">
        <f>ROUND(SUM(+L52+L54),2)</f>
        <v>0</v>
      </c>
      <c r="M56" s="40"/>
      <c r="N56" s="13">
        <f>ROUND(SUM(+N52+N54),2)</f>
        <v>0</v>
      </c>
      <c r="O56" s="40"/>
      <c r="P56" s="13">
        <f>ROUND(SUM(+P52+P54),2)</f>
        <v>0</v>
      </c>
      <c r="Q56" s="40"/>
      <c r="R56" s="13">
        <f>ROUND(SUM(+R52+R54),2)</f>
        <v>0</v>
      </c>
      <c r="S56" s="13"/>
      <c r="T56" s="13">
        <f>ROUND(SUM(+T52+T54),2)</f>
        <v>0</v>
      </c>
      <c r="U56" s="40"/>
      <c r="V56" s="13">
        <f>ROUND(SUM(+V52+V54),2)</f>
        <v>0</v>
      </c>
      <c r="W56" s="13"/>
      <c r="X56" s="13">
        <f>ROUND(SUM(+X52+X54),2)</f>
        <v>0</v>
      </c>
      <c r="Y56" s="13"/>
      <c r="Z56" s="13">
        <f>ROUND(SUM(+Z52+Z54),2)</f>
        <v>0</v>
      </c>
      <c r="AA56" s="40"/>
      <c r="AB56" s="669"/>
      <c r="AC56" s="13">
        <f>ROUND(SUM(+AC52+AC54),2)</f>
        <v>9047.2000000000007</v>
      </c>
      <c r="AD56" s="13"/>
      <c r="AE56" s="670"/>
      <c r="AF56" s="13">
        <f>ROUND(SUM(+AF52+AF54),2)</f>
        <v>10367.799999999999</v>
      </c>
      <c r="AG56" s="75"/>
      <c r="AH56" s="13"/>
      <c r="AI56" s="357">
        <f>ROUND(SUM(+AI52+AI54),1)</f>
        <v>-1320.6</v>
      </c>
      <c r="AJ56" s="76"/>
      <c r="AK56" s="537">
        <f>ROUND(SUM((AC56-AF56)/ABS(AF56)),3)</f>
        <v>-0.127</v>
      </c>
      <c r="AL56" s="1531"/>
    </row>
    <row r="57" spans="1:38" ht="15" customHeight="1">
      <c r="A57" s="35"/>
      <c r="B57" s="291"/>
      <c r="C57" s="291"/>
      <c r="D57" s="1030"/>
      <c r="E57" s="268"/>
      <c r="F57" s="616"/>
      <c r="G57" s="268"/>
      <c r="H57" s="616"/>
      <c r="I57" s="268"/>
      <c r="J57" s="616"/>
      <c r="K57" s="268"/>
      <c r="L57" s="616"/>
      <c r="M57" s="268"/>
      <c r="N57" s="616"/>
      <c r="O57" s="268"/>
      <c r="P57" s="616"/>
      <c r="Q57" s="268"/>
      <c r="R57" s="616"/>
      <c r="S57" s="268"/>
      <c r="T57" s="616"/>
      <c r="U57" s="268"/>
      <c r="V57" s="616"/>
      <c r="W57" s="264"/>
      <c r="X57" s="616"/>
      <c r="Y57" s="264"/>
      <c r="Z57" s="616"/>
      <c r="AA57" s="268"/>
      <c r="AB57" s="668"/>
      <c r="AC57" s="1030"/>
      <c r="AD57" s="268"/>
      <c r="AE57" s="1048"/>
      <c r="AF57" s="1030"/>
      <c r="AG57" s="1230"/>
      <c r="AH57" s="364"/>
      <c r="AI57" s="531"/>
      <c r="AJ57" s="531"/>
      <c r="AK57" s="536"/>
      <c r="AL57" s="1531"/>
    </row>
    <row r="58" spans="1:38" ht="15" customHeight="1">
      <c r="A58" s="35"/>
      <c r="B58" s="1218" t="s">
        <v>122</v>
      </c>
      <c r="C58" s="291"/>
      <c r="D58" s="268"/>
      <c r="E58" s="268"/>
      <c r="F58" s="264"/>
      <c r="G58" s="268"/>
      <c r="H58" s="264"/>
      <c r="I58" s="268"/>
      <c r="J58" s="264"/>
      <c r="K58" s="268"/>
      <c r="L58" s="264"/>
      <c r="M58" s="268"/>
      <c r="N58" s="264"/>
      <c r="O58" s="268"/>
      <c r="P58" s="264"/>
      <c r="Q58" s="268"/>
      <c r="R58" s="264"/>
      <c r="S58" s="268"/>
      <c r="T58" s="264"/>
      <c r="U58" s="268"/>
      <c r="V58" s="264"/>
      <c r="W58" s="264"/>
      <c r="X58" s="264"/>
      <c r="Y58" s="264"/>
      <c r="Z58" s="264"/>
      <c r="AA58" s="268"/>
      <c r="AB58" s="668"/>
      <c r="AC58" s="268"/>
      <c r="AD58" s="268"/>
      <c r="AE58" s="1048"/>
      <c r="AF58" s="268"/>
      <c r="AG58" s="1230"/>
      <c r="AH58" s="364"/>
      <c r="AI58" s="531"/>
      <c r="AJ58" s="531"/>
      <c r="AK58" s="536"/>
      <c r="AL58" s="1531"/>
    </row>
    <row r="59" spans="1:38" ht="15" customHeight="1">
      <c r="A59" s="35"/>
      <c r="B59" s="291" t="s">
        <v>451</v>
      </c>
      <c r="C59" s="291"/>
      <c r="D59" s="287"/>
      <c r="E59" s="268"/>
      <c r="F59" s="287"/>
      <c r="G59" s="268"/>
      <c r="H59" s="287"/>
      <c r="I59" s="268"/>
      <c r="J59" s="287"/>
      <c r="K59" s="268"/>
      <c r="L59" s="287"/>
      <c r="M59" s="268"/>
      <c r="N59" s="287"/>
      <c r="O59" s="268"/>
      <c r="P59" s="1276"/>
      <c r="Q59" s="268"/>
      <c r="R59" s="287"/>
      <c r="S59" s="268"/>
      <c r="T59" s="287"/>
      <c r="U59" s="268"/>
      <c r="V59" s="264"/>
      <c r="W59" s="264"/>
      <c r="X59" s="264"/>
      <c r="Y59" s="264"/>
      <c r="Z59" s="264"/>
      <c r="AA59" s="268"/>
      <c r="AB59" s="668"/>
      <c r="AC59" s="268"/>
      <c r="AD59" s="268"/>
      <c r="AE59" s="1048"/>
      <c r="AF59" s="268"/>
      <c r="AG59" s="1230"/>
      <c r="AH59" s="364"/>
      <c r="AI59" s="384"/>
      <c r="AJ59" s="531"/>
      <c r="AK59" s="536"/>
      <c r="AL59" s="1531"/>
    </row>
    <row r="60" spans="1:38" s="1119" customFormat="1" ht="15" customHeight="1">
      <c r="A60" s="1116"/>
      <c r="B60" s="1227" t="s">
        <v>124</v>
      </c>
      <c r="C60" s="1203"/>
      <c r="D60" s="287">
        <f>AC60</f>
        <v>488.3</v>
      </c>
      <c r="E60" s="1228"/>
      <c r="F60" s="287"/>
      <c r="G60" s="1197"/>
      <c r="H60" s="287"/>
      <c r="I60" s="1132"/>
      <c r="J60" s="287"/>
      <c r="K60" s="1117"/>
      <c r="L60" s="287"/>
      <c r="M60" s="1117"/>
      <c r="N60" s="287"/>
      <c r="O60" s="1125"/>
      <c r="P60" s="287"/>
      <c r="Q60" s="1117"/>
      <c r="R60" s="287"/>
      <c r="S60" s="1117"/>
      <c r="T60" s="287"/>
      <c r="U60" s="1117"/>
      <c r="V60" s="287"/>
      <c r="W60" s="1117"/>
      <c r="X60" s="287"/>
      <c r="Y60" s="1117"/>
      <c r="Z60" s="287"/>
      <c r="AA60" s="611"/>
      <c r="AB60" s="1124"/>
      <c r="AC60" s="532">
        <v>488.3</v>
      </c>
      <c r="AD60" s="287"/>
      <c r="AE60" s="1769"/>
      <c r="AF60" s="532">
        <v>689.2</v>
      </c>
      <c r="AG60" s="1213"/>
      <c r="AH60" s="1195"/>
      <c r="AI60" s="1195">
        <f>ROUND(SUM(+AC60-AF60),1)</f>
        <v>-200.9</v>
      </c>
      <c r="AJ60" s="1195"/>
      <c r="AK60" s="1193">
        <f>ROUND(IF(AF60=0,0,AI60/ABS(AF60)),3)</f>
        <v>-0.29099999999999998</v>
      </c>
      <c r="AL60" s="1531"/>
    </row>
    <row r="61" spans="1:38" ht="15" customHeight="1">
      <c r="A61" s="35"/>
      <c r="B61" s="385" t="s">
        <v>125</v>
      </c>
      <c r="C61" s="291"/>
      <c r="D61" s="287">
        <f t="shared" ref="D61:D69" si="5">AC61</f>
        <v>0.1</v>
      </c>
      <c r="E61" s="268"/>
      <c r="F61" s="287"/>
      <c r="G61" s="287"/>
      <c r="H61" s="287"/>
      <c r="I61" s="268"/>
      <c r="J61" s="287"/>
      <c r="K61" s="554"/>
      <c r="L61" s="287"/>
      <c r="M61" s="554"/>
      <c r="N61" s="287"/>
      <c r="O61" s="554"/>
      <c r="P61" s="287"/>
      <c r="Q61" s="554"/>
      <c r="R61" s="287"/>
      <c r="S61" s="554"/>
      <c r="T61" s="287"/>
      <c r="U61" s="554"/>
      <c r="V61" s="287"/>
      <c r="W61" s="554"/>
      <c r="X61" s="287"/>
      <c r="Y61" s="554"/>
      <c r="Z61" s="287"/>
      <c r="AA61" s="264"/>
      <c r="AB61" s="524"/>
      <c r="AC61" s="532">
        <v>0.1</v>
      </c>
      <c r="AD61" s="287"/>
      <c r="AE61" s="1769"/>
      <c r="AF61" s="532">
        <v>0.2</v>
      </c>
      <c r="AG61" s="520"/>
      <c r="AH61" s="264"/>
      <c r="AI61" s="264">
        <f>ROUND(SUM(+AC61-AF61),1)</f>
        <v>-0.1</v>
      </c>
      <c r="AJ61" s="264"/>
      <c r="AK61" s="608">
        <f>ROUND(IF(AF61=0,1,AI61/ABS(AF61)),3)</f>
        <v>-0.5</v>
      </c>
      <c r="AL61" s="1531"/>
    </row>
    <row r="62" spans="1:38" ht="15" customHeight="1">
      <c r="A62" s="35"/>
      <c r="B62" s="385" t="s">
        <v>126</v>
      </c>
      <c r="C62" s="291"/>
      <c r="D62" s="287">
        <f t="shared" si="5"/>
        <v>3.4</v>
      </c>
      <c r="E62" s="268"/>
      <c r="F62" s="287"/>
      <c r="G62" s="287"/>
      <c r="H62" s="287"/>
      <c r="I62" s="268"/>
      <c r="J62" s="287"/>
      <c r="K62" s="554"/>
      <c r="L62" s="287"/>
      <c r="M62" s="554"/>
      <c r="N62" s="287"/>
      <c r="O62" s="554"/>
      <c r="P62" s="287"/>
      <c r="Q62" s="554"/>
      <c r="R62" s="287"/>
      <c r="S62" s="554"/>
      <c r="T62" s="287"/>
      <c r="U62" s="554"/>
      <c r="V62" s="287"/>
      <c r="W62" s="554"/>
      <c r="X62" s="287"/>
      <c r="Y62" s="554"/>
      <c r="Z62" s="287"/>
      <c r="AA62" s="264"/>
      <c r="AB62" s="524"/>
      <c r="AC62" s="532">
        <v>3.4</v>
      </c>
      <c r="AD62" s="287"/>
      <c r="AE62" s="1769"/>
      <c r="AF62" s="532">
        <v>1.5999999999999999</v>
      </c>
      <c r="AG62" s="520"/>
      <c r="AH62" s="264"/>
      <c r="AI62" s="264">
        <f>ROUND(SUM(+AC62-AF62),1)</f>
        <v>1.8</v>
      </c>
      <c r="AJ62" s="264"/>
      <c r="AK62" s="266">
        <f>ROUND(IF(AF62=0,0,AI62/ABS(AF62)),3)</f>
        <v>1.125</v>
      </c>
      <c r="AL62" s="1531"/>
    </row>
    <row r="63" spans="1:38" ht="15" customHeight="1">
      <c r="A63" s="35"/>
      <c r="B63" s="385" t="s">
        <v>127</v>
      </c>
      <c r="C63" s="291"/>
      <c r="D63" s="287"/>
      <c r="E63" s="268"/>
      <c r="F63" s="287"/>
      <c r="G63" s="287"/>
      <c r="H63" s="287"/>
      <c r="I63" s="268"/>
      <c r="J63" s="287"/>
      <c r="K63" s="554"/>
      <c r="L63" s="287"/>
      <c r="M63" s="554"/>
      <c r="N63" s="287"/>
      <c r="O63" s="554"/>
      <c r="P63" s="287"/>
      <c r="Q63" s="554"/>
      <c r="R63" s="287"/>
      <c r="S63" s="554"/>
      <c r="T63" s="287"/>
      <c r="U63" s="554"/>
      <c r="V63" s="287"/>
      <c r="W63" s="554"/>
      <c r="X63" s="287"/>
      <c r="Y63" s="554"/>
      <c r="Z63" s="287"/>
      <c r="AA63" s="264"/>
      <c r="AB63" s="524"/>
      <c r="AC63" s="513"/>
      <c r="AD63" s="287"/>
      <c r="AE63" s="1769"/>
      <c r="AF63" s="513"/>
      <c r="AG63" s="520"/>
      <c r="AH63" s="264"/>
      <c r="AI63" s="287"/>
      <c r="AJ63" s="384"/>
      <c r="AK63" s="536"/>
      <c r="AL63" s="1531"/>
    </row>
    <row r="64" spans="1:38" ht="15" customHeight="1">
      <c r="A64" s="35"/>
      <c r="B64" s="1028" t="s">
        <v>128</v>
      </c>
      <c r="C64" s="291"/>
      <c r="D64" s="287">
        <f t="shared" si="5"/>
        <v>4947.7</v>
      </c>
      <c r="E64" s="268"/>
      <c r="F64" s="287"/>
      <c r="G64" s="287"/>
      <c r="H64" s="287"/>
      <c r="I64" s="268"/>
      <c r="J64" s="287"/>
      <c r="K64" s="554"/>
      <c r="L64" s="287"/>
      <c r="M64" s="554"/>
      <c r="N64" s="287"/>
      <c r="O64" s="554"/>
      <c r="P64" s="287"/>
      <c r="Q64" s="554"/>
      <c r="R64" s="287"/>
      <c r="S64" s="554"/>
      <c r="T64" s="287"/>
      <c r="U64" s="554"/>
      <c r="V64" s="287"/>
      <c r="W64" s="554"/>
      <c r="X64" s="287"/>
      <c r="Y64" s="554"/>
      <c r="Z64" s="287"/>
      <c r="AA64" s="264"/>
      <c r="AB64" s="524"/>
      <c r="AC64" s="532">
        <v>4947.7</v>
      </c>
      <c r="AD64" s="287"/>
      <c r="AE64" s="1769"/>
      <c r="AF64" s="532">
        <v>4905.8</v>
      </c>
      <c r="AG64" s="520"/>
      <c r="AH64" s="264"/>
      <c r="AI64" s="264">
        <f t="shared" ref="AI64:AI69" si="6">ROUND(SUM(+AC64-AF64),1)</f>
        <v>41.9</v>
      </c>
      <c r="AJ64" s="264"/>
      <c r="AK64" s="266">
        <f t="shared" ref="AK64:AK69" si="7">ROUND(IF(AF64=0,0,AI64/ABS(AF64)),3)</f>
        <v>8.9999999999999993E-3</v>
      </c>
      <c r="AL64" s="1531"/>
    </row>
    <row r="65" spans="1:38" ht="15" customHeight="1">
      <c r="A65" s="35"/>
      <c r="B65" s="385" t="s">
        <v>129</v>
      </c>
      <c r="C65" s="291"/>
      <c r="D65" s="287">
        <f t="shared" si="5"/>
        <v>1305.7</v>
      </c>
      <c r="E65" s="268"/>
      <c r="F65" s="287"/>
      <c r="G65" s="287"/>
      <c r="H65" s="287"/>
      <c r="I65" s="268"/>
      <c r="J65" s="287"/>
      <c r="K65" s="554"/>
      <c r="L65" s="287"/>
      <c r="M65" s="554"/>
      <c r="N65" s="287"/>
      <c r="O65" s="554"/>
      <c r="P65" s="287"/>
      <c r="Q65" s="554"/>
      <c r="R65" s="287"/>
      <c r="S65" s="554"/>
      <c r="T65" s="287"/>
      <c r="U65" s="554"/>
      <c r="V65" s="287"/>
      <c r="W65" s="554"/>
      <c r="X65" s="287"/>
      <c r="Y65" s="554"/>
      <c r="Z65" s="287"/>
      <c r="AA65" s="264"/>
      <c r="AB65" s="524"/>
      <c r="AC65" s="532">
        <v>1305.7</v>
      </c>
      <c r="AD65" s="287"/>
      <c r="AE65" s="1769"/>
      <c r="AF65" s="532">
        <v>1343.9</v>
      </c>
      <c r="AG65" s="520"/>
      <c r="AH65" s="264"/>
      <c r="AI65" s="264">
        <f t="shared" si="6"/>
        <v>-38.200000000000003</v>
      </c>
      <c r="AJ65" s="264"/>
      <c r="AK65" s="266">
        <f t="shared" si="7"/>
        <v>-2.8000000000000001E-2</v>
      </c>
      <c r="AL65" s="1531"/>
    </row>
    <row r="66" spans="1:38" ht="15" customHeight="1">
      <c r="A66" s="35"/>
      <c r="B66" s="385" t="s">
        <v>130</v>
      </c>
      <c r="C66" s="291"/>
      <c r="D66" s="287">
        <f t="shared" si="5"/>
        <v>336.5</v>
      </c>
      <c r="E66" s="268"/>
      <c r="F66" s="287"/>
      <c r="G66" s="287"/>
      <c r="H66" s="287"/>
      <c r="I66" s="268"/>
      <c r="J66" s="287"/>
      <c r="K66" s="554"/>
      <c r="L66" s="287"/>
      <c r="M66" s="554"/>
      <c r="N66" s="287"/>
      <c r="O66" s="554"/>
      <c r="P66" s="287"/>
      <c r="Q66" s="554"/>
      <c r="R66" s="287"/>
      <c r="S66" s="554"/>
      <c r="T66" s="287"/>
      <c r="U66" s="554"/>
      <c r="V66" s="287"/>
      <c r="W66" s="554"/>
      <c r="X66" s="287"/>
      <c r="Y66" s="554"/>
      <c r="Z66" s="287"/>
      <c r="AA66" s="264"/>
      <c r="AB66" s="524"/>
      <c r="AC66" s="532">
        <v>336.5</v>
      </c>
      <c r="AD66" s="287"/>
      <c r="AE66" s="1769"/>
      <c r="AF66" s="532">
        <v>149.80000000000001</v>
      </c>
      <c r="AG66" s="520"/>
      <c r="AH66" s="264"/>
      <c r="AI66" s="264">
        <f t="shared" si="6"/>
        <v>186.7</v>
      </c>
      <c r="AJ66" s="264"/>
      <c r="AK66" s="543">
        <f t="shared" si="7"/>
        <v>1.246</v>
      </c>
      <c r="AL66" s="1531"/>
    </row>
    <row r="67" spans="1:38" ht="15" customHeight="1">
      <c r="A67" s="35"/>
      <c r="B67" s="385" t="s">
        <v>131</v>
      </c>
      <c r="C67" s="291"/>
      <c r="D67" s="287">
        <f t="shared" si="5"/>
        <v>397.1</v>
      </c>
      <c r="E67" s="268"/>
      <c r="F67" s="287"/>
      <c r="G67" s="287"/>
      <c r="H67" s="287"/>
      <c r="I67" s="268"/>
      <c r="J67" s="287"/>
      <c r="K67" s="554"/>
      <c r="L67" s="287"/>
      <c r="M67" s="554"/>
      <c r="N67" s="287"/>
      <c r="O67" s="554"/>
      <c r="P67" s="287"/>
      <c r="Q67" s="554"/>
      <c r="R67" s="287"/>
      <c r="S67" s="554"/>
      <c r="T67" s="287"/>
      <c r="U67" s="554"/>
      <c r="V67" s="287"/>
      <c r="W67" s="554"/>
      <c r="X67" s="287"/>
      <c r="Y67" s="554"/>
      <c r="Z67" s="287"/>
      <c r="AA67" s="264"/>
      <c r="AB67" s="524"/>
      <c r="AC67" s="532">
        <v>397.1</v>
      </c>
      <c r="AD67" s="287"/>
      <c r="AE67" s="1769"/>
      <c r="AF67" s="532">
        <v>411</v>
      </c>
      <c r="AG67" s="520"/>
      <c r="AH67" s="264"/>
      <c r="AI67" s="264">
        <f t="shared" si="6"/>
        <v>-13.9</v>
      </c>
      <c r="AJ67" s="264"/>
      <c r="AK67" s="266">
        <f t="shared" si="7"/>
        <v>-3.4000000000000002E-2</v>
      </c>
      <c r="AL67" s="1531"/>
    </row>
    <row r="68" spans="1:38" ht="15" customHeight="1">
      <c r="A68" s="35"/>
      <c r="B68" s="385" t="s">
        <v>132</v>
      </c>
      <c r="C68" s="291"/>
      <c r="D68" s="287">
        <f t="shared" si="5"/>
        <v>0</v>
      </c>
      <c r="E68" s="268"/>
      <c r="F68" s="287"/>
      <c r="G68" s="287"/>
      <c r="H68" s="287"/>
      <c r="I68" s="268"/>
      <c r="J68" s="287"/>
      <c r="K68" s="554"/>
      <c r="L68" s="287"/>
      <c r="M68" s="554"/>
      <c r="N68" s="287"/>
      <c r="O68" s="554"/>
      <c r="P68" s="287"/>
      <c r="Q68" s="554"/>
      <c r="R68" s="287"/>
      <c r="S68" s="554"/>
      <c r="T68" s="287"/>
      <c r="U68" s="554"/>
      <c r="V68" s="287"/>
      <c r="W68" s="554"/>
      <c r="X68" s="287"/>
      <c r="Y68" s="554"/>
      <c r="Z68" s="287"/>
      <c r="AA68" s="264"/>
      <c r="AB68" s="524"/>
      <c r="AC68" s="532">
        <v>0</v>
      </c>
      <c r="AD68" s="287"/>
      <c r="AE68" s="1769"/>
      <c r="AF68" s="532">
        <v>0.3</v>
      </c>
      <c r="AG68" s="520"/>
      <c r="AH68" s="264"/>
      <c r="AI68" s="264">
        <f t="shared" si="6"/>
        <v>-0.3</v>
      </c>
      <c r="AJ68" s="264"/>
      <c r="AK68" s="932">
        <f>ROUND(IF(AF68=0,1,AI68/ABS(AF68)),3)</f>
        <v>-1</v>
      </c>
      <c r="AL68" s="1531"/>
    </row>
    <row r="69" spans="1:38" ht="15" customHeight="1">
      <c r="A69" s="35"/>
      <c r="B69" s="385" t="s">
        <v>133</v>
      </c>
      <c r="C69" s="291"/>
      <c r="D69" s="287">
        <f t="shared" si="5"/>
        <v>4.5</v>
      </c>
      <c r="E69" s="268"/>
      <c r="F69" s="287"/>
      <c r="G69" s="287"/>
      <c r="H69" s="287"/>
      <c r="I69" s="268"/>
      <c r="J69" s="287"/>
      <c r="K69" s="554"/>
      <c r="L69" s="287"/>
      <c r="M69" s="554"/>
      <c r="N69" s="287"/>
      <c r="O69" s="554"/>
      <c r="P69" s="287"/>
      <c r="Q69" s="554"/>
      <c r="R69" s="287"/>
      <c r="S69" s="554"/>
      <c r="T69" s="287"/>
      <c r="U69" s="554"/>
      <c r="V69" s="287"/>
      <c r="W69" s="554"/>
      <c r="X69" s="287"/>
      <c r="Y69" s="554"/>
      <c r="Z69" s="287"/>
      <c r="AA69" s="264"/>
      <c r="AB69" s="524"/>
      <c r="AC69" s="532">
        <v>4.5</v>
      </c>
      <c r="AD69" s="287"/>
      <c r="AE69" s="1769"/>
      <c r="AF69" s="532">
        <v>3.7</v>
      </c>
      <c r="AG69" s="520"/>
      <c r="AH69" s="264"/>
      <c r="AI69" s="264">
        <f t="shared" si="6"/>
        <v>0.8</v>
      </c>
      <c r="AJ69" s="264"/>
      <c r="AK69" s="534">
        <f t="shared" si="7"/>
        <v>0.216</v>
      </c>
      <c r="AL69" s="1531"/>
    </row>
    <row r="70" spans="1:38" ht="15" customHeight="1">
      <c r="A70" s="35"/>
      <c r="B70" s="3" t="s">
        <v>534</v>
      </c>
      <c r="C70" s="291"/>
      <c r="D70" s="617">
        <f>ROUND(SUM(D60:D69),2)</f>
        <v>7483.3</v>
      </c>
      <c r="E70" s="40"/>
      <c r="F70" s="617">
        <f>ROUND(SUM(F60:F69),2)</f>
        <v>0</v>
      </c>
      <c r="G70" s="40"/>
      <c r="H70" s="617">
        <f>ROUND(SUM(H60:H69),2)</f>
        <v>0</v>
      </c>
      <c r="I70" s="40"/>
      <c r="J70" s="617">
        <f>ROUND(SUM(J60:J69),2)</f>
        <v>0</v>
      </c>
      <c r="K70" s="40"/>
      <c r="L70" s="617">
        <f>ROUND(SUM(L60:L69),2)</f>
        <v>0</v>
      </c>
      <c r="M70" s="40"/>
      <c r="N70" s="617">
        <f>ROUND(SUM(N60:N69),2)</f>
        <v>0</v>
      </c>
      <c r="O70" s="40"/>
      <c r="P70" s="617">
        <f>ROUND(SUM(P60:P69),2)</f>
        <v>0</v>
      </c>
      <c r="Q70" s="40"/>
      <c r="R70" s="617">
        <f>ROUND(SUM(R60:R69),2)</f>
        <v>0</v>
      </c>
      <c r="S70" s="13"/>
      <c r="T70" s="617">
        <f>ROUND(SUM(T60:T69),2)</f>
        <v>0</v>
      </c>
      <c r="U70" s="40"/>
      <c r="V70" s="617">
        <f>ROUND(SUM(V60:V69),2)</f>
        <v>0</v>
      </c>
      <c r="W70" s="13"/>
      <c r="X70" s="617">
        <f>ROUND(SUM(X60:X69),2)</f>
        <v>0</v>
      </c>
      <c r="Y70" s="13"/>
      <c r="Z70" s="617">
        <f>ROUND(SUM(Z60:Z69),2)</f>
        <v>0</v>
      </c>
      <c r="AA70" s="40"/>
      <c r="AB70" s="669"/>
      <c r="AC70" s="674">
        <f>ROUND(SUM(AC60:AC69),2)</f>
        <v>7483.3</v>
      </c>
      <c r="AD70" s="13"/>
      <c r="AE70" s="670"/>
      <c r="AF70" s="674">
        <f>ROUND(SUM(AF60:AF69),2)</f>
        <v>7505.5</v>
      </c>
      <c r="AG70" s="75"/>
      <c r="AH70" s="13"/>
      <c r="AI70" s="965">
        <f>ROUND(SUM(AC70-AF70),1)</f>
        <v>-22.2</v>
      </c>
      <c r="AJ70" s="76"/>
      <c r="AK70" s="1049">
        <f>ROUND(SUM((AC70-AF70)/ABS(AF70)),3)</f>
        <v>-3.0000000000000001E-3</v>
      </c>
      <c r="AL70" s="1531"/>
    </row>
    <row r="71" spans="1:38" ht="15" customHeight="1">
      <c r="A71" s="35"/>
      <c r="B71" s="291" t="s">
        <v>453</v>
      </c>
      <c r="C71" s="291"/>
      <c r="D71" s="268"/>
      <c r="E71" s="268"/>
      <c r="F71" s="264"/>
      <c r="G71" s="268"/>
      <c r="H71" s="264"/>
      <c r="I71" s="268"/>
      <c r="J71" s="264"/>
      <c r="K71" s="268"/>
      <c r="L71" s="264"/>
      <c r="M71" s="268"/>
      <c r="N71" s="264"/>
      <c r="O71" s="268"/>
      <c r="P71" s="264"/>
      <c r="Q71" s="268"/>
      <c r="R71" s="264"/>
      <c r="S71" s="268"/>
      <c r="T71" s="264"/>
      <c r="U71" s="268"/>
      <c r="V71" s="264"/>
      <c r="W71" s="264"/>
      <c r="X71" s="264"/>
      <c r="Y71" s="264"/>
      <c r="Z71" s="264"/>
      <c r="AA71" s="268"/>
      <c r="AB71" s="668"/>
      <c r="AC71" s="268"/>
      <c r="AD71" s="268"/>
      <c r="AE71" s="1048"/>
      <c r="AF71" s="268"/>
      <c r="AG71" s="1230"/>
      <c r="AH71" s="364"/>
      <c r="AI71" s="531"/>
      <c r="AJ71" s="531"/>
      <c r="AK71" s="536"/>
      <c r="AL71" s="1531"/>
    </row>
    <row r="72" spans="1:38" ht="15" customHeight="1">
      <c r="A72" s="35"/>
      <c r="B72" s="291" t="s">
        <v>454</v>
      </c>
      <c r="C72" s="291"/>
      <c r="D72" s="287">
        <f>AC72</f>
        <v>66.900000000000006</v>
      </c>
      <c r="E72" s="268"/>
      <c r="F72" s="287"/>
      <c r="G72" s="268"/>
      <c r="H72" s="287"/>
      <c r="I72" s="268"/>
      <c r="J72" s="287"/>
      <c r="K72" s="554"/>
      <c r="L72" s="287"/>
      <c r="M72" s="554"/>
      <c r="N72" s="287"/>
      <c r="O72" s="554"/>
      <c r="P72" s="287"/>
      <c r="Q72" s="554"/>
      <c r="R72" s="287"/>
      <c r="S72" s="554"/>
      <c r="T72" s="287"/>
      <c r="U72" s="554"/>
      <c r="V72" s="287"/>
      <c r="W72" s="554"/>
      <c r="X72" s="287"/>
      <c r="Y72" s="554"/>
      <c r="Z72" s="287"/>
      <c r="AA72" s="264"/>
      <c r="AB72" s="1331"/>
      <c r="AC72" s="532">
        <v>66.900000000000006</v>
      </c>
      <c r="AD72" s="287"/>
      <c r="AE72" s="1769"/>
      <c r="AF72" s="532">
        <v>70.099999999999994</v>
      </c>
      <c r="AG72" s="520"/>
      <c r="AH72" s="264"/>
      <c r="AI72" s="264">
        <f>ROUND(SUM(+AC72-AF72),1)</f>
        <v>-3.2</v>
      </c>
      <c r="AJ72" s="264"/>
      <c r="AK72" s="266">
        <f>ROUND(IF(AF72=0,0,AI72/ABS(AF72)),3)</f>
        <v>-4.5999999999999999E-2</v>
      </c>
      <c r="AL72" s="1531"/>
    </row>
    <row r="73" spans="1:38" ht="15" customHeight="1">
      <c r="A73" s="35"/>
      <c r="B73" s="291" t="s">
        <v>535</v>
      </c>
      <c r="C73" s="291"/>
      <c r="D73" s="287">
        <f t="shared" ref="D73:D77" si="8">AC73</f>
        <v>73.400000000000006</v>
      </c>
      <c r="E73" s="268"/>
      <c r="F73" s="287"/>
      <c r="G73" s="268"/>
      <c r="H73" s="287"/>
      <c r="I73" s="268"/>
      <c r="J73" s="287"/>
      <c r="K73" s="554"/>
      <c r="L73" s="287"/>
      <c r="M73" s="554"/>
      <c r="N73" s="287"/>
      <c r="O73" s="554"/>
      <c r="P73" s="287"/>
      <c r="Q73" s="554"/>
      <c r="R73" s="287"/>
      <c r="S73" s="554"/>
      <c r="T73" s="287"/>
      <c r="U73" s="554"/>
      <c r="V73" s="287"/>
      <c r="W73" s="554"/>
      <c r="X73" s="287"/>
      <c r="Y73" s="554"/>
      <c r="Z73" s="287"/>
      <c r="AA73" s="264"/>
      <c r="AB73" s="1331"/>
      <c r="AC73" s="532">
        <v>73.400000000000006</v>
      </c>
      <c r="AD73" s="287"/>
      <c r="AE73" s="1769"/>
      <c r="AF73" s="532">
        <v>68.099999999999994</v>
      </c>
      <c r="AG73" s="520"/>
      <c r="AH73" s="264"/>
      <c r="AI73" s="264">
        <f>ROUND(SUM(+AC73-AF73),1)</f>
        <v>5.3</v>
      </c>
      <c r="AJ73" s="264"/>
      <c r="AK73" s="266">
        <f>ROUND(IF(AF73=0,0,AI73/ABS(AF73)),3)</f>
        <v>7.8E-2</v>
      </c>
      <c r="AL73" s="1531"/>
    </row>
    <row r="74" spans="1:38" ht="15" customHeight="1">
      <c r="A74" s="35"/>
      <c r="B74" s="291" t="s">
        <v>456</v>
      </c>
      <c r="C74" s="291"/>
      <c r="D74" s="287">
        <f t="shared" si="8"/>
        <v>0</v>
      </c>
      <c r="E74" s="268"/>
      <c r="F74" s="287"/>
      <c r="G74" s="268"/>
      <c r="H74" s="287"/>
      <c r="I74" s="268"/>
      <c r="J74" s="287"/>
      <c r="K74" s="554"/>
      <c r="L74" s="287"/>
      <c r="M74" s="554"/>
      <c r="N74" s="287"/>
      <c r="O74" s="554"/>
      <c r="P74" s="287"/>
      <c r="Q74" s="554"/>
      <c r="R74" s="287"/>
      <c r="S74" s="554"/>
      <c r="T74" s="287"/>
      <c r="U74" s="554"/>
      <c r="V74" s="287"/>
      <c r="W74" s="554"/>
      <c r="X74" s="287"/>
      <c r="Y74" s="554"/>
      <c r="Z74" s="287"/>
      <c r="AA74" s="264"/>
      <c r="AB74" s="1331"/>
      <c r="AC74" s="532">
        <v>0</v>
      </c>
      <c r="AD74" s="287"/>
      <c r="AE74" s="1769"/>
      <c r="AF74" s="532">
        <v>0</v>
      </c>
      <c r="AG74" s="520"/>
      <c r="AH74" s="264"/>
      <c r="AI74" s="264">
        <f>ROUND(SUM(+AC74-AF74),1)</f>
        <v>0</v>
      </c>
      <c r="AJ74" s="264"/>
      <c r="AK74" s="266">
        <f>ROUND(IF(AF74=0,0,AI74/ABS(AF74)),3)</f>
        <v>0</v>
      </c>
      <c r="AL74" s="1531"/>
    </row>
    <row r="75" spans="1:38" ht="15" customHeight="1">
      <c r="A75" s="35"/>
      <c r="B75" s="62" t="s">
        <v>512</v>
      </c>
      <c r="C75" s="291"/>
      <c r="D75" s="287"/>
      <c r="E75" s="268"/>
      <c r="F75" s="287"/>
      <c r="G75" s="268"/>
      <c r="H75" s="287"/>
      <c r="I75" s="268"/>
      <c r="J75" s="287"/>
      <c r="K75" s="554"/>
      <c r="L75" s="287"/>
      <c r="M75" s="554"/>
      <c r="N75" s="287"/>
      <c r="O75" s="554"/>
      <c r="P75" s="287"/>
      <c r="Q75" s="554"/>
      <c r="R75" s="287"/>
      <c r="S75" s="554"/>
      <c r="T75" s="287"/>
      <c r="U75" s="554"/>
      <c r="V75" s="287"/>
      <c r="W75" s="554"/>
      <c r="X75" s="287"/>
      <c r="Y75" s="554"/>
      <c r="Z75" s="287"/>
      <c r="AA75" s="264"/>
      <c r="AB75" s="524"/>
      <c r="AC75" s="532" t="s">
        <v>103</v>
      </c>
      <c r="AD75" s="264"/>
      <c r="AE75" s="525"/>
      <c r="AF75" s="532" t="s">
        <v>103</v>
      </c>
      <c r="AG75" s="520"/>
      <c r="AH75" s="264"/>
      <c r="AI75" s="264"/>
      <c r="AJ75" s="264"/>
      <c r="AK75" s="266"/>
      <c r="AL75" s="1531"/>
    </row>
    <row r="76" spans="1:38" ht="15" customHeight="1">
      <c r="A76" s="35"/>
      <c r="B76" s="62" t="s">
        <v>1467</v>
      </c>
      <c r="C76" s="291"/>
      <c r="D76" s="287">
        <f t="shared" si="8"/>
        <v>0</v>
      </c>
      <c r="E76" s="268"/>
      <c r="F76" s="287"/>
      <c r="G76" s="268"/>
      <c r="H76" s="287"/>
      <c r="I76" s="268"/>
      <c r="J76" s="287"/>
      <c r="K76" s="554"/>
      <c r="L76" s="287"/>
      <c r="M76" s="554"/>
      <c r="N76" s="287"/>
      <c r="O76" s="554"/>
      <c r="P76" s="287"/>
      <c r="Q76" s="554"/>
      <c r="R76" s="287"/>
      <c r="S76" s="554"/>
      <c r="T76" s="287"/>
      <c r="U76" s="554"/>
      <c r="V76" s="287"/>
      <c r="W76" s="554"/>
      <c r="X76" s="287"/>
      <c r="Y76" s="554"/>
      <c r="Z76" s="287"/>
      <c r="AA76" s="264"/>
      <c r="AB76" s="524"/>
      <c r="AC76" s="532">
        <v>0</v>
      </c>
      <c r="AD76" s="287"/>
      <c r="AE76" s="1769"/>
      <c r="AF76" s="532">
        <v>0</v>
      </c>
      <c r="AG76" s="520"/>
      <c r="AH76" s="264"/>
      <c r="AI76" s="264">
        <f>ROUND(SUM(+AC76-AF76),1)</f>
        <v>0</v>
      </c>
      <c r="AJ76" s="264"/>
      <c r="AK76" s="266">
        <f>ROUND(IF(AF76=0,0,AI76/ABS(AF76)),3)</f>
        <v>0</v>
      </c>
      <c r="AL76" s="1531"/>
    </row>
    <row r="77" spans="1:38" ht="15" customHeight="1">
      <c r="A77" s="35"/>
      <c r="B77" s="291" t="s">
        <v>536</v>
      </c>
      <c r="C77" s="291"/>
      <c r="D77" s="287">
        <f t="shared" si="8"/>
        <v>0</v>
      </c>
      <c r="E77" s="268"/>
      <c r="F77" s="287"/>
      <c r="G77" s="268"/>
      <c r="H77" s="287"/>
      <c r="I77" s="268"/>
      <c r="J77" s="287"/>
      <c r="K77" s="554"/>
      <c r="L77" s="287"/>
      <c r="M77" s="554"/>
      <c r="N77" s="287"/>
      <c r="O77" s="554"/>
      <c r="P77" s="287"/>
      <c r="Q77" s="554"/>
      <c r="R77" s="287"/>
      <c r="S77" s="554"/>
      <c r="T77" s="287"/>
      <c r="U77" s="554"/>
      <c r="V77" s="287"/>
      <c r="W77" s="554"/>
      <c r="X77" s="287"/>
      <c r="Y77" s="554"/>
      <c r="Z77" s="287"/>
      <c r="AA77" s="264"/>
      <c r="AB77" s="524"/>
      <c r="AC77" s="532">
        <v>0</v>
      </c>
      <c r="AD77" s="287"/>
      <c r="AE77" s="1769"/>
      <c r="AF77" s="532">
        <v>0</v>
      </c>
      <c r="AG77" s="520"/>
      <c r="AH77" s="264"/>
      <c r="AI77" s="264">
        <f>ROUND(SUM(+AC77-AF77),1)</f>
        <v>0</v>
      </c>
      <c r="AJ77" s="264"/>
      <c r="AK77" s="534">
        <f>ROUND(IF(AF77=0,0,AI77/ABS(AF77)),3)</f>
        <v>0</v>
      </c>
      <c r="AL77" s="1531"/>
    </row>
    <row r="78" spans="1:38" ht="15" customHeight="1">
      <c r="A78" s="35"/>
      <c r="B78" s="291"/>
      <c r="C78" s="291"/>
      <c r="D78" s="1030"/>
      <c r="E78" s="268"/>
      <c r="F78" s="616"/>
      <c r="G78" s="268"/>
      <c r="H78" s="616"/>
      <c r="I78" s="268"/>
      <c r="J78" s="616"/>
      <c r="K78" s="268"/>
      <c r="L78" s="616"/>
      <c r="M78" s="268"/>
      <c r="N78" s="616"/>
      <c r="O78" s="268"/>
      <c r="P78" s="616"/>
      <c r="Q78" s="268"/>
      <c r="R78" s="616"/>
      <c r="S78" s="268"/>
      <c r="T78" s="616"/>
      <c r="U78" s="268"/>
      <c r="V78" s="616"/>
      <c r="W78" s="264"/>
      <c r="X78" s="616"/>
      <c r="Y78" s="264"/>
      <c r="Z78" s="616"/>
      <c r="AA78" s="268"/>
      <c r="AB78" s="668"/>
      <c r="AC78" s="616"/>
      <c r="AD78" s="264"/>
      <c r="AE78" s="525"/>
      <c r="AF78" s="616"/>
      <c r="AG78" s="520"/>
      <c r="AH78" s="264"/>
      <c r="AI78" s="616"/>
      <c r="AJ78" s="531"/>
      <c r="AK78" s="283"/>
      <c r="AL78" s="1531"/>
    </row>
    <row r="79" spans="1:38" ht="15" customHeight="1">
      <c r="A79" s="35"/>
      <c r="B79" s="3" t="s">
        <v>457</v>
      </c>
      <c r="C79" s="291"/>
      <c r="D79" s="13">
        <f>ROUND(SUM(D70:D77),1)</f>
        <v>7623.6</v>
      </c>
      <c r="E79" s="40"/>
      <c r="F79" s="13">
        <f>ROUND(SUM(F70:F77),1)</f>
        <v>0</v>
      </c>
      <c r="G79" s="40"/>
      <c r="H79" s="13">
        <f>ROUND(SUM(H70:H77),1)</f>
        <v>0</v>
      </c>
      <c r="I79" s="40"/>
      <c r="J79" s="13">
        <f>ROUND(SUM(J70:J77),1)</f>
        <v>0</v>
      </c>
      <c r="K79" s="40"/>
      <c r="L79" s="13">
        <f>ROUND(SUM(L70:L77),1)</f>
        <v>0</v>
      </c>
      <c r="M79" s="40"/>
      <c r="N79" s="13">
        <f>ROUND(SUM(N70:N77),1)</f>
        <v>0</v>
      </c>
      <c r="O79" s="40"/>
      <c r="P79" s="13">
        <f>ROUND(SUM(P70:P77),1)</f>
        <v>0</v>
      </c>
      <c r="Q79" s="40"/>
      <c r="R79" s="13">
        <f>ROUND(SUM(R70:R77),1)</f>
        <v>0</v>
      </c>
      <c r="S79" s="13"/>
      <c r="T79" s="13">
        <f>ROUND(SUM(T70:T77),1)</f>
        <v>0</v>
      </c>
      <c r="U79" s="40"/>
      <c r="V79" s="13">
        <f>ROUND(SUM(V70:V77),1)</f>
        <v>0</v>
      </c>
      <c r="W79" s="13"/>
      <c r="X79" s="13">
        <f>ROUND(SUM(X70:X77),1)</f>
        <v>0</v>
      </c>
      <c r="Y79" s="13"/>
      <c r="Z79" s="13">
        <f>ROUND(SUM(Z70:Z77),1)</f>
        <v>0</v>
      </c>
      <c r="AA79" s="40"/>
      <c r="AB79" s="669"/>
      <c r="AC79" s="13">
        <f>ROUND(SUM(AC70:AC77),1)</f>
        <v>7623.6</v>
      </c>
      <c r="AD79" s="13"/>
      <c r="AE79" s="670"/>
      <c r="AF79" s="13">
        <f>ROUND(SUM(AF70:AF77),1)</f>
        <v>7643.7</v>
      </c>
      <c r="AG79" s="75"/>
      <c r="AH79" s="13"/>
      <c r="AI79" s="985">
        <f>ROUND(SUM(AC79-AF79),1)</f>
        <v>-20.100000000000001</v>
      </c>
      <c r="AJ79" s="689"/>
      <c r="AK79" s="537">
        <f>ROUND(SUM((AC79-AF79)/ABS(AF79)),3)</f>
        <v>-3.0000000000000001E-3</v>
      </c>
      <c r="AL79" s="1531"/>
    </row>
    <row r="80" spans="1:38" ht="15" customHeight="1">
      <c r="A80" s="35"/>
      <c r="B80" s="291"/>
      <c r="C80" s="291"/>
      <c r="D80" s="1030"/>
      <c r="E80" s="268"/>
      <c r="F80" s="616"/>
      <c r="G80" s="268"/>
      <c r="H80" s="616"/>
      <c r="I80" s="268"/>
      <c r="J80" s="616"/>
      <c r="K80" s="268"/>
      <c r="L80" s="616"/>
      <c r="M80" s="268"/>
      <c r="N80" s="616"/>
      <c r="O80" s="268"/>
      <c r="P80" s="616"/>
      <c r="Q80" s="268"/>
      <c r="R80" s="616"/>
      <c r="S80" s="268"/>
      <c r="T80" s="616"/>
      <c r="U80" s="268"/>
      <c r="V80" s="616"/>
      <c r="W80" s="264"/>
      <c r="X80" s="616"/>
      <c r="Y80" s="264"/>
      <c r="Z80" s="616"/>
      <c r="AA80" s="268"/>
      <c r="AB80" s="668"/>
      <c r="AC80" s="616"/>
      <c r="AD80" s="264"/>
      <c r="AE80" s="525"/>
      <c r="AF80" s="616"/>
      <c r="AG80" s="520"/>
      <c r="AH80" s="423"/>
      <c r="AI80" s="287"/>
      <c r="AJ80" s="531"/>
      <c r="AK80" s="536"/>
      <c r="AL80" s="1531"/>
    </row>
    <row r="81" spans="1:38" ht="15" customHeight="1">
      <c r="A81" s="35"/>
      <c r="B81" s="3" t="s">
        <v>458</v>
      </c>
      <c r="C81" s="291"/>
      <c r="D81" s="268"/>
      <c r="E81" s="268"/>
      <c r="F81" s="264"/>
      <c r="G81" s="268"/>
      <c r="H81" s="264"/>
      <c r="I81" s="268"/>
      <c r="J81" s="264"/>
      <c r="K81" s="268"/>
      <c r="L81" s="264"/>
      <c r="M81" s="268"/>
      <c r="N81" s="264"/>
      <c r="O81" s="268"/>
      <c r="P81" s="264"/>
      <c r="Q81" s="268"/>
      <c r="R81" s="264"/>
      <c r="S81" s="268"/>
      <c r="T81" s="264"/>
      <c r="U81" s="268"/>
      <c r="V81" s="264"/>
      <c r="W81" s="264"/>
      <c r="X81" s="264"/>
      <c r="Y81" s="264"/>
      <c r="Z81" s="264"/>
      <c r="AA81" s="268"/>
      <c r="AB81" s="668"/>
      <c r="AC81" s="264"/>
      <c r="AD81" s="1234"/>
      <c r="AE81" s="1785"/>
      <c r="AF81" s="264"/>
      <c r="AG81" s="520"/>
      <c r="AH81" s="423"/>
      <c r="AI81" s="287"/>
      <c r="AJ81" s="531"/>
      <c r="AK81" s="536"/>
      <c r="AL81" s="1531"/>
    </row>
    <row r="82" spans="1:38" ht="15" customHeight="1">
      <c r="A82" s="35"/>
      <c r="B82" s="3" t="s">
        <v>144</v>
      </c>
      <c r="C82" s="291"/>
      <c r="D82" s="13">
        <f>ROUND(SUM(D56-D79),1)</f>
        <v>1423.6</v>
      </c>
      <c r="E82" s="40"/>
      <c r="F82" s="13">
        <f>ROUND(SUM(F56-F79),1)</f>
        <v>0</v>
      </c>
      <c r="G82" s="40"/>
      <c r="H82" s="13">
        <f>ROUND(SUM(H56-H79),1)</f>
        <v>0</v>
      </c>
      <c r="I82" s="40"/>
      <c r="J82" s="13">
        <f>ROUND(SUM(J56-J79),1)</f>
        <v>0</v>
      </c>
      <c r="K82" s="40"/>
      <c r="L82" s="13">
        <f>ROUND(SUM(L56-L79),1)</f>
        <v>0</v>
      </c>
      <c r="M82" s="40"/>
      <c r="N82" s="13">
        <f>ROUND(SUM(N56-N79),1)</f>
        <v>0</v>
      </c>
      <c r="O82" s="40"/>
      <c r="P82" s="13">
        <f>ROUND(SUM(P56-P79),1)</f>
        <v>0</v>
      </c>
      <c r="Q82" s="40"/>
      <c r="R82" s="13">
        <f>ROUND(SUM(R56-R79),1)</f>
        <v>0</v>
      </c>
      <c r="S82" s="13"/>
      <c r="T82" s="13">
        <f>ROUND(SUM(T56-T79),1)</f>
        <v>0</v>
      </c>
      <c r="U82" s="40"/>
      <c r="V82" s="13">
        <f>ROUND(SUM(V56-V79),1)</f>
        <v>0</v>
      </c>
      <c r="W82" s="13"/>
      <c r="X82" s="13">
        <f>ROUND(SUM(X56-X79),1)</f>
        <v>0</v>
      </c>
      <c r="Y82" s="13"/>
      <c r="Z82" s="13">
        <f>ROUND(SUM(Z56-Z79),1)</f>
        <v>0</v>
      </c>
      <c r="AA82" s="40"/>
      <c r="AB82" s="669"/>
      <c r="AC82" s="13">
        <f>ROUND(SUM(AC56-AC79),1)</f>
        <v>1423.6</v>
      </c>
      <c r="AD82" s="13"/>
      <c r="AE82" s="670"/>
      <c r="AF82" s="13">
        <f>ROUND(SUM(AF56-AF79),1)</f>
        <v>2724.1</v>
      </c>
      <c r="AG82" s="75"/>
      <c r="AH82" s="13"/>
      <c r="AI82" s="985">
        <f>ROUND(SUM(AC82-AF82),1)</f>
        <v>-1300.5</v>
      </c>
      <c r="AJ82" s="689"/>
      <c r="AK82" s="1051">
        <f>ROUND(SUM((AC82-AF82)/ABS(AF82)),3)</f>
        <v>-0.47699999999999998</v>
      </c>
      <c r="AL82" s="1531"/>
    </row>
    <row r="83" spans="1:38" ht="15" customHeight="1">
      <c r="A83" s="35"/>
      <c r="B83" s="291"/>
      <c r="C83" s="291"/>
      <c r="D83" s="1030"/>
      <c r="E83" s="268"/>
      <c r="F83" s="616"/>
      <c r="G83" s="268"/>
      <c r="H83" s="616"/>
      <c r="I83" s="268"/>
      <c r="J83" s="616"/>
      <c r="K83" s="268"/>
      <c r="L83" s="616"/>
      <c r="M83" s="268"/>
      <c r="N83" s="616"/>
      <c r="O83" s="268"/>
      <c r="P83" s="616"/>
      <c r="Q83" s="268"/>
      <c r="R83" s="616"/>
      <c r="S83" s="268"/>
      <c r="T83" s="616"/>
      <c r="U83" s="268"/>
      <c r="V83" s="616"/>
      <c r="W83" s="264"/>
      <c r="X83" s="616"/>
      <c r="Y83" s="264"/>
      <c r="Z83" s="616"/>
      <c r="AA83" s="268"/>
      <c r="AB83" s="668"/>
      <c r="AC83" s="616"/>
      <c r="AD83" s="264"/>
      <c r="AE83" s="525"/>
      <c r="AF83" s="616"/>
      <c r="AG83" s="520"/>
      <c r="AH83" s="264"/>
      <c r="AI83" s="287"/>
      <c r="AJ83" s="531"/>
      <c r="AK83" s="536"/>
      <c r="AL83" s="1531"/>
    </row>
    <row r="84" spans="1:38" ht="15" customHeight="1">
      <c r="A84" s="35"/>
      <c r="B84" s="3" t="s">
        <v>145</v>
      </c>
      <c r="C84" s="291"/>
      <c r="D84" s="268"/>
      <c r="E84" s="268"/>
      <c r="F84" s="264"/>
      <c r="G84" s="268"/>
      <c r="H84" s="264"/>
      <c r="I84" s="268"/>
      <c r="J84" s="264"/>
      <c r="K84" s="268"/>
      <c r="L84" s="264"/>
      <c r="M84" s="268"/>
      <c r="N84" s="264"/>
      <c r="O84" s="268"/>
      <c r="P84" s="264"/>
      <c r="Q84" s="268"/>
      <c r="R84" s="264"/>
      <c r="S84" s="268"/>
      <c r="T84" s="264"/>
      <c r="U84" s="268"/>
      <c r="V84" s="264"/>
      <c r="W84" s="264"/>
      <c r="X84" s="264"/>
      <c r="Y84" s="264"/>
      <c r="Z84" s="264"/>
      <c r="AA84" s="268"/>
      <c r="AB84" s="668"/>
      <c r="AC84" s="264"/>
      <c r="AD84" s="264"/>
      <c r="AE84" s="525"/>
      <c r="AF84" s="264"/>
      <c r="AG84" s="520"/>
      <c r="AH84" s="264"/>
      <c r="AI84" s="287"/>
      <c r="AJ84" s="531"/>
      <c r="AK84" s="536"/>
      <c r="AL84" s="1531"/>
    </row>
    <row r="85" spans="1:38" ht="15" customHeight="1">
      <c r="A85" s="35"/>
      <c r="B85" s="291" t="s">
        <v>537</v>
      </c>
      <c r="C85" s="291"/>
      <c r="D85" s="287">
        <f>AC85</f>
        <v>0</v>
      </c>
      <c r="E85" s="268"/>
      <c r="F85" s="287"/>
      <c r="G85" s="268"/>
      <c r="H85" s="287"/>
      <c r="I85" s="268"/>
      <c r="J85" s="287"/>
      <c r="K85" s="554"/>
      <c r="L85" s="287"/>
      <c r="M85" s="554"/>
      <c r="N85" s="287"/>
      <c r="O85" s="554"/>
      <c r="P85" s="287"/>
      <c r="Q85" s="554"/>
      <c r="R85" s="287"/>
      <c r="S85" s="554"/>
      <c r="T85" s="287"/>
      <c r="U85" s="554"/>
      <c r="V85" s="287"/>
      <c r="W85" s="554"/>
      <c r="X85" s="287"/>
      <c r="Y85" s="554"/>
      <c r="Z85" s="287"/>
      <c r="AA85" s="264"/>
      <c r="AB85" s="524"/>
      <c r="AC85" s="532">
        <v>0</v>
      </c>
      <c r="AD85" s="264"/>
      <c r="AE85" s="525"/>
      <c r="AF85" s="532">
        <v>0</v>
      </c>
      <c r="AG85" s="520"/>
      <c r="AH85" s="264"/>
      <c r="AI85" s="289">
        <f>ROUND(SUM(+AC85-AF85),1)</f>
        <v>0</v>
      </c>
      <c r="AJ85" s="264"/>
      <c r="AK85" s="266">
        <f>ROUND(IF(AF85=0,0,AI85/ABS(AF85)),3)</f>
        <v>0</v>
      </c>
      <c r="AL85" s="1531"/>
    </row>
    <row r="86" spans="1:38" ht="15" customHeight="1">
      <c r="A86" s="35"/>
      <c r="B86" s="291" t="s">
        <v>538</v>
      </c>
      <c r="C86" s="291"/>
      <c r="D86" s="287">
        <f>AC86</f>
        <v>-253</v>
      </c>
      <c r="E86" s="268"/>
      <c r="F86" s="287"/>
      <c r="G86" s="268"/>
      <c r="H86" s="287"/>
      <c r="I86" s="268"/>
      <c r="J86" s="287"/>
      <c r="K86" s="554"/>
      <c r="L86" s="287"/>
      <c r="M86" s="554"/>
      <c r="N86" s="287"/>
      <c r="O86" s="554"/>
      <c r="P86" s="287"/>
      <c r="Q86" s="554"/>
      <c r="R86" s="287"/>
      <c r="S86" s="554"/>
      <c r="T86" s="287"/>
      <c r="U86" s="554"/>
      <c r="V86" s="287"/>
      <c r="W86" s="554"/>
      <c r="X86" s="287"/>
      <c r="Y86" s="554"/>
      <c r="Z86" s="287"/>
      <c r="AA86" s="264"/>
      <c r="AB86" s="524"/>
      <c r="AC86" s="532">
        <v>-253</v>
      </c>
      <c r="AD86" s="287"/>
      <c r="AE86" s="1769"/>
      <c r="AF86" s="986">
        <v>-203.9</v>
      </c>
      <c r="AG86" s="520"/>
      <c r="AH86" s="264"/>
      <c r="AI86" s="264">
        <f>ROUND(SUM(+AC86-AF86)*-1,1)</f>
        <v>49.1</v>
      </c>
      <c r="AJ86" s="264"/>
      <c r="AK86" s="266">
        <f>ROUND(IF(AF86=0,0,AI86/ABS(AF86)),3)</f>
        <v>0.24099999999999999</v>
      </c>
      <c r="AL86" s="1531"/>
    </row>
    <row r="87" spans="1:38" ht="15" customHeight="1">
      <c r="A87" s="35"/>
      <c r="B87" s="291"/>
      <c r="C87" s="291"/>
      <c r="D87" s="1030"/>
      <c r="E87" s="268"/>
      <c r="F87" s="616"/>
      <c r="G87" s="268"/>
      <c r="H87" s="616"/>
      <c r="I87" s="268"/>
      <c r="J87" s="616"/>
      <c r="K87" s="268"/>
      <c r="L87" s="616"/>
      <c r="M87" s="268"/>
      <c r="N87" s="616"/>
      <c r="O87" s="268"/>
      <c r="P87" s="616"/>
      <c r="Q87" s="268"/>
      <c r="R87" s="616"/>
      <c r="S87" s="268"/>
      <c r="T87" s="616"/>
      <c r="U87" s="268"/>
      <c r="V87" s="616"/>
      <c r="W87" s="264"/>
      <c r="X87" s="616"/>
      <c r="Y87" s="264"/>
      <c r="Z87" s="616"/>
      <c r="AA87" s="268"/>
      <c r="AB87" s="668"/>
      <c r="AC87" s="616"/>
      <c r="AD87" s="264"/>
      <c r="AE87" s="525"/>
      <c r="AF87" s="264"/>
      <c r="AG87" s="520"/>
      <c r="AH87" s="264"/>
      <c r="AI87" s="1050"/>
      <c r="AJ87" s="531"/>
      <c r="AK87" s="1052"/>
      <c r="AL87" s="1531"/>
    </row>
    <row r="88" spans="1:38" ht="15" customHeight="1">
      <c r="A88" s="35"/>
      <c r="B88" s="3" t="s">
        <v>517</v>
      </c>
      <c r="C88" s="291"/>
      <c r="D88" s="13">
        <f>ROUND(SUM(D85:D87),1)</f>
        <v>-253</v>
      </c>
      <c r="E88" s="40"/>
      <c r="F88" s="13">
        <f>ROUND(SUM(F85:F87),1)</f>
        <v>0</v>
      </c>
      <c r="G88" s="40"/>
      <c r="H88" s="13">
        <f>ROUND(SUM(H85:H87),1)</f>
        <v>0</v>
      </c>
      <c r="I88" s="40"/>
      <c r="J88" s="13">
        <f>ROUND(SUM(J85:J87),1)</f>
        <v>0</v>
      </c>
      <c r="K88" s="40"/>
      <c r="L88" s="13">
        <f>ROUND(SUM(L85:L87),1)</f>
        <v>0</v>
      </c>
      <c r="M88" s="40"/>
      <c r="N88" s="13">
        <f>ROUND(SUM(N85:N87),1)</f>
        <v>0</v>
      </c>
      <c r="O88" s="40"/>
      <c r="P88" s="13">
        <f>ROUND(SUM(P85:P87),1)</f>
        <v>0</v>
      </c>
      <c r="Q88" s="40"/>
      <c r="R88" s="13">
        <f>ROUND(SUM(R85:R87),1)</f>
        <v>0</v>
      </c>
      <c r="S88" s="13"/>
      <c r="T88" s="13">
        <f>ROUND(SUM(T85:T87),1)</f>
        <v>0</v>
      </c>
      <c r="U88" s="40"/>
      <c r="V88" s="13">
        <f>ROUND(SUM(V85:V87),1)</f>
        <v>0</v>
      </c>
      <c r="W88" s="13"/>
      <c r="X88" s="13">
        <f>ROUND(SUM(X85:X87),1)</f>
        <v>0</v>
      </c>
      <c r="Y88" s="13"/>
      <c r="Z88" s="13">
        <f>ROUND(SUM(Z85:Z87),1)</f>
        <v>0</v>
      </c>
      <c r="AA88" s="40"/>
      <c r="AB88" s="669"/>
      <c r="AC88" s="13">
        <f>ROUND(SUM(AC85:AC87),1)</f>
        <v>-253</v>
      </c>
      <c r="AD88" s="13"/>
      <c r="AE88" s="670"/>
      <c r="AF88" s="13">
        <f>ROUND(SUM(AF85:AF86),1)</f>
        <v>-203.9</v>
      </c>
      <c r="AG88" s="75"/>
      <c r="AH88" s="13"/>
      <c r="AI88" s="985">
        <f>-ROUND(SUM(AC88-AF88),1)</f>
        <v>49.1</v>
      </c>
      <c r="AJ88" s="76"/>
      <c r="AK88" s="537">
        <f>ROUND(SUM((AC88-AF88)/(AF88)),3)</f>
        <v>0.24099999999999999</v>
      </c>
      <c r="AL88" s="1531"/>
    </row>
    <row r="89" spans="1:38" ht="15" customHeight="1">
      <c r="A89" s="35"/>
      <c r="B89" s="291"/>
      <c r="C89" s="291"/>
      <c r="D89" s="1030"/>
      <c r="E89" s="268"/>
      <c r="F89" s="1030"/>
      <c r="G89" s="268"/>
      <c r="H89" s="1030"/>
      <c r="I89" s="268"/>
      <c r="J89" s="1030"/>
      <c r="K89" s="268"/>
      <c r="L89" s="1030"/>
      <c r="M89" s="268"/>
      <c r="N89" s="1030"/>
      <c r="O89" s="268"/>
      <c r="P89" s="1030"/>
      <c r="Q89" s="268"/>
      <c r="R89" s="1030"/>
      <c r="S89" s="268"/>
      <c r="T89" s="1030"/>
      <c r="U89" s="268"/>
      <c r="V89" s="616"/>
      <c r="W89" s="264"/>
      <c r="X89" s="616"/>
      <c r="Y89" s="264"/>
      <c r="Z89" s="616"/>
      <c r="AA89" s="268"/>
      <c r="AB89" s="668"/>
      <c r="AC89" s="616"/>
      <c r="AD89" s="264"/>
      <c r="AE89" s="525"/>
      <c r="AF89" s="616"/>
      <c r="AG89" s="520"/>
      <c r="AH89" s="264"/>
      <c r="AI89" s="287"/>
      <c r="AJ89" s="531"/>
      <c r="AK89" s="536"/>
      <c r="AL89" s="1531"/>
    </row>
    <row r="90" spans="1:38" ht="15" customHeight="1">
      <c r="A90" s="35"/>
      <c r="B90" s="3" t="s">
        <v>469</v>
      </c>
      <c r="C90" s="291"/>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668"/>
      <c r="AC90" s="268"/>
      <c r="AD90" s="268"/>
      <c r="AE90" s="1048"/>
      <c r="AF90" s="268"/>
      <c r="AG90" s="1230"/>
      <c r="AH90" s="364"/>
      <c r="AI90" s="531"/>
      <c r="AJ90" s="531"/>
      <c r="AK90" s="536"/>
      <c r="AL90" s="1531"/>
    </row>
    <row r="91" spans="1:38" ht="15" customHeight="1">
      <c r="A91" s="35"/>
      <c r="B91" s="3" t="s">
        <v>470</v>
      </c>
      <c r="C91" s="291"/>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668"/>
      <c r="AC91" s="268"/>
      <c r="AD91" s="268"/>
      <c r="AE91" s="1048"/>
      <c r="AF91" s="20"/>
      <c r="AG91" s="1230"/>
      <c r="AH91" s="364"/>
      <c r="AI91" s="531"/>
      <c r="AJ91" s="531"/>
      <c r="AK91" s="536"/>
      <c r="AL91" s="1531"/>
    </row>
    <row r="92" spans="1:38" ht="15" customHeight="1">
      <c r="A92" s="35"/>
      <c r="B92" s="3" t="s">
        <v>518</v>
      </c>
      <c r="C92" s="291"/>
      <c r="D92" s="357">
        <f>ROUND(SUM(D82+D88),1)</f>
        <v>1170.5999999999999</v>
      </c>
      <c r="E92" s="268"/>
      <c r="F92" s="357">
        <f>ROUND(SUM(F82+F88),1)</f>
        <v>0</v>
      </c>
      <c r="G92" s="268"/>
      <c r="H92" s="357">
        <f>ROUND(SUM(H82+H88),1)</f>
        <v>0</v>
      </c>
      <c r="I92" s="264"/>
      <c r="J92" s="357">
        <f>ROUND(SUM(J82+J88),1)</f>
        <v>0</v>
      </c>
      <c r="K92" s="264"/>
      <c r="L92" s="357">
        <f>ROUND(SUM(L82+L88),1)</f>
        <v>0</v>
      </c>
      <c r="M92" s="264"/>
      <c r="N92" s="357">
        <f>ROUND(SUM(N82+N88),1)</f>
        <v>0</v>
      </c>
      <c r="O92" s="264"/>
      <c r="P92" s="357">
        <f>ROUND(SUM(P82+P88),1)</f>
        <v>0</v>
      </c>
      <c r="Q92" s="264"/>
      <c r="R92" s="357">
        <f>ROUND(SUM(R82+R88),1)</f>
        <v>0</v>
      </c>
      <c r="S92" s="264"/>
      <c r="T92" s="357">
        <f>ROUND(SUM(T82+T88),1)</f>
        <v>0</v>
      </c>
      <c r="U92" s="264"/>
      <c r="V92" s="357">
        <f>ROUND(SUM(V82+V88),1)</f>
        <v>0</v>
      </c>
      <c r="W92" s="264"/>
      <c r="X92" s="357">
        <f>ROUND(SUM(X82+X88),1)</f>
        <v>0</v>
      </c>
      <c r="Y92" s="264"/>
      <c r="Z92" s="357">
        <f>ROUND(SUM(Z82+Z88),1)</f>
        <v>0</v>
      </c>
      <c r="AA92" s="1234"/>
      <c r="AB92" s="264"/>
      <c r="AC92" s="357">
        <f>ROUND(SUM(AC82+AC88),1)</f>
        <v>1170.5999999999999</v>
      </c>
      <c r="AD92" s="1786"/>
      <c r="AE92" s="264"/>
      <c r="AF92" s="357">
        <f>ROUND(SUM(AF82+AF88),1)</f>
        <v>2520.1999999999998</v>
      </c>
      <c r="AG92" s="1230"/>
      <c r="AH92" s="264"/>
      <c r="AI92" s="357">
        <f>ROUND(SUM(AI82-AI88),1)</f>
        <v>-1349.6</v>
      </c>
      <c r="AJ92" s="287"/>
      <c r="AK92" s="612">
        <f>ROUND(SUM((AC92-AF92)/ABS(AF92)),3)</f>
        <v>-0.53600000000000003</v>
      </c>
      <c r="AL92" s="1531"/>
    </row>
    <row r="93" spans="1:38" ht="15" customHeight="1">
      <c r="A93" s="35"/>
      <c r="B93" s="291"/>
      <c r="C93" s="291"/>
      <c r="D93" s="364"/>
      <c r="E93" s="364"/>
      <c r="F93" s="364"/>
      <c r="G93" s="364"/>
      <c r="H93" s="364"/>
      <c r="I93" s="364"/>
      <c r="J93" s="364"/>
      <c r="K93" s="364"/>
      <c r="L93" s="364"/>
      <c r="M93" s="364"/>
      <c r="N93" s="364"/>
      <c r="O93" s="364"/>
      <c r="P93" s="364"/>
      <c r="Q93" s="364"/>
      <c r="R93" s="364"/>
      <c r="S93" s="364"/>
      <c r="T93" s="20"/>
      <c r="U93" s="364"/>
      <c r="V93" s="364"/>
      <c r="W93" s="364"/>
      <c r="X93" s="364"/>
      <c r="Y93" s="364"/>
      <c r="Z93" s="364"/>
      <c r="AA93" s="364"/>
      <c r="AB93" s="1048"/>
      <c r="AC93" s="364"/>
      <c r="AD93" s="364"/>
      <c r="AE93" s="1048"/>
      <c r="AF93" s="364"/>
      <c r="AG93" s="364"/>
      <c r="AH93" s="1032"/>
      <c r="AI93" s="531"/>
      <c r="AJ93" s="531"/>
      <c r="AK93" s="536" t="s">
        <v>103</v>
      </c>
      <c r="AL93" s="1531"/>
    </row>
    <row r="94" spans="1:38" ht="20.25" customHeight="1" thickBot="1">
      <c r="A94" s="35"/>
      <c r="B94" s="3" t="s">
        <v>532</v>
      </c>
      <c r="C94" s="291"/>
      <c r="D94" s="70">
        <f>ROUND(SUM(+D13+D92),1)</f>
        <v>9647.2999999999993</v>
      </c>
      <c r="E94" s="364"/>
      <c r="F94" s="70">
        <f>ROUND(SUM(+F13+F92),1)</f>
        <v>0</v>
      </c>
      <c r="G94" s="364"/>
      <c r="H94" s="70">
        <f>ROUND(SUM(+H13+H92),1)</f>
        <v>0</v>
      </c>
      <c r="I94" s="364"/>
      <c r="J94" s="70">
        <f>ROUND(SUM(+J13+J92),1)</f>
        <v>0</v>
      </c>
      <c r="K94" s="364"/>
      <c r="L94" s="70">
        <f>ROUND(SUM(+L13+L92),1)</f>
        <v>0</v>
      </c>
      <c r="M94" s="364"/>
      <c r="N94" s="70">
        <f>ROUND(SUM(+N13+N92),1)</f>
        <v>0</v>
      </c>
      <c r="O94" s="364"/>
      <c r="P94" s="70">
        <f>ROUND(SUM(+P13+P92),1)</f>
        <v>0</v>
      </c>
      <c r="Q94" s="364"/>
      <c r="R94" s="70">
        <f>ROUND(SUM(+R13+R92),1)</f>
        <v>0</v>
      </c>
      <c r="S94" s="364"/>
      <c r="T94" s="70">
        <f>ROUND(SUM(+T13+T92),1)</f>
        <v>0</v>
      </c>
      <c r="U94" s="364"/>
      <c r="V94" s="70">
        <f>ROUND(SUM(+V13+V92),1)</f>
        <v>0</v>
      </c>
      <c r="W94" s="364"/>
      <c r="X94" s="70">
        <f>ROUND(SUM(+X13+X92),1)</f>
        <v>0</v>
      </c>
      <c r="Y94" s="364"/>
      <c r="Z94" s="70">
        <f>ROUND(SUM(+Z13+Z92),1)</f>
        <v>0</v>
      </c>
      <c r="AA94" s="364"/>
      <c r="AB94" s="1048"/>
      <c r="AC94" s="70">
        <f>ROUND(SUM(+AC13+AC92),1)</f>
        <v>9647.2999999999993</v>
      </c>
      <c r="AD94" s="364"/>
      <c r="AE94" s="1048"/>
      <c r="AF94" s="70">
        <f>ROUND(SUM(+AF13+AF92),1)</f>
        <v>10350.700000000001</v>
      </c>
      <c r="AG94" s="364"/>
      <c r="AH94" s="1032"/>
      <c r="AI94" s="70">
        <f>ROUND(SUM(+AI13+AI92),1)</f>
        <v>-703.4</v>
      </c>
      <c r="AJ94" s="531"/>
      <c r="AK94" s="1053">
        <f>ROUND(+AI94/ABS(AF94),3)</f>
        <v>-6.8000000000000005E-2</v>
      </c>
      <c r="AL94" s="1531"/>
    </row>
    <row r="95" spans="1:38" ht="15" customHeight="1" thickTop="1">
      <c r="B95" s="364"/>
      <c r="C95" s="364"/>
      <c r="D95" s="406"/>
      <c r="E95" s="406"/>
      <c r="F95" s="406"/>
      <c r="G95" s="406"/>
      <c r="H95" s="406"/>
      <c r="I95" s="406"/>
      <c r="J95" s="406"/>
      <c r="K95" s="406"/>
      <c r="L95" s="406"/>
      <c r="M95" s="406"/>
      <c r="N95" s="406"/>
      <c r="O95" s="406"/>
      <c r="P95" s="406"/>
      <c r="Q95" s="406"/>
      <c r="R95" s="406"/>
      <c r="S95" s="406"/>
      <c r="T95" s="406"/>
      <c r="U95" s="406"/>
      <c r="V95" s="406"/>
      <c r="W95" s="406"/>
      <c r="X95" s="406"/>
      <c r="Y95" s="406"/>
      <c r="Z95" s="406"/>
      <c r="AA95" s="406"/>
      <c r="AB95" s="406"/>
      <c r="AC95" s="406"/>
      <c r="AD95" s="406"/>
      <c r="AE95" s="406"/>
      <c r="AF95" s="406"/>
      <c r="AG95" s="406"/>
      <c r="AH95" s="406"/>
      <c r="AI95" s="406"/>
      <c r="AJ95" s="406"/>
      <c r="AK95" s="283"/>
    </row>
    <row r="96" spans="1:38" ht="15" customHeight="1">
      <c r="B96" s="364"/>
      <c r="C96" s="364"/>
      <c r="D96" s="364"/>
      <c r="E96" s="364"/>
      <c r="F96" s="364"/>
      <c r="G96" s="364"/>
      <c r="H96" s="364"/>
      <c r="I96" s="364"/>
      <c r="J96" s="364"/>
      <c r="K96" s="364"/>
      <c r="L96" s="364"/>
      <c r="M96" s="364"/>
      <c r="N96" s="364"/>
      <c r="O96" s="364"/>
      <c r="P96" s="364"/>
      <c r="Q96" s="364"/>
      <c r="R96" s="364"/>
      <c r="S96" s="364"/>
      <c r="T96" s="364"/>
      <c r="U96" s="364"/>
      <c r="V96" s="364"/>
      <c r="W96" s="364"/>
      <c r="X96" s="364"/>
      <c r="Y96" s="364"/>
      <c r="Z96" s="364"/>
      <c r="AA96" s="364"/>
      <c r="AB96" s="364"/>
      <c r="AC96" s="364"/>
      <c r="AD96" s="364"/>
      <c r="AE96" s="364"/>
      <c r="AF96" s="364"/>
      <c r="AG96" s="364"/>
      <c r="AH96" s="364"/>
      <c r="AI96" s="364"/>
      <c r="AJ96" s="364"/>
      <c r="AK96" s="283"/>
    </row>
    <row r="97" spans="2:2" ht="15" customHeight="1">
      <c r="B97" s="364"/>
    </row>
  </sheetData>
  <mergeCells count="1">
    <mergeCell ref="AB9:AK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K16:AK18 AK20 AK34 AK40 AK53 AK57 AK55" unlockedFormula="1"/>
    <ignoredError sqref="AK48:AK49 AK63:AK68 AK61"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J82"/>
  <sheetViews>
    <sheetView showGridLines="0" zoomScale="85" zoomScaleNormal="85" workbookViewId="0"/>
  </sheetViews>
  <sheetFormatPr defaultRowHeight="12.5"/>
  <cols>
    <col min="1" max="1" width="40.4609375" style="80" customWidth="1"/>
    <col min="2" max="2" width="10.4609375" style="80" customWidth="1"/>
    <col min="3" max="3" width="1.07421875" style="80" customWidth="1"/>
    <col min="4" max="4" width="10" style="80" customWidth="1"/>
    <col min="5" max="5" width="1.07421875" style="80" customWidth="1"/>
    <col min="6" max="6" width="9.84375" style="722" bestFit="1" customWidth="1"/>
    <col min="7" max="7" width="1.07421875" style="80" customWidth="1"/>
    <col min="8" max="8" width="10" style="80" customWidth="1"/>
    <col min="9" max="9" width="1.07421875" style="80" customWidth="1"/>
    <col min="10" max="10" width="10" style="80" bestFit="1" customWidth="1"/>
    <col min="11" max="11" width="1.07421875" style="80" customWidth="1"/>
    <col min="12" max="12" width="11.07421875" style="80" customWidth="1"/>
    <col min="13" max="13" width="1.07421875" style="80" customWidth="1"/>
    <col min="14" max="14" width="10.84375" style="80" customWidth="1"/>
    <col min="15" max="15" width="1.84375" style="80" customWidth="1"/>
    <col min="16" max="16" width="11" style="80" customWidth="1"/>
    <col min="17" max="17" width="1.07421875" style="80" customWidth="1"/>
    <col min="18" max="18" width="10.84375" style="80" customWidth="1"/>
    <col min="19" max="19" width="1.07421875" style="80" customWidth="1"/>
    <col min="20" max="20" width="10" style="80" customWidth="1"/>
    <col min="21" max="21" width="1.07421875" style="80" customWidth="1"/>
    <col min="22" max="22" width="12.84375" style="80" customWidth="1"/>
    <col min="23" max="23" width="1.07421875" style="80" customWidth="1"/>
    <col min="24" max="24" width="11.07421875" style="80" bestFit="1" customWidth="1"/>
    <col min="25" max="26" width="0.84375" style="80" customWidth="1"/>
    <col min="27" max="27" width="10.53515625" style="80" customWidth="1"/>
    <col min="28" max="29" width="0.84375" style="80" customWidth="1"/>
    <col min="30" max="30" width="10.53515625" style="80" customWidth="1"/>
    <col min="31" max="32" width="0.84375" style="80" customWidth="1"/>
    <col min="33" max="33" width="10.53515625" style="80" customWidth="1"/>
    <col min="34" max="34" width="1.07421875" style="80" customWidth="1"/>
    <col min="35" max="35" width="10.53515625" style="80" customWidth="1"/>
    <col min="36" max="36" width="14.53515625" style="723" customWidth="1"/>
    <col min="37" max="65" width="8.84375" style="80"/>
    <col min="66" max="66" width="38.4609375" style="80" customWidth="1"/>
    <col min="67" max="67" width="8.53515625" style="80" customWidth="1"/>
    <col min="68" max="68" width="1.07421875" style="80" customWidth="1"/>
    <col min="69" max="69" width="8.84375" style="80" customWidth="1"/>
    <col min="70" max="70" width="1.07421875" style="80" customWidth="1"/>
    <col min="71" max="71" width="9.07421875" style="80" customWidth="1"/>
    <col min="72" max="72" width="1.07421875" style="80" customWidth="1"/>
    <col min="73" max="73" width="10" style="80" customWidth="1"/>
    <col min="74" max="74" width="1.07421875" style="80" customWidth="1"/>
    <col min="75" max="75" width="9.07421875" style="80" customWidth="1"/>
    <col min="76" max="76" width="1.07421875" style="80" customWidth="1"/>
    <col min="77" max="77" width="11.07421875" style="80" customWidth="1"/>
    <col min="78" max="78" width="1.07421875" style="80" customWidth="1"/>
    <col min="79" max="79" width="9.07421875" style="80" customWidth="1"/>
    <col min="80" max="80" width="1.84375" style="80" customWidth="1"/>
    <col min="81" max="81" width="11" style="80" customWidth="1"/>
    <col min="82" max="82" width="1.07421875" style="80" customWidth="1"/>
    <col min="83" max="83" width="10.84375" style="80" customWidth="1"/>
    <col min="84" max="84" width="1.07421875" style="80" customWidth="1"/>
    <col min="85" max="85" width="10" style="80" customWidth="1"/>
    <col min="86" max="86" width="1.07421875" style="80" customWidth="1"/>
    <col min="87" max="87" width="9.07421875" style="80" customWidth="1"/>
    <col min="88" max="88" width="1.07421875" style="80" customWidth="1"/>
    <col min="89" max="89" width="7.84375" style="80" customWidth="1"/>
    <col min="90" max="90" width="1.07421875" style="80" customWidth="1"/>
    <col min="91" max="91" width="0.84375" style="80" customWidth="1"/>
    <col min="92" max="92" width="9.07421875" style="80" customWidth="1"/>
    <col min="93" max="93" width="1.07421875" style="80" customWidth="1"/>
    <col min="94" max="94" width="0.84375" style="80" customWidth="1"/>
    <col min="95" max="95" width="9.53515625" style="80" bestFit="1" customWidth="1"/>
    <col min="96" max="97" width="0.84375" style="80" customWidth="1"/>
    <col min="98" max="98" width="9.84375" style="80" customWidth="1"/>
    <col min="99" max="99" width="1.07421875" style="80" customWidth="1"/>
    <col min="100" max="100" width="8.53515625" style="80" customWidth="1"/>
    <col min="101" max="101" width="14.53515625" style="80" customWidth="1"/>
    <col min="102" max="102" width="10" style="80" customWidth="1"/>
    <col min="103" max="103" width="7.84375" style="80" bestFit="1" customWidth="1"/>
    <col min="104" max="104" width="9.84375" style="80" customWidth="1"/>
    <col min="105" max="321" width="8.84375" style="80"/>
    <col min="322" max="322" width="38.4609375" style="80" customWidth="1"/>
    <col min="323" max="323" width="8.53515625" style="80" customWidth="1"/>
    <col min="324" max="324" width="1.07421875" style="80" customWidth="1"/>
    <col min="325" max="325" width="8.84375" style="80" customWidth="1"/>
    <col min="326" max="326" width="1.07421875" style="80" customWidth="1"/>
    <col min="327" max="327" width="9.07421875" style="80" customWidth="1"/>
    <col min="328" max="328" width="1.07421875" style="80" customWidth="1"/>
    <col min="329" max="329" width="10" style="80" customWidth="1"/>
    <col min="330" max="330" width="1.07421875" style="80" customWidth="1"/>
    <col min="331" max="331" width="9.07421875" style="80" customWidth="1"/>
    <col min="332" max="332" width="1.07421875" style="80" customWidth="1"/>
    <col min="333" max="333" width="11.07421875" style="80" customWidth="1"/>
    <col min="334" max="334" width="1.07421875" style="80" customWidth="1"/>
    <col min="335" max="335" width="9.07421875" style="80" customWidth="1"/>
    <col min="336" max="336" width="1.84375" style="80" customWidth="1"/>
    <col min="337" max="337" width="11" style="80" customWidth="1"/>
    <col min="338" max="338" width="1.07421875" style="80" customWidth="1"/>
    <col min="339" max="339" width="10.84375" style="80" customWidth="1"/>
    <col min="340" max="340" width="1.07421875" style="80" customWidth="1"/>
    <col min="341" max="341" width="10" style="80" customWidth="1"/>
    <col min="342" max="342" width="1.07421875" style="80" customWidth="1"/>
    <col min="343" max="343" width="9.07421875" style="80" customWidth="1"/>
    <col min="344" max="344" width="1.07421875" style="80" customWidth="1"/>
    <col min="345" max="345" width="7.84375" style="80" customWidth="1"/>
    <col min="346" max="346" width="1.07421875" style="80" customWidth="1"/>
    <col min="347" max="347" width="0.84375" style="80" customWidth="1"/>
    <col min="348" max="348" width="9.07421875" style="80" customWidth="1"/>
    <col min="349" max="349" width="1.07421875" style="80" customWidth="1"/>
    <col min="350" max="350" width="0.84375" style="80" customWidth="1"/>
    <col min="351" max="351" width="9.53515625" style="80" bestFit="1" customWidth="1"/>
    <col min="352" max="353" width="0.84375" style="80" customWidth="1"/>
    <col min="354" max="354" width="9.84375" style="80" customWidth="1"/>
    <col min="355" max="355" width="1.07421875" style="80" customWidth="1"/>
    <col min="356" max="356" width="8.53515625" style="80" customWidth="1"/>
    <col min="357" max="357" width="14.53515625" style="80" customWidth="1"/>
    <col min="358" max="358" width="10" style="80" customWidth="1"/>
    <col min="359" max="359" width="7.84375" style="80" bestFit="1" customWidth="1"/>
    <col min="360" max="360" width="9.84375" style="80" customWidth="1"/>
    <col min="361" max="577" width="8.84375" style="80"/>
    <col min="578" max="578" width="38.4609375" style="80" customWidth="1"/>
    <col min="579" max="579" width="8.53515625" style="80" customWidth="1"/>
    <col min="580" max="580" width="1.07421875" style="80" customWidth="1"/>
    <col min="581" max="581" width="8.84375" style="80" customWidth="1"/>
    <col min="582" max="582" width="1.07421875" style="80" customWidth="1"/>
    <col min="583" max="583" width="9.07421875" style="80" customWidth="1"/>
    <col min="584" max="584" width="1.07421875" style="80" customWidth="1"/>
    <col min="585" max="585" width="10" style="80" customWidth="1"/>
    <col min="586" max="586" width="1.07421875" style="80" customWidth="1"/>
    <col min="587" max="587" width="9.07421875" style="80" customWidth="1"/>
    <col min="588" max="588" width="1.07421875" style="80" customWidth="1"/>
    <col min="589" max="589" width="11.07421875" style="80" customWidth="1"/>
    <col min="590" max="590" width="1.07421875" style="80" customWidth="1"/>
    <col min="591" max="591" width="9.07421875" style="80" customWidth="1"/>
    <col min="592" max="592" width="1.84375" style="80" customWidth="1"/>
    <col min="593" max="593" width="11" style="80" customWidth="1"/>
    <col min="594" max="594" width="1.07421875" style="80" customWidth="1"/>
    <col min="595" max="595" width="10.84375" style="80" customWidth="1"/>
    <col min="596" max="596" width="1.07421875" style="80" customWidth="1"/>
    <col min="597" max="597" width="10" style="80" customWidth="1"/>
    <col min="598" max="598" width="1.07421875" style="80" customWidth="1"/>
    <col min="599" max="599" width="9.07421875" style="80" customWidth="1"/>
    <col min="600" max="600" width="1.07421875" style="80" customWidth="1"/>
    <col min="601" max="601" width="7.84375" style="80" customWidth="1"/>
    <col min="602" max="602" width="1.07421875" style="80" customWidth="1"/>
    <col min="603" max="603" width="0.84375" style="80" customWidth="1"/>
    <col min="604" max="604" width="9.07421875" style="80" customWidth="1"/>
    <col min="605" max="605" width="1.07421875" style="80" customWidth="1"/>
    <col min="606" max="606" width="0.84375" style="80" customWidth="1"/>
    <col min="607" max="607" width="9.53515625" style="80" bestFit="1" customWidth="1"/>
    <col min="608" max="609" width="0.84375" style="80" customWidth="1"/>
    <col min="610" max="610" width="9.84375" style="80" customWidth="1"/>
    <col min="611" max="611" width="1.07421875" style="80" customWidth="1"/>
    <col min="612" max="612" width="8.53515625" style="80" customWidth="1"/>
    <col min="613" max="613" width="14.53515625" style="80" customWidth="1"/>
    <col min="614" max="614" width="10" style="80" customWidth="1"/>
    <col min="615" max="615" width="7.84375" style="80" bestFit="1" customWidth="1"/>
    <col min="616" max="616" width="9.84375" style="80" customWidth="1"/>
    <col min="617" max="833" width="8.84375" style="80"/>
    <col min="834" max="834" width="38.4609375" style="80" customWidth="1"/>
    <col min="835" max="835" width="8.53515625" style="80" customWidth="1"/>
    <col min="836" max="836" width="1.07421875" style="80" customWidth="1"/>
    <col min="837" max="837" width="8.84375" style="80" customWidth="1"/>
    <col min="838" max="838" width="1.07421875" style="80" customWidth="1"/>
    <col min="839" max="839" width="9.07421875" style="80" customWidth="1"/>
    <col min="840" max="840" width="1.07421875" style="80" customWidth="1"/>
    <col min="841" max="841" width="10" style="80" customWidth="1"/>
    <col min="842" max="842" width="1.07421875" style="80" customWidth="1"/>
    <col min="843" max="843" width="9.07421875" style="80" customWidth="1"/>
    <col min="844" max="844" width="1.07421875" style="80" customWidth="1"/>
    <col min="845" max="845" width="11.07421875" style="80" customWidth="1"/>
    <col min="846" max="846" width="1.07421875" style="80" customWidth="1"/>
    <col min="847" max="847" width="9.07421875" style="80" customWidth="1"/>
    <col min="848" max="848" width="1.84375" style="80" customWidth="1"/>
    <col min="849" max="849" width="11" style="80" customWidth="1"/>
    <col min="850" max="850" width="1.07421875" style="80" customWidth="1"/>
    <col min="851" max="851" width="10.84375" style="80" customWidth="1"/>
    <col min="852" max="852" width="1.07421875" style="80" customWidth="1"/>
    <col min="853" max="853" width="10" style="80" customWidth="1"/>
    <col min="854" max="854" width="1.07421875" style="80" customWidth="1"/>
    <col min="855" max="855" width="9.07421875" style="80" customWidth="1"/>
    <col min="856" max="856" width="1.07421875" style="80" customWidth="1"/>
    <col min="857" max="857" width="7.84375" style="80" customWidth="1"/>
    <col min="858" max="858" width="1.07421875" style="80" customWidth="1"/>
    <col min="859" max="859" width="0.84375" style="80" customWidth="1"/>
    <col min="860" max="860" width="9.07421875" style="80" customWidth="1"/>
    <col min="861" max="861" width="1.07421875" style="80" customWidth="1"/>
    <col min="862" max="862" width="0.84375" style="80" customWidth="1"/>
    <col min="863" max="863" width="9.53515625" style="80" bestFit="1" customWidth="1"/>
    <col min="864" max="865" width="0.84375" style="80" customWidth="1"/>
    <col min="866" max="866" width="9.84375" style="80" customWidth="1"/>
    <col min="867" max="867" width="1.07421875" style="80" customWidth="1"/>
    <col min="868" max="868" width="8.53515625" style="80" customWidth="1"/>
    <col min="869" max="869" width="14.53515625" style="80" customWidth="1"/>
    <col min="870" max="870" width="10" style="80" customWidth="1"/>
    <col min="871" max="871" width="7.84375" style="80" bestFit="1" customWidth="1"/>
    <col min="872" max="872" width="9.84375" style="80" customWidth="1"/>
    <col min="873" max="1089" width="8.84375" style="80"/>
    <col min="1090" max="1090" width="38.4609375" style="80" customWidth="1"/>
    <col min="1091" max="1091" width="8.53515625" style="80" customWidth="1"/>
    <col min="1092" max="1092" width="1.07421875" style="80" customWidth="1"/>
    <col min="1093" max="1093" width="8.84375" style="80" customWidth="1"/>
    <col min="1094" max="1094" width="1.07421875" style="80" customWidth="1"/>
    <col min="1095" max="1095" width="9.07421875" style="80" customWidth="1"/>
    <col min="1096" max="1096" width="1.07421875" style="80" customWidth="1"/>
    <col min="1097" max="1097" width="10" style="80" customWidth="1"/>
    <col min="1098" max="1098" width="1.07421875" style="80" customWidth="1"/>
    <col min="1099" max="1099" width="9.07421875" style="80" customWidth="1"/>
    <col min="1100" max="1100" width="1.07421875" style="80" customWidth="1"/>
    <col min="1101" max="1101" width="11.07421875" style="80" customWidth="1"/>
    <col min="1102" max="1102" width="1.07421875" style="80" customWidth="1"/>
    <col min="1103" max="1103" width="9.07421875" style="80" customWidth="1"/>
    <col min="1104" max="1104" width="1.84375" style="80" customWidth="1"/>
    <col min="1105" max="1105" width="11" style="80" customWidth="1"/>
    <col min="1106" max="1106" width="1.07421875" style="80" customWidth="1"/>
    <col min="1107" max="1107" width="10.84375" style="80" customWidth="1"/>
    <col min="1108" max="1108" width="1.07421875" style="80" customWidth="1"/>
    <col min="1109" max="1109" width="10" style="80" customWidth="1"/>
    <col min="1110" max="1110" width="1.07421875" style="80" customWidth="1"/>
    <col min="1111" max="1111" width="9.07421875" style="80" customWidth="1"/>
    <col min="1112" max="1112" width="1.07421875" style="80" customWidth="1"/>
    <col min="1113" max="1113" width="7.84375" style="80" customWidth="1"/>
    <col min="1114" max="1114" width="1.07421875" style="80" customWidth="1"/>
    <col min="1115" max="1115" width="0.84375" style="80" customWidth="1"/>
    <col min="1116" max="1116" width="9.07421875" style="80" customWidth="1"/>
    <col min="1117" max="1117" width="1.07421875" style="80" customWidth="1"/>
    <col min="1118" max="1118" width="0.84375" style="80" customWidth="1"/>
    <col min="1119" max="1119" width="9.53515625" style="80" bestFit="1" customWidth="1"/>
    <col min="1120" max="1121" width="0.84375" style="80" customWidth="1"/>
    <col min="1122" max="1122" width="9.84375" style="80" customWidth="1"/>
    <col min="1123" max="1123" width="1.07421875" style="80" customWidth="1"/>
    <col min="1124" max="1124" width="8.53515625" style="80" customWidth="1"/>
    <col min="1125" max="1125" width="14.53515625" style="80" customWidth="1"/>
    <col min="1126" max="1126" width="10" style="80" customWidth="1"/>
    <col min="1127" max="1127" width="7.84375" style="80" bestFit="1" customWidth="1"/>
    <col min="1128" max="1128" width="9.84375" style="80" customWidth="1"/>
    <col min="1129" max="1345" width="8.84375" style="80"/>
    <col min="1346" max="1346" width="38.4609375" style="80" customWidth="1"/>
    <col min="1347" max="1347" width="8.53515625" style="80" customWidth="1"/>
    <col min="1348" max="1348" width="1.07421875" style="80" customWidth="1"/>
    <col min="1349" max="1349" width="8.84375" style="80" customWidth="1"/>
    <col min="1350" max="1350" width="1.07421875" style="80" customWidth="1"/>
    <col min="1351" max="1351" width="9.07421875" style="80" customWidth="1"/>
    <col min="1352" max="1352" width="1.07421875" style="80" customWidth="1"/>
    <col min="1353" max="1353" width="10" style="80" customWidth="1"/>
    <col min="1354" max="1354" width="1.07421875" style="80" customWidth="1"/>
    <col min="1355" max="1355" width="9.07421875" style="80" customWidth="1"/>
    <col min="1356" max="1356" width="1.07421875" style="80" customWidth="1"/>
    <col min="1357" max="1357" width="11.07421875" style="80" customWidth="1"/>
    <col min="1358" max="1358" width="1.07421875" style="80" customWidth="1"/>
    <col min="1359" max="1359" width="9.07421875" style="80" customWidth="1"/>
    <col min="1360" max="1360" width="1.84375" style="80" customWidth="1"/>
    <col min="1361" max="1361" width="11" style="80" customWidth="1"/>
    <col min="1362" max="1362" width="1.07421875" style="80" customWidth="1"/>
    <col min="1363" max="1363" width="10.84375" style="80" customWidth="1"/>
    <col min="1364" max="1364" width="1.07421875" style="80" customWidth="1"/>
    <col min="1365" max="1365" width="10" style="80" customWidth="1"/>
    <col min="1366" max="1366" width="1.07421875" style="80" customWidth="1"/>
    <col min="1367" max="1367" width="9.07421875" style="80" customWidth="1"/>
    <col min="1368" max="1368" width="1.07421875" style="80" customWidth="1"/>
    <col min="1369" max="1369" width="7.84375" style="80" customWidth="1"/>
    <col min="1370" max="1370" width="1.07421875" style="80" customWidth="1"/>
    <col min="1371" max="1371" width="0.84375" style="80" customWidth="1"/>
    <col min="1372" max="1372" width="9.07421875" style="80" customWidth="1"/>
    <col min="1373" max="1373" width="1.07421875" style="80" customWidth="1"/>
    <col min="1374" max="1374" width="0.84375" style="80" customWidth="1"/>
    <col min="1375" max="1375" width="9.53515625" style="80" bestFit="1" customWidth="1"/>
    <col min="1376" max="1377" width="0.84375" style="80" customWidth="1"/>
    <col min="1378" max="1378" width="9.84375" style="80" customWidth="1"/>
    <col min="1379" max="1379" width="1.07421875" style="80" customWidth="1"/>
    <col min="1380" max="1380" width="8.53515625" style="80" customWidth="1"/>
    <col min="1381" max="1381" width="14.53515625" style="80" customWidth="1"/>
    <col min="1382" max="1382" width="10" style="80" customWidth="1"/>
    <col min="1383" max="1383" width="7.84375" style="80" bestFit="1" customWidth="1"/>
    <col min="1384" max="1384" width="9.84375" style="80" customWidth="1"/>
    <col min="1385" max="1601" width="8.84375" style="80"/>
    <col min="1602" max="1602" width="38.4609375" style="80" customWidth="1"/>
    <col min="1603" max="1603" width="8.53515625" style="80" customWidth="1"/>
    <col min="1604" max="1604" width="1.07421875" style="80" customWidth="1"/>
    <col min="1605" max="1605" width="8.84375" style="80" customWidth="1"/>
    <col min="1606" max="1606" width="1.07421875" style="80" customWidth="1"/>
    <col min="1607" max="1607" width="9.07421875" style="80" customWidth="1"/>
    <col min="1608" max="1608" width="1.07421875" style="80" customWidth="1"/>
    <col min="1609" max="1609" width="10" style="80" customWidth="1"/>
    <col min="1610" max="1610" width="1.07421875" style="80" customWidth="1"/>
    <col min="1611" max="1611" width="9.07421875" style="80" customWidth="1"/>
    <col min="1612" max="1612" width="1.07421875" style="80" customWidth="1"/>
    <col min="1613" max="1613" width="11.07421875" style="80" customWidth="1"/>
    <col min="1614" max="1614" width="1.07421875" style="80" customWidth="1"/>
    <col min="1615" max="1615" width="9.07421875" style="80" customWidth="1"/>
    <col min="1616" max="1616" width="1.84375" style="80" customWidth="1"/>
    <col min="1617" max="1617" width="11" style="80" customWidth="1"/>
    <col min="1618" max="1618" width="1.07421875" style="80" customWidth="1"/>
    <col min="1619" max="1619" width="10.84375" style="80" customWidth="1"/>
    <col min="1620" max="1620" width="1.07421875" style="80" customWidth="1"/>
    <col min="1621" max="1621" width="10" style="80" customWidth="1"/>
    <col min="1622" max="1622" width="1.07421875" style="80" customWidth="1"/>
    <col min="1623" max="1623" width="9.07421875" style="80" customWidth="1"/>
    <col min="1624" max="1624" width="1.07421875" style="80" customWidth="1"/>
    <col min="1625" max="1625" width="7.84375" style="80" customWidth="1"/>
    <col min="1626" max="1626" width="1.07421875" style="80" customWidth="1"/>
    <col min="1627" max="1627" width="0.84375" style="80" customWidth="1"/>
    <col min="1628" max="1628" width="9.07421875" style="80" customWidth="1"/>
    <col min="1629" max="1629" width="1.07421875" style="80" customWidth="1"/>
    <col min="1630" max="1630" width="0.84375" style="80" customWidth="1"/>
    <col min="1631" max="1631" width="9.53515625" style="80" bestFit="1" customWidth="1"/>
    <col min="1632" max="1633" width="0.84375" style="80" customWidth="1"/>
    <col min="1634" max="1634" width="9.84375" style="80" customWidth="1"/>
    <col min="1635" max="1635" width="1.07421875" style="80" customWidth="1"/>
    <col min="1636" max="1636" width="8.53515625" style="80" customWidth="1"/>
    <col min="1637" max="1637" width="14.53515625" style="80" customWidth="1"/>
    <col min="1638" max="1638" width="10" style="80" customWidth="1"/>
    <col min="1639" max="1639" width="7.84375" style="80" bestFit="1" customWidth="1"/>
    <col min="1640" max="1640" width="9.84375" style="80" customWidth="1"/>
    <col min="1641" max="1857" width="8.84375" style="80"/>
    <col min="1858" max="1858" width="38.4609375" style="80" customWidth="1"/>
    <col min="1859" max="1859" width="8.53515625" style="80" customWidth="1"/>
    <col min="1860" max="1860" width="1.07421875" style="80" customWidth="1"/>
    <col min="1861" max="1861" width="8.84375" style="80" customWidth="1"/>
    <col min="1862" max="1862" width="1.07421875" style="80" customWidth="1"/>
    <col min="1863" max="1863" width="9.07421875" style="80" customWidth="1"/>
    <col min="1864" max="1864" width="1.07421875" style="80" customWidth="1"/>
    <col min="1865" max="1865" width="10" style="80" customWidth="1"/>
    <col min="1866" max="1866" width="1.07421875" style="80" customWidth="1"/>
    <col min="1867" max="1867" width="9.07421875" style="80" customWidth="1"/>
    <col min="1868" max="1868" width="1.07421875" style="80" customWidth="1"/>
    <col min="1869" max="1869" width="11.07421875" style="80" customWidth="1"/>
    <col min="1870" max="1870" width="1.07421875" style="80" customWidth="1"/>
    <col min="1871" max="1871" width="9.07421875" style="80" customWidth="1"/>
    <col min="1872" max="1872" width="1.84375" style="80" customWidth="1"/>
    <col min="1873" max="1873" width="11" style="80" customWidth="1"/>
    <col min="1874" max="1874" width="1.07421875" style="80" customWidth="1"/>
    <col min="1875" max="1875" width="10.84375" style="80" customWidth="1"/>
    <col min="1876" max="1876" width="1.07421875" style="80" customWidth="1"/>
    <col min="1877" max="1877" width="10" style="80" customWidth="1"/>
    <col min="1878" max="1878" width="1.07421875" style="80" customWidth="1"/>
    <col min="1879" max="1879" width="9.07421875" style="80" customWidth="1"/>
    <col min="1880" max="1880" width="1.07421875" style="80" customWidth="1"/>
    <col min="1881" max="1881" width="7.84375" style="80" customWidth="1"/>
    <col min="1882" max="1882" width="1.07421875" style="80" customWidth="1"/>
    <col min="1883" max="1883" width="0.84375" style="80" customWidth="1"/>
    <col min="1884" max="1884" width="9.07421875" style="80" customWidth="1"/>
    <col min="1885" max="1885" width="1.07421875" style="80" customWidth="1"/>
    <col min="1886" max="1886" width="0.84375" style="80" customWidth="1"/>
    <col min="1887" max="1887" width="9.53515625" style="80" bestFit="1" customWidth="1"/>
    <col min="1888" max="1889" width="0.84375" style="80" customWidth="1"/>
    <col min="1890" max="1890" width="9.84375" style="80" customWidth="1"/>
    <col min="1891" max="1891" width="1.07421875" style="80" customWidth="1"/>
    <col min="1892" max="1892" width="8.53515625" style="80" customWidth="1"/>
    <col min="1893" max="1893" width="14.53515625" style="80" customWidth="1"/>
    <col min="1894" max="1894" width="10" style="80" customWidth="1"/>
    <col min="1895" max="1895" width="7.84375" style="80" bestFit="1" customWidth="1"/>
    <col min="1896" max="1896" width="9.84375" style="80" customWidth="1"/>
    <col min="1897" max="2113" width="8.84375" style="80"/>
    <col min="2114" max="2114" width="38.4609375" style="80" customWidth="1"/>
    <col min="2115" max="2115" width="8.53515625" style="80" customWidth="1"/>
    <col min="2116" max="2116" width="1.07421875" style="80" customWidth="1"/>
    <col min="2117" max="2117" width="8.84375" style="80" customWidth="1"/>
    <col min="2118" max="2118" width="1.07421875" style="80" customWidth="1"/>
    <col min="2119" max="2119" width="9.07421875" style="80" customWidth="1"/>
    <col min="2120" max="2120" width="1.07421875" style="80" customWidth="1"/>
    <col min="2121" max="2121" width="10" style="80" customWidth="1"/>
    <col min="2122" max="2122" width="1.07421875" style="80" customWidth="1"/>
    <col min="2123" max="2123" width="9.07421875" style="80" customWidth="1"/>
    <col min="2124" max="2124" width="1.07421875" style="80" customWidth="1"/>
    <col min="2125" max="2125" width="11.07421875" style="80" customWidth="1"/>
    <col min="2126" max="2126" width="1.07421875" style="80" customWidth="1"/>
    <col min="2127" max="2127" width="9.07421875" style="80" customWidth="1"/>
    <col min="2128" max="2128" width="1.84375" style="80" customWidth="1"/>
    <col min="2129" max="2129" width="11" style="80" customWidth="1"/>
    <col min="2130" max="2130" width="1.07421875" style="80" customWidth="1"/>
    <col min="2131" max="2131" width="10.84375" style="80" customWidth="1"/>
    <col min="2132" max="2132" width="1.07421875" style="80" customWidth="1"/>
    <col min="2133" max="2133" width="10" style="80" customWidth="1"/>
    <col min="2134" max="2134" width="1.07421875" style="80" customWidth="1"/>
    <col min="2135" max="2135" width="9.07421875" style="80" customWidth="1"/>
    <col min="2136" max="2136" width="1.07421875" style="80" customWidth="1"/>
    <col min="2137" max="2137" width="7.84375" style="80" customWidth="1"/>
    <col min="2138" max="2138" width="1.07421875" style="80" customWidth="1"/>
    <col min="2139" max="2139" width="0.84375" style="80" customWidth="1"/>
    <col min="2140" max="2140" width="9.07421875" style="80" customWidth="1"/>
    <col min="2141" max="2141" width="1.07421875" style="80" customWidth="1"/>
    <col min="2142" max="2142" width="0.84375" style="80" customWidth="1"/>
    <col min="2143" max="2143" width="9.53515625" style="80" bestFit="1" customWidth="1"/>
    <col min="2144" max="2145" width="0.84375" style="80" customWidth="1"/>
    <col min="2146" max="2146" width="9.84375" style="80" customWidth="1"/>
    <col min="2147" max="2147" width="1.07421875" style="80" customWidth="1"/>
    <col min="2148" max="2148" width="8.53515625" style="80" customWidth="1"/>
    <col min="2149" max="2149" width="14.53515625" style="80" customWidth="1"/>
    <col min="2150" max="2150" width="10" style="80" customWidth="1"/>
    <col min="2151" max="2151" width="7.84375" style="80" bestFit="1" customWidth="1"/>
    <col min="2152" max="2152" width="9.84375" style="80" customWidth="1"/>
    <col min="2153" max="2369" width="8.84375" style="80"/>
    <col min="2370" max="2370" width="38.4609375" style="80" customWidth="1"/>
    <col min="2371" max="2371" width="8.53515625" style="80" customWidth="1"/>
    <col min="2372" max="2372" width="1.07421875" style="80" customWidth="1"/>
    <col min="2373" max="2373" width="8.84375" style="80" customWidth="1"/>
    <col min="2374" max="2374" width="1.07421875" style="80" customWidth="1"/>
    <col min="2375" max="2375" width="9.07421875" style="80" customWidth="1"/>
    <col min="2376" max="2376" width="1.07421875" style="80" customWidth="1"/>
    <col min="2377" max="2377" width="10" style="80" customWidth="1"/>
    <col min="2378" max="2378" width="1.07421875" style="80" customWidth="1"/>
    <col min="2379" max="2379" width="9.07421875" style="80" customWidth="1"/>
    <col min="2380" max="2380" width="1.07421875" style="80" customWidth="1"/>
    <col min="2381" max="2381" width="11.07421875" style="80" customWidth="1"/>
    <col min="2382" max="2382" width="1.07421875" style="80" customWidth="1"/>
    <col min="2383" max="2383" width="9.07421875" style="80" customWidth="1"/>
    <col min="2384" max="2384" width="1.84375" style="80" customWidth="1"/>
    <col min="2385" max="2385" width="11" style="80" customWidth="1"/>
    <col min="2386" max="2386" width="1.07421875" style="80" customWidth="1"/>
    <col min="2387" max="2387" width="10.84375" style="80" customWidth="1"/>
    <col min="2388" max="2388" width="1.07421875" style="80" customWidth="1"/>
    <col min="2389" max="2389" width="10" style="80" customWidth="1"/>
    <col min="2390" max="2390" width="1.07421875" style="80" customWidth="1"/>
    <col min="2391" max="2391" width="9.07421875" style="80" customWidth="1"/>
    <col min="2392" max="2392" width="1.07421875" style="80" customWidth="1"/>
    <col min="2393" max="2393" width="7.84375" style="80" customWidth="1"/>
    <col min="2394" max="2394" width="1.07421875" style="80" customWidth="1"/>
    <col min="2395" max="2395" width="0.84375" style="80" customWidth="1"/>
    <col min="2396" max="2396" width="9.07421875" style="80" customWidth="1"/>
    <col min="2397" max="2397" width="1.07421875" style="80" customWidth="1"/>
    <col min="2398" max="2398" width="0.84375" style="80" customWidth="1"/>
    <col min="2399" max="2399" width="9.53515625" style="80" bestFit="1" customWidth="1"/>
    <col min="2400" max="2401" width="0.84375" style="80" customWidth="1"/>
    <col min="2402" max="2402" width="9.84375" style="80" customWidth="1"/>
    <col min="2403" max="2403" width="1.07421875" style="80" customWidth="1"/>
    <col min="2404" max="2404" width="8.53515625" style="80" customWidth="1"/>
    <col min="2405" max="2405" width="14.53515625" style="80" customWidth="1"/>
    <col min="2406" max="2406" width="10" style="80" customWidth="1"/>
    <col min="2407" max="2407" width="7.84375" style="80" bestFit="1" customWidth="1"/>
    <col min="2408" max="2408" width="9.84375" style="80" customWidth="1"/>
    <col min="2409" max="2625" width="8.84375" style="80"/>
    <col min="2626" max="2626" width="38.4609375" style="80" customWidth="1"/>
    <col min="2627" max="2627" width="8.53515625" style="80" customWidth="1"/>
    <col min="2628" max="2628" width="1.07421875" style="80" customWidth="1"/>
    <col min="2629" max="2629" width="8.84375" style="80" customWidth="1"/>
    <col min="2630" max="2630" width="1.07421875" style="80" customWidth="1"/>
    <col min="2631" max="2631" width="9.07421875" style="80" customWidth="1"/>
    <col min="2632" max="2632" width="1.07421875" style="80" customWidth="1"/>
    <col min="2633" max="2633" width="10" style="80" customWidth="1"/>
    <col min="2634" max="2634" width="1.07421875" style="80" customWidth="1"/>
    <col min="2635" max="2635" width="9.07421875" style="80" customWidth="1"/>
    <col min="2636" max="2636" width="1.07421875" style="80" customWidth="1"/>
    <col min="2637" max="2637" width="11.07421875" style="80" customWidth="1"/>
    <col min="2638" max="2638" width="1.07421875" style="80" customWidth="1"/>
    <col min="2639" max="2639" width="9.07421875" style="80" customWidth="1"/>
    <col min="2640" max="2640" width="1.84375" style="80" customWidth="1"/>
    <col min="2641" max="2641" width="11" style="80" customWidth="1"/>
    <col min="2642" max="2642" width="1.07421875" style="80" customWidth="1"/>
    <col min="2643" max="2643" width="10.84375" style="80" customWidth="1"/>
    <col min="2644" max="2644" width="1.07421875" style="80" customWidth="1"/>
    <col min="2645" max="2645" width="10" style="80" customWidth="1"/>
    <col min="2646" max="2646" width="1.07421875" style="80" customWidth="1"/>
    <col min="2647" max="2647" width="9.07421875" style="80" customWidth="1"/>
    <col min="2648" max="2648" width="1.07421875" style="80" customWidth="1"/>
    <col min="2649" max="2649" width="7.84375" style="80" customWidth="1"/>
    <col min="2650" max="2650" width="1.07421875" style="80" customWidth="1"/>
    <col min="2651" max="2651" width="0.84375" style="80" customWidth="1"/>
    <col min="2652" max="2652" width="9.07421875" style="80" customWidth="1"/>
    <col min="2653" max="2653" width="1.07421875" style="80" customWidth="1"/>
    <col min="2654" max="2654" width="0.84375" style="80" customWidth="1"/>
    <col min="2655" max="2655" width="9.53515625" style="80" bestFit="1" customWidth="1"/>
    <col min="2656" max="2657" width="0.84375" style="80" customWidth="1"/>
    <col min="2658" max="2658" width="9.84375" style="80" customWidth="1"/>
    <col min="2659" max="2659" width="1.07421875" style="80" customWidth="1"/>
    <col min="2660" max="2660" width="8.53515625" style="80" customWidth="1"/>
    <col min="2661" max="2661" width="14.53515625" style="80" customWidth="1"/>
    <col min="2662" max="2662" width="10" style="80" customWidth="1"/>
    <col min="2663" max="2663" width="7.84375" style="80" bestFit="1" customWidth="1"/>
    <col min="2664" max="2664" width="9.84375" style="80" customWidth="1"/>
    <col min="2665" max="2881" width="8.84375" style="80"/>
    <col min="2882" max="2882" width="38.4609375" style="80" customWidth="1"/>
    <col min="2883" max="2883" width="8.53515625" style="80" customWidth="1"/>
    <col min="2884" max="2884" width="1.07421875" style="80" customWidth="1"/>
    <col min="2885" max="2885" width="8.84375" style="80" customWidth="1"/>
    <col min="2886" max="2886" width="1.07421875" style="80" customWidth="1"/>
    <col min="2887" max="2887" width="9.07421875" style="80" customWidth="1"/>
    <col min="2888" max="2888" width="1.07421875" style="80" customWidth="1"/>
    <col min="2889" max="2889" width="10" style="80" customWidth="1"/>
    <col min="2890" max="2890" width="1.07421875" style="80" customWidth="1"/>
    <col min="2891" max="2891" width="9.07421875" style="80" customWidth="1"/>
    <col min="2892" max="2892" width="1.07421875" style="80" customWidth="1"/>
    <col min="2893" max="2893" width="11.07421875" style="80" customWidth="1"/>
    <col min="2894" max="2894" width="1.07421875" style="80" customWidth="1"/>
    <col min="2895" max="2895" width="9.07421875" style="80" customWidth="1"/>
    <col min="2896" max="2896" width="1.84375" style="80" customWidth="1"/>
    <col min="2897" max="2897" width="11" style="80" customWidth="1"/>
    <col min="2898" max="2898" width="1.07421875" style="80" customWidth="1"/>
    <col min="2899" max="2899" width="10.84375" style="80" customWidth="1"/>
    <col min="2900" max="2900" width="1.07421875" style="80" customWidth="1"/>
    <col min="2901" max="2901" width="10" style="80" customWidth="1"/>
    <col min="2902" max="2902" width="1.07421875" style="80" customWidth="1"/>
    <col min="2903" max="2903" width="9.07421875" style="80" customWidth="1"/>
    <col min="2904" max="2904" width="1.07421875" style="80" customWidth="1"/>
    <col min="2905" max="2905" width="7.84375" style="80" customWidth="1"/>
    <col min="2906" max="2906" width="1.07421875" style="80" customWidth="1"/>
    <col min="2907" max="2907" width="0.84375" style="80" customWidth="1"/>
    <col min="2908" max="2908" width="9.07421875" style="80" customWidth="1"/>
    <col min="2909" max="2909" width="1.07421875" style="80" customWidth="1"/>
    <col min="2910" max="2910" width="0.84375" style="80" customWidth="1"/>
    <col min="2911" max="2911" width="9.53515625" style="80" bestFit="1" customWidth="1"/>
    <col min="2912" max="2913" width="0.84375" style="80" customWidth="1"/>
    <col min="2914" max="2914" width="9.84375" style="80" customWidth="1"/>
    <col min="2915" max="2915" width="1.07421875" style="80" customWidth="1"/>
    <col min="2916" max="2916" width="8.53515625" style="80" customWidth="1"/>
    <col min="2917" max="2917" width="14.53515625" style="80" customWidth="1"/>
    <col min="2918" max="2918" width="10" style="80" customWidth="1"/>
    <col min="2919" max="2919" width="7.84375" style="80" bestFit="1" customWidth="1"/>
    <col min="2920" max="2920" width="9.84375" style="80" customWidth="1"/>
    <col min="2921" max="3137" width="8.84375" style="80"/>
    <col min="3138" max="3138" width="38.4609375" style="80" customWidth="1"/>
    <col min="3139" max="3139" width="8.53515625" style="80" customWidth="1"/>
    <col min="3140" max="3140" width="1.07421875" style="80" customWidth="1"/>
    <col min="3141" max="3141" width="8.84375" style="80" customWidth="1"/>
    <col min="3142" max="3142" width="1.07421875" style="80" customWidth="1"/>
    <col min="3143" max="3143" width="9.07421875" style="80" customWidth="1"/>
    <col min="3144" max="3144" width="1.07421875" style="80" customWidth="1"/>
    <col min="3145" max="3145" width="10" style="80" customWidth="1"/>
    <col min="3146" max="3146" width="1.07421875" style="80" customWidth="1"/>
    <col min="3147" max="3147" width="9.07421875" style="80" customWidth="1"/>
    <col min="3148" max="3148" width="1.07421875" style="80" customWidth="1"/>
    <col min="3149" max="3149" width="11.07421875" style="80" customWidth="1"/>
    <col min="3150" max="3150" width="1.07421875" style="80" customWidth="1"/>
    <col min="3151" max="3151" width="9.07421875" style="80" customWidth="1"/>
    <col min="3152" max="3152" width="1.84375" style="80" customWidth="1"/>
    <col min="3153" max="3153" width="11" style="80" customWidth="1"/>
    <col min="3154" max="3154" width="1.07421875" style="80" customWidth="1"/>
    <col min="3155" max="3155" width="10.84375" style="80" customWidth="1"/>
    <col min="3156" max="3156" width="1.07421875" style="80" customWidth="1"/>
    <col min="3157" max="3157" width="10" style="80" customWidth="1"/>
    <col min="3158" max="3158" width="1.07421875" style="80" customWidth="1"/>
    <col min="3159" max="3159" width="9.07421875" style="80" customWidth="1"/>
    <col min="3160" max="3160" width="1.07421875" style="80" customWidth="1"/>
    <col min="3161" max="3161" width="7.84375" style="80" customWidth="1"/>
    <col min="3162" max="3162" width="1.07421875" style="80" customWidth="1"/>
    <col min="3163" max="3163" width="0.84375" style="80" customWidth="1"/>
    <col min="3164" max="3164" width="9.07421875" style="80" customWidth="1"/>
    <col min="3165" max="3165" width="1.07421875" style="80" customWidth="1"/>
    <col min="3166" max="3166" width="0.84375" style="80" customWidth="1"/>
    <col min="3167" max="3167" width="9.53515625" style="80" bestFit="1" customWidth="1"/>
    <col min="3168" max="3169" width="0.84375" style="80" customWidth="1"/>
    <col min="3170" max="3170" width="9.84375" style="80" customWidth="1"/>
    <col min="3171" max="3171" width="1.07421875" style="80" customWidth="1"/>
    <col min="3172" max="3172" width="8.53515625" style="80" customWidth="1"/>
    <col min="3173" max="3173" width="14.53515625" style="80" customWidth="1"/>
    <col min="3174" max="3174" width="10" style="80" customWidth="1"/>
    <col min="3175" max="3175" width="7.84375" style="80" bestFit="1" customWidth="1"/>
    <col min="3176" max="3176" width="9.84375" style="80" customWidth="1"/>
    <col min="3177" max="3393" width="8.84375" style="80"/>
    <col min="3394" max="3394" width="38.4609375" style="80" customWidth="1"/>
    <col min="3395" max="3395" width="8.53515625" style="80" customWidth="1"/>
    <col min="3396" max="3396" width="1.07421875" style="80" customWidth="1"/>
    <col min="3397" max="3397" width="8.84375" style="80" customWidth="1"/>
    <col min="3398" max="3398" width="1.07421875" style="80" customWidth="1"/>
    <col min="3399" max="3399" width="9.07421875" style="80" customWidth="1"/>
    <col min="3400" max="3400" width="1.07421875" style="80" customWidth="1"/>
    <col min="3401" max="3401" width="10" style="80" customWidth="1"/>
    <col min="3402" max="3402" width="1.07421875" style="80" customWidth="1"/>
    <col min="3403" max="3403" width="9.07421875" style="80" customWidth="1"/>
    <col min="3404" max="3404" width="1.07421875" style="80" customWidth="1"/>
    <col min="3405" max="3405" width="11.07421875" style="80" customWidth="1"/>
    <col min="3406" max="3406" width="1.07421875" style="80" customWidth="1"/>
    <col min="3407" max="3407" width="9.07421875" style="80" customWidth="1"/>
    <col min="3408" max="3408" width="1.84375" style="80" customWidth="1"/>
    <col min="3409" max="3409" width="11" style="80" customWidth="1"/>
    <col min="3410" max="3410" width="1.07421875" style="80" customWidth="1"/>
    <col min="3411" max="3411" width="10.84375" style="80" customWidth="1"/>
    <col min="3412" max="3412" width="1.07421875" style="80" customWidth="1"/>
    <col min="3413" max="3413" width="10" style="80" customWidth="1"/>
    <col min="3414" max="3414" width="1.07421875" style="80" customWidth="1"/>
    <col min="3415" max="3415" width="9.07421875" style="80" customWidth="1"/>
    <col min="3416" max="3416" width="1.07421875" style="80" customWidth="1"/>
    <col min="3417" max="3417" width="7.84375" style="80" customWidth="1"/>
    <col min="3418" max="3418" width="1.07421875" style="80" customWidth="1"/>
    <col min="3419" max="3419" width="0.84375" style="80" customWidth="1"/>
    <col min="3420" max="3420" width="9.07421875" style="80" customWidth="1"/>
    <col min="3421" max="3421" width="1.07421875" style="80" customWidth="1"/>
    <col min="3422" max="3422" width="0.84375" style="80" customWidth="1"/>
    <col min="3423" max="3423" width="9.53515625" style="80" bestFit="1" customWidth="1"/>
    <col min="3424" max="3425" width="0.84375" style="80" customWidth="1"/>
    <col min="3426" max="3426" width="9.84375" style="80" customWidth="1"/>
    <col min="3427" max="3427" width="1.07421875" style="80" customWidth="1"/>
    <col min="3428" max="3428" width="8.53515625" style="80" customWidth="1"/>
    <col min="3429" max="3429" width="14.53515625" style="80" customWidth="1"/>
    <col min="3430" max="3430" width="10" style="80" customWidth="1"/>
    <col min="3431" max="3431" width="7.84375" style="80" bestFit="1" customWidth="1"/>
    <col min="3432" max="3432" width="9.84375" style="80" customWidth="1"/>
    <col min="3433" max="3649" width="8.84375" style="80"/>
    <col min="3650" max="3650" width="38.4609375" style="80" customWidth="1"/>
    <col min="3651" max="3651" width="8.53515625" style="80" customWidth="1"/>
    <col min="3652" max="3652" width="1.07421875" style="80" customWidth="1"/>
    <col min="3653" max="3653" width="8.84375" style="80" customWidth="1"/>
    <col min="3654" max="3654" width="1.07421875" style="80" customWidth="1"/>
    <col min="3655" max="3655" width="9.07421875" style="80" customWidth="1"/>
    <col min="3656" max="3656" width="1.07421875" style="80" customWidth="1"/>
    <col min="3657" max="3657" width="10" style="80" customWidth="1"/>
    <col min="3658" max="3658" width="1.07421875" style="80" customWidth="1"/>
    <col min="3659" max="3659" width="9.07421875" style="80" customWidth="1"/>
    <col min="3660" max="3660" width="1.07421875" style="80" customWidth="1"/>
    <col min="3661" max="3661" width="11.07421875" style="80" customWidth="1"/>
    <col min="3662" max="3662" width="1.07421875" style="80" customWidth="1"/>
    <col min="3663" max="3663" width="9.07421875" style="80" customWidth="1"/>
    <col min="3664" max="3664" width="1.84375" style="80" customWidth="1"/>
    <col min="3665" max="3665" width="11" style="80" customWidth="1"/>
    <col min="3666" max="3666" width="1.07421875" style="80" customWidth="1"/>
    <col min="3667" max="3667" width="10.84375" style="80" customWidth="1"/>
    <col min="3668" max="3668" width="1.07421875" style="80" customWidth="1"/>
    <col min="3669" max="3669" width="10" style="80" customWidth="1"/>
    <col min="3670" max="3670" width="1.07421875" style="80" customWidth="1"/>
    <col min="3671" max="3671" width="9.07421875" style="80" customWidth="1"/>
    <col min="3672" max="3672" width="1.07421875" style="80" customWidth="1"/>
    <col min="3673" max="3673" width="7.84375" style="80" customWidth="1"/>
    <col min="3674" max="3674" width="1.07421875" style="80" customWidth="1"/>
    <col min="3675" max="3675" width="0.84375" style="80" customWidth="1"/>
    <col min="3676" max="3676" width="9.07421875" style="80" customWidth="1"/>
    <col min="3677" max="3677" width="1.07421875" style="80" customWidth="1"/>
    <col min="3678" max="3678" width="0.84375" style="80" customWidth="1"/>
    <col min="3679" max="3679" width="9.53515625" style="80" bestFit="1" customWidth="1"/>
    <col min="3680" max="3681" width="0.84375" style="80" customWidth="1"/>
    <col min="3682" max="3682" width="9.84375" style="80" customWidth="1"/>
    <col min="3683" max="3683" width="1.07421875" style="80" customWidth="1"/>
    <col min="3684" max="3684" width="8.53515625" style="80" customWidth="1"/>
    <col min="3685" max="3685" width="14.53515625" style="80" customWidth="1"/>
    <col min="3686" max="3686" width="10" style="80" customWidth="1"/>
    <col min="3687" max="3687" width="7.84375" style="80" bestFit="1" customWidth="1"/>
    <col min="3688" max="3688" width="9.84375" style="80" customWidth="1"/>
    <col min="3689" max="3905" width="8.84375" style="80"/>
    <col min="3906" max="3906" width="38.4609375" style="80" customWidth="1"/>
    <col min="3907" max="3907" width="8.53515625" style="80" customWidth="1"/>
    <col min="3908" max="3908" width="1.07421875" style="80" customWidth="1"/>
    <col min="3909" max="3909" width="8.84375" style="80" customWidth="1"/>
    <col min="3910" max="3910" width="1.07421875" style="80" customWidth="1"/>
    <col min="3911" max="3911" width="9.07421875" style="80" customWidth="1"/>
    <col min="3912" max="3912" width="1.07421875" style="80" customWidth="1"/>
    <col min="3913" max="3913" width="10" style="80" customWidth="1"/>
    <col min="3914" max="3914" width="1.07421875" style="80" customWidth="1"/>
    <col min="3915" max="3915" width="9.07421875" style="80" customWidth="1"/>
    <col min="3916" max="3916" width="1.07421875" style="80" customWidth="1"/>
    <col min="3917" max="3917" width="11.07421875" style="80" customWidth="1"/>
    <col min="3918" max="3918" width="1.07421875" style="80" customWidth="1"/>
    <col min="3919" max="3919" width="9.07421875" style="80" customWidth="1"/>
    <col min="3920" max="3920" width="1.84375" style="80" customWidth="1"/>
    <col min="3921" max="3921" width="11" style="80" customWidth="1"/>
    <col min="3922" max="3922" width="1.07421875" style="80" customWidth="1"/>
    <col min="3923" max="3923" width="10.84375" style="80" customWidth="1"/>
    <col min="3924" max="3924" width="1.07421875" style="80" customWidth="1"/>
    <col min="3925" max="3925" width="10" style="80" customWidth="1"/>
    <col min="3926" max="3926" width="1.07421875" style="80" customWidth="1"/>
    <col min="3927" max="3927" width="9.07421875" style="80" customWidth="1"/>
    <col min="3928" max="3928" width="1.07421875" style="80" customWidth="1"/>
    <col min="3929" max="3929" width="7.84375" style="80" customWidth="1"/>
    <col min="3930" max="3930" width="1.07421875" style="80" customWidth="1"/>
    <col min="3931" max="3931" width="0.84375" style="80" customWidth="1"/>
    <col min="3932" max="3932" width="9.07421875" style="80" customWidth="1"/>
    <col min="3933" max="3933" width="1.07421875" style="80" customWidth="1"/>
    <col min="3934" max="3934" width="0.84375" style="80" customWidth="1"/>
    <col min="3935" max="3935" width="9.53515625" style="80" bestFit="1" customWidth="1"/>
    <col min="3936" max="3937" width="0.84375" style="80" customWidth="1"/>
    <col min="3938" max="3938" width="9.84375" style="80" customWidth="1"/>
    <col min="3939" max="3939" width="1.07421875" style="80" customWidth="1"/>
    <col min="3940" max="3940" width="8.53515625" style="80" customWidth="1"/>
    <col min="3941" max="3941" width="14.53515625" style="80" customWidth="1"/>
    <col min="3942" max="3942" width="10" style="80" customWidth="1"/>
    <col min="3943" max="3943" width="7.84375" style="80" bestFit="1" customWidth="1"/>
    <col min="3944" max="3944" width="9.84375" style="80" customWidth="1"/>
    <col min="3945" max="4161" width="8.84375" style="80"/>
    <col min="4162" max="4162" width="38.4609375" style="80" customWidth="1"/>
    <col min="4163" max="4163" width="8.53515625" style="80" customWidth="1"/>
    <col min="4164" max="4164" width="1.07421875" style="80" customWidth="1"/>
    <col min="4165" max="4165" width="8.84375" style="80" customWidth="1"/>
    <col min="4166" max="4166" width="1.07421875" style="80" customWidth="1"/>
    <col min="4167" max="4167" width="9.07421875" style="80" customWidth="1"/>
    <col min="4168" max="4168" width="1.07421875" style="80" customWidth="1"/>
    <col min="4169" max="4169" width="10" style="80" customWidth="1"/>
    <col min="4170" max="4170" width="1.07421875" style="80" customWidth="1"/>
    <col min="4171" max="4171" width="9.07421875" style="80" customWidth="1"/>
    <col min="4172" max="4172" width="1.07421875" style="80" customWidth="1"/>
    <col min="4173" max="4173" width="11.07421875" style="80" customWidth="1"/>
    <col min="4174" max="4174" width="1.07421875" style="80" customWidth="1"/>
    <col min="4175" max="4175" width="9.07421875" style="80" customWidth="1"/>
    <col min="4176" max="4176" width="1.84375" style="80" customWidth="1"/>
    <col min="4177" max="4177" width="11" style="80" customWidth="1"/>
    <col min="4178" max="4178" width="1.07421875" style="80" customWidth="1"/>
    <col min="4179" max="4179" width="10.84375" style="80" customWidth="1"/>
    <col min="4180" max="4180" width="1.07421875" style="80" customWidth="1"/>
    <col min="4181" max="4181" width="10" style="80" customWidth="1"/>
    <col min="4182" max="4182" width="1.07421875" style="80" customWidth="1"/>
    <col min="4183" max="4183" width="9.07421875" style="80" customWidth="1"/>
    <col min="4184" max="4184" width="1.07421875" style="80" customWidth="1"/>
    <col min="4185" max="4185" width="7.84375" style="80" customWidth="1"/>
    <col min="4186" max="4186" width="1.07421875" style="80" customWidth="1"/>
    <col min="4187" max="4187" width="0.84375" style="80" customWidth="1"/>
    <col min="4188" max="4188" width="9.07421875" style="80" customWidth="1"/>
    <col min="4189" max="4189" width="1.07421875" style="80" customWidth="1"/>
    <col min="4190" max="4190" width="0.84375" style="80" customWidth="1"/>
    <col min="4191" max="4191" width="9.53515625" style="80" bestFit="1" customWidth="1"/>
    <col min="4192" max="4193" width="0.84375" style="80" customWidth="1"/>
    <col min="4194" max="4194" width="9.84375" style="80" customWidth="1"/>
    <col min="4195" max="4195" width="1.07421875" style="80" customWidth="1"/>
    <col min="4196" max="4196" width="8.53515625" style="80" customWidth="1"/>
    <col min="4197" max="4197" width="14.53515625" style="80" customWidth="1"/>
    <col min="4198" max="4198" width="10" style="80" customWidth="1"/>
    <col min="4199" max="4199" width="7.84375" style="80" bestFit="1" customWidth="1"/>
    <col min="4200" max="4200" width="9.84375" style="80" customWidth="1"/>
    <col min="4201" max="4417" width="8.84375" style="80"/>
    <col min="4418" max="4418" width="38.4609375" style="80" customWidth="1"/>
    <col min="4419" max="4419" width="8.53515625" style="80" customWidth="1"/>
    <col min="4420" max="4420" width="1.07421875" style="80" customWidth="1"/>
    <col min="4421" max="4421" width="8.84375" style="80" customWidth="1"/>
    <col min="4422" max="4422" width="1.07421875" style="80" customWidth="1"/>
    <col min="4423" max="4423" width="9.07421875" style="80" customWidth="1"/>
    <col min="4424" max="4424" width="1.07421875" style="80" customWidth="1"/>
    <col min="4425" max="4425" width="10" style="80" customWidth="1"/>
    <col min="4426" max="4426" width="1.07421875" style="80" customWidth="1"/>
    <col min="4427" max="4427" width="9.07421875" style="80" customWidth="1"/>
    <col min="4428" max="4428" width="1.07421875" style="80" customWidth="1"/>
    <col min="4429" max="4429" width="11.07421875" style="80" customWidth="1"/>
    <col min="4430" max="4430" width="1.07421875" style="80" customWidth="1"/>
    <col min="4431" max="4431" width="9.07421875" style="80" customWidth="1"/>
    <col min="4432" max="4432" width="1.84375" style="80" customWidth="1"/>
    <col min="4433" max="4433" width="11" style="80" customWidth="1"/>
    <col min="4434" max="4434" width="1.07421875" style="80" customWidth="1"/>
    <col min="4435" max="4435" width="10.84375" style="80" customWidth="1"/>
    <col min="4436" max="4436" width="1.07421875" style="80" customWidth="1"/>
    <col min="4437" max="4437" width="10" style="80" customWidth="1"/>
    <col min="4438" max="4438" width="1.07421875" style="80" customWidth="1"/>
    <col min="4439" max="4439" width="9.07421875" style="80" customWidth="1"/>
    <col min="4440" max="4440" width="1.07421875" style="80" customWidth="1"/>
    <col min="4441" max="4441" width="7.84375" style="80" customWidth="1"/>
    <col min="4442" max="4442" width="1.07421875" style="80" customWidth="1"/>
    <col min="4443" max="4443" width="0.84375" style="80" customWidth="1"/>
    <col min="4444" max="4444" width="9.07421875" style="80" customWidth="1"/>
    <col min="4445" max="4445" width="1.07421875" style="80" customWidth="1"/>
    <col min="4446" max="4446" width="0.84375" style="80" customWidth="1"/>
    <col min="4447" max="4447" width="9.53515625" style="80" bestFit="1" customWidth="1"/>
    <col min="4448" max="4449" width="0.84375" style="80" customWidth="1"/>
    <col min="4450" max="4450" width="9.84375" style="80" customWidth="1"/>
    <col min="4451" max="4451" width="1.07421875" style="80" customWidth="1"/>
    <col min="4452" max="4452" width="8.53515625" style="80" customWidth="1"/>
    <col min="4453" max="4453" width="14.53515625" style="80" customWidth="1"/>
    <col min="4454" max="4454" width="10" style="80" customWidth="1"/>
    <col min="4455" max="4455" width="7.84375" style="80" bestFit="1" customWidth="1"/>
    <col min="4456" max="4456" width="9.84375" style="80" customWidth="1"/>
    <col min="4457" max="4673" width="8.84375" style="80"/>
    <col min="4674" max="4674" width="38.4609375" style="80" customWidth="1"/>
    <col min="4675" max="4675" width="8.53515625" style="80" customWidth="1"/>
    <col min="4676" max="4676" width="1.07421875" style="80" customWidth="1"/>
    <col min="4677" max="4677" width="8.84375" style="80" customWidth="1"/>
    <col min="4678" max="4678" width="1.07421875" style="80" customWidth="1"/>
    <col min="4679" max="4679" width="9.07421875" style="80" customWidth="1"/>
    <col min="4680" max="4680" width="1.07421875" style="80" customWidth="1"/>
    <col min="4681" max="4681" width="10" style="80" customWidth="1"/>
    <col min="4682" max="4682" width="1.07421875" style="80" customWidth="1"/>
    <col min="4683" max="4683" width="9.07421875" style="80" customWidth="1"/>
    <col min="4684" max="4684" width="1.07421875" style="80" customWidth="1"/>
    <col min="4685" max="4685" width="11.07421875" style="80" customWidth="1"/>
    <col min="4686" max="4686" width="1.07421875" style="80" customWidth="1"/>
    <col min="4687" max="4687" width="9.07421875" style="80" customWidth="1"/>
    <col min="4688" max="4688" width="1.84375" style="80" customWidth="1"/>
    <col min="4689" max="4689" width="11" style="80" customWidth="1"/>
    <col min="4690" max="4690" width="1.07421875" style="80" customWidth="1"/>
    <col min="4691" max="4691" width="10.84375" style="80" customWidth="1"/>
    <col min="4692" max="4692" width="1.07421875" style="80" customWidth="1"/>
    <col min="4693" max="4693" width="10" style="80" customWidth="1"/>
    <col min="4694" max="4694" width="1.07421875" style="80" customWidth="1"/>
    <col min="4695" max="4695" width="9.07421875" style="80" customWidth="1"/>
    <col min="4696" max="4696" width="1.07421875" style="80" customWidth="1"/>
    <col min="4697" max="4697" width="7.84375" style="80" customWidth="1"/>
    <col min="4698" max="4698" width="1.07421875" style="80" customWidth="1"/>
    <col min="4699" max="4699" width="0.84375" style="80" customWidth="1"/>
    <col min="4700" max="4700" width="9.07421875" style="80" customWidth="1"/>
    <col min="4701" max="4701" width="1.07421875" style="80" customWidth="1"/>
    <col min="4702" max="4702" width="0.84375" style="80" customWidth="1"/>
    <col min="4703" max="4703" width="9.53515625" style="80" bestFit="1" customWidth="1"/>
    <col min="4704" max="4705" width="0.84375" style="80" customWidth="1"/>
    <col min="4706" max="4706" width="9.84375" style="80" customWidth="1"/>
    <col min="4707" max="4707" width="1.07421875" style="80" customWidth="1"/>
    <col min="4708" max="4708" width="8.53515625" style="80" customWidth="1"/>
    <col min="4709" max="4709" width="14.53515625" style="80" customWidth="1"/>
    <col min="4710" max="4710" width="10" style="80" customWidth="1"/>
    <col min="4711" max="4711" width="7.84375" style="80" bestFit="1" customWidth="1"/>
    <col min="4712" max="4712" width="9.84375" style="80" customWidth="1"/>
    <col min="4713" max="4929" width="8.84375" style="80"/>
    <col min="4930" max="4930" width="38.4609375" style="80" customWidth="1"/>
    <col min="4931" max="4931" width="8.53515625" style="80" customWidth="1"/>
    <col min="4932" max="4932" width="1.07421875" style="80" customWidth="1"/>
    <col min="4933" max="4933" width="8.84375" style="80" customWidth="1"/>
    <col min="4934" max="4934" width="1.07421875" style="80" customWidth="1"/>
    <col min="4935" max="4935" width="9.07421875" style="80" customWidth="1"/>
    <col min="4936" max="4936" width="1.07421875" style="80" customWidth="1"/>
    <col min="4937" max="4937" width="10" style="80" customWidth="1"/>
    <col min="4938" max="4938" width="1.07421875" style="80" customWidth="1"/>
    <col min="4939" max="4939" width="9.07421875" style="80" customWidth="1"/>
    <col min="4940" max="4940" width="1.07421875" style="80" customWidth="1"/>
    <col min="4941" max="4941" width="11.07421875" style="80" customWidth="1"/>
    <col min="4942" max="4942" width="1.07421875" style="80" customWidth="1"/>
    <col min="4943" max="4943" width="9.07421875" style="80" customWidth="1"/>
    <col min="4944" max="4944" width="1.84375" style="80" customWidth="1"/>
    <col min="4945" max="4945" width="11" style="80" customWidth="1"/>
    <col min="4946" max="4946" width="1.07421875" style="80" customWidth="1"/>
    <col min="4947" max="4947" width="10.84375" style="80" customWidth="1"/>
    <col min="4948" max="4948" width="1.07421875" style="80" customWidth="1"/>
    <col min="4949" max="4949" width="10" style="80" customWidth="1"/>
    <col min="4950" max="4950" width="1.07421875" style="80" customWidth="1"/>
    <col min="4951" max="4951" width="9.07421875" style="80" customWidth="1"/>
    <col min="4952" max="4952" width="1.07421875" style="80" customWidth="1"/>
    <col min="4953" max="4953" width="7.84375" style="80" customWidth="1"/>
    <col min="4954" max="4954" width="1.07421875" style="80" customWidth="1"/>
    <col min="4955" max="4955" width="0.84375" style="80" customWidth="1"/>
    <col min="4956" max="4956" width="9.07421875" style="80" customWidth="1"/>
    <col min="4957" max="4957" width="1.07421875" style="80" customWidth="1"/>
    <col min="4958" max="4958" width="0.84375" style="80" customWidth="1"/>
    <col min="4959" max="4959" width="9.53515625" style="80" bestFit="1" customWidth="1"/>
    <col min="4960" max="4961" width="0.84375" style="80" customWidth="1"/>
    <col min="4962" max="4962" width="9.84375" style="80" customWidth="1"/>
    <col min="4963" max="4963" width="1.07421875" style="80" customWidth="1"/>
    <col min="4964" max="4964" width="8.53515625" style="80" customWidth="1"/>
    <col min="4965" max="4965" width="14.53515625" style="80" customWidth="1"/>
    <col min="4966" max="4966" width="10" style="80" customWidth="1"/>
    <col min="4967" max="4967" width="7.84375" style="80" bestFit="1" customWidth="1"/>
    <col min="4968" max="4968" width="9.84375" style="80" customWidth="1"/>
    <col min="4969" max="5185" width="8.84375" style="80"/>
    <col min="5186" max="5186" width="38.4609375" style="80" customWidth="1"/>
    <col min="5187" max="5187" width="8.53515625" style="80" customWidth="1"/>
    <col min="5188" max="5188" width="1.07421875" style="80" customWidth="1"/>
    <col min="5189" max="5189" width="8.84375" style="80" customWidth="1"/>
    <col min="5190" max="5190" width="1.07421875" style="80" customWidth="1"/>
    <col min="5191" max="5191" width="9.07421875" style="80" customWidth="1"/>
    <col min="5192" max="5192" width="1.07421875" style="80" customWidth="1"/>
    <col min="5193" max="5193" width="10" style="80" customWidth="1"/>
    <col min="5194" max="5194" width="1.07421875" style="80" customWidth="1"/>
    <col min="5195" max="5195" width="9.07421875" style="80" customWidth="1"/>
    <col min="5196" max="5196" width="1.07421875" style="80" customWidth="1"/>
    <col min="5197" max="5197" width="11.07421875" style="80" customWidth="1"/>
    <col min="5198" max="5198" width="1.07421875" style="80" customWidth="1"/>
    <col min="5199" max="5199" width="9.07421875" style="80" customWidth="1"/>
    <col min="5200" max="5200" width="1.84375" style="80" customWidth="1"/>
    <col min="5201" max="5201" width="11" style="80" customWidth="1"/>
    <col min="5202" max="5202" width="1.07421875" style="80" customWidth="1"/>
    <col min="5203" max="5203" width="10.84375" style="80" customWidth="1"/>
    <col min="5204" max="5204" width="1.07421875" style="80" customWidth="1"/>
    <col min="5205" max="5205" width="10" style="80" customWidth="1"/>
    <col min="5206" max="5206" width="1.07421875" style="80" customWidth="1"/>
    <col min="5207" max="5207" width="9.07421875" style="80" customWidth="1"/>
    <col min="5208" max="5208" width="1.07421875" style="80" customWidth="1"/>
    <col min="5209" max="5209" width="7.84375" style="80" customWidth="1"/>
    <col min="5210" max="5210" width="1.07421875" style="80" customWidth="1"/>
    <col min="5211" max="5211" width="0.84375" style="80" customWidth="1"/>
    <col min="5212" max="5212" width="9.07421875" style="80" customWidth="1"/>
    <col min="5213" max="5213" width="1.07421875" style="80" customWidth="1"/>
    <col min="5214" max="5214" width="0.84375" style="80" customWidth="1"/>
    <col min="5215" max="5215" width="9.53515625" style="80" bestFit="1" customWidth="1"/>
    <col min="5216" max="5217" width="0.84375" style="80" customWidth="1"/>
    <col min="5218" max="5218" width="9.84375" style="80" customWidth="1"/>
    <col min="5219" max="5219" width="1.07421875" style="80" customWidth="1"/>
    <col min="5220" max="5220" width="8.53515625" style="80" customWidth="1"/>
    <col min="5221" max="5221" width="14.53515625" style="80" customWidth="1"/>
    <col min="5222" max="5222" width="10" style="80" customWidth="1"/>
    <col min="5223" max="5223" width="7.84375" style="80" bestFit="1" customWidth="1"/>
    <col min="5224" max="5224" width="9.84375" style="80" customWidth="1"/>
    <col min="5225" max="5441" width="8.84375" style="80"/>
    <col min="5442" max="5442" width="38.4609375" style="80" customWidth="1"/>
    <col min="5443" max="5443" width="8.53515625" style="80" customWidth="1"/>
    <col min="5444" max="5444" width="1.07421875" style="80" customWidth="1"/>
    <col min="5445" max="5445" width="8.84375" style="80" customWidth="1"/>
    <col min="5446" max="5446" width="1.07421875" style="80" customWidth="1"/>
    <col min="5447" max="5447" width="9.07421875" style="80" customWidth="1"/>
    <col min="5448" max="5448" width="1.07421875" style="80" customWidth="1"/>
    <col min="5449" max="5449" width="10" style="80" customWidth="1"/>
    <col min="5450" max="5450" width="1.07421875" style="80" customWidth="1"/>
    <col min="5451" max="5451" width="9.07421875" style="80" customWidth="1"/>
    <col min="5452" max="5452" width="1.07421875" style="80" customWidth="1"/>
    <col min="5453" max="5453" width="11.07421875" style="80" customWidth="1"/>
    <col min="5454" max="5454" width="1.07421875" style="80" customWidth="1"/>
    <col min="5455" max="5455" width="9.07421875" style="80" customWidth="1"/>
    <col min="5456" max="5456" width="1.84375" style="80" customWidth="1"/>
    <col min="5457" max="5457" width="11" style="80" customWidth="1"/>
    <col min="5458" max="5458" width="1.07421875" style="80" customWidth="1"/>
    <col min="5459" max="5459" width="10.84375" style="80" customWidth="1"/>
    <col min="5460" max="5460" width="1.07421875" style="80" customWidth="1"/>
    <col min="5461" max="5461" width="10" style="80" customWidth="1"/>
    <col min="5462" max="5462" width="1.07421875" style="80" customWidth="1"/>
    <col min="5463" max="5463" width="9.07421875" style="80" customWidth="1"/>
    <col min="5464" max="5464" width="1.07421875" style="80" customWidth="1"/>
    <col min="5465" max="5465" width="7.84375" style="80" customWidth="1"/>
    <col min="5466" max="5466" width="1.07421875" style="80" customWidth="1"/>
    <col min="5467" max="5467" width="0.84375" style="80" customWidth="1"/>
    <col min="5468" max="5468" width="9.07421875" style="80" customWidth="1"/>
    <col min="5469" max="5469" width="1.07421875" style="80" customWidth="1"/>
    <col min="5470" max="5470" width="0.84375" style="80" customWidth="1"/>
    <col min="5471" max="5471" width="9.53515625" style="80" bestFit="1" customWidth="1"/>
    <col min="5472" max="5473" width="0.84375" style="80" customWidth="1"/>
    <col min="5474" max="5474" width="9.84375" style="80" customWidth="1"/>
    <col min="5475" max="5475" width="1.07421875" style="80" customWidth="1"/>
    <col min="5476" max="5476" width="8.53515625" style="80" customWidth="1"/>
    <col min="5477" max="5477" width="14.53515625" style="80" customWidth="1"/>
    <col min="5478" max="5478" width="10" style="80" customWidth="1"/>
    <col min="5479" max="5479" width="7.84375" style="80" bestFit="1" customWidth="1"/>
    <col min="5480" max="5480" width="9.84375" style="80" customWidth="1"/>
    <col min="5481" max="5697" width="8.84375" style="80"/>
    <col min="5698" max="5698" width="38.4609375" style="80" customWidth="1"/>
    <col min="5699" max="5699" width="8.53515625" style="80" customWidth="1"/>
    <col min="5700" max="5700" width="1.07421875" style="80" customWidth="1"/>
    <col min="5701" max="5701" width="8.84375" style="80" customWidth="1"/>
    <col min="5702" max="5702" width="1.07421875" style="80" customWidth="1"/>
    <col min="5703" max="5703" width="9.07421875" style="80" customWidth="1"/>
    <col min="5704" max="5704" width="1.07421875" style="80" customWidth="1"/>
    <col min="5705" max="5705" width="10" style="80" customWidth="1"/>
    <col min="5706" max="5706" width="1.07421875" style="80" customWidth="1"/>
    <col min="5707" max="5707" width="9.07421875" style="80" customWidth="1"/>
    <col min="5708" max="5708" width="1.07421875" style="80" customWidth="1"/>
    <col min="5709" max="5709" width="11.07421875" style="80" customWidth="1"/>
    <col min="5710" max="5710" width="1.07421875" style="80" customWidth="1"/>
    <col min="5711" max="5711" width="9.07421875" style="80" customWidth="1"/>
    <col min="5712" max="5712" width="1.84375" style="80" customWidth="1"/>
    <col min="5713" max="5713" width="11" style="80" customWidth="1"/>
    <col min="5714" max="5714" width="1.07421875" style="80" customWidth="1"/>
    <col min="5715" max="5715" width="10.84375" style="80" customWidth="1"/>
    <col min="5716" max="5716" width="1.07421875" style="80" customWidth="1"/>
    <col min="5717" max="5717" width="10" style="80" customWidth="1"/>
    <col min="5718" max="5718" width="1.07421875" style="80" customWidth="1"/>
    <col min="5719" max="5719" width="9.07421875" style="80" customWidth="1"/>
    <col min="5720" max="5720" width="1.07421875" style="80" customWidth="1"/>
    <col min="5721" max="5721" width="7.84375" style="80" customWidth="1"/>
    <col min="5722" max="5722" width="1.07421875" style="80" customWidth="1"/>
    <col min="5723" max="5723" width="0.84375" style="80" customWidth="1"/>
    <col min="5724" max="5724" width="9.07421875" style="80" customWidth="1"/>
    <col min="5725" max="5725" width="1.07421875" style="80" customWidth="1"/>
    <col min="5726" max="5726" width="0.84375" style="80" customWidth="1"/>
    <col min="5727" max="5727" width="9.53515625" style="80" bestFit="1" customWidth="1"/>
    <col min="5728" max="5729" width="0.84375" style="80" customWidth="1"/>
    <col min="5730" max="5730" width="9.84375" style="80" customWidth="1"/>
    <col min="5731" max="5731" width="1.07421875" style="80" customWidth="1"/>
    <col min="5732" max="5732" width="8.53515625" style="80" customWidth="1"/>
    <col min="5733" max="5733" width="14.53515625" style="80" customWidth="1"/>
    <col min="5734" max="5734" width="10" style="80" customWidth="1"/>
    <col min="5735" max="5735" width="7.84375" style="80" bestFit="1" customWidth="1"/>
    <col min="5736" max="5736" width="9.84375" style="80" customWidth="1"/>
    <col min="5737" max="5953" width="8.84375" style="80"/>
    <col min="5954" max="5954" width="38.4609375" style="80" customWidth="1"/>
    <col min="5955" max="5955" width="8.53515625" style="80" customWidth="1"/>
    <col min="5956" max="5956" width="1.07421875" style="80" customWidth="1"/>
    <col min="5957" max="5957" width="8.84375" style="80" customWidth="1"/>
    <col min="5958" max="5958" width="1.07421875" style="80" customWidth="1"/>
    <col min="5959" max="5959" width="9.07421875" style="80" customWidth="1"/>
    <col min="5960" max="5960" width="1.07421875" style="80" customWidth="1"/>
    <col min="5961" max="5961" width="10" style="80" customWidth="1"/>
    <col min="5962" max="5962" width="1.07421875" style="80" customWidth="1"/>
    <col min="5963" max="5963" width="9.07421875" style="80" customWidth="1"/>
    <col min="5964" max="5964" width="1.07421875" style="80" customWidth="1"/>
    <col min="5965" max="5965" width="11.07421875" style="80" customWidth="1"/>
    <col min="5966" max="5966" width="1.07421875" style="80" customWidth="1"/>
    <col min="5967" max="5967" width="9.07421875" style="80" customWidth="1"/>
    <col min="5968" max="5968" width="1.84375" style="80" customWidth="1"/>
    <col min="5969" max="5969" width="11" style="80" customWidth="1"/>
    <col min="5970" max="5970" width="1.07421875" style="80" customWidth="1"/>
    <col min="5971" max="5971" width="10.84375" style="80" customWidth="1"/>
    <col min="5972" max="5972" width="1.07421875" style="80" customWidth="1"/>
    <col min="5973" max="5973" width="10" style="80" customWidth="1"/>
    <col min="5974" max="5974" width="1.07421875" style="80" customWidth="1"/>
    <col min="5975" max="5975" width="9.07421875" style="80" customWidth="1"/>
    <col min="5976" max="5976" width="1.07421875" style="80" customWidth="1"/>
    <col min="5977" max="5977" width="7.84375" style="80" customWidth="1"/>
    <col min="5978" max="5978" width="1.07421875" style="80" customWidth="1"/>
    <col min="5979" max="5979" width="0.84375" style="80" customWidth="1"/>
    <col min="5980" max="5980" width="9.07421875" style="80" customWidth="1"/>
    <col min="5981" max="5981" width="1.07421875" style="80" customWidth="1"/>
    <col min="5982" max="5982" width="0.84375" style="80" customWidth="1"/>
    <col min="5983" max="5983" width="9.53515625" style="80" bestFit="1" customWidth="1"/>
    <col min="5984" max="5985" width="0.84375" style="80" customWidth="1"/>
    <col min="5986" max="5986" width="9.84375" style="80" customWidth="1"/>
    <col min="5987" max="5987" width="1.07421875" style="80" customWidth="1"/>
    <col min="5988" max="5988" width="8.53515625" style="80" customWidth="1"/>
    <col min="5989" max="5989" width="14.53515625" style="80" customWidth="1"/>
    <col min="5990" max="5990" width="10" style="80" customWidth="1"/>
    <col min="5991" max="5991" width="7.84375" style="80" bestFit="1" customWidth="1"/>
    <col min="5992" max="5992" width="9.84375" style="80" customWidth="1"/>
    <col min="5993" max="6209" width="8.84375" style="80"/>
    <col min="6210" max="6210" width="38.4609375" style="80" customWidth="1"/>
    <col min="6211" max="6211" width="8.53515625" style="80" customWidth="1"/>
    <col min="6212" max="6212" width="1.07421875" style="80" customWidth="1"/>
    <col min="6213" max="6213" width="8.84375" style="80" customWidth="1"/>
    <col min="6214" max="6214" width="1.07421875" style="80" customWidth="1"/>
    <col min="6215" max="6215" width="9.07421875" style="80" customWidth="1"/>
    <col min="6216" max="6216" width="1.07421875" style="80" customWidth="1"/>
    <col min="6217" max="6217" width="10" style="80" customWidth="1"/>
    <col min="6218" max="6218" width="1.07421875" style="80" customWidth="1"/>
    <col min="6219" max="6219" width="9.07421875" style="80" customWidth="1"/>
    <col min="6220" max="6220" width="1.07421875" style="80" customWidth="1"/>
    <col min="6221" max="6221" width="11.07421875" style="80" customWidth="1"/>
    <col min="6222" max="6222" width="1.07421875" style="80" customWidth="1"/>
    <col min="6223" max="6223" width="9.07421875" style="80" customWidth="1"/>
    <col min="6224" max="6224" width="1.84375" style="80" customWidth="1"/>
    <col min="6225" max="6225" width="11" style="80" customWidth="1"/>
    <col min="6226" max="6226" width="1.07421875" style="80" customWidth="1"/>
    <col min="6227" max="6227" width="10.84375" style="80" customWidth="1"/>
    <col min="6228" max="6228" width="1.07421875" style="80" customWidth="1"/>
    <col min="6229" max="6229" width="10" style="80" customWidth="1"/>
    <col min="6230" max="6230" width="1.07421875" style="80" customWidth="1"/>
    <col min="6231" max="6231" width="9.07421875" style="80" customWidth="1"/>
    <col min="6232" max="6232" width="1.07421875" style="80" customWidth="1"/>
    <col min="6233" max="6233" width="7.84375" style="80" customWidth="1"/>
    <col min="6234" max="6234" width="1.07421875" style="80" customWidth="1"/>
    <col min="6235" max="6235" width="0.84375" style="80" customWidth="1"/>
    <col min="6236" max="6236" width="9.07421875" style="80" customWidth="1"/>
    <col min="6237" max="6237" width="1.07421875" style="80" customWidth="1"/>
    <col min="6238" max="6238" width="0.84375" style="80" customWidth="1"/>
    <col min="6239" max="6239" width="9.53515625" style="80" bestFit="1" customWidth="1"/>
    <col min="6240" max="6241" width="0.84375" style="80" customWidth="1"/>
    <col min="6242" max="6242" width="9.84375" style="80" customWidth="1"/>
    <col min="6243" max="6243" width="1.07421875" style="80" customWidth="1"/>
    <col min="6244" max="6244" width="8.53515625" style="80" customWidth="1"/>
    <col min="6245" max="6245" width="14.53515625" style="80" customWidth="1"/>
    <col min="6246" max="6246" width="10" style="80" customWidth="1"/>
    <col min="6247" max="6247" width="7.84375" style="80" bestFit="1" customWidth="1"/>
    <col min="6248" max="6248" width="9.84375" style="80" customWidth="1"/>
    <col min="6249" max="6465" width="8.84375" style="80"/>
    <col min="6466" max="6466" width="38.4609375" style="80" customWidth="1"/>
    <col min="6467" max="6467" width="8.53515625" style="80" customWidth="1"/>
    <col min="6468" max="6468" width="1.07421875" style="80" customWidth="1"/>
    <col min="6469" max="6469" width="8.84375" style="80" customWidth="1"/>
    <col min="6470" max="6470" width="1.07421875" style="80" customWidth="1"/>
    <col min="6471" max="6471" width="9.07421875" style="80" customWidth="1"/>
    <col min="6472" max="6472" width="1.07421875" style="80" customWidth="1"/>
    <col min="6473" max="6473" width="10" style="80" customWidth="1"/>
    <col min="6474" max="6474" width="1.07421875" style="80" customWidth="1"/>
    <col min="6475" max="6475" width="9.07421875" style="80" customWidth="1"/>
    <col min="6476" max="6476" width="1.07421875" style="80" customWidth="1"/>
    <col min="6477" max="6477" width="11.07421875" style="80" customWidth="1"/>
    <col min="6478" max="6478" width="1.07421875" style="80" customWidth="1"/>
    <col min="6479" max="6479" width="9.07421875" style="80" customWidth="1"/>
    <col min="6480" max="6480" width="1.84375" style="80" customWidth="1"/>
    <col min="6481" max="6481" width="11" style="80" customWidth="1"/>
    <col min="6482" max="6482" width="1.07421875" style="80" customWidth="1"/>
    <col min="6483" max="6483" width="10.84375" style="80" customWidth="1"/>
    <col min="6484" max="6484" width="1.07421875" style="80" customWidth="1"/>
    <col min="6485" max="6485" width="10" style="80" customWidth="1"/>
    <col min="6486" max="6486" width="1.07421875" style="80" customWidth="1"/>
    <col min="6487" max="6487" width="9.07421875" style="80" customWidth="1"/>
    <col min="6488" max="6488" width="1.07421875" style="80" customWidth="1"/>
    <col min="6489" max="6489" width="7.84375" style="80" customWidth="1"/>
    <col min="6490" max="6490" width="1.07421875" style="80" customWidth="1"/>
    <col min="6491" max="6491" width="0.84375" style="80" customWidth="1"/>
    <col min="6492" max="6492" width="9.07421875" style="80" customWidth="1"/>
    <col min="6493" max="6493" width="1.07421875" style="80" customWidth="1"/>
    <col min="6494" max="6494" width="0.84375" style="80" customWidth="1"/>
    <col min="6495" max="6495" width="9.53515625" style="80" bestFit="1" customWidth="1"/>
    <col min="6496" max="6497" width="0.84375" style="80" customWidth="1"/>
    <col min="6498" max="6498" width="9.84375" style="80" customWidth="1"/>
    <col min="6499" max="6499" width="1.07421875" style="80" customWidth="1"/>
    <col min="6500" max="6500" width="8.53515625" style="80" customWidth="1"/>
    <col min="6501" max="6501" width="14.53515625" style="80" customWidth="1"/>
    <col min="6502" max="6502" width="10" style="80" customWidth="1"/>
    <col min="6503" max="6503" width="7.84375" style="80" bestFit="1" customWidth="1"/>
    <col min="6504" max="6504" width="9.84375" style="80" customWidth="1"/>
    <col min="6505" max="6721" width="8.84375" style="80"/>
    <col min="6722" max="6722" width="38.4609375" style="80" customWidth="1"/>
    <col min="6723" max="6723" width="8.53515625" style="80" customWidth="1"/>
    <col min="6724" max="6724" width="1.07421875" style="80" customWidth="1"/>
    <col min="6725" max="6725" width="8.84375" style="80" customWidth="1"/>
    <col min="6726" max="6726" width="1.07421875" style="80" customWidth="1"/>
    <col min="6727" max="6727" width="9.07421875" style="80" customWidth="1"/>
    <col min="6728" max="6728" width="1.07421875" style="80" customWidth="1"/>
    <col min="6729" max="6729" width="10" style="80" customWidth="1"/>
    <col min="6730" max="6730" width="1.07421875" style="80" customWidth="1"/>
    <col min="6731" max="6731" width="9.07421875" style="80" customWidth="1"/>
    <col min="6732" max="6732" width="1.07421875" style="80" customWidth="1"/>
    <col min="6733" max="6733" width="11.07421875" style="80" customWidth="1"/>
    <col min="6734" max="6734" width="1.07421875" style="80" customWidth="1"/>
    <col min="6735" max="6735" width="9.07421875" style="80" customWidth="1"/>
    <col min="6736" max="6736" width="1.84375" style="80" customWidth="1"/>
    <col min="6737" max="6737" width="11" style="80" customWidth="1"/>
    <col min="6738" max="6738" width="1.07421875" style="80" customWidth="1"/>
    <col min="6739" max="6739" width="10.84375" style="80" customWidth="1"/>
    <col min="6740" max="6740" width="1.07421875" style="80" customWidth="1"/>
    <col min="6741" max="6741" width="10" style="80" customWidth="1"/>
    <col min="6742" max="6742" width="1.07421875" style="80" customWidth="1"/>
    <col min="6743" max="6743" width="9.07421875" style="80" customWidth="1"/>
    <col min="6744" max="6744" width="1.07421875" style="80" customWidth="1"/>
    <col min="6745" max="6745" width="7.84375" style="80" customWidth="1"/>
    <col min="6746" max="6746" width="1.07421875" style="80" customWidth="1"/>
    <col min="6747" max="6747" width="0.84375" style="80" customWidth="1"/>
    <col min="6748" max="6748" width="9.07421875" style="80" customWidth="1"/>
    <col min="6749" max="6749" width="1.07421875" style="80" customWidth="1"/>
    <col min="6750" max="6750" width="0.84375" style="80" customWidth="1"/>
    <col min="6751" max="6751" width="9.53515625" style="80" bestFit="1" customWidth="1"/>
    <col min="6752" max="6753" width="0.84375" style="80" customWidth="1"/>
    <col min="6754" max="6754" width="9.84375" style="80" customWidth="1"/>
    <col min="6755" max="6755" width="1.07421875" style="80" customWidth="1"/>
    <col min="6756" max="6756" width="8.53515625" style="80" customWidth="1"/>
    <col min="6757" max="6757" width="14.53515625" style="80" customWidth="1"/>
    <col min="6758" max="6758" width="10" style="80" customWidth="1"/>
    <col min="6759" max="6759" width="7.84375" style="80" bestFit="1" customWidth="1"/>
    <col min="6760" max="6760" width="9.84375" style="80" customWidth="1"/>
    <col min="6761" max="6977" width="8.84375" style="80"/>
    <col min="6978" max="6978" width="38.4609375" style="80" customWidth="1"/>
    <col min="6979" max="6979" width="8.53515625" style="80" customWidth="1"/>
    <col min="6980" max="6980" width="1.07421875" style="80" customWidth="1"/>
    <col min="6981" max="6981" width="8.84375" style="80" customWidth="1"/>
    <col min="6982" max="6982" width="1.07421875" style="80" customWidth="1"/>
    <col min="6983" max="6983" width="9.07421875" style="80" customWidth="1"/>
    <col min="6984" max="6984" width="1.07421875" style="80" customWidth="1"/>
    <col min="6985" max="6985" width="10" style="80" customWidth="1"/>
    <col min="6986" max="6986" width="1.07421875" style="80" customWidth="1"/>
    <col min="6987" max="6987" width="9.07421875" style="80" customWidth="1"/>
    <col min="6988" max="6988" width="1.07421875" style="80" customWidth="1"/>
    <col min="6989" max="6989" width="11.07421875" style="80" customWidth="1"/>
    <col min="6990" max="6990" width="1.07421875" style="80" customWidth="1"/>
    <col min="6991" max="6991" width="9.07421875" style="80" customWidth="1"/>
    <col min="6992" max="6992" width="1.84375" style="80" customWidth="1"/>
    <col min="6993" max="6993" width="11" style="80" customWidth="1"/>
    <col min="6994" max="6994" width="1.07421875" style="80" customWidth="1"/>
    <col min="6995" max="6995" width="10.84375" style="80" customWidth="1"/>
    <col min="6996" max="6996" width="1.07421875" style="80" customWidth="1"/>
    <col min="6997" max="6997" width="10" style="80" customWidth="1"/>
    <col min="6998" max="6998" width="1.07421875" style="80" customWidth="1"/>
    <col min="6999" max="6999" width="9.07421875" style="80" customWidth="1"/>
    <col min="7000" max="7000" width="1.07421875" style="80" customWidth="1"/>
    <col min="7001" max="7001" width="7.84375" style="80" customWidth="1"/>
    <col min="7002" max="7002" width="1.07421875" style="80" customWidth="1"/>
    <col min="7003" max="7003" width="0.84375" style="80" customWidth="1"/>
    <col min="7004" max="7004" width="9.07421875" style="80" customWidth="1"/>
    <col min="7005" max="7005" width="1.07421875" style="80" customWidth="1"/>
    <col min="7006" max="7006" width="0.84375" style="80" customWidth="1"/>
    <col min="7007" max="7007" width="9.53515625" style="80" bestFit="1" customWidth="1"/>
    <col min="7008" max="7009" width="0.84375" style="80" customWidth="1"/>
    <col min="7010" max="7010" width="9.84375" style="80" customWidth="1"/>
    <col min="7011" max="7011" width="1.07421875" style="80" customWidth="1"/>
    <col min="7012" max="7012" width="8.53515625" style="80" customWidth="1"/>
    <col min="7013" max="7013" width="14.53515625" style="80" customWidth="1"/>
    <col min="7014" max="7014" width="10" style="80" customWidth="1"/>
    <col min="7015" max="7015" width="7.84375" style="80" bestFit="1" customWidth="1"/>
    <col min="7016" max="7016" width="9.84375" style="80" customWidth="1"/>
    <col min="7017" max="7233" width="8.84375" style="80"/>
    <col min="7234" max="7234" width="38.4609375" style="80" customWidth="1"/>
    <col min="7235" max="7235" width="8.53515625" style="80" customWidth="1"/>
    <col min="7236" max="7236" width="1.07421875" style="80" customWidth="1"/>
    <col min="7237" max="7237" width="8.84375" style="80" customWidth="1"/>
    <col min="7238" max="7238" width="1.07421875" style="80" customWidth="1"/>
    <col min="7239" max="7239" width="9.07421875" style="80" customWidth="1"/>
    <col min="7240" max="7240" width="1.07421875" style="80" customWidth="1"/>
    <col min="7241" max="7241" width="10" style="80" customWidth="1"/>
    <col min="7242" max="7242" width="1.07421875" style="80" customWidth="1"/>
    <col min="7243" max="7243" width="9.07421875" style="80" customWidth="1"/>
    <col min="7244" max="7244" width="1.07421875" style="80" customWidth="1"/>
    <col min="7245" max="7245" width="11.07421875" style="80" customWidth="1"/>
    <col min="7246" max="7246" width="1.07421875" style="80" customWidth="1"/>
    <col min="7247" max="7247" width="9.07421875" style="80" customWidth="1"/>
    <col min="7248" max="7248" width="1.84375" style="80" customWidth="1"/>
    <col min="7249" max="7249" width="11" style="80" customWidth="1"/>
    <col min="7250" max="7250" width="1.07421875" style="80" customWidth="1"/>
    <col min="7251" max="7251" width="10.84375" style="80" customWidth="1"/>
    <col min="7252" max="7252" width="1.07421875" style="80" customWidth="1"/>
    <col min="7253" max="7253" width="10" style="80" customWidth="1"/>
    <col min="7254" max="7254" width="1.07421875" style="80" customWidth="1"/>
    <col min="7255" max="7255" width="9.07421875" style="80" customWidth="1"/>
    <col min="7256" max="7256" width="1.07421875" style="80" customWidth="1"/>
    <col min="7257" max="7257" width="7.84375" style="80" customWidth="1"/>
    <col min="7258" max="7258" width="1.07421875" style="80" customWidth="1"/>
    <col min="7259" max="7259" width="0.84375" style="80" customWidth="1"/>
    <col min="7260" max="7260" width="9.07421875" style="80" customWidth="1"/>
    <col min="7261" max="7261" width="1.07421875" style="80" customWidth="1"/>
    <col min="7262" max="7262" width="0.84375" style="80" customWidth="1"/>
    <col min="7263" max="7263" width="9.53515625" style="80" bestFit="1" customWidth="1"/>
    <col min="7264" max="7265" width="0.84375" style="80" customWidth="1"/>
    <col min="7266" max="7266" width="9.84375" style="80" customWidth="1"/>
    <col min="7267" max="7267" width="1.07421875" style="80" customWidth="1"/>
    <col min="7268" max="7268" width="8.53515625" style="80" customWidth="1"/>
    <col min="7269" max="7269" width="14.53515625" style="80" customWidth="1"/>
    <col min="7270" max="7270" width="10" style="80" customWidth="1"/>
    <col min="7271" max="7271" width="7.84375" style="80" bestFit="1" customWidth="1"/>
    <col min="7272" max="7272" width="9.84375" style="80" customWidth="1"/>
    <col min="7273" max="7489" width="8.84375" style="80"/>
    <col min="7490" max="7490" width="38.4609375" style="80" customWidth="1"/>
    <col min="7491" max="7491" width="8.53515625" style="80" customWidth="1"/>
    <col min="7492" max="7492" width="1.07421875" style="80" customWidth="1"/>
    <col min="7493" max="7493" width="8.84375" style="80" customWidth="1"/>
    <col min="7494" max="7494" width="1.07421875" style="80" customWidth="1"/>
    <col min="7495" max="7495" width="9.07421875" style="80" customWidth="1"/>
    <col min="7496" max="7496" width="1.07421875" style="80" customWidth="1"/>
    <col min="7497" max="7497" width="10" style="80" customWidth="1"/>
    <col min="7498" max="7498" width="1.07421875" style="80" customWidth="1"/>
    <col min="7499" max="7499" width="9.07421875" style="80" customWidth="1"/>
    <col min="7500" max="7500" width="1.07421875" style="80" customWidth="1"/>
    <col min="7501" max="7501" width="11.07421875" style="80" customWidth="1"/>
    <col min="7502" max="7502" width="1.07421875" style="80" customWidth="1"/>
    <col min="7503" max="7503" width="9.07421875" style="80" customWidth="1"/>
    <col min="7504" max="7504" width="1.84375" style="80" customWidth="1"/>
    <col min="7505" max="7505" width="11" style="80" customWidth="1"/>
    <col min="7506" max="7506" width="1.07421875" style="80" customWidth="1"/>
    <col min="7507" max="7507" width="10.84375" style="80" customWidth="1"/>
    <col min="7508" max="7508" width="1.07421875" style="80" customWidth="1"/>
    <col min="7509" max="7509" width="10" style="80" customWidth="1"/>
    <col min="7510" max="7510" width="1.07421875" style="80" customWidth="1"/>
    <col min="7511" max="7511" width="9.07421875" style="80" customWidth="1"/>
    <col min="7512" max="7512" width="1.07421875" style="80" customWidth="1"/>
    <col min="7513" max="7513" width="7.84375" style="80" customWidth="1"/>
    <col min="7514" max="7514" width="1.07421875" style="80" customWidth="1"/>
    <col min="7515" max="7515" width="0.84375" style="80" customWidth="1"/>
    <col min="7516" max="7516" width="9.07421875" style="80" customWidth="1"/>
    <col min="7517" max="7517" width="1.07421875" style="80" customWidth="1"/>
    <col min="7518" max="7518" width="0.84375" style="80" customWidth="1"/>
    <col min="7519" max="7519" width="9.53515625" style="80" bestFit="1" customWidth="1"/>
    <col min="7520" max="7521" width="0.84375" style="80" customWidth="1"/>
    <col min="7522" max="7522" width="9.84375" style="80" customWidth="1"/>
    <col min="7523" max="7523" width="1.07421875" style="80" customWidth="1"/>
    <col min="7524" max="7524" width="8.53515625" style="80" customWidth="1"/>
    <col min="7525" max="7525" width="14.53515625" style="80" customWidth="1"/>
    <col min="7526" max="7526" width="10" style="80" customWidth="1"/>
    <col min="7527" max="7527" width="7.84375" style="80" bestFit="1" customWidth="1"/>
    <col min="7528" max="7528" width="9.84375" style="80" customWidth="1"/>
    <col min="7529" max="7745" width="8.84375" style="80"/>
    <col min="7746" max="7746" width="38.4609375" style="80" customWidth="1"/>
    <col min="7747" max="7747" width="8.53515625" style="80" customWidth="1"/>
    <col min="7748" max="7748" width="1.07421875" style="80" customWidth="1"/>
    <col min="7749" max="7749" width="8.84375" style="80" customWidth="1"/>
    <col min="7750" max="7750" width="1.07421875" style="80" customWidth="1"/>
    <col min="7751" max="7751" width="9.07421875" style="80" customWidth="1"/>
    <col min="7752" max="7752" width="1.07421875" style="80" customWidth="1"/>
    <col min="7753" max="7753" width="10" style="80" customWidth="1"/>
    <col min="7754" max="7754" width="1.07421875" style="80" customWidth="1"/>
    <col min="7755" max="7755" width="9.07421875" style="80" customWidth="1"/>
    <col min="7756" max="7756" width="1.07421875" style="80" customWidth="1"/>
    <col min="7757" max="7757" width="11.07421875" style="80" customWidth="1"/>
    <col min="7758" max="7758" width="1.07421875" style="80" customWidth="1"/>
    <col min="7759" max="7759" width="9.07421875" style="80" customWidth="1"/>
    <col min="7760" max="7760" width="1.84375" style="80" customWidth="1"/>
    <col min="7761" max="7761" width="11" style="80" customWidth="1"/>
    <col min="7762" max="7762" width="1.07421875" style="80" customWidth="1"/>
    <col min="7763" max="7763" width="10.84375" style="80" customWidth="1"/>
    <col min="7764" max="7764" width="1.07421875" style="80" customWidth="1"/>
    <col min="7765" max="7765" width="10" style="80" customWidth="1"/>
    <col min="7766" max="7766" width="1.07421875" style="80" customWidth="1"/>
    <col min="7767" max="7767" width="9.07421875" style="80" customWidth="1"/>
    <col min="7768" max="7768" width="1.07421875" style="80" customWidth="1"/>
    <col min="7769" max="7769" width="7.84375" style="80" customWidth="1"/>
    <col min="7770" max="7770" width="1.07421875" style="80" customWidth="1"/>
    <col min="7771" max="7771" width="0.84375" style="80" customWidth="1"/>
    <col min="7772" max="7772" width="9.07421875" style="80" customWidth="1"/>
    <col min="7773" max="7773" width="1.07421875" style="80" customWidth="1"/>
    <col min="7774" max="7774" width="0.84375" style="80" customWidth="1"/>
    <col min="7775" max="7775" width="9.53515625" style="80" bestFit="1" customWidth="1"/>
    <col min="7776" max="7777" width="0.84375" style="80" customWidth="1"/>
    <col min="7778" max="7778" width="9.84375" style="80" customWidth="1"/>
    <col min="7779" max="7779" width="1.07421875" style="80" customWidth="1"/>
    <col min="7780" max="7780" width="8.53515625" style="80" customWidth="1"/>
    <col min="7781" max="7781" width="14.53515625" style="80" customWidth="1"/>
    <col min="7782" max="7782" width="10" style="80" customWidth="1"/>
    <col min="7783" max="7783" width="7.84375" style="80" bestFit="1" customWidth="1"/>
    <col min="7784" max="7784" width="9.84375" style="80" customWidth="1"/>
    <col min="7785" max="8001" width="8.84375" style="80"/>
    <col min="8002" max="8002" width="38.4609375" style="80" customWidth="1"/>
    <col min="8003" max="8003" width="8.53515625" style="80" customWidth="1"/>
    <col min="8004" max="8004" width="1.07421875" style="80" customWidth="1"/>
    <col min="8005" max="8005" width="8.84375" style="80" customWidth="1"/>
    <col min="8006" max="8006" width="1.07421875" style="80" customWidth="1"/>
    <col min="8007" max="8007" width="9.07421875" style="80" customWidth="1"/>
    <col min="8008" max="8008" width="1.07421875" style="80" customWidth="1"/>
    <col min="8009" max="8009" width="10" style="80" customWidth="1"/>
    <col min="8010" max="8010" width="1.07421875" style="80" customWidth="1"/>
    <col min="8011" max="8011" width="9.07421875" style="80" customWidth="1"/>
    <col min="8012" max="8012" width="1.07421875" style="80" customWidth="1"/>
    <col min="8013" max="8013" width="11.07421875" style="80" customWidth="1"/>
    <col min="8014" max="8014" width="1.07421875" style="80" customWidth="1"/>
    <col min="8015" max="8015" width="9.07421875" style="80" customWidth="1"/>
    <col min="8016" max="8016" width="1.84375" style="80" customWidth="1"/>
    <col min="8017" max="8017" width="11" style="80" customWidth="1"/>
    <col min="8018" max="8018" width="1.07421875" style="80" customWidth="1"/>
    <col min="8019" max="8019" width="10.84375" style="80" customWidth="1"/>
    <col min="8020" max="8020" width="1.07421875" style="80" customWidth="1"/>
    <col min="8021" max="8021" width="10" style="80" customWidth="1"/>
    <col min="8022" max="8022" width="1.07421875" style="80" customWidth="1"/>
    <col min="8023" max="8023" width="9.07421875" style="80" customWidth="1"/>
    <col min="8024" max="8024" width="1.07421875" style="80" customWidth="1"/>
    <col min="8025" max="8025" width="7.84375" style="80" customWidth="1"/>
    <col min="8026" max="8026" width="1.07421875" style="80" customWidth="1"/>
    <col min="8027" max="8027" width="0.84375" style="80" customWidth="1"/>
    <col min="8028" max="8028" width="9.07421875" style="80" customWidth="1"/>
    <col min="8029" max="8029" width="1.07421875" style="80" customWidth="1"/>
    <col min="8030" max="8030" width="0.84375" style="80" customWidth="1"/>
    <col min="8031" max="8031" width="9.53515625" style="80" bestFit="1" customWidth="1"/>
    <col min="8032" max="8033" width="0.84375" style="80" customWidth="1"/>
    <col min="8034" max="8034" width="9.84375" style="80" customWidth="1"/>
    <col min="8035" max="8035" width="1.07421875" style="80" customWidth="1"/>
    <col min="8036" max="8036" width="8.53515625" style="80" customWidth="1"/>
    <col min="8037" max="8037" width="14.53515625" style="80" customWidth="1"/>
    <col min="8038" max="8038" width="10" style="80" customWidth="1"/>
    <col min="8039" max="8039" width="7.84375" style="80" bestFit="1" customWidth="1"/>
    <col min="8040" max="8040" width="9.84375" style="80" customWidth="1"/>
    <col min="8041" max="8257" width="8.84375" style="80"/>
    <col min="8258" max="8258" width="38.4609375" style="80" customWidth="1"/>
    <col min="8259" max="8259" width="8.53515625" style="80" customWidth="1"/>
    <col min="8260" max="8260" width="1.07421875" style="80" customWidth="1"/>
    <col min="8261" max="8261" width="8.84375" style="80" customWidth="1"/>
    <col min="8262" max="8262" width="1.07421875" style="80" customWidth="1"/>
    <col min="8263" max="8263" width="9.07421875" style="80" customWidth="1"/>
    <col min="8264" max="8264" width="1.07421875" style="80" customWidth="1"/>
    <col min="8265" max="8265" width="10" style="80" customWidth="1"/>
    <col min="8266" max="8266" width="1.07421875" style="80" customWidth="1"/>
    <col min="8267" max="8267" width="9.07421875" style="80" customWidth="1"/>
    <col min="8268" max="8268" width="1.07421875" style="80" customWidth="1"/>
    <col min="8269" max="8269" width="11.07421875" style="80" customWidth="1"/>
    <col min="8270" max="8270" width="1.07421875" style="80" customWidth="1"/>
    <col min="8271" max="8271" width="9.07421875" style="80" customWidth="1"/>
    <col min="8272" max="8272" width="1.84375" style="80" customWidth="1"/>
    <col min="8273" max="8273" width="11" style="80" customWidth="1"/>
    <col min="8274" max="8274" width="1.07421875" style="80" customWidth="1"/>
    <col min="8275" max="8275" width="10.84375" style="80" customWidth="1"/>
    <col min="8276" max="8276" width="1.07421875" style="80" customWidth="1"/>
    <col min="8277" max="8277" width="10" style="80" customWidth="1"/>
    <col min="8278" max="8278" width="1.07421875" style="80" customWidth="1"/>
    <col min="8279" max="8279" width="9.07421875" style="80" customWidth="1"/>
    <col min="8280" max="8280" width="1.07421875" style="80" customWidth="1"/>
    <col min="8281" max="8281" width="7.84375" style="80" customWidth="1"/>
    <col min="8282" max="8282" width="1.07421875" style="80" customWidth="1"/>
    <col min="8283" max="8283" width="0.84375" style="80" customWidth="1"/>
    <col min="8284" max="8284" width="9.07421875" style="80" customWidth="1"/>
    <col min="8285" max="8285" width="1.07421875" style="80" customWidth="1"/>
    <col min="8286" max="8286" width="0.84375" style="80" customWidth="1"/>
    <col min="8287" max="8287" width="9.53515625" style="80" bestFit="1" customWidth="1"/>
    <col min="8288" max="8289" width="0.84375" style="80" customWidth="1"/>
    <col min="8290" max="8290" width="9.84375" style="80" customWidth="1"/>
    <col min="8291" max="8291" width="1.07421875" style="80" customWidth="1"/>
    <col min="8292" max="8292" width="8.53515625" style="80" customWidth="1"/>
    <col min="8293" max="8293" width="14.53515625" style="80" customWidth="1"/>
    <col min="8294" max="8294" width="10" style="80" customWidth="1"/>
    <col min="8295" max="8295" width="7.84375" style="80" bestFit="1" customWidth="1"/>
    <col min="8296" max="8296" width="9.84375" style="80" customWidth="1"/>
    <col min="8297" max="8513" width="8.84375" style="80"/>
    <col min="8514" max="8514" width="38.4609375" style="80" customWidth="1"/>
    <col min="8515" max="8515" width="8.53515625" style="80" customWidth="1"/>
    <col min="8516" max="8516" width="1.07421875" style="80" customWidth="1"/>
    <col min="8517" max="8517" width="8.84375" style="80" customWidth="1"/>
    <col min="8518" max="8518" width="1.07421875" style="80" customWidth="1"/>
    <col min="8519" max="8519" width="9.07421875" style="80" customWidth="1"/>
    <col min="8520" max="8520" width="1.07421875" style="80" customWidth="1"/>
    <col min="8521" max="8521" width="10" style="80" customWidth="1"/>
    <col min="8522" max="8522" width="1.07421875" style="80" customWidth="1"/>
    <col min="8523" max="8523" width="9.07421875" style="80" customWidth="1"/>
    <col min="8524" max="8524" width="1.07421875" style="80" customWidth="1"/>
    <col min="8525" max="8525" width="11.07421875" style="80" customWidth="1"/>
    <col min="8526" max="8526" width="1.07421875" style="80" customWidth="1"/>
    <col min="8527" max="8527" width="9.07421875" style="80" customWidth="1"/>
    <col min="8528" max="8528" width="1.84375" style="80" customWidth="1"/>
    <col min="8529" max="8529" width="11" style="80" customWidth="1"/>
    <col min="8530" max="8530" width="1.07421875" style="80" customWidth="1"/>
    <col min="8531" max="8531" width="10.84375" style="80" customWidth="1"/>
    <col min="8532" max="8532" width="1.07421875" style="80" customWidth="1"/>
    <col min="8533" max="8533" width="10" style="80" customWidth="1"/>
    <col min="8534" max="8534" width="1.07421875" style="80" customWidth="1"/>
    <col min="8535" max="8535" width="9.07421875" style="80" customWidth="1"/>
    <col min="8536" max="8536" width="1.07421875" style="80" customWidth="1"/>
    <col min="8537" max="8537" width="7.84375" style="80" customWidth="1"/>
    <col min="8538" max="8538" width="1.07421875" style="80" customWidth="1"/>
    <col min="8539" max="8539" width="0.84375" style="80" customWidth="1"/>
    <col min="8540" max="8540" width="9.07421875" style="80" customWidth="1"/>
    <col min="8541" max="8541" width="1.07421875" style="80" customWidth="1"/>
    <col min="8542" max="8542" width="0.84375" style="80" customWidth="1"/>
    <col min="8543" max="8543" width="9.53515625" style="80" bestFit="1" customWidth="1"/>
    <col min="8544" max="8545" width="0.84375" style="80" customWidth="1"/>
    <col min="8546" max="8546" width="9.84375" style="80" customWidth="1"/>
    <col min="8547" max="8547" width="1.07421875" style="80" customWidth="1"/>
    <col min="8548" max="8548" width="8.53515625" style="80" customWidth="1"/>
    <col min="8549" max="8549" width="14.53515625" style="80" customWidth="1"/>
    <col min="8550" max="8550" width="10" style="80" customWidth="1"/>
    <col min="8551" max="8551" width="7.84375" style="80" bestFit="1" customWidth="1"/>
    <col min="8552" max="8552" width="9.84375" style="80" customWidth="1"/>
    <col min="8553" max="8769" width="8.84375" style="80"/>
    <col min="8770" max="8770" width="38.4609375" style="80" customWidth="1"/>
    <col min="8771" max="8771" width="8.53515625" style="80" customWidth="1"/>
    <col min="8772" max="8772" width="1.07421875" style="80" customWidth="1"/>
    <col min="8773" max="8773" width="8.84375" style="80" customWidth="1"/>
    <col min="8774" max="8774" width="1.07421875" style="80" customWidth="1"/>
    <col min="8775" max="8775" width="9.07421875" style="80" customWidth="1"/>
    <col min="8776" max="8776" width="1.07421875" style="80" customWidth="1"/>
    <col min="8777" max="8777" width="10" style="80" customWidth="1"/>
    <col min="8778" max="8778" width="1.07421875" style="80" customWidth="1"/>
    <col min="8779" max="8779" width="9.07421875" style="80" customWidth="1"/>
    <col min="8780" max="8780" width="1.07421875" style="80" customWidth="1"/>
    <col min="8781" max="8781" width="11.07421875" style="80" customWidth="1"/>
    <col min="8782" max="8782" width="1.07421875" style="80" customWidth="1"/>
    <col min="8783" max="8783" width="9.07421875" style="80" customWidth="1"/>
    <col min="8784" max="8784" width="1.84375" style="80" customWidth="1"/>
    <col min="8785" max="8785" width="11" style="80" customWidth="1"/>
    <col min="8786" max="8786" width="1.07421875" style="80" customWidth="1"/>
    <col min="8787" max="8787" width="10.84375" style="80" customWidth="1"/>
    <col min="8788" max="8788" width="1.07421875" style="80" customWidth="1"/>
    <col min="8789" max="8789" width="10" style="80" customWidth="1"/>
    <col min="8790" max="8790" width="1.07421875" style="80" customWidth="1"/>
    <col min="8791" max="8791" width="9.07421875" style="80" customWidth="1"/>
    <col min="8792" max="8792" width="1.07421875" style="80" customWidth="1"/>
    <col min="8793" max="8793" width="7.84375" style="80" customWidth="1"/>
    <col min="8794" max="8794" width="1.07421875" style="80" customWidth="1"/>
    <col min="8795" max="8795" width="0.84375" style="80" customWidth="1"/>
    <col min="8796" max="8796" width="9.07421875" style="80" customWidth="1"/>
    <col min="8797" max="8797" width="1.07421875" style="80" customWidth="1"/>
    <col min="8798" max="8798" width="0.84375" style="80" customWidth="1"/>
    <col min="8799" max="8799" width="9.53515625" style="80" bestFit="1" customWidth="1"/>
    <col min="8800" max="8801" width="0.84375" style="80" customWidth="1"/>
    <col min="8802" max="8802" width="9.84375" style="80" customWidth="1"/>
    <col min="8803" max="8803" width="1.07421875" style="80" customWidth="1"/>
    <col min="8804" max="8804" width="8.53515625" style="80" customWidth="1"/>
    <col min="8805" max="8805" width="14.53515625" style="80" customWidth="1"/>
    <col min="8806" max="8806" width="10" style="80" customWidth="1"/>
    <col min="8807" max="8807" width="7.84375" style="80" bestFit="1" customWidth="1"/>
    <col min="8808" max="8808" width="9.84375" style="80" customWidth="1"/>
    <col min="8809" max="9025" width="8.84375" style="80"/>
    <col min="9026" max="9026" width="38.4609375" style="80" customWidth="1"/>
    <col min="9027" max="9027" width="8.53515625" style="80" customWidth="1"/>
    <col min="9028" max="9028" width="1.07421875" style="80" customWidth="1"/>
    <col min="9029" max="9029" width="8.84375" style="80" customWidth="1"/>
    <col min="9030" max="9030" width="1.07421875" style="80" customWidth="1"/>
    <col min="9031" max="9031" width="9.07421875" style="80" customWidth="1"/>
    <col min="9032" max="9032" width="1.07421875" style="80" customWidth="1"/>
    <col min="9033" max="9033" width="10" style="80" customWidth="1"/>
    <col min="9034" max="9034" width="1.07421875" style="80" customWidth="1"/>
    <col min="9035" max="9035" width="9.07421875" style="80" customWidth="1"/>
    <col min="9036" max="9036" width="1.07421875" style="80" customWidth="1"/>
    <col min="9037" max="9037" width="11.07421875" style="80" customWidth="1"/>
    <col min="9038" max="9038" width="1.07421875" style="80" customWidth="1"/>
    <col min="9039" max="9039" width="9.07421875" style="80" customWidth="1"/>
    <col min="9040" max="9040" width="1.84375" style="80" customWidth="1"/>
    <col min="9041" max="9041" width="11" style="80" customWidth="1"/>
    <col min="9042" max="9042" width="1.07421875" style="80" customWidth="1"/>
    <col min="9043" max="9043" width="10.84375" style="80" customWidth="1"/>
    <col min="9044" max="9044" width="1.07421875" style="80" customWidth="1"/>
    <col min="9045" max="9045" width="10" style="80" customWidth="1"/>
    <col min="9046" max="9046" width="1.07421875" style="80" customWidth="1"/>
    <col min="9047" max="9047" width="9.07421875" style="80" customWidth="1"/>
    <col min="9048" max="9048" width="1.07421875" style="80" customWidth="1"/>
    <col min="9049" max="9049" width="7.84375" style="80" customWidth="1"/>
    <col min="9050" max="9050" width="1.07421875" style="80" customWidth="1"/>
    <col min="9051" max="9051" width="0.84375" style="80" customWidth="1"/>
    <col min="9052" max="9052" width="9.07421875" style="80" customWidth="1"/>
    <col min="9053" max="9053" width="1.07421875" style="80" customWidth="1"/>
    <col min="9054" max="9054" width="0.84375" style="80" customWidth="1"/>
    <col min="9055" max="9055" width="9.53515625" style="80" bestFit="1" customWidth="1"/>
    <col min="9056" max="9057" width="0.84375" style="80" customWidth="1"/>
    <col min="9058" max="9058" width="9.84375" style="80" customWidth="1"/>
    <col min="9059" max="9059" width="1.07421875" style="80" customWidth="1"/>
    <col min="9060" max="9060" width="8.53515625" style="80" customWidth="1"/>
    <col min="9061" max="9061" width="14.53515625" style="80" customWidth="1"/>
    <col min="9062" max="9062" width="10" style="80" customWidth="1"/>
    <col min="9063" max="9063" width="7.84375" style="80" bestFit="1" customWidth="1"/>
    <col min="9064" max="9064" width="9.84375" style="80" customWidth="1"/>
    <col min="9065" max="9281" width="8.84375" style="80"/>
    <col min="9282" max="9282" width="38.4609375" style="80" customWidth="1"/>
    <col min="9283" max="9283" width="8.53515625" style="80" customWidth="1"/>
    <col min="9284" max="9284" width="1.07421875" style="80" customWidth="1"/>
    <col min="9285" max="9285" width="8.84375" style="80" customWidth="1"/>
    <col min="9286" max="9286" width="1.07421875" style="80" customWidth="1"/>
    <col min="9287" max="9287" width="9.07421875" style="80" customWidth="1"/>
    <col min="9288" max="9288" width="1.07421875" style="80" customWidth="1"/>
    <col min="9289" max="9289" width="10" style="80" customWidth="1"/>
    <col min="9290" max="9290" width="1.07421875" style="80" customWidth="1"/>
    <col min="9291" max="9291" width="9.07421875" style="80" customWidth="1"/>
    <col min="9292" max="9292" width="1.07421875" style="80" customWidth="1"/>
    <col min="9293" max="9293" width="11.07421875" style="80" customWidth="1"/>
    <col min="9294" max="9294" width="1.07421875" style="80" customWidth="1"/>
    <col min="9295" max="9295" width="9.07421875" style="80" customWidth="1"/>
    <col min="9296" max="9296" width="1.84375" style="80" customWidth="1"/>
    <col min="9297" max="9297" width="11" style="80" customWidth="1"/>
    <col min="9298" max="9298" width="1.07421875" style="80" customWidth="1"/>
    <col min="9299" max="9299" width="10.84375" style="80" customWidth="1"/>
    <col min="9300" max="9300" width="1.07421875" style="80" customWidth="1"/>
    <col min="9301" max="9301" width="10" style="80" customWidth="1"/>
    <col min="9302" max="9302" width="1.07421875" style="80" customWidth="1"/>
    <col min="9303" max="9303" width="9.07421875" style="80" customWidth="1"/>
    <col min="9304" max="9304" width="1.07421875" style="80" customWidth="1"/>
    <col min="9305" max="9305" width="7.84375" style="80" customWidth="1"/>
    <col min="9306" max="9306" width="1.07421875" style="80" customWidth="1"/>
    <col min="9307" max="9307" width="0.84375" style="80" customWidth="1"/>
    <col min="9308" max="9308" width="9.07421875" style="80" customWidth="1"/>
    <col min="9309" max="9309" width="1.07421875" style="80" customWidth="1"/>
    <col min="9310" max="9310" width="0.84375" style="80" customWidth="1"/>
    <col min="9311" max="9311" width="9.53515625" style="80" bestFit="1" customWidth="1"/>
    <col min="9312" max="9313" width="0.84375" style="80" customWidth="1"/>
    <col min="9314" max="9314" width="9.84375" style="80" customWidth="1"/>
    <col min="9315" max="9315" width="1.07421875" style="80" customWidth="1"/>
    <col min="9316" max="9316" width="8.53515625" style="80" customWidth="1"/>
    <col min="9317" max="9317" width="14.53515625" style="80" customWidth="1"/>
    <col min="9318" max="9318" width="10" style="80" customWidth="1"/>
    <col min="9319" max="9319" width="7.84375" style="80" bestFit="1" customWidth="1"/>
    <col min="9320" max="9320" width="9.84375" style="80" customWidth="1"/>
    <col min="9321" max="9537" width="8.84375" style="80"/>
    <col min="9538" max="9538" width="38.4609375" style="80" customWidth="1"/>
    <col min="9539" max="9539" width="8.53515625" style="80" customWidth="1"/>
    <col min="9540" max="9540" width="1.07421875" style="80" customWidth="1"/>
    <col min="9541" max="9541" width="8.84375" style="80" customWidth="1"/>
    <col min="9542" max="9542" width="1.07421875" style="80" customWidth="1"/>
    <col min="9543" max="9543" width="9.07421875" style="80" customWidth="1"/>
    <col min="9544" max="9544" width="1.07421875" style="80" customWidth="1"/>
    <col min="9545" max="9545" width="10" style="80" customWidth="1"/>
    <col min="9546" max="9546" width="1.07421875" style="80" customWidth="1"/>
    <col min="9547" max="9547" width="9.07421875" style="80" customWidth="1"/>
    <col min="9548" max="9548" width="1.07421875" style="80" customWidth="1"/>
    <col min="9549" max="9549" width="11.07421875" style="80" customWidth="1"/>
    <col min="9550" max="9550" width="1.07421875" style="80" customWidth="1"/>
    <col min="9551" max="9551" width="9.07421875" style="80" customWidth="1"/>
    <col min="9552" max="9552" width="1.84375" style="80" customWidth="1"/>
    <col min="9553" max="9553" width="11" style="80" customWidth="1"/>
    <col min="9554" max="9554" width="1.07421875" style="80" customWidth="1"/>
    <col min="9555" max="9555" width="10.84375" style="80" customWidth="1"/>
    <col min="9556" max="9556" width="1.07421875" style="80" customWidth="1"/>
    <col min="9557" max="9557" width="10" style="80" customWidth="1"/>
    <col min="9558" max="9558" width="1.07421875" style="80" customWidth="1"/>
    <col min="9559" max="9559" width="9.07421875" style="80" customWidth="1"/>
    <col min="9560" max="9560" width="1.07421875" style="80" customWidth="1"/>
    <col min="9561" max="9561" width="7.84375" style="80" customWidth="1"/>
    <col min="9562" max="9562" width="1.07421875" style="80" customWidth="1"/>
    <col min="9563" max="9563" width="0.84375" style="80" customWidth="1"/>
    <col min="9564" max="9564" width="9.07421875" style="80" customWidth="1"/>
    <col min="9565" max="9565" width="1.07421875" style="80" customWidth="1"/>
    <col min="9566" max="9566" width="0.84375" style="80" customWidth="1"/>
    <col min="9567" max="9567" width="9.53515625" style="80" bestFit="1" customWidth="1"/>
    <col min="9568" max="9569" width="0.84375" style="80" customWidth="1"/>
    <col min="9570" max="9570" width="9.84375" style="80" customWidth="1"/>
    <col min="9571" max="9571" width="1.07421875" style="80" customWidth="1"/>
    <col min="9572" max="9572" width="8.53515625" style="80" customWidth="1"/>
    <col min="9573" max="9573" width="14.53515625" style="80" customWidth="1"/>
    <col min="9574" max="9574" width="10" style="80" customWidth="1"/>
    <col min="9575" max="9575" width="7.84375" style="80" bestFit="1" customWidth="1"/>
    <col min="9576" max="9576" width="9.84375" style="80" customWidth="1"/>
    <col min="9577" max="9793" width="8.84375" style="80"/>
    <col min="9794" max="9794" width="38.4609375" style="80" customWidth="1"/>
    <col min="9795" max="9795" width="8.53515625" style="80" customWidth="1"/>
    <col min="9796" max="9796" width="1.07421875" style="80" customWidth="1"/>
    <col min="9797" max="9797" width="8.84375" style="80" customWidth="1"/>
    <col min="9798" max="9798" width="1.07421875" style="80" customWidth="1"/>
    <col min="9799" max="9799" width="9.07421875" style="80" customWidth="1"/>
    <col min="9800" max="9800" width="1.07421875" style="80" customWidth="1"/>
    <col min="9801" max="9801" width="10" style="80" customWidth="1"/>
    <col min="9802" max="9802" width="1.07421875" style="80" customWidth="1"/>
    <col min="9803" max="9803" width="9.07421875" style="80" customWidth="1"/>
    <col min="9804" max="9804" width="1.07421875" style="80" customWidth="1"/>
    <col min="9805" max="9805" width="11.07421875" style="80" customWidth="1"/>
    <col min="9806" max="9806" width="1.07421875" style="80" customWidth="1"/>
    <col min="9807" max="9807" width="9.07421875" style="80" customWidth="1"/>
    <col min="9808" max="9808" width="1.84375" style="80" customWidth="1"/>
    <col min="9809" max="9809" width="11" style="80" customWidth="1"/>
    <col min="9810" max="9810" width="1.07421875" style="80" customWidth="1"/>
    <col min="9811" max="9811" width="10.84375" style="80" customWidth="1"/>
    <col min="9812" max="9812" width="1.07421875" style="80" customWidth="1"/>
    <col min="9813" max="9813" width="10" style="80" customWidth="1"/>
    <col min="9814" max="9814" width="1.07421875" style="80" customWidth="1"/>
    <col min="9815" max="9815" width="9.07421875" style="80" customWidth="1"/>
    <col min="9816" max="9816" width="1.07421875" style="80" customWidth="1"/>
    <col min="9817" max="9817" width="7.84375" style="80" customWidth="1"/>
    <col min="9818" max="9818" width="1.07421875" style="80" customWidth="1"/>
    <col min="9819" max="9819" width="0.84375" style="80" customWidth="1"/>
    <col min="9820" max="9820" width="9.07421875" style="80" customWidth="1"/>
    <col min="9821" max="9821" width="1.07421875" style="80" customWidth="1"/>
    <col min="9822" max="9822" width="0.84375" style="80" customWidth="1"/>
    <col min="9823" max="9823" width="9.53515625" style="80" bestFit="1" customWidth="1"/>
    <col min="9824" max="9825" width="0.84375" style="80" customWidth="1"/>
    <col min="9826" max="9826" width="9.84375" style="80" customWidth="1"/>
    <col min="9827" max="9827" width="1.07421875" style="80" customWidth="1"/>
    <col min="9828" max="9828" width="8.53515625" style="80" customWidth="1"/>
    <col min="9829" max="9829" width="14.53515625" style="80" customWidth="1"/>
    <col min="9830" max="9830" width="10" style="80" customWidth="1"/>
    <col min="9831" max="9831" width="7.84375" style="80" bestFit="1" customWidth="1"/>
    <col min="9832" max="9832" width="9.84375" style="80" customWidth="1"/>
    <col min="9833" max="10049" width="8.84375" style="80"/>
    <col min="10050" max="10050" width="38.4609375" style="80" customWidth="1"/>
    <col min="10051" max="10051" width="8.53515625" style="80" customWidth="1"/>
    <col min="10052" max="10052" width="1.07421875" style="80" customWidth="1"/>
    <col min="10053" max="10053" width="8.84375" style="80" customWidth="1"/>
    <col min="10054" max="10054" width="1.07421875" style="80" customWidth="1"/>
    <col min="10055" max="10055" width="9.07421875" style="80" customWidth="1"/>
    <col min="10056" max="10056" width="1.07421875" style="80" customWidth="1"/>
    <col min="10057" max="10057" width="10" style="80" customWidth="1"/>
    <col min="10058" max="10058" width="1.07421875" style="80" customWidth="1"/>
    <col min="10059" max="10059" width="9.07421875" style="80" customWidth="1"/>
    <col min="10060" max="10060" width="1.07421875" style="80" customWidth="1"/>
    <col min="10061" max="10061" width="11.07421875" style="80" customWidth="1"/>
    <col min="10062" max="10062" width="1.07421875" style="80" customWidth="1"/>
    <col min="10063" max="10063" width="9.07421875" style="80" customWidth="1"/>
    <col min="10064" max="10064" width="1.84375" style="80" customWidth="1"/>
    <col min="10065" max="10065" width="11" style="80" customWidth="1"/>
    <col min="10066" max="10066" width="1.07421875" style="80" customWidth="1"/>
    <col min="10067" max="10067" width="10.84375" style="80" customWidth="1"/>
    <col min="10068" max="10068" width="1.07421875" style="80" customWidth="1"/>
    <col min="10069" max="10069" width="10" style="80" customWidth="1"/>
    <col min="10070" max="10070" width="1.07421875" style="80" customWidth="1"/>
    <col min="10071" max="10071" width="9.07421875" style="80" customWidth="1"/>
    <col min="10072" max="10072" width="1.07421875" style="80" customWidth="1"/>
    <col min="10073" max="10073" width="7.84375" style="80" customWidth="1"/>
    <col min="10074" max="10074" width="1.07421875" style="80" customWidth="1"/>
    <col min="10075" max="10075" width="0.84375" style="80" customWidth="1"/>
    <col min="10076" max="10076" width="9.07421875" style="80" customWidth="1"/>
    <col min="10077" max="10077" width="1.07421875" style="80" customWidth="1"/>
    <col min="10078" max="10078" width="0.84375" style="80" customWidth="1"/>
    <col min="10079" max="10079" width="9.53515625" style="80" bestFit="1" customWidth="1"/>
    <col min="10080" max="10081" width="0.84375" style="80" customWidth="1"/>
    <col min="10082" max="10082" width="9.84375" style="80" customWidth="1"/>
    <col min="10083" max="10083" width="1.07421875" style="80" customWidth="1"/>
    <col min="10084" max="10084" width="8.53515625" style="80" customWidth="1"/>
    <col min="10085" max="10085" width="14.53515625" style="80" customWidth="1"/>
    <col min="10086" max="10086" width="10" style="80" customWidth="1"/>
    <col min="10087" max="10087" width="7.84375" style="80" bestFit="1" customWidth="1"/>
    <col min="10088" max="10088" width="9.84375" style="80" customWidth="1"/>
    <col min="10089" max="10305" width="8.84375" style="80"/>
    <col min="10306" max="10306" width="38.4609375" style="80" customWidth="1"/>
    <col min="10307" max="10307" width="8.53515625" style="80" customWidth="1"/>
    <col min="10308" max="10308" width="1.07421875" style="80" customWidth="1"/>
    <col min="10309" max="10309" width="8.84375" style="80" customWidth="1"/>
    <col min="10310" max="10310" width="1.07421875" style="80" customWidth="1"/>
    <col min="10311" max="10311" width="9.07421875" style="80" customWidth="1"/>
    <col min="10312" max="10312" width="1.07421875" style="80" customWidth="1"/>
    <col min="10313" max="10313" width="10" style="80" customWidth="1"/>
    <col min="10314" max="10314" width="1.07421875" style="80" customWidth="1"/>
    <col min="10315" max="10315" width="9.07421875" style="80" customWidth="1"/>
    <col min="10316" max="10316" width="1.07421875" style="80" customWidth="1"/>
    <col min="10317" max="10317" width="11.07421875" style="80" customWidth="1"/>
    <col min="10318" max="10318" width="1.07421875" style="80" customWidth="1"/>
    <col min="10319" max="10319" width="9.07421875" style="80" customWidth="1"/>
    <col min="10320" max="10320" width="1.84375" style="80" customWidth="1"/>
    <col min="10321" max="10321" width="11" style="80" customWidth="1"/>
    <col min="10322" max="10322" width="1.07421875" style="80" customWidth="1"/>
    <col min="10323" max="10323" width="10.84375" style="80" customWidth="1"/>
    <col min="10324" max="10324" width="1.07421875" style="80" customWidth="1"/>
    <col min="10325" max="10325" width="10" style="80" customWidth="1"/>
    <col min="10326" max="10326" width="1.07421875" style="80" customWidth="1"/>
    <col min="10327" max="10327" width="9.07421875" style="80" customWidth="1"/>
    <col min="10328" max="10328" width="1.07421875" style="80" customWidth="1"/>
    <col min="10329" max="10329" width="7.84375" style="80" customWidth="1"/>
    <col min="10330" max="10330" width="1.07421875" style="80" customWidth="1"/>
    <col min="10331" max="10331" width="0.84375" style="80" customWidth="1"/>
    <col min="10332" max="10332" width="9.07421875" style="80" customWidth="1"/>
    <col min="10333" max="10333" width="1.07421875" style="80" customWidth="1"/>
    <col min="10334" max="10334" width="0.84375" style="80" customWidth="1"/>
    <col min="10335" max="10335" width="9.53515625" style="80" bestFit="1" customWidth="1"/>
    <col min="10336" max="10337" width="0.84375" style="80" customWidth="1"/>
    <col min="10338" max="10338" width="9.84375" style="80" customWidth="1"/>
    <col min="10339" max="10339" width="1.07421875" style="80" customWidth="1"/>
    <col min="10340" max="10340" width="8.53515625" style="80" customWidth="1"/>
    <col min="10341" max="10341" width="14.53515625" style="80" customWidth="1"/>
    <col min="10342" max="10342" width="10" style="80" customWidth="1"/>
    <col min="10343" max="10343" width="7.84375" style="80" bestFit="1" customWidth="1"/>
    <col min="10344" max="10344" width="9.84375" style="80" customWidth="1"/>
    <col min="10345" max="10561" width="8.84375" style="80"/>
    <col min="10562" max="10562" width="38.4609375" style="80" customWidth="1"/>
    <col min="10563" max="10563" width="8.53515625" style="80" customWidth="1"/>
    <col min="10564" max="10564" width="1.07421875" style="80" customWidth="1"/>
    <col min="10565" max="10565" width="8.84375" style="80" customWidth="1"/>
    <col min="10566" max="10566" width="1.07421875" style="80" customWidth="1"/>
    <col min="10567" max="10567" width="9.07421875" style="80" customWidth="1"/>
    <col min="10568" max="10568" width="1.07421875" style="80" customWidth="1"/>
    <col min="10569" max="10569" width="10" style="80" customWidth="1"/>
    <col min="10570" max="10570" width="1.07421875" style="80" customWidth="1"/>
    <col min="10571" max="10571" width="9.07421875" style="80" customWidth="1"/>
    <col min="10572" max="10572" width="1.07421875" style="80" customWidth="1"/>
    <col min="10573" max="10573" width="11.07421875" style="80" customWidth="1"/>
    <col min="10574" max="10574" width="1.07421875" style="80" customWidth="1"/>
    <col min="10575" max="10575" width="9.07421875" style="80" customWidth="1"/>
    <col min="10576" max="10576" width="1.84375" style="80" customWidth="1"/>
    <col min="10577" max="10577" width="11" style="80" customWidth="1"/>
    <col min="10578" max="10578" width="1.07421875" style="80" customWidth="1"/>
    <col min="10579" max="10579" width="10.84375" style="80" customWidth="1"/>
    <col min="10580" max="10580" width="1.07421875" style="80" customWidth="1"/>
    <col min="10581" max="10581" width="10" style="80" customWidth="1"/>
    <col min="10582" max="10582" width="1.07421875" style="80" customWidth="1"/>
    <col min="10583" max="10583" width="9.07421875" style="80" customWidth="1"/>
    <col min="10584" max="10584" width="1.07421875" style="80" customWidth="1"/>
    <col min="10585" max="10585" width="7.84375" style="80" customWidth="1"/>
    <col min="10586" max="10586" width="1.07421875" style="80" customWidth="1"/>
    <col min="10587" max="10587" width="0.84375" style="80" customWidth="1"/>
    <col min="10588" max="10588" width="9.07421875" style="80" customWidth="1"/>
    <col min="10589" max="10589" width="1.07421875" style="80" customWidth="1"/>
    <col min="10590" max="10590" width="0.84375" style="80" customWidth="1"/>
    <col min="10591" max="10591" width="9.53515625" style="80" bestFit="1" customWidth="1"/>
    <col min="10592" max="10593" width="0.84375" style="80" customWidth="1"/>
    <col min="10594" max="10594" width="9.84375" style="80" customWidth="1"/>
    <col min="10595" max="10595" width="1.07421875" style="80" customWidth="1"/>
    <col min="10596" max="10596" width="8.53515625" style="80" customWidth="1"/>
    <col min="10597" max="10597" width="14.53515625" style="80" customWidth="1"/>
    <col min="10598" max="10598" width="10" style="80" customWidth="1"/>
    <col min="10599" max="10599" width="7.84375" style="80" bestFit="1" customWidth="1"/>
    <col min="10600" max="10600" width="9.84375" style="80" customWidth="1"/>
    <col min="10601" max="10817" width="8.84375" style="80"/>
    <col min="10818" max="10818" width="38.4609375" style="80" customWidth="1"/>
    <col min="10819" max="10819" width="8.53515625" style="80" customWidth="1"/>
    <col min="10820" max="10820" width="1.07421875" style="80" customWidth="1"/>
    <col min="10821" max="10821" width="8.84375" style="80" customWidth="1"/>
    <col min="10822" max="10822" width="1.07421875" style="80" customWidth="1"/>
    <col min="10823" max="10823" width="9.07421875" style="80" customWidth="1"/>
    <col min="10824" max="10824" width="1.07421875" style="80" customWidth="1"/>
    <col min="10825" max="10825" width="10" style="80" customWidth="1"/>
    <col min="10826" max="10826" width="1.07421875" style="80" customWidth="1"/>
    <col min="10827" max="10827" width="9.07421875" style="80" customWidth="1"/>
    <col min="10828" max="10828" width="1.07421875" style="80" customWidth="1"/>
    <col min="10829" max="10829" width="11.07421875" style="80" customWidth="1"/>
    <col min="10830" max="10830" width="1.07421875" style="80" customWidth="1"/>
    <col min="10831" max="10831" width="9.07421875" style="80" customWidth="1"/>
    <col min="10832" max="10832" width="1.84375" style="80" customWidth="1"/>
    <col min="10833" max="10833" width="11" style="80" customWidth="1"/>
    <col min="10834" max="10834" width="1.07421875" style="80" customWidth="1"/>
    <col min="10835" max="10835" width="10.84375" style="80" customWidth="1"/>
    <col min="10836" max="10836" width="1.07421875" style="80" customWidth="1"/>
    <col min="10837" max="10837" width="10" style="80" customWidth="1"/>
    <col min="10838" max="10838" width="1.07421875" style="80" customWidth="1"/>
    <col min="10839" max="10839" width="9.07421875" style="80" customWidth="1"/>
    <col min="10840" max="10840" width="1.07421875" style="80" customWidth="1"/>
    <col min="10841" max="10841" width="7.84375" style="80" customWidth="1"/>
    <col min="10842" max="10842" width="1.07421875" style="80" customWidth="1"/>
    <col min="10843" max="10843" width="0.84375" style="80" customWidth="1"/>
    <col min="10844" max="10844" width="9.07421875" style="80" customWidth="1"/>
    <col min="10845" max="10845" width="1.07421875" style="80" customWidth="1"/>
    <col min="10846" max="10846" width="0.84375" style="80" customWidth="1"/>
    <col min="10847" max="10847" width="9.53515625" style="80" bestFit="1" customWidth="1"/>
    <col min="10848" max="10849" width="0.84375" style="80" customWidth="1"/>
    <col min="10850" max="10850" width="9.84375" style="80" customWidth="1"/>
    <col min="10851" max="10851" width="1.07421875" style="80" customWidth="1"/>
    <col min="10852" max="10852" width="8.53515625" style="80" customWidth="1"/>
    <col min="10853" max="10853" width="14.53515625" style="80" customWidth="1"/>
    <col min="10854" max="10854" width="10" style="80" customWidth="1"/>
    <col min="10855" max="10855" width="7.84375" style="80" bestFit="1" customWidth="1"/>
    <col min="10856" max="10856" width="9.84375" style="80" customWidth="1"/>
    <col min="10857" max="11073" width="8.84375" style="80"/>
    <col min="11074" max="11074" width="38.4609375" style="80" customWidth="1"/>
    <col min="11075" max="11075" width="8.53515625" style="80" customWidth="1"/>
    <col min="11076" max="11076" width="1.07421875" style="80" customWidth="1"/>
    <col min="11077" max="11077" width="8.84375" style="80" customWidth="1"/>
    <col min="11078" max="11078" width="1.07421875" style="80" customWidth="1"/>
    <col min="11079" max="11079" width="9.07421875" style="80" customWidth="1"/>
    <col min="11080" max="11080" width="1.07421875" style="80" customWidth="1"/>
    <col min="11081" max="11081" width="10" style="80" customWidth="1"/>
    <col min="11082" max="11082" width="1.07421875" style="80" customWidth="1"/>
    <col min="11083" max="11083" width="9.07421875" style="80" customWidth="1"/>
    <col min="11084" max="11084" width="1.07421875" style="80" customWidth="1"/>
    <col min="11085" max="11085" width="11.07421875" style="80" customWidth="1"/>
    <col min="11086" max="11086" width="1.07421875" style="80" customWidth="1"/>
    <col min="11087" max="11087" width="9.07421875" style="80" customWidth="1"/>
    <col min="11088" max="11088" width="1.84375" style="80" customWidth="1"/>
    <col min="11089" max="11089" width="11" style="80" customWidth="1"/>
    <col min="11090" max="11090" width="1.07421875" style="80" customWidth="1"/>
    <col min="11091" max="11091" width="10.84375" style="80" customWidth="1"/>
    <col min="11092" max="11092" width="1.07421875" style="80" customWidth="1"/>
    <col min="11093" max="11093" width="10" style="80" customWidth="1"/>
    <col min="11094" max="11094" width="1.07421875" style="80" customWidth="1"/>
    <col min="11095" max="11095" width="9.07421875" style="80" customWidth="1"/>
    <col min="11096" max="11096" width="1.07421875" style="80" customWidth="1"/>
    <col min="11097" max="11097" width="7.84375" style="80" customWidth="1"/>
    <col min="11098" max="11098" width="1.07421875" style="80" customWidth="1"/>
    <col min="11099" max="11099" width="0.84375" style="80" customWidth="1"/>
    <col min="11100" max="11100" width="9.07421875" style="80" customWidth="1"/>
    <col min="11101" max="11101" width="1.07421875" style="80" customWidth="1"/>
    <col min="11102" max="11102" width="0.84375" style="80" customWidth="1"/>
    <col min="11103" max="11103" width="9.53515625" style="80" bestFit="1" customWidth="1"/>
    <col min="11104" max="11105" width="0.84375" style="80" customWidth="1"/>
    <col min="11106" max="11106" width="9.84375" style="80" customWidth="1"/>
    <col min="11107" max="11107" width="1.07421875" style="80" customWidth="1"/>
    <col min="11108" max="11108" width="8.53515625" style="80" customWidth="1"/>
    <col min="11109" max="11109" width="14.53515625" style="80" customWidth="1"/>
    <col min="11110" max="11110" width="10" style="80" customWidth="1"/>
    <col min="11111" max="11111" width="7.84375" style="80" bestFit="1" customWidth="1"/>
    <col min="11112" max="11112" width="9.84375" style="80" customWidth="1"/>
    <col min="11113" max="11329" width="8.84375" style="80"/>
    <col min="11330" max="11330" width="38.4609375" style="80" customWidth="1"/>
    <col min="11331" max="11331" width="8.53515625" style="80" customWidth="1"/>
    <col min="11332" max="11332" width="1.07421875" style="80" customWidth="1"/>
    <col min="11333" max="11333" width="8.84375" style="80" customWidth="1"/>
    <col min="11334" max="11334" width="1.07421875" style="80" customWidth="1"/>
    <col min="11335" max="11335" width="9.07421875" style="80" customWidth="1"/>
    <col min="11336" max="11336" width="1.07421875" style="80" customWidth="1"/>
    <col min="11337" max="11337" width="10" style="80" customWidth="1"/>
    <col min="11338" max="11338" width="1.07421875" style="80" customWidth="1"/>
    <col min="11339" max="11339" width="9.07421875" style="80" customWidth="1"/>
    <col min="11340" max="11340" width="1.07421875" style="80" customWidth="1"/>
    <col min="11341" max="11341" width="11.07421875" style="80" customWidth="1"/>
    <col min="11342" max="11342" width="1.07421875" style="80" customWidth="1"/>
    <col min="11343" max="11343" width="9.07421875" style="80" customWidth="1"/>
    <col min="11344" max="11344" width="1.84375" style="80" customWidth="1"/>
    <col min="11345" max="11345" width="11" style="80" customWidth="1"/>
    <col min="11346" max="11346" width="1.07421875" style="80" customWidth="1"/>
    <col min="11347" max="11347" width="10.84375" style="80" customWidth="1"/>
    <col min="11348" max="11348" width="1.07421875" style="80" customWidth="1"/>
    <col min="11349" max="11349" width="10" style="80" customWidth="1"/>
    <col min="11350" max="11350" width="1.07421875" style="80" customWidth="1"/>
    <col min="11351" max="11351" width="9.07421875" style="80" customWidth="1"/>
    <col min="11352" max="11352" width="1.07421875" style="80" customWidth="1"/>
    <col min="11353" max="11353" width="7.84375" style="80" customWidth="1"/>
    <col min="11354" max="11354" width="1.07421875" style="80" customWidth="1"/>
    <col min="11355" max="11355" width="0.84375" style="80" customWidth="1"/>
    <col min="11356" max="11356" width="9.07421875" style="80" customWidth="1"/>
    <col min="11357" max="11357" width="1.07421875" style="80" customWidth="1"/>
    <col min="11358" max="11358" width="0.84375" style="80" customWidth="1"/>
    <col min="11359" max="11359" width="9.53515625" style="80" bestFit="1" customWidth="1"/>
    <col min="11360" max="11361" width="0.84375" style="80" customWidth="1"/>
    <col min="11362" max="11362" width="9.84375" style="80" customWidth="1"/>
    <col min="11363" max="11363" width="1.07421875" style="80" customWidth="1"/>
    <col min="11364" max="11364" width="8.53515625" style="80" customWidth="1"/>
    <col min="11365" max="11365" width="14.53515625" style="80" customWidth="1"/>
    <col min="11366" max="11366" width="10" style="80" customWidth="1"/>
    <col min="11367" max="11367" width="7.84375" style="80" bestFit="1" customWidth="1"/>
    <col min="11368" max="11368" width="9.84375" style="80" customWidth="1"/>
    <col min="11369" max="11585" width="8.84375" style="80"/>
    <col min="11586" max="11586" width="38.4609375" style="80" customWidth="1"/>
    <col min="11587" max="11587" width="8.53515625" style="80" customWidth="1"/>
    <col min="11588" max="11588" width="1.07421875" style="80" customWidth="1"/>
    <col min="11589" max="11589" width="8.84375" style="80" customWidth="1"/>
    <col min="11590" max="11590" width="1.07421875" style="80" customWidth="1"/>
    <col min="11591" max="11591" width="9.07421875" style="80" customWidth="1"/>
    <col min="11592" max="11592" width="1.07421875" style="80" customWidth="1"/>
    <col min="11593" max="11593" width="10" style="80" customWidth="1"/>
    <col min="11594" max="11594" width="1.07421875" style="80" customWidth="1"/>
    <col min="11595" max="11595" width="9.07421875" style="80" customWidth="1"/>
    <col min="11596" max="11596" width="1.07421875" style="80" customWidth="1"/>
    <col min="11597" max="11597" width="11.07421875" style="80" customWidth="1"/>
    <col min="11598" max="11598" width="1.07421875" style="80" customWidth="1"/>
    <col min="11599" max="11599" width="9.07421875" style="80" customWidth="1"/>
    <col min="11600" max="11600" width="1.84375" style="80" customWidth="1"/>
    <col min="11601" max="11601" width="11" style="80" customWidth="1"/>
    <col min="11602" max="11602" width="1.07421875" style="80" customWidth="1"/>
    <col min="11603" max="11603" width="10.84375" style="80" customWidth="1"/>
    <col min="11604" max="11604" width="1.07421875" style="80" customWidth="1"/>
    <col min="11605" max="11605" width="10" style="80" customWidth="1"/>
    <col min="11606" max="11606" width="1.07421875" style="80" customWidth="1"/>
    <col min="11607" max="11607" width="9.07421875" style="80" customWidth="1"/>
    <col min="11608" max="11608" width="1.07421875" style="80" customWidth="1"/>
    <col min="11609" max="11609" width="7.84375" style="80" customWidth="1"/>
    <col min="11610" max="11610" width="1.07421875" style="80" customWidth="1"/>
    <col min="11611" max="11611" width="0.84375" style="80" customWidth="1"/>
    <col min="11612" max="11612" width="9.07421875" style="80" customWidth="1"/>
    <col min="11613" max="11613" width="1.07421875" style="80" customWidth="1"/>
    <col min="11614" max="11614" width="0.84375" style="80" customWidth="1"/>
    <col min="11615" max="11615" width="9.53515625" style="80" bestFit="1" customWidth="1"/>
    <col min="11616" max="11617" width="0.84375" style="80" customWidth="1"/>
    <col min="11618" max="11618" width="9.84375" style="80" customWidth="1"/>
    <col min="11619" max="11619" width="1.07421875" style="80" customWidth="1"/>
    <col min="11620" max="11620" width="8.53515625" style="80" customWidth="1"/>
    <col min="11621" max="11621" width="14.53515625" style="80" customWidth="1"/>
    <col min="11622" max="11622" width="10" style="80" customWidth="1"/>
    <col min="11623" max="11623" width="7.84375" style="80" bestFit="1" customWidth="1"/>
    <col min="11624" max="11624" width="9.84375" style="80" customWidth="1"/>
    <col min="11625" max="11841" width="8.84375" style="80"/>
    <col min="11842" max="11842" width="38.4609375" style="80" customWidth="1"/>
    <col min="11843" max="11843" width="8.53515625" style="80" customWidth="1"/>
    <col min="11844" max="11844" width="1.07421875" style="80" customWidth="1"/>
    <col min="11845" max="11845" width="8.84375" style="80" customWidth="1"/>
    <col min="11846" max="11846" width="1.07421875" style="80" customWidth="1"/>
    <col min="11847" max="11847" width="9.07421875" style="80" customWidth="1"/>
    <col min="11848" max="11848" width="1.07421875" style="80" customWidth="1"/>
    <col min="11849" max="11849" width="10" style="80" customWidth="1"/>
    <col min="11850" max="11850" width="1.07421875" style="80" customWidth="1"/>
    <col min="11851" max="11851" width="9.07421875" style="80" customWidth="1"/>
    <col min="11852" max="11852" width="1.07421875" style="80" customWidth="1"/>
    <col min="11853" max="11853" width="11.07421875" style="80" customWidth="1"/>
    <col min="11854" max="11854" width="1.07421875" style="80" customWidth="1"/>
    <col min="11855" max="11855" width="9.07421875" style="80" customWidth="1"/>
    <col min="11856" max="11856" width="1.84375" style="80" customWidth="1"/>
    <col min="11857" max="11857" width="11" style="80" customWidth="1"/>
    <col min="11858" max="11858" width="1.07421875" style="80" customWidth="1"/>
    <col min="11859" max="11859" width="10.84375" style="80" customWidth="1"/>
    <col min="11860" max="11860" width="1.07421875" style="80" customWidth="1"/>
    <col min="11861" max="11861" width="10" style="80" customWidth="1"/>
    <col min="11862" max="11862" width="1.07421875" style="80" customWidth="1"/>
    <col min="11863" max="11863" width="9.07421875" style="80" customWidth="1"/>
    <col min="11864" max="11864" width="1.07421875" style="80" customWidth="1"/>
    <col min="11865" max="11865" width="7.84375" style="80" customWidth="1"/>
    <col min="11866" max="11866" width="1.07421875" style="80" customWidth="1"/>
    <col min="11867" max="11867" width="0.84375" style="80" customWidth="1"/>
    <col min="11868" max="11868" width="9.07421875" style="80" customWidth="1"/>
    <col min="11869" max="11869" width="1.07421875" style="80" customWidth="1"/>
    <col min="11870" max="11870" width="0.84375" style="80" customWidth="1"/>
    <col min="11871" max="11871" width="9.53515625" style="80" bestFit="1" customWidth="1"/>
    <col min="11872" max="11873" width="0.84375" style="80" customWidth="1"/>
    <col min="11874" max="11874" width="9.84375" style="80" customWidth="1"/>
    <col min="11875" max="11875" width="1.07421875" style="80" customWidth="1"/>
    <col min="11876" max="11876" width="8.53515625" style="80" customWidth="1"/>
    <col min="11877" max="11877" width="14.53515625" style="80" customWidth="1"/>
    <col min="11878" max="11878" width="10" style="80" customWidth="1"/>
    <col min="11879" max="11879" width="7.84375" style="80" bestFit="1" customWidth="1"/>
    <col min="11880" max="11880" width="9.84375" style="80" customWidth="1"/>
    <col min="11881" max="12097" width="8.84375" style="80"/>
    <col min="12098" max="12098" width="38.4609375" style="80" customWidth="1"/>
    <col min="12099" max="12099" width="8.53515625" style="80" customWidth="1"/>
    <col min="12100" max="12100" width="1.07421875" style="80" customWidth="1"/>
    <col min="12101" max="12101" width="8.84375" style="80" customWidth="1"/>
    <col min="12102" max="12102" width="1.07421875" style="80" customWidth="1"/>
    <col min="12103" max="12103" width="9.07421875" style="80" customWidth="1"/>
    <col min="12104" max="12104" width="1.07421875" style="80" customWidth="1"/>
    <col min="12105" max="12105" width="10" style="80" customWidth="1"/>
    <col min="12106" max="12106" width="1.07421875" style="80" customWidth="1"/>
    <col min="12107" max="12107" width="9.07421875" style="80" customWidth="1"/>
    <col min="12108" max="12108" width="1.07421875" style="80" customWidth="1"/>
    <col min="12109" max="12109" width="11.07421875" style="80" customWidth="1"/>
    <col min="12110" max="12110" width="1.07421875" style="80" customWidth="1"/>
    <col min="12111" max="12111" width="9.07421875" style="80" customWidth="1"/>
    <col min="12112" max="12112" width="1.84375" style="80" customWidth="1"/>
    <col min="12113" max="12113" width="11" style="80" customWidth="1"/>
    <col min="12114" max="12114" width="1.07421875" style="80" customWidth="1"/>
    <col min="12115" max="12115" width="10.84375" style="80" customWidth="1"/>
    <col min="12116" max="12116" width="1.07421875" style="80" customWidth="1"/>
    <col min="12117" max="12117" width="10" style="80" customWidth="1"/>
    <col min="12118" max="12118" width="1.07421875" style="80" customWidth="1"/>
    <col min="12119" max="12119" width="9.07421875" style="80" customWidth="1"/>
    <col min="12120" max="12120" width="1.07421875" style="80" customWidth="1"/>
    <col min="12121" max="12121" width="7.84375" style="80" customWidth="1"/>
    <col min="12122" max="12122" width="1.07421875" style="80" customWidth="1"/>
    <col min="12123" max="12123" width="0.84375" style="80" customWidth="1"/>
    <col min="12124" max="12124" width="9.07421875" style="80" customWidth="1"/>
    <col min="12125" max="12125" width="1.07421875" style="80" customWidth="1"/>
    <col min="12126" max="12126" width="0.84375" style="80" customWidth="1"/>
    <col min="12127" max="12127" width="9.53515625" style="80" bestFit="1" customWidth="1"/>
    <col min="12128" max="12129" width="0.84375" style="80" customWidth="1"/>
    <col min="12130" max="12130" width="9.84375" style="80" customWidth="1"/>
    <col min="12131" max="12131" width="1.07421875" style="80" customWidth="1"/>
    <col min="12132" max="12132" width="8.53515625" style="80" customWidth="1"/>
    <col min="12133" max="12133" width="14.53515625" style="80" customWidth="1"/>
    <col min="12134" max="12134" width="10" style="80" customWidth="1"/>
    <col min="12135" max="12135" width="7.84375" style="80" bestFit="1" customWidth="1"/>
    <col min="12136" max="12136" width="9.84375" style="80" customWidth="1"/>
    <col min="12137" max="12353" width="8.84375" style="80"/>
    <col min="12354" max="12354" width="38.4609375" style="80" customWidth="1"/>
    <col min="12355" max="12355" width="8.53515625" style="80" customWidth="1"/>
    <col min="12356" max="12356" width="1.07421875" style="80" customWidth="1"/>
    <col min="12357" max="12357" width="8.84375" style="80" customWidth="1"/>
    <col min="12358" max="12358" width="1.07421875" style="80" customWidth="1"/>
    <col min="12359" max="12359" width="9.07421875" style="80" customWidth="1"/>
    <col min="12360" max="12360" width="1.07421875" style="80" customWidth="1"/>
    <col min="12361" max="12361" width="10" style="80" customWidth="1"/>
    <col min="12362" max="12362" width="1.07421875" style="80" customWidth="1"/>
    <col min="12363" max="12363" width="9.07421875" style="80" customWidth="1"/>
    <col min="12364" max="12364" width="1.07421875" style="80" customWidth="1"/>
    <col min="12365" max="12365" width="11.07421875" style="80" customWidth="1"/>
    <col min="12366" max="12366" width="1.07421875" style="80" customWidth="1"/>
    <col min="12367" max="12367" width="9.07421875" style="80" customWidth="1"/>
    <col min="12368" max="12368" width="1.84375" style="80" customWidth="1"/>
    <col min="12369" max="12369" width="11" style="80" customWidth="1"/>
    <col min="12370" max="12370" width="1.07421875" style="80" customWidth="1"/>
    <col min="12371" max="12371" width="10.84375" style="80" customWidth="1"/>
    <col min="12372" max="12372" width="1.07421875" style="80" customWidth="1"/>
    <col min="12373" max="12373" width="10" style="80" customWidth="1"/>
    <col min="12374" max="12374" width="1.07421875" style="80" customWidth="1"/>
    <col min="12375" max="12375" width="9.07421875" style="80" customWidth="1"/>
    <col min="12376" max="12376" width="1.07421875" style="80" customWidth="1"/>
    <col min="12377" max="12377" width="7.84375" style="80" customWidth="1"/>
    <col min="12378" max="12378" width="1.07421875" style="80" customWidth="1"/>
    <col min="12379" max="12379" width="0.84375" style="80" customWidth="1"/>
    <col min="12380" max="12380" width="9.07421875" style="80" customWidth="1"/>
    <col min="12381" max="12381" width="1.07421875" style="80" customWidth="1"/>
    <col min="12382" max="12382" width="0.84375" style="80" customWidth="1"/>
    <col min="12383" max="12383" width="9.53515625" style="80" bestFit="1" customWidth="1"/>
    <col min="12384" max="12385" width="0.84375" style="80" customWidth="1"/>
    <col min="12386" max="12386" width="9.84375" style="80" customWidth="1"/>
    <col min="12387" max="12387" width="1.07421875" style="80" customWidth="1"/>
    <col min="12388" max="12388" width="8.53515625" style="80" customWidth="1"/>
    <col min="12389" max="12389" width="14.53515625" style="80" customWidth="1"/>
    <col min="12390" max="12390" width="10" style="80" customWidth="1"/>
    <col min="12391" max="12391" width="7.84375" style="80" bestFit="1" customWidth="1"/>
    <col min="12392" max="12392" width="9.84375" style="80" customWidth="1"/>
    <col min="12393" max="12609" width="8.84375" style="80"/>
    <col min="12610" max="12610" width="38.4609375" style="80" customWidth="1"/>
    <col min="12611" max="12611" width="8.53515625" style="80" customWidth="1"/>
    <col min="12612" max="12612" width="1.07421875" style="80" customWidth="1"/>
    <col min="12613" max="12613" width="8.84375" style="80" customWidth="1"/>
    <col min="12614" max="12614" width="1.07421875" style="80" customWidth="1"/>
    <col min="12615" max="12615" width="9.07421875" style="80" customWidth="1"/>
    <col min="12616" max="12616" width="1.07421875" style="80" customWidth="1"/>
    <col min="12617" max="12617" width="10" style="80" customWidth="1"/>
    <col min="12618" max="12618" width="1.07421875" style="80" customWidth="1"/>
    <col min="12619" max="12619" width="9.07421875" style="80" customWidth="1"/>
    <col min="12620" max="12620" width="1.07421875" style="80" customWidth="1"/>
    <col min="12621" max="12621" width="11.07421875" style="80" customWidth="1"/>
    <col min="12622" max="12622" width="1.07421875" style="80" customWidth="1"/>
    <col min="12623" max="12623" width="9.07421875" style="80" customWidth="1"/>
    <col min="12624" max="12624" width="1.84375" style="80" customWidth="1"/>
    <col min="12625" max="12625" width="11" style="80" customWidth="1"/>
    <col min="12626" max="12626" width="1.07421875" style="80" customWidth="1"/>
    <col min="12627" max="12627" width="10.84375" style="80" customWidth="1"/>
    <col min="12628" max="12628" width="1.07421875" style="80" customWidth="1"/>
    <col min="12629" max="12629" width="10" style="80" customWidth="1"/>
    <col min="12630" max="12630" width="1.07421875" style="80" customWidth="1"/>
    <col min="12631" max="12631" width="9.07421875" style="80" customWidth="1"/>
    <col min="12632" max="12632" width="1.07421875" style="80" customWidth="1"/>
    <col min="12633" max="12633" width="7.84375" style="80" customWidth="1"/>
    <col min="12634" max="12634" width="1.07421875" style="80" customWidth="1"/>
    <col min="12635" max="12635" width="0.84375" style="80" customWidth="1"/>
    <col min="12636" max="12636" width="9.07421875" style="80" customWidth="1"/>
    <col min="12637" max="12637" width="1.07421875" style="80" customWidth="1"/>
    <col min="12638" max="12638" width="0.84375" style="80" customWidth="1"/>
    <col min="12639" max="12639" width="9.53515625" style="80" bestFit="1" customWidth="1"/>
    <col min="12640" max="12641" width="0.84375" style="80" customWidth="1"/>
    <col min="12642" max="12642" width="9.84375" style="80" customWidth="1"/>
    <col min="12643" max="12643" width="1.07421875" style="80" customWidth="1"/>
    <col min="12644" max="12644" width="8.53515625" style="80" customWidth="1"/>
    <col min="12645" max="12645" width="14.53515625" style="80" customWidth="1"/>
    <col min="12646" max="12646" width="10" style="80" customWidth="1"/>
    <col min="12647" max="12647" width="7.84375" style="80" bestFit="1" customWidth="1"/>
    <col min="12648" max="12648" width="9.84375" style="80" customWidth="1"/>
    <col min="12649" max="12865" width="8.84375" style="80"/>
    <col min="12866" max="12866" width="38.4609375" style="80" customWidth="1"/>
    <col min="12867" max="12867" width="8.53515625" style="80" customWidth="1"/>
    <col min="12868" max="12868" width="1.07421875" style="80" customWidth="1"/>
    <col min="12869" max="12869" width="8.84375" style="80" customWidth="1"/>
    <col min="12870" max="12870" width="1.07421875" style="80" customWidth="1"/>
    <col min="12871" max="12871" width="9.07421875" style="80" customWidth="1"/>
    <col min="12872" max="12872" width="1.07421875" style="80" customWidth="1"/>
    <col min="12873" max="12873" width="10" style="80" customWidth="1"/>
    <col min="12874" max="12874" width="1.07421875" style="80" customWidth="1"/>
    <col min="12875" max="12875" width="9.07421875" style="80" customWidth="1"/>
    <col min="12876" max="12876" width="1.07421875" style="80" customWidth="1"/>
    <col min="12877" max="12877" width="11.07421875" style="80" customWidth="1"/>
    <col min="12878" max="12878" width="1.07421875" style="80" customWidth="1"/>
    <col min="12879" max="12879" width="9.07421875" style="80" customWidth="1"/>
    <col min="12880" max="12880" width="1.84375" style="80" customWidth="1"/>
    <col min="12881" max="12881" width="11" style="80" customWidth="1"/>
    <col min="12882" max="12882" width="1.07421875" style="80" customWidth="1"/>
    <col min="12883" max="12883" width="10.84375" style="80" customWidth="1"/>
    <col min="12884" max="12884" width="1.07421875" style="80" customWidth="1"/>
    <col min="12885" max="12885" width="10" style="80" customWidth="1"/>
    <col min="12886" max="12886" width="1.07421875" style="80" customWidth="1"/>
    <col min="12887" max="12887" width="9.07421875" style="80" customWidth="1"/>
    <col min="12888" max="12888" width="1.07421875" style="80" customWidth="1"/>
    <col min="12889" max="12889" width="7.84375" style="80" customWidth="1"/>
    <col min="12890" max="12890" width="1.07421875" style="80" customWidth="1"/>
    <col min="12891" max="12891" width="0.84375" style="80" customWidth="1"/>
    <col min="12892" max="12892" width="9.07421875" style="80" customWidth="1"/>
    <col min="12893" max="12893" width="1.07421875" style="80" customWidth="1"/>
    <col min="12894" max="12894" width="0.84375" style="80" customWidth="1"/>
    <col min="12895" max="12895" width="9.53515625" style="80" bestFit="1" customWidth="1"/>
    <col min="12896" max="12897" width="0.84375" style="80" customWidth="1"/>
    <col min="12898" max="12898" width="9.84375" style="80" customWidth="1"/>
    <col min="12899" max="12899" width="1.07421875" style="80" customWidth="1"/>
    <col min="12900" max="12900" width="8.53515625" style="80" customWidth="1"/>
    <col min="12901" max="12901" width="14.53515625" style="80" customWidth="1"/>
    <col min="12902" max="12902" width="10" style="80" customWidth="1"/>
    <col min="12903" max="12903" width="7.84375" style="80" bestFit="1" customWidth="1"/>
    <col min="12904" max="12904" width="9.84375" style="80" customWidth="1"/>
    <col min="12905" max="13121" width="8.84375" style="80"/>
    <col min="13122" max="13122" width="38.4609375" style="80" customWidth="1"/>
    <col min="13123" max="13123" width="8.53515625" style="80" customWidth="1"/>
    <col min="13124" max="13124" width="1.07421875" style="80" customWidth="1"/>
    <col min="13125" max="13125" width="8.84375" style="80" customWidth="1"/>
    <col min="13126" max="13126" width="1.07421875" style="80" customWidth="1"/>
    <col min="13127" max="13127" width="9.07421875" style="80" customWidth="1"/>
    <col min="13128" max="13128" width="1.07421875" style="80" customWidth="1"/>
    <col min="13129" max="13129" width="10" style="80" customWidth="1"/>
    <col min="13130" max="13130" width="1.07421875" style="80" customWidth="1"/>
    <col min="13131" max="13131" width="9.07421875" style="80" customWidth="1"/>
    <col min="13132" max="13132" width="1.07421875" style="80" customWidth="1"/>
    <col min="13133" max="13133" width="11.07421875" style="80" customWidth="1"/>
    <col min="13134" max="13134" width="1.07421875" style="80" customWidth="1"/>
    <col min="13135" max="13135" width="9.07421875" style="80" customWidth="1"/>
    <col min="13136" max="13136" width="1.84375" style="80" customWidth="1"/>
    <col min="13137" max="13137" width="11" style="80" customWidth="1"/>
    <col min="13138" max="13138" width="1.07421875" style="80" customWidth="1"/>
    <col min="13139" max="13139" width="10.84375" style="80" customWidth="1"/>
    <col min="13140" max="13140" width="1.07421875" style="80" customWidth="1"/>
    <col min="13141" max="13141" width="10" style="80" customWidth="1"/>
    <col min="13142" max="13142" width="1.07421875" style="80" customWidth="1"/>
    <col min="13143" max="13143" width="9.07421875" style="80" customWidth="1"/>
    <col min="13144" max="13144" width="1.07421875" style="80" customWidth="1"/>
    <col min="13145" max="13145" width="7.84375" style="80" customWidth="1"/>
    <col min="13146" max="13146" width="1.07421875" style="80" customWidth="1"/>
    <col min="13147" max="13147" width="0.84375" style="80" customWidth="1"/>
    <col min="13148" max="13148" width="9.07421875" style="80" customWidth="1"/>
    <col min="13149" max="13149" width="1.07421875" style="80" customWidth="1"/>
    <col min="13150" max="13150" width="0.84375" style="80" customWidth="1"/>
    <col min="13151" max="13151" width="9.53515625" style="80" bestFit="1" customWidth="1"/>
    <col min="13152" max="13153" width="0.84375" style="80" customWidth="1"/>
    <col min="13154" max="13154" width="9.84375" style="80" customWidth="1"/>
    <col min="13155" max="13155" width="1.07421875" style="80" customWidth="1"/>
    <col min="13156" max="13156" width="8.53515625" style="80" customWidth="1"/>
    <col min="13157" max="13157" width="14.53515625" style="80" customWidth="1"/>
    <col min="13158" max="13158" width="10" style="80" customWidth="1"/>
    <col min="13159" max="13159" width="7.84375" style="80" bestFit="1" customWidth="1"/>
    <col min="13160" max="13160" width="9.84375" style="80" customWidth="1"/>
    <col min="13161" max="13377" width="8.84375" style="80"/>
    <col min="13378" max="13378" width="38.4609375" style="80" customWidth="1"/>
    <col min="13379" max="13379" width="8.53515625" style="80" customWidth="1"/>
    <col min="13380" max="13380" width="1.07421875" style="80" customWidth="1"/>
    <col min="13381" max="13381" width="8.84375" style="80" customWidth="1"/>
    <col min="13382" max="13382" width="1.07421875" style="80" customWidth="1"/>
    <col min="13383" max="13383" width="9.07421875" style="80" customWidth="1"/>
    <col min="13384" max="13384" width="1.07421875" style="80" customWidth="1"/>
    <col min="13385" max="13385" width="10" style="80" customWidth="1"/>
    <col min="13386" max="13386" width="1.07421875" style="80" customWidth="1"/>
    <col min="13387" max="13387" width="9.07421875" style="80" customWidth="1"/>
    <col min="13388" max="13388" width="1.07421875" style="80" customWidth="1"/>
    <col min="13389" max="13389" width="11.07421875" style="80" customWidth="1"/>
    <col min="13390" max="13390" width="1.07421875" style="80" customWidth="1"/>
    <col min="13391" max="13391" width="9.07421875" style="80" customWidth="1"/>
    <col min="13392" max="13392" width="1.84375" style="80" customWidth="1"/>
    <col min="13393" max="13393" width="11" style="80" customWidth="1"/>
    <col min="13394" max="13394" width="1.07421875" style="80" customWidth="1"/>
    <col min="13395" max="13395" width="10.84375" style="80" customWidth="1"/>
    <col min="13396" max="13396" width="1.07421875" style="80" customWidth="1"/>
    <col min="13397" max="13397" width="10" style="80" customWidth="1"/>
    <col min="13398" max="13398" width="1.07421875" style="80" customWidth="1"/>
    <col min="13399" max="13399" width="9.07421875" style="80" customWidth="1"/>
    <col min="13400" max="13400" width="1.07421875" style="80" customWidth="1"/>
    <col min="13401" max="13401" width="7.84375" style="80" customWidth="1"/>
    <col min="13402" max="13402" width="1.07421875" style="80" customWidth="1"/>
    <col min="13403" max="13403" width="0.84375" style="80" customWidth="1"/>
    <col min="13404" max="13404" width="9.07421875" style="80" customWidth="1"/>
    <col min="13405" max="13405" width="1.07421875" style="80" customWidth="1"/>
    <col min="13406" max="13406" width="0.84375" style="80" customWidth="1"/>
    <col min="13407" max="13407" width="9.53515625" style="80" bestFit="1" customWidth="1"/>
    <col min="13408" max="13409" width="0.84375" style="80" customWidth="1"/>
    <col min="13410" max="13410" width="9.84375" style="80" customWidth="1"/>
    <col min="13411" max="13411" width="1.07421875" style="80" customWidth="1"/>
    <col min="13412" max="13412" width="8.53515625" style="80" customWidth="1"/>
    <col min="13413" max="13413" width="14.53515625" style="80" customWidth="1"/>
    <col min="13414" max="13414" width="10" style="80" customWidth="1"/>
    <col min="13415" max="13415" width="7.84375" style="80" bestFit="1" customWidth="1"/>
    <col min="13416" max="13416" width="9.84375" style="80" customWidth="1"/>
    <col min="13417" max="13633" width="8.84375" style="80"/>
    <col min="13634" max="13634" width="38.4609375" style="80" customWidth="1"/>
    <col min="13635" max="13635" width="8.53515625" style="80" customWidth="1"/>
    <col min="13636" max="13636" width="1.07421875" style="80" customWidth="1"/>
    <col min="13637" max="13637" width="8.84375" style="80" customWidth="1"/>
    <col min="13638" max="13638" width="1.07421875" style="80" customWidth="1"/>
    <col min="13639" max="13639" width="9.07421875" style="80" customWidth="1"/>
    <col min="13640" max="13640" width="1.07421875" style="80" customWidth="1"/>
    <col min="13641" max="13641" width="10" style="80" customWidth="1"/>
    <col min="13642" max="13642" width="1.07421875" style="80" customWidth="1"/>
    <col min="13643" max="13643" width="9.07421875" style="80" customWidth="1"/>
    <col min="13644" max="13644" width="1.07421875" style="80" customWidth="1"/>
    <col min="13645" max="13645" width="11.07421875" style="80" customWidth="1"/>
    <col min="13646" max="13646" width="1.07421875" style="80" customWidth="1"/>
    <col min="13647" max="13647" width="9.07421875" style="80" customWidth="1"/>
    <col min="13648" max="13648" width="1.84375" style="80" customWidth="1"/>
    <col min="13649" max="13649" width="11" style="80" customWidth="1"/>
    <col min="13650" max="13650" width="1.07421875" style="80" customWidth="1"/>
    <col min="13651" max="13651" width="10.84375" style="80" customWidth="1"/>
    <col min="13652" max="13652" width="1.07421875" style="80" customWidth="1"/>
    <col min="13653" max="13653" width="10" style="80" customWidth="1"/>
    <col min="13654" max="13654" width="1.07421875" style="80" customWidth="1"/>
    <col min="13655" max="13655" width="9.07421875" style="80" customWidth="1"/>
    <col min="13656" max="13656" width="1.07421875" style="80" customWidth="1"/>
    <col min="13657" max="13657" width="7.84375" style="80" customWidth="1"/>
    <col min="13658" max="13658" width="1.07421875" style="80" customWidth="1"/>
    <col min="13659" max="13659" width="0.84375" style="80" customWidth="1"/>
    <col min="13660" max="13660" width="9.07421875" style="80" customWidth="1"/>
    <col min="13661" max="13661" width="1.07421875" style="80" customWidth="1"/>
    <col min="13662" max="13662" width="0.84375" style="80" customWidth="1"/>
    <col min="13663" max="13663" width="9.53515625" style="80" bestFit="1" customWidth="1"/>
    <col min="13664" max="13665" width="0.84375" style="80" customWidth="1"/>
    <col min="13666" max="13666" width="9.84375" style="80" customWidth="1"/>
    <col min="13667" max="13667" width="1.07421875" style="80" customWidth="1"/>
    <col min="13668" max="13668" width="8.53515625" style="80" customWidth="1"/>
    <col min="13669" max="13669" width="14.53515625" style="80" customWidth="1"/>
    <col min="13670" max="13670" width="10" style="80" customWidth="1"/>
    <col min="13671" max="13671" width="7.84375" style="80" bestFit="1" customWidth="1"/>
    <col min="13672" max="13672" width="9.84375" style="80" customWidth="1"/>
    <col min="13673" max="13889" width="8.84375" style="80"/>
    <col min="13890" max="13890" width="38.4609375" style="80" customWidth="1"/>
    <col min="13891" max="13891" width="8.53515625" style="80" customWidth="1"/>
    <col min="13892" max="13892" width="1.07421875" style="80" customWidth="1"/>
    <col min="13893" max="13893" width="8.84375" style="80" customWidth="1"/>
    <col min="13894" max="13894" width="1.07421875" style="80" customWidth="1"/>
    <col min="13895" max="13895" width="9.07421875" style="80" customWidth="1"/>
    <col min="13896" max="13896" width="1.07421875" style="80" customWidth="1"/>
    <col min="13897" max="13897" width="10" style="80" customWidth="1"/>
    <col min="13898" max="13898" width="1.07421875" style="80" customWidth="1"/>
    <col min="13899" max="13899" width="9.07421875" style="80" customWidth="1"/>
    <col min="13900" max="13900" width="1.07421875" style="80" customWidth="1"/>
    <col min="13901" max="13901" width="11.07421875" style="80" customWidth="1"/>
    <col min="13902" max="13902" width="1.07421875" style="80" customWidth="1"/>
    <col min="13903" max="13903" width="9.07421875" style="80" customWidth="1"/>
    <col min="13904" max="13904" width="1.84375" style="80" customWidth="1"/>
    <col min="13905" max="13905" width="11" style="80" customWidth="1"/>
    <col min="13906" max="13906" width="1.07421875" style="80" customWidth="1"/>
    <col min="13907" max="13907" width="10.84375" style="80" customWidth="1"/>
    <col min="13908" max="13908" width="1.07421875" style="80" customWidth="1"/>
    <col min="13909" max="13909" width="10" style="80" customWidth="1"/>
    <col min="13910" max="13910" width="1.07421875" style="80" customWidth="1"/>
    <col min="13911" max="13911" width="9.07421875" style="80" customWidth="1"/>
    <col min="13912" max="13912" width="1.07421875" style="80" customWidth="1"/>
    <col min="13913" max="13913" width="7.84375" style="80" customWidth="1"/>
    <col min="13914" max="13914" width="1.07421875" style="80" customWidth="1"/>
    <col min="13915" max="13915" width="0.84375" style="80" customWidth="1"/>
    <col min="13916" max="13916" width="9.07421875" style="80" customWidth="1"/>
    <col min="13917" max="13917" width="1.07421875" style="80" customWidth="1"/>
    <col min="13918" max="13918" width="0.84375" style="80" customWidth="1"/>
    <col min="13919" max="13919" width="9.53515625" style="80" bestFit="1" customWidth="1"/>
    <col min="13920" max="13921" width="0.84375" style="80" customWidth="1"/>
    <col min="13922" max="13922" width="9.84375" style="80" customWidth="1"/>
    <col min="13923" max="13923" width="1.07421875" style="80" customWidth="1"/>
    <col min="13924" max="13924" width="8.53515625" style="80" customWidth="1"/>
    <col min="13925" max="13925" width="14.53515625" style="80" customWidth="1"/>
    <col min="13926" max="13926" width="10" style="80" customWidth="1"/>
    <col min="13927" max="13927" width="7.84375" style="80" bestFit="1" customWidth="1"/>
    <col min="13928" max="13928" width="9.84375" style="80" customWidth="1"/>
    <col min="13929" max="14145" width="8.84375" style="80"/>
    <col min="14146" max="14146" width="38.4609375" style="80" customWidth="1"/>
    <col min="14147" max="14147" width="8.53515625" style="80" customWidth="1"/>
    <col min="14148" max="14148" width="1.07421875" style="80" customWidth="1"/>
    <col min="14149" max="14149" width="8.84375" style="80" customWidth="1"/>
    <col min="14150" max="14150" width="1.07421875" style="80" customWidth="1"/>
    <col min="14151" max="14151" width="9.07421875" style="80" customWidth="1"/>
    <col min="14152" max="14152" width="1.07421875" style="80" customWidth="1"/>
    <col min="14153" max="14153" width="10" style="80" customWidth="1"/>
    <col min="14154" max="14154" width="1.07421875" style="80" customWidth="1"/>
    <col min="14155" max="14155" width="9.07421875" style="80" customWidth="1"/>
    <col min="14156" max="14156" width="1.07421875" style="80" customWidth="1"/>
    <col min="14157" max="14157" width="11.07421875" style="80" customWidth="1"/>
    <col min="14158" max="14158" width="1.07421875" style="80" customWidth="1"/>
    <col min="14159" max="14159" width="9.07421875" style="80" customWidth="1"/>
    <col min="14160" max="14160" width="1.84375" style="80" customWidth="1"/>
    <col min="14161" max="14161" width="11" style="80" customWidth="1"/>
    <col min="14162" max="14162" width="1.07421875" style="80" customWidth="1"/>
    <col min="14163" max="14163" width="10.84375" style="80" customWidth="1"/>
    <col min="14164" max="14164" width="1.07421875" style="80" customWidth="1"/>
    <col min="14165" max="14165" width="10" style="80" customWidth="1"/>
    <col min="14166" max="14166" width="1.07421875" style="80" customWidth="1"/>
    <col min="14167" max="14167" width="9.07421875" style="80" customWidth="1"/>
    <col min="14168" max="14168" width="1.07421875" style="80" customWidth="1"/>
    <col min="14169" max="14169" width="7.84375" style="80" customWidth="1"/>
    <col min="14170" max="14170" width="1.07421875" style="80" customWidth="1"/>
    <col min="14171" max="14171" width="0.84375" style="80" customWidth="1"/>
    <col min="14172" max="14172" width="9.07421875" style="80" customWidth="1"/>
    <col min="14173" max="14173" width="1.07421875" style="80" customWidth="1"/>
    <col min="14174" max="14174" width="0.84375" style="80" customWidth="1"/>
    <col min="14175" max="14175" width="9.53515625" style="80" bestFit="1" customWidth="1"/>
    <col min="14176" max="14177" width="0.84375" style="80" customWidth="1"/>
    <col min="14178" max="14178" width="9.84375" style="80" customWidth="1"/>
    <col min="14179" max="14179" width="1.07421875" style="80" customWidth="1"/>
    <col min="14180" max="14180" width="8.53515625" style="80" customWidth="1"/>
    <col min="14181" max="14181" width="14.53515625" style="80" customWidth="1"/>
    <col min="14182" max="14182" width="10" style="80" customWidth="1"/>
    <col min="14183" max="14183" width="7.84375" style="80" bestFit="1" customWidth="1"/>
    <col min="14184" max="14184" width="9.84375" style="80" customWidth="1"/>
    <col min="14185" max="14401" width="8.84375" style="80"/>
    <col min="14402" max="14402" width="38.4609375" style="80" customWidth="1"/>
    <col min="14403" max="14403" width="8.53515625" style="80" customWidth="1"/>
    <col min="14404" max="14404" width="1.07421875" style="80" customWidth="1"/>
    <col min="14405" max="14405" width="8.84375" style="80" customWidth="1"/>
    <col min="14406" max="14406" width="1.07421875" style="80" customWidth="1"/>
    <col min="14407" max="14407" width="9.07421875" style="80" customWidth="1"/>
    <col min="14408" max="14408" width="1.07421875" style="80" customWidth="1"/>
    <col min="14409" max="14409" width="10" style="80" customWidth="1"/>
    <col min="14410" max="14410" width="1.07421875" style="80" customWidth="1"/>
    <col min="14411" max="14411" width="9.07421875" style="80" customWidth="1"/>
    <col min="14412" max="14412" width="1.07421875" style="80" customWidth="1"/>
    <col min="14413" max="14413" width="11.07421875" style="80" customWidth="1"/>
    <col min="14414" max="14414" width="1.07421875" style="80" customWidth="1"/>
    <col min="14415" max="14415" width="9.07421875" style="80" customWidth="1"/>
    <col min="14416" max="14416" width="1.84375" style="80" customWidth="1"/>
    <col min="14417" max="14417" width="11" style="80" customWidth="1"/>
    <col min="14418" max="14418" width="1.07421875" style="80" customWidth="1"/>
    <col min="14419" max="14419" width="10.84375" style="80" customWidth="1"/>
    <col min="14420" max="14420" width="1.07421875" style="80" customWidth="1"/>
    <col min="14421" max="14421" width="10" style="80" customWidth="1"/>
    <col min="14422" max="14422" width="1.07421875" style="80" customWidth="1"/>
    <col min="14423" max="14423" width="9.07421875" style="80" customWidth="1"/>
    <col min="14424" max="14424" width="1.07421875" style="80" customWidth="1"/>
    <col min="14425" max="14425" width="7.84375" style="80" customWidth="1"/>
    <col min="14426" max="14426" width="1.07421875" style="80" customWidth="1"/>
    <col min="14427" max="14427" width="0.84375" style="80" customWidth="1"/>
    <col min="14428" max="14428" width="9.07421875" style="80" customWidth="1"/>
    <col min="14429" max="14429" width="1.07421875" style="80" customWidth="1"/>
    <col min="14430" max="14430" width="0.84375" style="80" customWidth="1"/>
    <col min="14431" max="14431" width="9.53515625" style="80" bestFit="1" customWidth="1"/>
    <col min="14432" max="14433" width="0.84375" style="80" customWidth="1"/>
    <col min="14434" max="14434" width="9.84375" style="80" customWidth="1"/>
    <col min="14435" max="14435" width="1.07421875" style="80" customWidth="1"/>
    <col min="14436" max="14436" width="8.53515625" style="80" customWidth="1"/>
    <col min="14437" max="14437" width="14.53515625" style="80" customWidth="1"/>
    <col min="14438" max="14438" width="10" style="80" customWidth="1"/>
    <col min="14439" max="14439" width="7.84375" style="80" bestFit="1" customWidth="1"/>
    <col min="14440" max="14440" width="9.84375" style="80" customWidth="1"/>
    <col min="14441" max="14657" width="8.84375" style="80"/>
    <col min="14658" max="14658" width="38.4609375" style="80" customWidth="1"/>
    <col min="14659" max="14659" width="8.53515625" style="80" customWidth="1"/>
    <col min="14660" max="14660" width="1.07421875" style="80" customWidth="1"/>
    <col min="14661" max="14661" width="8.84375" style="80" customWidth="1"/>
    <col min="14662" max="14662" width="1.07421875" style="80" customWidth="1"/>
    <col min="14663" max="14663" width="9.07421875" style="80" customWidth="1"/>
    <col min="14664" max="14664" width="1.07421875" style="80" customWidth="1"/>
    <col min="14665" max="14665" width="10" style="80" customWidth="1"/>
    <col min="14666" max="14666" width="1.07421875" style="80" customWidth="1"/>
    <col min="14667" max="14667" width="9.07421875" style="80" customWidth="1"/>
    <col min="14668" max="14668" width="1.07421875" style="80" customWidth="1"/>
    <col min="14669" max="14669" width="11.07421875" style="80" customWidth="1"/>
    <col min="14670" max="14670" width="1.07421875" style="80" customWidth="1"/>
    <col min="14671" max="14671" width="9.07421875" style="80" customWidth="1"/>
    <col min="14672" max="14672" width="1.84375" style="80" customWidth="1"/>
    <col min="14673" max="14673" width="11" style="80" customWidth="1"/>
    <col min="14674" max="14674" width="1.07421875" style="80" customWidth="1"/>
    <col min="14675" max="14675" width="10.84375" style="80" customWidth="1"/>
    <col min="14676" max="14676" width="1.07421875" style="80" customWidth="1"/>
    <col min="14677" max="14677" width="10" style="80" customWidth="1"/>
    <col min="14678" max="14678" width="1.07421875" style="80" customWidth="1"/>
    <col min="14679" max="14679" width="9.07421875" style="80" customWidth="1"/>
    <col min="14680" max="14680" width="1.07421875" style="80" customWidth="1"/>
    <col min="14681" max="14681" width="7.84375" style="80" customWidth="1"/>
    <col min="14682" max="14682" width="1.07421875" style="80" customWidth="1"/>
    <col min="14683" max="14683" width="0.84375" style="80" customWidth="1"/>
    <col min="14684" max="14684" width="9.07421875" style="80" customWidth="1"/>
    <col min="14685" max="14685" width="1.07421875" style="80" customWidth="1"/>
    <col min="14686" max="14686" width="0.84375" style="80" customWidth="1"/>
    <col min="14687" max="14687" width="9.53515625" style="80" bestFit="1" customWidth="1"/>
    <col min="14688" max="14689" width="0.84375" style="80" customWidth="1"/>
    <col min="14690" max="14690" width="9.84375" style="80" customWidth="1"/>
    <col min="14691" max="14691" width="1.07421875" style="80" customWidth="1"/>
    <col min="14692" max="14692" width="8.53515625" style="80" customWidth="1"/>
    <col min="14693" max="14693" width="14.53515625" style="80" customWidth="1"/>
    <col min="14694" max="14694" width="10" style="80" customWidth="1"/>
    <col min="14695" max="14695" width="7.84375" style="80" bestFit="1" customWidth="1"/>
    <col min="14696" max="14696" width="9.84375" style="80" customWidth="1"/>
    <col min="14697" max="14913" width="8.84375" style="80"/>
    <col min="14914" max="14914" width="38.4609375" style="80" customWidth="1"/>
    <col min="14915" max="14915" width="8.53515625" style="80" customWidth="1"/>
    <col min="14916" max="14916" width="1.07421875" style="80" customWidth="1"/>
    <col min="14917" max="14917" width="8.84375" style="80" customWidth="1"/>
    <col min="14918" max="14918" width="1.07421875" style="80" customWidth="1"/>
    <col min="14919" max="14919" width="9.07421875" style="80" customWidth="1"/>
    <col min="14920" max="14920" width="1.07421875" style="80" customWidth="1"/>
    <col min="14921" max="14921" width="10" style="80" customWidth="1"/>
    <col min="14922" max="14922" width="1.07421875" style="80" customWidth="1"/>
    <col min="14923" max="14923" width="9.07421875" style="80" customWidth="1"/>
    <col min="14924" max="14924" width="1.07421875" style="80" customWidth="1"/>
    <col min="14925" max="14925" width="11.07421875" style="80" customWidth="1"/>
    <col min="14926" max="14926" width="1.07421875" style="80" customWidth="1"/>
    <col min="14927" max="14927" width="9.07421875" style="80" customWidth="1"/>
    <col min="14928" max="14928" width="1.84375" style="80" customWidth="1"/>
    <col min="14929" max="14929" width="11" style="80" customWidth="1"/>
    <col min="14930" max="14930" width="1.07421875" style="80" customWidth="1"/>
    <col min="14931" max="14931" width="10.84375" style="80" customWidth="1"/>
    <col min="14932" max="14932" width="1.07421875" style="80" customWidth="1"/>
    <col min="14933" max="14933" width="10" style="80" customWidth="1"/>
    <col min="14934" max="14934" width="1.07421875" style="80" customWidth="1"/>
    <col min="14935" max="14935" width="9.07421875" style="80" customWidth="1"/>
    <col min="14936" max="14936" width="1.07421875" style="80" customWidth="1"/>
    <col min="14937" max="14937" width="7.84375" style="80" customWidth="1"/>
    <col min="14938" max="14938" width="1.07421875" style="80" customWidth="1"/>
    <col min="14939" max="14939" width="0.84375" style="80" customWidth="1"/>
    <col min="14940" max="14940" width="9.07421875" style="80" customWidth="1"/>
    <col min="14941" max="14941" width="1.07421875" style="80" customWidth="1"/>
    <col min="14942" max="14942" width="0.84375" style="80" customWidth="1"/>
    <col min="14943" max="14943" width="9.53515625" style="80" bestFit="1" customWidth="1"/>
    <col min="14944" max="14945" width="0.84375" style="80" customWidth="1"/>
    <col min="14946" max="14946" width="9.84375" style="80" customWidth="1"/>
    <col min="14947" max="14947" width="1.07421875" style="80" customWidth="1"/>
    <col min="14948" max="14948" width="8.53515625" style="80" customWidth="1"/>
    <col min="14949" max="14949" width="14.53515625" style="80" customWidth="1"/>
    <col min="14950" max="14950" width="10" style="80" customWidth="1"/>
    <col min="14951" max="14951" width="7.84375" style="80" bestFit="1" customWidth="1"/>
    <col min="14952" max="14952" width="9.84375" style="80" customWidth="1"/>
    <col min="14953" max="15169" width="8.84375" style="80"/>
    <col min="15170" max="15170" width="38.4609375" style="80" customWidth="1"/>
    <col min="15171" max="15171" width="8.53515625" style="80" customWidth="1"/>
    <col min="15172" max="15172" width="1.07421875" style="80" customWidth="1"/>
    <col min="15173" max="15173" width="8.84375" style="80" customWidth="1"/>
    <col min="15174" max="15174" width="1.07421875" style="80" customWidth="1"/>
    <col min="15175" max="15175" width="9.07421875" style="80" customWidth="1"/>
    <col min="15176" max="15176" width="1.07421875" style="80" customWidth="1"/>
    <col min="15177" max="15177" width="10" style="80" customWidth="1"/>
    <col min="15178" max="15178" width="1.07421875" style="80" customWidth="1"/>
    <col min="15179" max="15179" width="9.07421875" style="80" customWidth="1"/>
    <col min="15180" max="15180" width="1.07421875" style="80" customWidth="1"/>
    <col min="15181" max="15181" width="11.07421875" style="80" customWidth="1"/>
    <col min="15182" max="15182" width="1.07421875" style="80" customWidth="1"/>
    <col min="15183" max="15183" width="9.07421875" style="80" customWidth="1"/>
    <col min="15184" max="15184" width="1.84375" style="80" customWidth="1"/>
    <col min="15185" max="15185" width="11" style="80" customWidth="1"/>
    <col min="15186" max="15186" width="1.07421875" style="80" customWidth="1"/>
    <col min="15187" max="15187" width="10.84375" style="80" customWidth="1"/>
    <col min="15188" max="15188" width="1.07421875" style="80" customWidth="1"/>
    <col min="15189" max="15189" width="10" style="80" customWidth="1"/>
    <col min="15190" max="15190" width="1.07421875" style="80" customWidth="1"/>
    <col min="15191" max="15191" width="9.07421875" style="80" customWidth="1"/>
    <col min="15192" max="15192" width="1.07421875" style="80" customWidth="1"/>
    <col min="15193" max="15193" width="7.84375" style="80" customWidth="1"/>
    <col min="15194" max="15194" width="1.07421875" style="80" customWidth="1"/>
    <col min="15195" max="15195" width="0.84375" style="80" customWidth="1"/>
    <col min="15196" max="15196" width="9.07421875" style="80" customWidth="1"/>
    <col min="15197" max="15197" width="1.07421875" style="80" customWidth="1"/>
    <col min="15198" max="15198" width="0.84375" style="80" customWidth="1"/>
    <col min="15199" max="15199" width="9.53515625" style="80" bestFit="1" customWidth="1"/>
    <col min="15200" max="15201" width="0.84375" style="80" customWidth="1"/>
    <col min="15202" max="15202" width="9.84375" style="80" customWidth="1"/>
    <col min="15203" max="15203" width="1.07421875" style="80" customWidth="1"/>
    <col min="15204" max="15204" width="8.53515625" style="80" customWidth="1"/>
    <col min="15205" max="15205" width="14.53515625" style="80" customWidth="1"/>
    <col min="15206" max="15206" width="10" style="80" customWidth="1"/>
    <col min="15207" max="15207" width="7.84375" style="80" bestFit="1" customWidth="1"/>
    <col min="15208" max="15208" width="9.84375" style="80" customWidth="1"/>
    <col min="15209" max="15425" width="8.84375" style="80"/>
    <col min="15426" max="15426" width="38.4609375" style="80" customWidth="1"/>
    <col min="15427" max="15427" width="8.53515625" style="80" customWidth="1"/>
    <col min="15428" max="15428" width="1.07421875" style="80" customWidth="1"/>
    <col min="15429" max="15429" width="8.84375" style="80" customWidth="1"/>
    <col min="15430" max="15430" width="1.07421875" style="80" customWidth="1"/>
    <col min="15431" max="15431" width="9.07421875" style="80" customWidth="1"/>
    <col min="15432" max="15432" width="1.07421875" style="80" customWidth="1"/>
    <col min="15433" max="15433" width="10" style="80" customWidth="1"/>
    <col min="15434" max="15434" width="1.07421875" style="80" customWidth="1"/>
    <col min="15435" max="15435" width="9.07421875" style="80" customWidth="1"/>
    <col min="15436" max="15436" width="1.07421875" style="80" customWidth="1"/>
    <col min="15437" max="15437" width="11.07421875" style="80" customWidth="1"/>
    <col min="15438" max="15438" width="1.07421875" style="80" customWidth="1"/>
    <col min="15439" max="15439" width="9.07421875" style="80" customWidth="1"/>
    <col min="15440" max="15440" width="1.84375" style="80" customWidth="1"/>
    <col min="15441" max="15441" width="11" style="80" customWidth="1"/>
    <col min="15442" max="15442" width="1.07421875" style="80" customWidth="1"/>
    <col min="15443" max="15443" width="10.84375" style="80" customWidth="1"/>
    <col min="15444" max="15444" width="1.07421875" style="80" customWidth="1"/>
    <col min="15445" max="15445" width="10" style="80" customWidth="1"/>
    <col min="15446" max="15446" width="1.07421875" style="80" customWidth="1"/>
    <col min="15447" max="15447" width="9.07421875" style="80" customWidth="1"/>
    <col min="15448" max="15448" width="1.07421875" style="80" customWidth="1"/>
    <col min="15449" max="15449" width="7.84375" style="80" customWidth="1"/>
    <col min="15450" max="15450" width="1.07421875" style="80" customWidth="1"/>
    <col min="15451" max="15451" width="0.84375" style="80" customWidth="1"/>
    <col min="15452" max="15452" width="9.07421875" style="80" customWidth="1"/>
    <col min="15453" max="15453" width="1.07421875" style="80" customWidth="1"/>
    <col min="15454" max="15454" width="0.84375" style="80" customWidth="1"/>
    <col min="15455" max="15455" width="9.53515625" style="80" bestFit="1" customWidth="1"/>
    <col min="15456" max="15457" width="0.84375" style="80" customWidth="1"/>
    <col min="15458" max="15458" width="9.84375" style="80" customWidth="1"/>
    <col min="15459" max="15459" width="1.07421875" style="80" customWidth="1"/>
    <col min="15460" max="15460" width="8.53515625" style="80" customWidth="1"/>
    <col min="15461" max="15461" width="14.53515625" style="80" customWidth="1"/>
    <col min="15462" max="15462" width="10" style="80" customWidth="1"/>
    <col min="15463" max="15463" width="7.84375" style="80" bestFit="1" customWidth="1"/>
    <col min="15464" max="15464" width="9.84375" style="80" customWidth="1"/>
    <col min="15465" max="15681" width="8.84375" style="80"/>
    <col min="15682" max="15682" width="38.4609375" style="80" customWidth="1"/>
    <col min="15683" max="15683" width="8.53515625" style="80" customWidth="1"/>
    <col min="15684" max="15684" width="1.07421875" style="80" customWidth="1"/>
    <col min="15685" max="15685" width="8.84375" style="80" customWidth="1"/>
    <col min="15686" max="15686" width="1.07421875" style="80" customWidth="1"/>
    <col min="15687" max="15687" width="9.07421875" style="80" customWidth="1"/>
    <col min="15688" max="15688" width="1.07421875" style="80" customWidth="1"/>
    <col min="15689" max="15689" width="10" style="80" customWidth="1"/>
    <col min="15690" max="15690" width="1.07421875" style="80" customWidth="1"/>
    <col min="15691" max="15691" width="9.07421875" style="80" customWidth="1"/>
    <col min="15692" max="15692" width="1.07421875" style="80" customWidth="1"/>
    <col min="15693" max="15693" width="11.07421875" style="80" customWidth="1"/>
    <col min="15694" max="15694" width="1.07421875" style="80" customWidth="1"/>
    <col min="15695" max="15695" width="9.07421875" style="80" customWidth="1"/>
    <col min="15696" max="15696" width="1.84375" style="80" customWidth="1"/>
    <col min="15697" max="15697" width="11" style="80" customWidth="1"/>
    <col min="15698" max="15698" width="1.07421875" style="80" customWidth="1"/>
    <col min="15699" max="15699" width="10.84375" style="80" customWidth="1"/>
    <col min="15700" max="15700" width="1.07421875" style="80" customWidth="1"/>
    <col min="15701" max="15701" width="10" style="80" customWidth="1"/>
    <col min="15702" max="15702" width="1.07421875" style="80" customWidth="1"/>
    <col min="15703" max="15703" width="9.07421875" style="80" customWidth="1"/>
    <col min="15704" max="15704" width="1.07421875" style="80" customWidth="1"/>
    <col min="15705" max="15705" width="7.84375" style="80" customWidth="1"/>
    <col min="15706" max="15706" width="1.07421875" style="80" customWidth="1"/>
    <col min="15707" max="15707" width="0.84375" style="80" customWidth="1"/>
    <col min="15708" max="15708" width="9.07421875" style="80" customWidth="1"/>
    <col min="15709" max="15709" width="1.07421875" style="80" customWidth="1"/>
    <col min="15710" max="15710" width="0.84375" style="80" customWidth="1"/>
    <col min="15711" max="15711" width="9.53515625" style="80" bestFit="1" customWidth="1"/>
    <col min="15712" max="15713" width="0.84375" style="80" customWidth="1"/>
    <col min="15714" max="15714" width="9.84375" style="80" customWidth="1"/>
    <col min="15715" max="15715" width="1.07421875" style="80" customWidth="1"/>
    <col min="15716" max="15716" width="8.53515625" style="80" customWidth="1"/>
    <col min="15717" max="15717" width="14.53515625" style="80" customWidth="1"/>
    <col min="15718" max="15718" width="10" style="80" customWidth="1"/>
    <col min="15719" max="15719" width="7.84375" style="80" bestFit="1" customWidth="1"/>
    <col min="15720" max="15720" width="9.84375" style="80" customWidth="1"/>
    <col min="15721" max="15937" width="8.84375" style="80"/>
    <col min="15938" max="15938" width="38.4609375" style="80" customWidth="1"/>
    <col min="15939" max="15939" width="8.53515625" style="80" customWidth="1"/>
    <col min="15940" max="15940" width="1.07421875" style="80" customWidth="1"/>
    <col min="15941" max="15941" width="8.84375" style="80" customWidth="1"/>
    <col min="15942" max="15942" width="1.07421875" style="80" customWidth="1"/>
    <col min="15943" max="15943" width="9.07421875" style="80" customWidth="1"/>
    <col min="15944" max="15944" width="1.07421875" style="80" customWidth="1"/>
    <col min="15945" max="15945" width="10" style="80" customWidth="1"/>
    <col min="15946" max="15946" width="1.07421875" style="80" customWidth="1"/>
    <col min="15947" max="15947" width="9.07421875" style="80" customWidth="1"/>
    <col min="15948" max="15948" width="1.07421875" style="80" customWidth="1"/>
    <col min="15949" max="15949" width="11.07421875" style="80" customWidth="1"/>
    <col min="15950" max="15950" width="1.07421875" style="80" customWidth="1"/>
    <col min="15951" max="15951" width="9.07421875" style="80" customWidth="1"/>
    <col min="15952" max="15952" width="1.84375" style="80" customWidth="1"/>
    <col min="15953" max="15953" width="11" style="80" customWidth="1"/>
    <col min="15954" max="15954" width="1.07421875" style="80" customWidth="1"/>
    <col min="15955" max="15955" width="10.84375" style="80" customWidth="1"/>
    <col min="15956" max="15956" width="1.07421875" style="80" customWidth="1"/>
    <col min="15957" max="15957" width="10" style="80" customWidth="1"/>
    <col min="15958" max="15958" width="1.07421875" style="80" customWidth="1"/>
    <col min="15959" max="15959" width="9.07421875" style="80" customWidth="1"/>
    <col min="15960" max="15960" width="1.07421875" style="80" customWidth="1"/>
    <col min="15961" max="15961" width="7.84375" style="80" customWidth="1"/>
    <col min="15962" max="15962" width="1.07421875" style="80" customWidth="1"/>
    <col min="15963" max="15963" width="0.84375" style="80" customWidth="1"/>
    <col min="15964" max="15964" width="9.07421875" style="80" customWidth="1"/>
    <col min="15965" max="15965" width="1.07421875" style="80" customWidth="1"/>
    <col min="15966" max="15966" width="0.84375" style="80" customWidth="1"/>
    <col min="15967" max="15967" width="9.53515625" style="80" bestFit="1" customWidth="1"/>
    <col min="15968" max="15969" width="0.84375" style="80" customWidth="1"/>
    <col min="15970" max="15970" width="9.84375" style="80" customWidth="1"/>
    <col min="15971" max="15971" width="1.07421875" style="80" customWidth="1"/>
    <col min="15972" max="15972" width="8.53515625" style="80" customWidth="1"/>
    <col min="15973" max="15973" width="14.53515625" style="80" customWidth="1"/>
    <col min="15974" max="15974" width="10" style="80" customWidth="1"/>
    <col min="15975" max="15975" width="7.84375" style="80" bestFit="1" customWidth="1"/>
    <col min="15976" max="15976" width="9.84375" style="80" customWidth="1"/>
    <col min="15977" max="16199" width="8.84375" style="80"/>
    <col min="16200" max="16384" width="8.84375" style="80" customWidth="1"/>
  </cols>
  <sheetData>
    <row r="1" spans="1:36" ht="15.5">
      <c r="A1" s="284" t="s">
        <v>97</v>
      </c>
    </row>
    <row r="2" spans="1:36" ht="10.5" customHeight="1"/>
    <row r="3" spans="1:36" ht="18">
      <c r="A3" s="724" t="s">
        <v>98</v>
      </c>
      <c r="AI3" s="725" t="s">
        <v>539</v>
      </c>
    </row>
    <row r="4" spans="1:36" ht="18">
      <c r="A4" s="81" t="s">
        <v>540</v>
      </c>
    </row>
    <row r="5" spans="1:36" ht="18">
      <c r="A5" s="81" t="s">
        <v>444</v>
      </c>
      <c r="AB5" s="2069"/>
      <c r="AC5" s="2070"/>
      <c r="AD5" s="2070"/>
      <c r="AE5" s="1223"/>
      <c r="AF5" s="1223"/>
      <c r="AG5" s="1223"/>
      <c r="AH5" s="1223"/>
      <c r="AI5" s="1223"/>
    </row>
    <row r="6" spans="1:36" ht="18">
      <c r="A6" s="724" t="str">
        <f>'Cashflow Governmental'!A6</f>
        <v>FISCAL YEAR 2026-2027</v>
      </c>
    </row>
    <row r="7" spans="1:36" ht="18">
      <c r="A7" s="81" t="s">
        <v>102</v>
      </c>
    </row>
    <row r="8" spans="1:36" ht="18">
      <c r="A8" s="81"/>
      <c r="AJ8" s="80"/>
    </row>
    <row r="9" spans="1:36" ht="15.5">
      <c r="B9" s="1554"/>
      <c r="Z9" s="2066" t="str">
        <f>'Cashflow Governmental'!$AB$12</f>
        <v>1 Month Ended April 30</v>
      </c>
      <c r="AA9" s="2066"/>
      <c r="AB9" s="2066"/>
      <c r="AC9" s="2066"/>
      <c r="AD9" s="2066"/>
      <c r="AE9" s="2066"/>
      <c r="AF9" s="2066"/>
      <c r="AG9" s="2066"/>
      <c r="AH9" s="2066"/>
      <c r="AI9" s="2066"/>
      <c r="AJ9" s="80"/>
    </row>
    <row r="10" spans="1:36" ht="15.5">
      <c r="B10" s="726" t="str">
        <f>'Cashflow Governmental'!C13</f>
        <v>2026</v>
      </c>
      <c r="C10" s="83"/>
      <c r="D10" s="83"/>
      <c r="E10" s="83"/>
      <c r="F10" s="1130"/>
      <c r="G10" s="83"/>
      <c r="H10" s="83"/>
      <c r="I10" s="83"/>
      <c r="J10" s="83"/>
      <c r="K10" s="83"/>
      <c r="L10" s="83"/>
      <c r="M10" s="83"/>
      <c r="N10" s="83"/>
      <c r="O10" s="83"/>
      <c r="P10" s="83"/>
      <c r="Q10" s="83"/>
      <c r="R10" s="83"/>
      <c r="S10" s="83"/>
      <c r="T10" s="726">
        <f>'Cashflow Governmental'!U13</f>
        <v>2027</v>
      </c>
      <c r="U10" s="83"/>
      <c r="V10" s="83"/>
      <c r="W10" s="83"/>
      <c r="X10" s="726"/>
      <c r="Y10" s="83"/>
      <c r="Z10" s="83"/>
      <c r="AA10" s="83"/>
      <c r="AB10" s="83"/>
      <c r="AC10" s="83"/>
      <c r="AD10" s="83"/>
      <c r="AE10" s="83"/>
      <c r="AF10" s="83"/>
      <c r="AG10" s="727" t="s">
        <v>110</v>
      </c>
      <c r="AH10" s="728"/>
      <c r="AI10" s="729" t="s">
        <v>111</v>
      </c>
      <c r="AJ10" s="80"/>
    </row>
    <row r="11" spans="1:36" ht="15.5">
      <c r="B11" s="1054" t="s">
        <v>329</v>
      </c>
      <c r="C11" s="83"/>
      <c r="D11" s="1054" t="s">
        <v>330</v>
      </c>
      <c r="E11" s="726"/>
      <c r="F11" s="1055" t="s">
        <v>331</v>
      </c>
      <c r="G11" s="726"/>
      <c r="H11" s="1054" t="s">
        <v>332</v>
      </c>
      <c r="I11" s="726"/>
      <c r="J11" s="1054" t="s">
        <v>333</v>
      </c>
      <c r="K11" s="726"/>
      <c r="L11" s="1224" t="s">
        <v>445</v>
      </c>
      <c r="M11" s="726"/>
      <c r="N11" s="1054" t="s">
        <v>446</v>
      </c>
      <c r="O11" s="726"/>
      <c r="P11" s="1054" t="s">
        <v>336</v>
      </c>
      <c r="Q11" s="726"/>
      <c r="R11" s="1054" t="s">
        <v>337</v>
      </c>
      <c r="S11" s="83"/>
      <c r="T11" s="1054" t="s">
        <v>338</v>
      </c>
      <c r="U11" s="726"/>
      <c r="V11" s="1054" t="s">
        <v>339</v>
      </c>
      <c r="W11" s="726"/>
      <c r="X11" s="1054" t="s">
        <v>447</v>
      </c>
      <c r="Y11" s="726"/>
      <c r="Z11" s="726"/>
      <c r="AA11" s="1054" t="str">
        <f>'Cashflow Governmental'!AB14</f>
        <v>2026</v>
      </c>
      <c r="AB11" s="726"/>
      <c r="AC11" s="726"/>
      <c r="AD11" s="1054" t="str">
        <f>'Cashflow Governmental'!AE14</f>
        <v>2025</v>
      </c>
      <c r="AE11" s="726"/>
      <c r="AF11" s="726"/>
      <c r="AG11" s="1055" t="s">
        <v>112</v>
      </c>
      <c r="AH11" s="728"/>
      <c r="AI11" s="1055" t="s">
        <v>113</v>
      </c>
    </row>
    <row r="12" spans="1:36" ht="3" customHeight="1">
      <c r="B12" s="901"/>
      <c r="C12" s="737"/>
      <c r="D12" s="901"/>
      <c r="E12" s="901"/>
      <c r="F12" s="1056"/>
      <c r="G12" s="901"/>
      <c r="H12" s="901"/>
      <c r="I12" s="901"/>
      <c r="J12" s="901"/>
      <c r="K12" s="901"/>
      <c r="L12" s="1057"/>
      <c r="M12" s="901"/>
      <c r="N12" s="901"/>
      <c r="O12" s="901"/>
      <c r="P12" s="901"/>
      <c r="Q12" s="901"/>
      <c r="R12" s="901"/>
      <c r="S12" s="737"/>
      <c r="T12" s="1058"/>
      <c r="U12" s="901"/>
      <c r="V12" s="901"/>
      <c r="W12" s="901"/>
      <c r="X12" s="901"/>
      <c r="Y12" s="901"/>
      <c r="Z12" s="901"/>
      <c r="AA12" s="901"/>
      <c r="AB12" s="901"/>
      <c r="AC12" s="901"/>
      <c r="AD12" s="901"/>
      <c r="AE12" s="901"/>
      <c r="AF12" s="901"/>
      <c r="AG12" s="901"/>
      <c r="AH12" s="737"/>
      <c r="AI12" s="737"/>
    </row>
    <row r="13" spans="1:36" ht="15.5">
      <c r="A13" s="730" t="s">
        <v>541</v>
      </c>
      <c r="B13" s="82">
        <v>104.7</v>
      </c>
      <c r="C13" s="82"/>
      <c r="D13" s="731"/>
      <c r="E13" s="731"/>
      <c r="F13" s="731"/>
      <c r="G13" s="82"/>
      <c r="H13" s="731"/>
      <c r="I13" s="82"/>
      <c r="J13" s="731"/>
      <c r="K13" s="82"/>
      <c r="L13" s="731"/>
      <c r="M13" s="82"/>
      <c r="N13" s="731"/>
      <c r="O13" s="82"/>
      <c r="P13" s="731"/>
      <c r="Q13" s="731"/>
      <c r="R13" s="731"/>
      <c r="S13" s="731"/>
      <c r="T13" s="731"/>
      <c r="U13" s="731"/>
      <c r="V13" s="731"/>
      <c r="W13" s="731"/>
      <c r="X13" s="731"/>
      <c r="Y13" s="1238"/>
      <c r="Z13" s="82"/>
      <c r="AA13" s="82">
        <f>B13</f>
        <v>104.7</v>
      </c>
      <c r="AB13" s="1238"/>
      <c r="AC13" s="82"/>
      <c r="AD13" s="1949">
        <v>117.4</v>
      </c>
      <c r="AE13" s="1823"/>
      <c r="AF13" s="732"/>
      <c r="AG13" s="82">
        <f>ROUND(SUM(AA13-AD13),1)</f>
        <v>-12.7</v>
      </c>
      <c r="AH13" s="83"/>
      <c r="AI13" s="733">
        <f>ROUND(SUM(AG13/AD13),3)</f>
        <v>-0.108</v>
      </c>
      <c r="AJ13" s="1555"/>
    </row>
    <row r="14" spans="1:36" ht="12.75" customHeight="1">
      <c r="A14" s="737"/>
      <c r="B14" s="737"/>
      <c r="C14" s="737"/>
      <c r="D14" s="737"/>
      <c r="E14" s="737"/>
      <c r="F14" s="900"/>
      <c r="G14" s="737"/>
      <c r="H14" s="900"/>
      <c r="I14" s="737"/>
      <c r="J14" s="737"/>
      <c r="K14" s="737"/>
      <c r="L14" s="737"/>
      <c r="M14" s="737"/>
      <c r="N14" s="737"/>
      <c r="O14" s="737"/>
      <c r="P14" s="737"/>
      <c r="Q14" s="737"/>
      <c r="R14" s="737"/>
      <c r="S14" s="737"/>
      <c r="T14" s="737"/>
      <c r="U14" s="737"/>
      <c r="V14" s="737"/>
      <c r="W14" s="737"/>
      <c r="X14" s="737"/>
      <c r="Y14" s="1239"/>
      <c r="Z14" s="737"/>
      <c r="AA14" s="900"/>
      <c r="AB14" s="1240"/>
      <c r="AC14" s="900"/>
      <c r="AD14" s="553"/>
      <c r="AE14" s="901"/>
      <c r="AF14" s="902"/>
      <c r="AG14" s="900"/>
      <c r="AH14" s="737"/>
      <c r="AI14" s="737"/>
      <c r="AJ14" s="1555"/>
    </row>
    <row r="15" spans="1:36" ht="14.25" customHeight="1">
      <c r="A15" s="83" t="s">
        <v>114</v>
      </c>
      <c r="B15" s="737"/>
      <c r="C15" s="737"/>
      <c r="D15" s="737"/>
      <c r="E15" s="737"/>
      <c r="F15" s="900"/>
      <c r="G15" s="737"/>
      <c r="H15" s="900"/>
      <c r="I15" s="737"/>
      <c r="J15" s="737"/>
      <c r="K15" s="737"/>
      <c r="L15" s="737"/>
      <c r="M15" s="737"/>
      <c r="N15" s="737"/>
      <c r="O15" s="737"/>
      <c r="P15" s="737"/>
      <c r="Q15" s="737"/>
      <c r="R15" s="737"/>
      <c r="S15" s="737"/>
      <c r="T15" s="737"/>
      <c r="U15" s="737"/>
      <c r="V15" s="737"/>
      <c r="W15" s="737"/>
      <c r="X15" s="737"/>
      <c r="Y15" s="1239"/>
      <c r="Z15" s="737"/>
      <c r="AA15" s="900"/>
      <c r="AB15" s="1240"/>
      <c r="AC15" s="900"/>
      <c r="AD15" s="553"/>
      <c r="AE15" s="901"/>
      <c r="AF15" s="902"/>
      <c r="AG15" s="900"/>
      <c r="AH15" s="737"/>
      <c r="AI15" s="737"/>
      <c r="AJ15" s="1555"/>
    </row>
    <row r="16" spans="1:36" ht="14.25" customHeight="1">
      <c r="A16" s="1218" t="s">
        <v>342</v>
      </c>
      <c r="B16" s="62"/>
      <c r="C16" s="62"/>
      <c r="D16" s="62"/>
      <c r="E16" s="192"/>
      <c r="F16" s="62"/>
      <c r="G16" s="192"/>
      <c r="H16" s="62"/>
      <c r="I16" s="737"/>
      <c r="J16" s="737"/>
      <c r="K16" s="737"/>
      <c r="L16" s="737"/>
      <c r="M16" s="737"/>
      <c r="N16" s="737"/>
      <c r="O16" s="737"/>
      <c r="P16" s="737"/>
      <c r="Q16" s="737"/>
      <c r="R16" s="737"/>
      <c r="S16" s="737"/>
      <c r="T16" s="737"/>
      <c r="U16" s="737"/>
      <c r="V16" s="737"/>
      <c r="W16" s="737"/>
      <c r="X16" s="737"/>
      <c r="Y16" s="1239"/>
      <c r="Z16" s="737"/>
      <c r="AA16" s="900"/>
      <c r="AB16" s="1240"/>
      <c r="AC16" s="900"/>
      <c r="AD16" s="62"/>
      <c r="AE16" s="901"/>
      <c r="AF16" s="902"/>
      <c r="AG16" s="900"/>
      <c r="AH16" s="737"/>
      <c r="AI16" s="737"/>
      <c r="AJ16" s="1555"/>
    </row>
    <row r="17" spans="1:36" ht="14.25" customHeight="1">
      <c r="A17" s="413" t="s">
        <v>479</v>
      </c>
      <c r="B17" s="532">
        <f>AA17</f>
        <v>5227.2</v>
      </c>
      <c r="C17" s="513"/>
      <c r="D17" s="532"/>
      <c r="E17" s="513"/>
      <c r="F17" s="532"/>
      <c r="G17" s="513"/>
      <c r="H17" s="532"/>
      <c r="I17" s="553"/>
      <c r="J17" s="532"/>
      <c r="K17" s="553"/>
      <c r="L17" s="532"/>
      <c r="M17" s="553"/>
      <c r="N17" s="532"/>
      <c r="O17" s="553"/>
      <c r="P17" s="513"/>
      <c r="Q17" s="513"/>
      <c r="R17" s="513"/>
      <c r="S17" s="513"/>
      <c r="T17" s="513"/>
      <c r="U17" s="513"/>
      <c r="V17" s="513"/>
      <c r="W17" s="513"/>
      <c r="X17" s="513"/>
      <c r="Y17" s="1239"/>
      <c r="Z17" s="737"/>
      <c r="AA17" s="532">
        <v>5227.2</v>
      </c>
      <c r="AB17" s="276"/>
      <c r="AC17" s="1783"/>
      <c r="AD17" s="532">
        <v>4846.8</v>
      </c>
      <c r="AE17" s="901"/>
      <c r="AF17" s="902"/>
      <c r="AG17" s="940">
        <f>ROUND(SUM(AA17-AD17),1)</f>
        <v>380.4</v>
      </c>
      <c r="AH17" s="737"/>
      <c r="AI17" s="266">
        <f>ROUND(IF(AD17=0,0,AG17/ABS(AD17)),3)</f>
        <v>7.8E-2</v>
      </c>
      <c r="AJ17" s="1555"/>
    </row>
    <row r="18" spans="1:36" ht="6" customHeight="1">
      <c r="A18" s="413"/>
      <c r="B18" s="513"/>
      <c r="C18" s="532"/>
      <c r="D18" s="513"/>
      <c r="E18" s="532"/>
      <c r="F18" s="513"/>
      <c r="G18" s="291"/>
      <c r="H18" s="532"/>
      <c r="I18" s="737"/>
      <c r="J18" s="532"/>
      <c r="K18" s="737"/>
      <c r="L18" s="513"/>
      <c r="M18" s="737"/>
      <c r="N18" s="513"/>
      <c r="O18" s="737"/>
      <c r="P18" s="513"/>
      <c r="Q18" s="737"/>
      <c r="R18" s="513"/>
      <c r="S18" s="737"/>
      <c r="T18" s="513"/>
      <c r="U18" s="737"/>
      <c r="V18" s="513"/>
      <c r="W18" s="737"/>
      <c r="X18" s="513"/>
      <c r="Y18" s="1239"/>
      <c r="Z18" s="737"/>
      <c r="AA18" s="513"/>
      <c r="AB18" s="1240"/>
      <c r="AC18" s="900"/>
      <c r="AD18" s="513"/>
      <c r="AE18" s="901"/>
      <c r="AF18" s="902"/>
      <c r="AG18" s="940"/>
      <c r="AH18" s="737"/>
      <c r="AI18" s="266"/>
      <c r="AJ18" s="1555"/>
    </row>
    <row r="19" spans="1:36" ht="14.25" customHeight="1">
      <c r="A19" s="413" t="s">
        <v>354</v>
      </c>
      <c r="B19" s="13"/>
      <c r="C19" s="264"/>
      <c r="D19" s="513"/>
      <c r="E19" s="264"/>
      <c r="F19" s="513"/>
      <c r="G19" s="264"/>
      <c r="H19" s="532"/>
      <c r="I19" s="737"/>
      <c r="J19" s="532"/>
      <c r="K19" s="737"/>
      <c r="L19" s="513"/>
      <c r="M19" s="737"/>
      <c r="N19" s="513"/>
      <c r="O19" s="737"/>
      <c r="P19" s="513"/>
      <c r="Q19" s="737"/>
      <c r="R19" s="513"/>
      <c r="S19" s="737"/>
      <c r="T19" s="513"/>
      <c r="U19" s="737"/>
      <c r="V19" s="513"/>
      <c r="W19" s="737"/>
      <c r="X19" s="513"/>
      <c r="Y19" s="1239"/>
      <c r="Z19" s="737"/>
      <c r="AA19" s="13"/>
      <c r="AB19" s="1240"/>
      <c r="AC19" s="900"/>
      <c r="AD19" s="13"/>
      <c r="AE19" s="901"/>
      <c r="AF19" s="902"/>
      <c r="AG19" s="900"/>
      <c r="AH19" s="737"/>
      <c r="AI19" s="737"/>
      <c r="AJ19" s="1555"/>
    </row>
    <row r="20" spans="1:36" ht="14.25" customHeight="1">
      <c r="A20" s="284" t="s">
        <v>355</v>
      </c>
      <c r="B20" s="532">
        <f>AA20</f>
        <v>802.5</v>
      </c>
      <c r="C20" s="532"/>
      <c r="D20" s="532"/>
      <c r="E20" s="532"/>
      <c r="F20" s="532"/>
      <c r="G20" s="264"/>
      <c r="H20" s="532"/>
      <c r="I20" s="553"/>
      <c r="J20" s="532"/>
      <c r="K20" s="553"/>
      <c r="L20" s="532"/>
      <c r="M20" s="553"/>
      <c r="N20" s="532"/>
      <c r="O20" s="553"/>
      <c r="P20" s="513"/>
      <c r="Q20" s="553"/>
      <c r="R20" s="513"/>
      <c r="S20" s="553"/>
      <c r="T20" s="513"/>
      <c r="U20" s="553"/>
      <c r="V20" s="513"/>
      <c r="W20" s="553"/>
      <c r="X20" s="513"/>
      <c r="Y20" s="1239"/>
      <c r="Z20" s="737"/>
      <c r="AA20" s="1194">
        <v>802.5</v>
      </c>
      <c r="AB20" s="287"/>
      <c r="AC20" s="1769"/>
      <c r="AD20" s="1194">
        <v>737</v>
      </c>
      <c r="AE20" s="901"/>
      <c r="AF20" s="902"/>
      <c r="AG20" s="940">
        <f>ROUND(SUM(AA20-AD20),1)</f>
        <v>65.5</v>
      </c>
      <c r="AH20" s="737"/>
      <c r="AI20" s="266">
        <f>ROUND(IF(AD20=0,0,AG20/ABS(AD20)),3)</f>
        <v>8.8999999999999996E-2</v>
      </c>
      <c r="AJ20" s="1555"/>
    </row>
    <row r="21" spans="1:36" ht="14.25" customHeight="1">
      <c r="A21" s="83" t="s">
        <v>365</v>
      </c>
      <c r="B21" s="68">
        <f>ROUND(SUM(B20:B20),1)</f>
        <v>802.5</v>
      </c>
      <c r="C21" s="13"/>
      <c r="D21" s="68">
        <f>ROUND(SUM(D20:D20),1)</f>
        <v>0</v>
      </c>
      <c r="E21" s="13"/>
      <c r="F21" s="68">
        <f>ROUND(SUM(F20:F20),1)</f>
        <v>0</v>
      </c>
      <c r="G21" s="13"/>
      <c r="H21" s="68">
        <f>ROUND(SUM(H20:H20),1)</f>
        <v>0</v>
      </c>
      <c r="I21" s="737"/>
      <c r="J21" s="68">
        <f>ROUND(SUM(J20:J20),1)</f>
        <v>0</v>
      </c>
      <c r="K21" s="737"/>
      <c r="L21" s="68">
        <f>ROUND(SUM(L20:L20),1)</f>
        <v>0</v>
      </c>
      <c r="M21" s="737"/>
      <c r="N21" s="68">
        <f>ROUND(SUM(N20:N20),1)</f>
        <v>0</v>
      </c>
      <c r="O21" s="737"/>
      <c r="P21" s="68">
        <f>ROUND(SUM(P20:P20),1)</f>
        <v>0</v>
      </c>
      <c r="Q21" s="13"/>
      <c r="R21" s="68">
        <f>ROUND(SUM(R20:R20),1)</f>
        <v>0</v>
      </c>
      <c r="S21" s="737"/>
      <c r="T21" s="68">
        <f>ROUND(SUM(T20:T20),1)</f>
        <v>0</v>
      </c>
      <c r="U21" s="737"/>
      <c r="V21" s="68">
        <f>ROUND(SUM(V20:V20),1)</f>
        <v>0</v>
      </c>
      <c r="W21" s="737"/>
      <c r="X21" s="68">
        <f>ROUND(SUM(X20:X20),1)</f>
        <v>0</v>
      </c>
      <c r="Y21" s="1239"/>
      <c r="Z21" s="737"/>
      <c r="AA21" s="68">
        <f>ROUND(SUM(AA20:AA20),1)</f>
        <v>802.5</v>
      </c>
      <c r="AB21" s="1240"/>
      <c r="AC21" s="900"/>
      <c r="AD21" s="68">
        <f>ROUND(SUM(AD20:AD20),1)</f>
        <v>737</v>
      </c>
      <c r="AE21" s="901"/>
      <c r="AF21" s="902"/>
      <c r="AG21" s="1099">
        <f>ROUND(SUM(AA21-AD21),1)</f>
        <v>65.5</v>
      </c>
      <c r="AH21" s="83"/>
      <c r="AI21" s="538">
        <f>ROUND(IF(AD21=0,0,AG21/ABS(AD21)),3)</f>
        <v>8.8999999999999996E-2</v>
      </c>
      <c r="AJ21" s="1555"/>
    </row>
    <row r="22" spans="1:36" ht="14.25" customHeight="1">
      <c r="A22" s="413" t="s">
        <v>366</v>
      </c>
      <c r="B22" s="13"/>
      <c r="C22" s="13"/>
      <c r="D22" s="13"/>
      <c r="E22" s="13"/>
      <c r="F22" s="13"/>
      <c r="G22" s="13"/>
      <c r="H22" s="13"/>
      <c r="I22" s="737"/>
      <c r="J22" s="13"/>
      <c r="K22" s="737"/>
      <c r="L22" s="13"/>
      <c r="M22" s="737"/>
      <c r="N22" s="13"/>
      <c r="O22" s="737"/>
      <c r="P22" s="13"/>
      <c r="Q22" s="737"/>
      <c r="R22" s="13"/>
      <c r="S22" s="737"/>
      <c r="T22" s="13"/>
      <c r="U22" s="737"/>
      <c r="V22" s="13"/>
      <c r="W22" s="737"/>
      <c r="X22" s="13"/>
      <c r="Y22" s="1239"/>
      <c r="Z22" s="737"/>
      <c r="AA22" s="13"/>
      <c r="AB22" s="1240"/>
      <c r="AC22" s="900"/>
      <c r="AD22" s="13"/>
      <c r="AE22" s="901"/>
      <c r="AF22" s="902"/>
      <c r="AG22" s="414"/>
      <c r="AH22" s="83"/>
      <c r="AI22" s="281"/>
      <c r="AJ22" s="1555"/>
    </row>
    <row r="23" spans="1:36" ht="14.25" customHeight="1">
      <c r="A23" s="284" t="s">
        <v>371</v>
      </c>
      <c r="B23" s="532">
        <f>AA23</f>
        <v>24.4</v>
      </c>
      <c r="C23" s="264"/>
      <c r="D23" s="532"/>
      <c r="E23" s="264"/>
      <c r="F23" s="532"/>
      <c r="G23" s="264"/>
      <c r="H23" s="532"/>
      <c r="I23" s="737"/>
      <c r="J23" s="532"/>
      <c r="K23" s="737"/>
      <c r="L23" s="532"/>
      <c r="M23" s="737"/>
      <c r="N23" s="532"/>
      <c r="O23" s="737"/>
      <c r="P23" s="513"/>
      <c r="Q23" s="737"/>
      <c r="R23" s="513"/>
      <c r="S23" s="737"/>
      <c r="T23" s="513"/>
      <c r="U23" s="737"/>
      <c r="V23" s="513"/>
      <c r="W23" s="737"/>
      <c r="X23" s="513"/>
      <c r="Y23" s="1239"/>
      <c r="Z23" s="737"/>
      <c r="AA23" s="532">
        <v>24.4</v>
      </c>
      <c r="AB23" s="264"/>
      <c r="AC23" s="525" t="s">
        <v>103</v>
      </c>
      <c r="AD23" s="532">
        <v>40.200000000000003</v>
      </c>
      <c r="AE23" s="901"/>
      <c r="AF23" s="902"/>
      <c r="AG23" s="940">
        <f>ROUND(SUM(AA23-AD23),1)</f>
        <v>-15.8</v>
      </c>
      <c r="AH23" s="737"/>
      <c r="AI23" s="266">
        <f>ROUND(IF(AD23=0,1,AG23/ABS(AD23)),3)</f>
        <v>-0.39300000000000002</v>
      </c>
      <c r="AJ23" s="1555"/>
    </row>
    <row r="24" spans="1:36" ht="14.25" customHeight="1">
      <c r="A24" s="83" t="s">
        <v>373</v>
      </c>
      <c r="B24" s="68">
        <f>ROUND(SUM(B23),1)</f>
        <v>24.4</v>
      </c>
      <c r="C24" s="13"/>
      <c r="D24" s="68">
        <f>ROUND(SUM(D23),1)</f>
        <v>0</v>
      </c>
      <c r="E24" s="13"/>
      <c r="F24" s="68">
        <f>ROUND(SUM(F23),1)</f>
        <v>0</v>
      </c>
      <c r="G24" s="13"/>
      <c r="H24" s="68">
        <f>ROUND(SUM(H23),1)</f>
        <v>0</v>
      </c>
      <c r="I24" s="737"/>
      <c r="J24" s="68">
        <f>ROUND(SUM(J23),1)</f>
        <v>0</v>
      </c>
      <c r="K24" s="737"/>
      <c r="L24" s="68">
        <f>ROUND(SUM(L23),1)</f>
        <v>0</v>
      </c>
      <c r="M24" s="737"/>
      <c r="N24" s="68">
        <f>ROUND(SUM(N23),1)</f>
        <v>0</v>
      </c>
      <c r="O24" s="737"/>
      <c r="P24" s="68">
        <f>ROUND(SUM(P23),1)</f>
        <v>0</v>
      </c>
      <c r="Q24" s="13"/>
      <c r="R24" s="68">
        <f>ROUND(SUM(R23),1)</f>
        <v>0</v>
      </c>
      <c r="S24" s="737"/>
      <c r="T24" s="68">
        <f>ROUND(SUM(T23),1)</f>
        <v>0</v>
      </c>
      <c r="U24" s="737"/>
      <c r="V24" s="68">
        <f>ROUND(SUM(V23),1)</f>
        <v>0</v>
      </c>
      <c r="W24" s="737"/>
      <c r="X24" s="68">
        <f>ROUND(SUM(X23),1)</f>
        <v>0</v>
      </c>
      <c r="Y24" s="1239"/>
      <c r="Z24" s="737"/>
      <c r="AA24" s="68">
        <f>ROUND(SUM(AA23),1)</f>
        <v>24.4</v>
      </c>
      <c r="AB24" s="1240"/>
      <c r="AC24" s="900"/>
      <c r="AD24" s="68">
        <f>ROUND(SUM(AD23),1)</f>
        <v>40.200000000000003</v>
      </c>
      <c r="AE24" s="901"/>
      <c r="AF24" s="902"/>
      <c r="AG24" s="1099">
        <f>ROUND(SUM(AA24-AD24),1)</f>
        <v>-15.8</v>
      </c>
      <c r="AH24" s="83"/>
      <c r="AI24" s="538">
        <f>ROUND(IF(AD24=0,1,AG24/ABS(AD24)),3)</f>
        <v>-0.39300000000000002</v>
      </c>
      <c r="AJ24" s="1555"/>
    </row>
    <row r="25" spans="1:36" ht="14.25" customHeight="1">
      <c r="A25" s="413" t="s">
        <v>374</v>
      </c>
      <c r="B25" s="13"/>
      <c r="C25" s="13"/>
      <c r="D25" s="13"/>
      <c r="E25" s="13"/>
      <c r="F25" s="13"/>
      <c r="G25" s="13"/>
      <c r="H25" s="13"/>
      <c r="I25" s="737"/>
      <c r="J25" s="13"/>
      <c r="K25" s="737"/>
      <c r="L25" s="13"/>
      <c r="M25" s="737"/>
      <c r="N25" s="13"/>
      <c r="O25" s="737"/>
      <c r="P25" s="13"/>
      <c r="Q25" s="737"/>
      <c r="R25" s="13"/>
      <c r="S25" s="737"/>
      <c r="T25" s="13"/>
      <c r="U25" s="737"/>
      <c r="V25" s="13"/>
      <c r="W25" s="737"/>
      <c r="X25" s="13"/>
      <c r="Y25" s="1239"/>
      <c r="Z25" s="737"/>
      <c r="AA25" s="13"/>
      <c r="AB25" s="1240"/>
      <c r="AC25" s="900"/>
      <c r="AD25" s="13"/>
      <c r="AE25" s="901"/>
      <c r="AF25" s="902"/>
      <c r="AG25" s="900"/>
      <c r="AH25" s="737"/>
      <c r="AI25" s="737"/>
      <c r="AJ25" s="1555"/>
    </row>
    <row r="26" spans="1:36" ht="14.25" customHeight="1">
      <c r="A26" s="284" t="s">
        <v>378</v>
      </c>
      <c r="B26" s="532">
        <f>AA26</f>
        <v>118.6</v>
      </c>
      <c r="C26" s="532"/>
      <c r="D26" s="532"/>
      <c r="E26" s="532"/>
      <c r="F26" s="532"/>
      <c r="G26" s="13"/>
      <c r="H26" s="532"/>
      <c r="I26" s="553"/>
      <c r="J26" s="532"/>
      <c r="K26" s="553"/>
      <c r="L26" s="532"/>
      <c r="M26" s="553"/>
      <c r="N26" s="532"/>
      <c r="O26" s="553"/>
      <c r="P26" s="513"/>
      <c r="Q26" s="553"/>
      <c r="R26" s="513"/>
      <c r="S26" s="553"/>
      <c r="T26" s="513"/>
      <c r="U26" s="553"/>
      <c r="V26" s="513"/>
      <c r="W26" s="553"/>
      <c r="X26" s="513"/>
      <c r="Y26" s="1239"/>
      <c r="Z26" s="737"/>
      <c r="AA26" s="532">
        <v>118.6</v>
      </c>
      <c r="AB26" s="264">
        <f>'Exhibit F'!AD1121</f>
        <v>0</v>
      </c>
      <c r="AC26" s="525" t="s">
        <v>103</v>
      </c>
      <c r="AD26" s="532">
        <v>94.5</v>
      </c>
      <c r="AE26" s="901"/>
      <c r="AF26" s="902"/>
      <c r="AG26" s="940">
        <f>ROUND(SUM(AA26-AD26),1)</f>
        <v>24.1</v>
      </c>
      <c r="AH26" s="737"/>
      <c r="AI26" s="266">
        <f>ROUND(IF(AD26=0,0,AG26/ABS(AD26)),3)</f>
        <v>0.255</v>
      </c>
      <c r="AJ26" s="1555"/>
    </row>
    <row r="27" spans="1:36" ht="14.25" customHeight="1">
      <c r="A27" s="421" t="s">
        <v>380</v>
      </c>
      <c r="B27" s="532">
        <f>AA27</f>
        <v>0.1</v>
      </c>
      <c r="C27" s="264"/>
      <c r="D27" s="532"/>
      <c r="E27" s="264"/>
      <c r="F27" s="532"/>
      <c r="G27" s="264"/>
      <c r="H27" s="532"/>
      <c r="I27" s="737"/>
      <c r="J27" s="532"/>
      <c r="K27" s="737"/>
      <c r="L27" s="532"/>
      <c r="M27" s="737"/>
      <c r="N27" s="532"/>
      <c r="O27" s="737"/>
      <c r="P27" s="513"/>
      <c r="Q27" s="737"/>
      <c r="R27" s="513"/>
      <c r="S27" s="737"/>
      <c r="T27" s="513"/>
      <c r="U27" s="737"/>
      <c r="V27" s="513"/>
      <c r="W27" s="737"/>
      <c r="X27" s="513"/>
      <c r="Y27" s="1239"/>
      <c r="Z27" s="737"/>
      <c r="AA27" s="532">
        <v>0.1</v>
      </c>
      <c r="AB27" s="264"/>
      <c r="AC27" s="525" t="s">
        <v>103</v>
      </c>
      <c r="AD27" s="532">
        <v>0.2</v>
      </c>
      <c r="AE27" s="901"/>
      <c r="AF27" s="902"/>
      <c r="AG27" s="940">
        <f>ROUND(SUM(AA27-AD27),1)</f>
        <v>-0.1</v>
      </c>
      <c r="AH27" s="737"/>
      <c r="AI27" s="266">
        <f>ROUND(IF(AD27=0,1,AG27/ABS(AD27)),3)</f>
        <v>-0.5</v>
      </c>
      <c r="AJ27" s="1555"/>
    </row>
    <row r="28" spans="1:36" ht="14.25" customHeight="1">
      <c r="A28" s="83" t="s">
        <v>381</v>
      </c>
      <c r="B28" s="1100">
        <f>ROUND(SUM(B26:B27),1)</f>
        <v>118.7</v>
      </c>
      <c r="C28" s="13"/>
      <c r="D28" s="68">
        <f>ROUND(SUM(D26:D27),1)</f>
        <v>0</v>
      </c>
      <c r="E28" s="13"/>
      <c r="F28" s="68">
        <f>ROUND(SUM(F26:F27),1)</f>
        <v>0</v>
      </c>
      <c r="G28" s="13"/>
      <c r="H28" s="68">
        <f>ROUND(SUM(H26:H27),1)</f>
        <v>0</v>
      </c>
      <c r="I28" s="737"/>
      <c r="J28" s="68">
        <f>ROUND(SUM(J26:J27),1)</f>
        <v>0</v>
      </c>
      <c r="K28" s="737"/>
      <c r="L28" s="68">
        <f>ROUND(SUM(L26:L27),1)</f>
        <v>0</v>
      </c>
      <c r="M28" s="737"/>
      <c r="N28" s="68">
        <f>ROUND(SUM(N26:N27),1)</f>
        <v>0</v>
      </c>
      <c r="O28" s="737"/>
      <c r="P28" s="68">
        <f>ROUND(SUM(P26:P27),1)</f>
        <v>0</v>
      </c>
      <c r="Q28" s="13"/>
      <c r="R28" s="68">
        <f>ROUND(SUM(R26:R27),1)</f>
        <v>0</v>
      </c>
      <c r="S28" s="737"/>
      <c r="T28" s="68">
        <f>ROUND(SUM(T26:T27),1)</f>
        <v>0</v>
      </c>
      <c r="U28" s="737"/>
      <c r="V28" s="68">
        <f>ROUND(SUM(V26:V27),1)</f>
        <v>0</v>
      </c>
      <c r="W28" s="737"/>
      <c r="X28" s="68">
        <f>ROUND(SUM(X26:X27),1)</f>
        <v>0</v>
      </c>
      <c r="Y28" s="1239"/>
      <c r="Z28" s="737"/>
      <c r="AA28" s="68">
        <f>ROUND(SUM(AA26:AA27),1)</f>
        <v>118.7</v>
      </c>
      <c r="AB28" s="1240"/>
      <c r="AC28" s="900"/>
      <c r="AD28" s="68">
        <f>ROUND(SUM(AD26:AD27),1)</f>
        <v>94.7</v>
      </c>
      <c r="AE28" s="901"/>
      <c r="AF28" s="902"/>
      <c r="AG28" s="1099">
        <f>ROUND(SUM(AA28-AD28),1)</f>
        <v>24</v>
      </c>
      <c r="AH28" s="83"/>
      <c r="AI28" s="538">
        <f>ROUND(IF(AD28=0,0,AG28/ABS(AD28)),3)</f>
        <v>0.253</v>
      </c>
      <c r="AJ28" s="1555"/>
    </row>
    <row r="29" spans="1:36" ht="14.25" customHeight="1">
      <c r="A29" s="83"/>
      <c r="B29" s="1100"/>
      <c r="C29" s="13"/>
      <c r="D29" s="13"/>
      <c r="E29" s="13"/>
      <c r="F29" s="13"/>
      <c r="G29" s="13"/>
      <c r="H29" s="13"/>
      <c r="I29" s="737"/>
      <c r="J29" s="13"/>
      <c r="K29" s="737"/>
      <c r="L29" s="13"/>
      <c r="M29" s="737"/>
      <c r="N29" s="13"/>
      <c r="O29" s="737"/>
      <c r="P29" s="13"/>
      <c r="Q29" s="737"/>
      <c r="R29" s="13"/>
      <c r="S29" s="737"/>
      <c r="T29" s="13"/>
      <c r="U29" s="737"/>
      <c r="V29" s="13"/>
      <c r="W29" s="737"/>
      <c r="X29" s="13"/>
      <c r="Y29" s="1239"/>
      <c r="Z29" s="737"/>
      <c r="AA29" s="1100"/>
      <c r="AB29" s="1240"/>
      <c r="AC29" s="900"/>
      <c r="AD29" s="1100"/>
      <c r="AE29" s="901"/>
      <c r="AF29" s="902"/>
      <c r="AG29" s="900"/>
      <c r="AH29" s="737"/>
      <c r="AI29" s="737"/>
      <c r="AJ29" s="1555"/>
    </row>
    <row r="30" spans="1:36" ht="14.25" customHeight="1">
      <c r="A30" s="83" t="s">
        <v>382</v>
      </c>
      <c r="B30" s="709">
        <f>ROUND(SUM(B17+B21+B24+B28),1)</f>
        <v>6172.8</v>
      </c>
      <c r="C30" s="264"/>
      <c r="D30" s="709">
        <f>ROUND(SUM(D17+D21+D24+D28),1)</f>
        <v>0</v>
      </c>
      <c r="E30" s="264"/>
      <c r="F30" s="709">
        <f>ROUND(SUM(F17+F21+F24+F28),1)</f>
        <v>0</v>
      </c>
      <c r="G30" s="264"/>
      <c r="H30" s="709">
        <f>ROUND(SUM(H17+H21+H24+H28),1)</f>
        <v>0</v>
      </c>
      <c r="I30" s="737"/>
      <c r="J30" s="1019">
        <f>ROUND(SUM(J17+J21+J24+J28),1)</f>
        <v>0</v>
      </c>
      <c r="K30" s="737"/>
      <c r="L30" s="1019">
        <f>ROUND(SUM(L17+L21+L24+L28),1)</f>
        <v>0</v>
      </c>
      <c r="M30" s="737"/>
      <c r="N30" s="1019">
        <f>ROUND(SUM(N17+N21+N24+N28),1)</f>
        <v>0</v>
      </c>
      <c r="O30" s="737"/>
      <c r="P30" s="1019">
        <f>ROUND(SUM(P17+P21+P24+P28),1)</f>
        <v>0</v>
      </c>
      <c r="Q30" s="671"/>
      <c r="R30" s="1019">
        <f>ROUND(SUM(R17+R21+R24+R28),1)</f>
        <v>0</v>
      </c>
      <c r="S30" s="737"/>
      <c r="T30" s="1019">
        <f>ROUND(SUM(T17+T21+T24+T28),1)</f>
        <v>0</v>
      </c>
      <c r="U30" s="737"/>
      <c r="V30" s="1019">
        <f>ROUND(SUM(V17+V21+V24+V28),1)</f>
        <v>0</v>
      </c>
      <c r="W30" s="737"/>
      <c r="X30" s="1019">
        <f>ROUND(SUM(X17+X21+X24+X28),1)</f>
        <v>0</v>
      </c>
      <c r="Y30" s="1239"/>
      <c r="Z30" s="737"/>
      <c r="AA30" s="1019">
        <f>ROUND(SUM(AA17+AA21+AA24+AA28),1)</f>
        <v>6172.8</v>
      </c>
      <c r="AB30" s="1240"/>
      <c r="AC30" s="900"/>
      <c r="AD30" s="1019">
        <f>ROUND(SUM(AD17+AD21+AD24+AD28),1)</f>
        <v>5718.7</v>
      </c>
      <c r="AE30" s="901"/>
      <c r="AF30" s="902"/>
      <c r="AG30" s="1019">
        <f>ROUND(SUM(AG17+AG21+AG24+AG28),1)</f>
        <v>454.1</v>
      </c>
      <c r="AH30" s="83"/>
      <c r="AI30" s="539">
        <f>ROUND(IF(AD30=0,0,AG30/ABS(AD30)),3)</f>
        <v>7.9000000000000001E-2</v>
      </c>
      <c r="AJ30" s="1555"/>
    </row>
    <row r="31" spans="1:36" ht="14.25" customHeight="1">
      <c r="A31" s="1218"/>
      <c r="B31" s="264"/>
      <c r="C31" s="264"/>
      <c r="D31" s="264"/>
      <c r="E31" s="264"/>
      <c r="F31" s="264"/>
      <c r="G31" s="264"/>
      <c r="H31" s="264"/>
      <c r="I31" s="737"/>
      <c r="J31" s="264"/>
      <c r="K31" s="737"/>
      <c r="L31" s="264"/>
      <c r="M31" s="737"/>
      <c r="N31" s="264"/>
      <c r="O31" s="737"/>
      <c r="P31" s="264"/>
      <c r="Q31" s="737"/>
      <c r="R31" s="264"/>
      <c r="S31" s="737"/>
      <c r="T31" s="264"/>
      <c r="U31" s="737"/>
      <c r="V31" s="264"/>
      <c r="W31" s="737"/>
      <c r="X31" s="264"/>
      <c r="Y31" s="1239"/>
      <c r="Z31" s="737"/>
      <c r="AA31" s="264"/>
      <c r="AB31" s="1240"/>
      <c r="AC31" s="900"/>
      <c r="AD31" s="264"/>
      <c r="AE31" s="901"/>
      <c r="AF31" s="902"/>
      <c r="AG31" s="900"/>
      <c r="AH31" s="737"/>
      <c r="AI31" s="737"/>
      <c r="AJ31" s="1555"/>
    </row>
    <row r="32" spans="1:36" ht="14.25" customHeight="1">
      <c r="A32" s="1218" t="s">
        <v>383</v>
      </c>
      <c r="B32" s="667"/>
      <c r="C32" s="554"/>
      <c r="D32" s="554"/>
      <c r="E32" s="554"/>
      <c r="F32" s="554"/>
      <c r="G32" s="554"/>
      <c r="H32" s="554"/>
      <c r="I32" s="940"/>
      <c r="J32" s="940"/>
      <c r="K32" s="940"/>
      <c r="L32" s="940"/>
      <c r="M32" s="940"/>
      <c r="N32" s="940"/>
      <c r="O32" s="940"/>
      <c r="P32" s="940"/>
      <c r="Q32" s="940"/>
      <c r="R32" s="940"/>
      <c r="S32" s="940"/>
      <c r="T32" s="940"/>
      <c r="U32" s="940"/>
      <c r="V32" s="940"/>
      <c r="W32" s="940"/>
      <c r="X32" s="940"/>
      <c r="Y32" s="1241"/>
      <c r="Z32" s="940"/>
      <c r="AA32" s="667"/>
      <c r="AB32" s="1241"/>
      <c r="AC32" s="940"/>
      <c r="AD32" s="667"/>
      <c r="AE32" s="1059"/>
      <c r="AF32" s="939"/>
      <c r="AG32" s="940"/>
      <c r="AH32" s="737"/>
      <c r="AI32" s="1060"/>
      <c r="AJ32" s="1555"/>
    </row>
    <row r="33" spans="1:36" ht="14.25" customHeight="1">
      <c r="A33" s="350" t="s">
        <v>387</v>
      </c>
      <c r="B33" s="667"/>
      <c r="C33" s="554"/>
      <c r="D33" s="554"/>
      <c r="E33" s="554"/>
      <c r="F33" s="554"/>
      <c r="G33" s="554"/>
      <c r="H33" s="554"/>
      <c r="I33" s="940"/>
      <c r="J33" s="940"/>
      <c r="K33" s="940"/>
      <c r="L33" s="940"/>
      <c r="M33" s="940"/>
      <c r="N33" s="940"/>
      <c r="O33" s="940"/>
      <c r="P33" s="940"/>
      <c r="Q33" s="940"/>
      <c r="R33" s="940"/>
      <c r="S33" s="940"/>
      <c r="T33" s="940"/>
      <c r="U33" s="940"/>
      <c r="V33" s="940"/>
      <c r="W33" s="940"/>
      <c r="X33" s="940"/>
      <c r="Y33" s="1241"/>
      <c r="Z33" s="940"/>
      <c r="AA33" s="667"/>
      <c r="AB33" s="1241"/>
      <c r="AC33" s="940"/>
      <c r="AD33" s="667"/>
      <c r="AE33" s="1059"/>
      <c r="AF33" s="939"/>
      <c r="AG33" s="940"/>
      <c r="AH33" s="737"/>
      <c r="AI33" s="1060"/>
      <c r="AJ33" s="1555"/>
    </row>
    <row r="34" spans="1:36" ht="14.25" customHeight="1">
      <c r="A34" s="350" t="s">
        <v>389</v>
      </c>
      <c r="B34" s="532">
        <f>AA34</f>
        <v>0</v>
      </c>
      <c r="C34" s="554"/>
      <c r="D34" s="532"/>
      <c r="E34" s="554"/>
      <c r="F34" s="532"/>
      <c r="G34" s="554"/>
      <c r="H34" s="532"/>
      <c r="I34" s="553"/>
      <c r="J34" s="532"/>
      <c r="K34" s="553"/>
      <c r="L34" s="532"/>
      <c r="M34" s="553"/>
      <c r="N34" s="532"/>
      <c r="O34" s="553"/>
      <c r="P34" s="513"/>
      <c r="Q34" s="553"/>
      <c r="R34" s="513"/>
      <c r="S34" s="553"/>
      <c r="T34" s="513"/>
      <c r="U34" s="553"/>
      <c r="V34" s="513"/>
      <c r="W34" s="553"/>
      <c r="X34" s="513"/>
      <c r="Y34" s="1239"/>
      <c r="Z34" s="737"/>
      <c r="AA34" s="532">
        <v>0</v>
      </c>
      <c r="AB34" s="264"/>
      <c r="AC34" s="525" t="s">
        <v>103</v>
      </c>
      <c r="AD34" s="532">
        <v>0</v>
      </c>
      <c r="AE34" s="1059"/>
      <c r="AF34" s="939"/>
      <c r="AG34" s="940">
        <f>ROUND(SUM(AA34-AD34),1)</f>
        <v>0</v>
      </c>
      <c r="AH34" s="737"/>
      <c r="AI34" s="266">
        <f>ROUND(IF(AD34=0,0,AG34/ABS(AD34)),3)</f>
        <v>0</v>
      </c>
      <c r="AJ34" s="1555"/>
    </row>
    <row r="35" spans="1:36" ht="14.25" customHeight="1">
      <c r="A35" s="350" t="s">
        <v>392</v>
      </c>
      <c r="B35" s="532"/>
      <c r="C35" s="554"/>
      <c r="D35" s="513"/>
      <c r="E35" s="554"/>
      <c r="F35" s="532"/>
      <c r="G35" s="554"/>
      <c r="H35" s="532"/>
      <c r="I35" s="553"/>
      <c r="J35" s="532"/>
      <c r="K35" s="553"/>
      <c r="L35" s="532"/>
      <c r="M35" s="553"/>
      <c r="N35" s="532"/>
      <c r="O35" s="553"/>
      <c r="P35" s="513"/>
      <c r="Q35" s="553"/>
      <c r="R35" s="513"/>
      <c r="S35" s="553"/>
      <c r="T35" s="513"/>
      <c r="U35" s="553"/>
      <c r="V35" s="513"/>
      <c r="W35" s="553"/>
      <c r="X35" s="513"/>
      <c r="Y35" s="1239"/>
      <c r="Z35" s="737"/>
      <c r="AA35" s="513" t="s">
        <v>103</v>
      </c>
      <c r="AB35" s="1240"/>
      <c r="AC35" s="900"/>
      <c r="AD35" s="513" t="s">
        <v>103</v>
      </c>
      <c r="AE35" s="1059"/>
      <c r="AF35" s="939"/>
      <c r="AG35" s="940"/>
      <c r="AH35" s="737"/>
      <c r="AI35" s="1060"/>
      <c r="AJ35" s="1555"/>
    </row>
    <row r="36" spans="1:36" ht="14.25" customHeight="1">
      <c r="A36" s="350" t="s">
        <v>393</v>
      </c>
      <c r="B36" s="532">
        <f t="shared" ref="B36:B50" si="0">AA36</f>
        <v>0</v>
      </c>
      <c r="C36" s="554"/>
      <c r="D36" s="532"/>
      <c r="E36" s="554"/>
      <c r="F36" s="532"/>
      <c r="G36" s="554"/>
      <c r="H36" s="532"/>
      <c r="I36" s="553"/>
      <c r="J36" s="532"/>
      <c r="K36" s="553"/>
      <c r="L36" s="532"/>
      <c r="M36" s="553"/>
      <c r="N36" s="532"/>
      <c r="O36" s="553"/>
      <c r="P36" s="513"/>
      <c r="Q36" s="553"/>
      <c r="R36" s="513"/>
      <c r="S36" s="553"/>
      <c r="T36" s="513"/>
      <c r="U36" s="553"/>
      <c r="V36" s="513"/>
      <c r="W36" s="553"/>
      <c r="X36" s="513"/>
      <c r="Y36" s="1239"/>
      <c r="Z36" s="737"/>
      <c r="AA36" s="532">
        <v>0</v>
      </c>
      <c r="AB36" s="264"/>
      <c r="AC36" s="525" t="s">
        <v>103</v>
      </c>
      <c r="AD36" s="532">
        <v>0</v>
      </c>
      <c r="AE36" s="1059"/>
      <c r="AF36" s="939"/>
      <c r="AG36" s="940">
        <f t="shared" ref="AG36:AG46" si="1">ROUND(SUM(AA36-AD36),1)</f>
        <v>0</v>
      </c>
      <c r="AH36" s="737"/>
      <c r="AI36" s="266">
        <f t="shared" ref="AI36:AI46" si="2">ROUND(IF(AD36=0,0,AG36/ABS(AD36)),3)</f>
        <v>0</v>
      </c>
      <c r="AJ36" s="1555"/>
    </row>
    <row r="37" spans="1:36" ht="14.25" customHeight="1">
      <c r="A37" s="350" t="s">
        <v>395</v>
      </c>
      <c r="B37" s="532">
        <f t="shared" si="0"/>
        <v>0</v>
      </c>
      <c r="C37" s="554"/>
      <c r="D37" s="532"/>
      <c r="E37" s="554"/>
      <c r="F37" s="532"/>
      <c r="G37" s="554"/>
      <c r="H37" s="532"/>
      <c r="I37" s="553"/>
      <c r="J37" s="532"/>
      <c r="K37" s="553"/>
      <c r="L37" s="532"/>
      <c r="M37" s="553"/>
      <c r="N37" s="532"/>
      <c r="O37" s="553"/>
      <c r="P37" s="513"/>
      <c r="Q37" s="553"/>
      <c r="R37" s="513"/>
      <c r="S37" s="553"/>
      <c r="T37" s="513"/>
      <c r="U37" s="553"/>
      <c r="V37" s="513"/>
      <c r="W37" s="553"/>
      <c r="X37" s="513"/>
      <c r="Y37" s="1239"/>
      <c r="Z37" s="737"/>
      <c r="AA37" s="532">
        <v>0</v>
      </c>
      <c r="AB37" s="264"/>
      <c r="AC37" s="525" t="s">
        <v>103</v>
      </c>
      <c r="AD37" s="532">
        <v>0</v>
      </c>
      <c r="AE37" s="1059"/>
      <c r="AF37" s="939"/>
      <c r="AG37" s="940">
        <f t="shared" si="1"/>
        <v>0</v>
      </c>
      <c r="AH37" s="737"/>
      <c r="AI37" s="266">
        <f t="shared" si="2"/>
        <v>0</v>
      </c>
      <c r="AJ37" s="1555"/>
    </row>
    <row r="38" spans="1:36" ht="14.25" customHeight="1">
      <c r="A38" s="350" t="s">
        <v>396</v>
      </c>
      <c r="B38" s="532">
        <f t="shared" si="0"/>
        <v>0</v>
      </c>
      <c r="C38" s="554"/>
      <c r="D38" s="532"/>
      <c r="E38" s="554"/>
      <c r="F38" s="532"/>
      <c r="G38" s="554"/>
      <c r="H38" s="532"/>
      <c r="I38" s="553"/>
      <c r="J38" s="532"/>
      <c r="K38" s="553"/>
      <c r="L38" s="532"/>
      <c r="M38" s="553"/>
      <c r="N38" s="532"/>
      <c r="O38" s="553"/>
      <c r="P38" s="513"/>
      <c r="Q38" s="553"/>
      <c r="R38" s="513"/>
      <c r="S38" s="553"/>
      <c r="T38" s="513"/>
      <c r="U38" s="553"/>
      <c r="V38" s="513"/>
      <c r="W38" s="553"/>
      <c r="X38" s="513"/>
      <c r="Y38" s="1239"/>
      <c r="Z38" s="737"/>
      <c r="AA38" s="532">
        <v>0</v>
      </c>
      <c r="AB38" s="264"/>
      <c r="AC38" s="525" t="s">
        <v>103</v>
      </c>
      <c r="AD38" s="532">
        <v>0</v>
      </c>
      <c r="AE38" s="1059"/>
      <c r="AF38" s="939"/>
      <c r="AG38" s="940">
        <f t="shared" si="1"/>
        <v>0</v>
      </c>
      <c r="AH38" s="737"/>
      <c r="AI38" s="266">
        <f t="shared" si="2"/>
        <v>0</v>
      </c>
      <c r="AJ38" s="1555"/>
    </row>
    <row r="39" spans="1:36" ht="14.25" customHeight="1">
      <c r="A39" s="350" t="s">
        <v>397</v>
      </c>
      <c r="B39" s="532">
        <f t="shared" si="0"/>
        <v>0</v>
      </c>
      <c r="C39" s="554"/>
      <c r="D39" s="532"/>
      <c r="E39" s="554"/>
      <c r="F39" s="532"/>
      <c r="G39" s="554"/>
      <c r="H39" s="532"/>
      <c r="I39" s="553"/>
      <c r="J39" s="532"/>
      <c r="K39" s="553"/>
      <c r="L39" s="532"/>
      <c r="M39" s="553"/>
      <c r="N39" s="532"/>
      <c r="O39" s="553"/>
      <c r="P39" s="513"/>
      <c r="Q39" s="553"/>
      <c r="R39" s="513"/>
      <c r="S39" s="553"/>
      <c r="T39" s="513"/>
      <c r="U39" s="553"/>
      <c r="V39" s="513"/>
      <c r="W39" s="553"/>
      <c r="X39" s="513"/>
      <c r="Y39" s="1239"/>
      <c r="Z39" s="737"/>
      <c r="AA39" s="532">
        <v>0</v>
      </c>
      <c r="AB39" s="264"/>
      <c r="AC39" s="525" t="s">
        <v>103</v>
      </c>
      <c r="AD39" s="532">
        <v>0</v>
      </c>
      <c r="AE39" s="1059"/>
      <c r="AF39" s="939"/>
      <c r="AG39" s="940">
        <f t="shared" si="1"/>
        <v>0</v>
      </c>
      <c r="AH39" s="737"/>
      <c r="AI39" s="266">
        <f t="shared" si="2"/>
        <v>0</v>
      </c>
      <c r="AJ39" s="1555"/>
    </row>
    <row r="40" spans="1:36" ht="14.25" customHeight="1">
      <c r="A40" s="350" t="s">
        <v>398</v>
      </c>
      <c r="B40" s="532">
        <f t="shared" si="0"/>
        <v>0</v>
      </c>
      <c r="C40" s="554"/>
      <c r="D40" s="532"/>
      <c r="E40" s="554"/>
      <c r="F40" s="532"/>
      <c r="G40" s="554"/>
      <c r="H40" s="532"/>
      <c r="I40" s="553"/>
      <c r="J40" s="532"/>
      <c r="K40" s="553"/>
      <c r="L40" s="532"/>
      <c r="M40" s="553"/>
      <c r="N40" s="532"/>
      <c r="O40" s="553"/>
      <c r="P40" s="513"/>
      <c r="Q40" s="553"/>
      <c r="R40" s="513"/>
      <c r="S40" s="553"/>
      <c r="T40" s="513"/>
      <c r="U40" s="553"/>
      <c r="V40" s="513"/>
      <c r="W40" s="553"/>
      <c r="X40" s="513"/>
      <c r="Y40" s="1239"/>
      <c r="Z40" s="737"/>
      <c r="AA40" s="532">
        <v>0</v>
      </c>
      <c r="AB40" s="264"/>
      <c r="AC40" s="525" t="s">
        <v>103</v>
      </c>
      <c r="AD40" s="532">
        <v>0</v>
      </c>
      <c r="AE40" s="1059"/>
      <c r="AF40" s="939"/>
      <c r="AG40" s="940">
        <f>ROUND(SUM(AA40-AD40),1)</f>
        <v>0</v>
      </c>
      <c r="AH40" s="737"/>
      <c r="AI40" s="266">
        <f t="shared" si="2"/>
        <v>0</v>
      </c>
      <c r="AJ40" s="1555"/>
    </row>
    <row r="41" spans="1:36" ht="14.25" customHeight="1">
      <c r="A41" s="350" t="s">
        <v>399</v>
      </c>
      <c r="B41" s="532">
        <f t="shared" si="0"/>
        <v>0</v>
      </c>
      <c r="C41" s="554"/>
      <c r="D41" s="532"/>
      <c r="E41" s="554"/>
      <c r="F41" s="532"/>
      <c r="G41" s="554"/>
      <c r="H41" s="532"/>
      <c r="I41" s="553"/>
      <c r="J41" s="532"/>
      <c r="K41" s="553"/>
      <c r="L41" s="532"/>
      <c r="M41" s="553"/>
      <c r="N41" s="532"/>
      <c r="O41" s="553"/>
      <c r="P41" s="513"/>
      <c r="Q41" s="553"/>
      <c r="R41" s="513"/>
      <c r="S41" s="553"/>
      <c r="T41" s="513"/>
      <c r="U41" s="553"/>
      <c r="V41" s="513"/>
      <c r="W41" s="553"/>
      <c r="X41" s="513"/>
      <c r="Y41" s="1239"/>
      <c r="Z41" s="737"/>
      <c r="AA41" s="532">
        <v>0</v>
      </c>
      <c r="AB41" s="264"/>
      <c r="AC41" s="525" t="s">
        <v>103</v>
      </c>
      <c r="AD41" s="532">
        <v>0</v>
      </c>
      <c r="AE41" s="1059"/>
      <c r="AF41" s="939"/>
      <c r="AG41" s="940">
        <f t="shared" si="1"/>
        <v>0</v>
      </c>
      <c r="AH41" s="737"/>
      <c r="AI41" s="266">
        <f t="shared" si="2"/>
        <v>0</v>
      </c>
      <c r="AJ41" s="1555"/>
    </row>
    <row r="42" spans="1:36" ht="14.25" customHeight="1">
      <c r="A42" s="350" t="s">
        <v>406</v>
      </c>
      <c r="B42" s="532">
        <f t="shared" si="0"/>
        <v>0</v>
      </c>
      <c r="C42" s="554"/>
      <c r="D42" s="532"/>
      <c r="E42" s="554"/>
      <c r="F42" s="532"/>
      <c r="G42" s="554"/>
      <c r="H42" s="532"/>
      <c r="I42" s="553"/>
      <c r="J42" s="532"/>
      <c r="K42" s="553"/>
      <c r="L42" s="532"/>
      <c r="M42" s="553"/>
      <c r="N42" s="532"/>
      <c r="O42" s="553"/>
      <c r="P42" s="513"/>
      <c r="Q42" s="553"/>
      <c r="R42" s="513"/>
      <c r="S42" s="553"/>
      <c r="T42" s="513"/>
      <c r="U42" s="553"/>
      <c r="V42" s="513"/>
      <c r="W42" s="553"/>
      <c r="X42" s="513"/>
      <c r="Y42" s="1239"/>
      <c r="Z42" s="737"/>
      <c r="AA42" s="532">
        <v>0</v>
      </c>
      <c r="AB42" s="1234"/>
      <c r="AC42" s="264" t="s">
        <v>103</v>
      </c>
      <c r="AD42" s="532">
        <v>0.19999999999999998</v>
      </c>
      <c r="AE42" s="1059"/>
      <c r="AF42" s="939"/>
      <c r="AG42" s="940">
        <f t="shared" si="1"/>
        <v>-0.2</v>
      </c>
      <c r="AH42" s="737"/>
      <c r="AI42" s="266">
        <f>ROUND(IF(AD42=0,1,AG42/ABS(AD42)),3)</f>
        <v>-1</v>
      </c>
      <c r="AJ42" s="1555"/>
    </row>
    <row r="43" spans="1:36" ht="14.25" customHeight="1">
      <c r="A43" s="350" t="s">
        <v>407</v>
      </c>
      <c r="B43" s="532">
        <f t="shared" si="0"/>
        <v>0</v>
      </c>
      <c r="C43" s="554"/>
      <c r="D43" s="532"/>
      <c r="E43" s="554"/>
      <c r="F43" s="532"/>
      <c r="G43" s="554"/>
      <c r="H43" s="532"/>
      <c r="I43" s="553"/>
      <c r="J43" s="532"/>
      <c r="K43" s="553"/>
      <c r="L43" s="532"/>
      <c r="M43" s="553"/>
      <c r="N43" s="532"/>
      <c r="O43" s="553"/>
      <c r="P43" s="513"/>
      <c r="Q43" s="553"/>
      <c r="R43" s="513"/>
      <c r="S43" s="553"/>
      <c r="T43" s="513"/>
      <c r="U43" s="553"/>
      <c r="V43" s="513"/>
      <c r="W43" s="553"/>
      <c r="X43" s="513"/>
      <c r="Y43" s="1239"/>
      <c r="Z43" s="737"/>
      <c r="AA43" s="532">
        <v>0</v>
      </c>
      <c r="AB43" s="264"/>
      <c r="AC43" s="525" t="s">
        <v>103</v>
      </c>
      <c r="AD43" s="532">
        <v>0</v>
      </c>
      <c r="AE43" s="1059"/>
      <c r="AF43" s="939"/>
      <c r="AG43" s="940">
        <f>ROUND(SUM(AA43-AD43),1)</f>
        <v>0</v>
      </c>
      <c r="AH43" s="737"/>
      <c r="AI43" s="266">
        <f>ROUND(IF(AD43=0,0,AG43/ABS(AD43)),3)</f>
        <v>0</v>
      </c>
      <c r="AJ43" s="1555"/>
    </row>
    <row r="44" spans="1:36" ht="14.25" customHeight="1">
      <c r="A44" s="350" t="s">
        <v>408</v>
      </c>
      <c r="B44" s="532"/>
      <c r="C44" s="554"/>
      <c r="D44" s="532"/>
      <c r="E44" s="554"/>
      <c r="F44" s="532"/>
      <c r="G44" s="554"/>
      <c r="H44" s="532"/>
      <c r="I44" s="553"/>
      <c r="J44" s="532"/>
      <c r="K44" s="553"/>
      <c r="L44" s="532"/>
      <c r="M44" s="553"/>
      <c r="N44" s="532"/>
      <c r="O44" s="553"/>
      <c r="P44" s="513"/>
      <c r="Q44" s="553"/>
      <c r="R44" s="513"/>
      <c r="S44" s="553"/>
      <c r="T44" s="513"/>
      <c r="U44" s="553"/>
      <c r="V44" s="513"/>
      <c r="W44" s="553"/>
      <c r="X44" s="513"/>
      <c r="Y44" s="1239"/>
      <c r="Z44" s="737"/>
      <c r="AA44" s="513" t="s">
        <v>103</v>
      </c>
      <c r="AB44" s="1240"/>
      <c r="AC44" s="900" t="s">
        <v>103</v>
      </c>
      <c r="AD44" s="513" t="s">
        <v>103</v>
      </c>
      <c r="AE44" s="1059"/>
      <c r="AF44" s="939" t="s">
        <v>103</v>
      </c>
      <c r="AG44" s="940" t="s">
        <v>103</v>
      </c>
      <c r="AH44" s="737"/>
      <c r="AI44" s="266" t="s">
        <v>103</v>
      </c>
      <c r="AJ44" s="1555"/>
    </row>
    <row r="45" spans="1:36" ht="14.25" customHeight="1">
      <c r="A45" s="350" t="s">
        <v>494</v>
      </c>
      <c r="B45" s="532">
        <f t="shared" si="0"/>
        <v>0</v>
      </c>
      <c r="C45" s="554"/>
      <c r="D45" s="532"/>
      <c r="E45" s="554"/>
      <c r="F45" s="532"/>
      <c r="G45" s="554"/>
      <c r="H45" s="532"/>
      <c r="I45" s="553"/>
      <c r="J45" s="532"/>
      <c r="K45" s="553"/>
      <c r="L45" s="532"/>
      <c r="M45" s="553"/>
      <c r="N45" s="532"/>
      <c r="O45" s="553"/>
      <c r="P45" s="513"/>
      <c r="Q45" s="553"/>
      <c r="R45" s="513"/>
      <c r="S45" s="553"/>
      <c r="T45" s="513"/>
      <c r="U45" s="553"/>
      <c r="V45" s="513"/>
      <c r="W45" s="553"/>
      <c r="X45" s="513"/>
      <c r="Y45" s="1239"/>
      <c r="Z45" s="737"/>
      <c r="AA45" s="532">
        <v>0</v>
      </c>
      <c r="AB45" s="264"/>
      <c r="AC45" s="525"/>
      <c r="AD45" s="532">
        <v>0</v>
      </c>
      <c r="AE45" s="1059"/>
      <c r="AF45" s="939"/>
      <c r="AG45" s="940">
        <f>ROUND(SUM(AA45-AD45),1)</f>
        <v>0</v>
      </c>
      <c r="AH45" s="737"/>
      <c r="AI45" s="266">
        <f>ROUND(IF(AD45=0,0,AG45/ABS(AD45)),3)</f>
        <v>0</v>
      </c>
      <c r="AJ45" s="1555"/>
    </row>
    <row r="46" spans="1:36" ht="14.25" customHeight="1">
      <c r="A46" s="350" t="s">
        <v>413</v>
      </c>
      <c r="B46" s="532">
        <f t="shared" si="0"/>
        <v>0</v>
      </c>
      <c r="C46" s="554"/>
      <c r="D46" s="532"/>
      <c r="E46" s="554"/>
      <c r="F46" s="532"/>
      <c r="G46" s="554"/>
      <c r="H46" s="532"/>
      <c r="I46" s="553"/>
      <c r="J46" s="532"/>
      <c r="K46" s="553"/>
      <c r="L46" s="532"/>
      <c r="M46" s="553"/>
      <c r="N46" s="532"/>
      <c r="O46" s="553"/>
      <c r="P46" s="513"/>
      <c r="Q46" s="553"/>
      <c r="R46" s="513"/>
      <c r="S46" s="553"/>
      <c r="T46" s="513"/>
      <c r="U46" s="553"/>
      <c r="V46" s="513"/>
      <c r="W46" s="553"/>
      <c r="X46" s="513"/>
      <c r="Y46" s="1239"/>
      <c r="Z46" s="737"/>
      <c r="AA46" s="532">
        <v>0</v>
      </c>
      <c r="AB46" s="264"/>
      <c r="AC46" s="525" t="s">
        <v>103</v>
      </c>
      <c r="AD46" s="532">
        <v>0</v>
      </c>
      <c r="AE46" s="1059"/>
      <c r="AF46" s="939"/>
      <c r="AG46" s="940">
        <f t="shared" si="1"/>
        <v>0</v>
      </c>
      <c r="AH46" s="737"/>
      <c r="AI46" s="266">
        <f t="shared" si="2"/>
        <v>0</v>
      </c>
      <c r="AJ46" s="1555"/>
    </row>
    <row r="47" spans="1:36" ht="14.25" customHeight="1">
      <c r="A47" s="350" t="s">
        <v>414</v>
      </c>
      <c r="B47" s="532"/>
      <c r="C47" s="554"/>
      <c r="D47" s="532"/>
      <c r="E47" s="554"/>
      <c r="F47" s="532"/>
      <c r="G47" s="554"/>
      <c r="H47" s="532"/>
      <c r="I47" s="553"/>
      <c r="J47" s="532"/>
      <c r="K47" s="553"/>
      <c r="L47" s="532"/>
      <c r="M47" s="553"/>
      <c r="N47" s="532"/>
      <c r="O47" s="553"/>
      <c r="P47" s="513"/>
      <c r="Q47" s="553"/>
      <c r="R47" s="513"/>
      <c r="S47" s="553"/>
      <c r="T47" s="513"/>
      <c r="U47" s="553"/>
      <c r="V47" s="513"/>
      <c r="W47" s="553"/>
      <c r="X47" s="513"/>
      <c r="Y47" s="1239"/>
      <c r="Z47" s="737"/>
      <c r="AA47" s="513" t="s">
        <v>103</v>
      </c>
      <c r="AB47" s="1240"/>
      <c r="AC47" s="900"/>
      <c r="AD47" s="513" t="s">
        <v>103</v>
      </c>
      <c r="AE47" s="1059"/>
      <c r="AF47" s="939"/>
      <c r="AG47" s="940"/>
      <c r="AH47" s="737"/>
      <c r="AI47" s="1060"/>
      <c r="AJ47" s="1555"/>
    </row>
    <row r="48" spans="1:36" ht="14.25" customHeight="1">
      <c r="A48" s="350" t="s">
        <v>542</v>
      </c>
      <c r="B48" s="532">
        <f t="shared" si="0"/>
        <v>83.5</v>
      </c>
      <c r="C48" s="554"/>
      <c r="D48" s="532"/>
      <c r="E48" s="554"/>
      <c r="F48" s="532"/>
      <c r="G48" s="554"/>
      <c r="H48" s="532"/>
      <c r="I48" s="553"/>
      <c r="J48" s="532"/>
      <c r="K48" s="553"/>
      <c r="L48" s="532"/>
      <c r="M48" s="553"/>
      <c r="N48" s="532"/>
      <c r="O48" s="553"/>
      <c r="P48" s="513"/>
      <c r="Q48" s="553"/>
      <c r="R48" s="513"/>
      <c r="S48" s="553"/>
      <c r="T48" s="513"/>
      <c r="U48" s="553"/>
      <c r="V48" s="513"/>
      <c r="W48" s="553"/>
      <c r="X48" s="513"/>
      <c r="Y48" s="1239"/>
      <c r="Z48" s="737"/>
      <c r="AA48" s="532">
        <v>83.5</v>
      </c>
      <c r="AB48" s="264"/>
      <c r="AC48" s="525" t="s">
        <v>103</v>
      </c>
      <c r="AD48" s="532">
        <v>97.2</v>
      </c>
      <c r="AE48" s="1059"/>
      <c r="AF48" s="939"/>
      <c r="AG48" s="940">
        <f>ROUND(SUM(AA48-AD48),1)</f>
        <v>-13.7</v>
      </c>
      <c r="AH48" s="737"/>
      <c r="AI48" s="543">
        <f>ROUND(IF(AD48=0,0,AG48/ABS(AD48)),3)</f>
        <v>-0.14099999999999999</v>
      </c>
      <c r="AJ48" s="1555"/>
    </row>
    <row r="49" spans="1:36" ht="14.25" customHeight="1">
      <c r="A49" s="350" t="s">
        <v>423</v>
      </c>
      <c r="B49" s="532">
        <f t="shared" si="0"/>
        <v>0</v>
      </c>
      <c r="C49" s="554"/>
      <c r="D49" s="532"/>
      <c r="E49" s="554"/>
      <c r="F49" s="532"/>
      <c r="G49" s="554"/>
      <c r="H49" s="532"/>
      <c r="I49" s="553"/>
      <c r="J49" s="532"/>
      <c r="K49" s="553"/>
      <c r="L49" s="532"/>
      <c r="M49" s="553"/>
      <c r="N49" s="532"/>
      <c r="O49" s="553"/>
      <c r="P49" s="513"/>
      <c r="Q49" s="553"/>
      <c r="R49" s="513"/>
      <c r="S49" s="553"/>
      <c r="T49" s="513"/>
      <c r="U49" s="553"/>
      <c r="V49" s="513"/>
      <c r="W49" s="553"/>
      <c r="X49" s="513"/>
      <c r="Y49" s="1239"/>
      <c r="Z49" s="737"/>
      <c r="AA49" s="532">
        <v>0</v>
      </c>
      <c r="AB49" s="264"/>
      <c r="AC49" s="525" t="s">
        <v>103</v>
      </c>
      <c r="AD49" s="532">
        <v>0</v>
      </c>
      <c r="AE49" s="1059"/>
      <c r="AF49" s="939"/>
      <c r="AG49" s="940">
        <f>ROUND(SUM(AA49-AD49),1)</f>
        <v>0</v>
      </c>
      <c r="AH49" s="737"/>
      <c r="AI49" s="266">
        <f>ROUND(IF(AD49=0,0,AG49/ABS(AD49)),3)</f>
        <v>0</v>
      </c>
      <c r="AJ49" s="1555"/>
    </row>
    <row r="50" spans="1:36" ht="14.25" customHeight="1">
      <c r="A50" s="350" t="s">
        <v>424</v>
      </c>
      <c r="B50" s="532">
        <f t="shared" si="0"/>
        <v>0</v>
      </c>
      <c r="C50" s="554"/>
      <c r="D50" s="532"/>
      <c r="E50" s="554"/>
      <c r="F50" s="532"/>
      <c r="G50" s="554"/>
      <c r="H50" s="532"/>
      <c r="I50" s="553"/>
      <c r="J50" s="532"/>
      <c r="K50" s="553"/>
      <c r="L50" s="532"/>
      <c r="M50" s="553"/>
      <c r="N50" s="532"/>
      <c r="O50" s="553"/>
      <c r="P50" s="513"/>
      <c r="Q50" s="553"/>
      <c r="R50" s="513"/>
      <c r="S50" s="553"/>
      <c r="T50" s="513"/>
      <c r="U50" s="553"/>
      <c r="V50" s="513"/>
      <c r="W50" s="553"/>
      <c r="X50" s="513"/>
      <c r="Y50" s="1239"/>
      <c r="Z50" s="737"/>
      <c r="AA50" s="532">
        <v>0</v>
      </c>
      <c r="AB50" s="264"/>
      <c r="AC50" s="525" t="s">
        <v>103</v>
      </c>
      <c r="AD50" s="532">
        <v>0</v>
      </c>
      <c r="AE50" s="1059"/>
      <c r="AF50" s="939"/>
      <c r="AG50" s="940">
        <f>ROUND(SUM(AA50-AD50),1)</f>
        <v>0</v>
      </c>
      <c r="AH50" s="737"/>
      <c r="AI50" s="266">
        <f>ROUND(IF(AD50=0,0,AG50/ABS(AD50)),3)</f>
        <v>0</v>
      </c>
      <c r="AJ50" s="1555"/>
    </row>
    <row r="51" spans="1:36" s="736" customFormat="1" ht="15.5">
      <c r="A51" s="83" t="s">
        <v>426</v>
      </c>
      <c r="B51" s="68">
        <f>ROUND(SUM(B34:B50),1)</f>
        <v>83.5</v>
      </c>
      <c r="C51" s="734"/>
      <c r="D51" s="68">
        <f>ROUND(SUM(D34:D50),1)</f>
        <v>0</v>
      </c>
      <c r="E51" s="734"/>
      <c r="F51" s="68">
        <f>ROUND(SUM(F34:F50),1)</f>
        <v>0</v>
      </c>
      <c r="G51" s="734"/>
      <c r="H51" s="68">
        <f>ROUND(SUM(H34:H50),1)</f>
        <v>0</v>
      </c>
      <c r="I51" s="414"/>
      <c r="J51" s="68">
        <f>ROUND(SUM(J34:J50),1)</f>
        <v>0</v>
      </c>
      <c r="K51" s="414"/>
      <c r="L51" s="68">
        <f>ROUND(SUM(L34:L50),1)</f>
        <v>0</v>
      </c>
      <c r="M51" s="414"/>
      <c r="N51" s="68">
        <f>ROUND(SUM(N34:N50),1)</f>
        <v>0</v>
      </c>
      <c r="O51" s="414"/>
      <c r="P51" s="68">
        <f>ROUND(SUM(P34:P50),1)</f>
        <v>0</v>
      </c>
      <c r="Q51" s="13"/>
      <c r="R51" s="68">
        <f>ROUND(SUM(R34:R50),1)</f>
        <v>0</v>
      </c>
      <c r="S51" s="414"/>
      <c r="T51" s="68">
        <f>ROUND(SUM(T34:T50),1)</f>
        <v>0</v>
      </c>
      <c r="U51" s="414"/>
      <c r="V51" s="68">
        <f>ROUND(SUM(V34:V50),1)</f>
        <v>0</v>
      </c>
      <c r="W51" s="414"/>
      <c r="X51" s="68">
        <f>ROUND(SUM(X34:X50),1)</f>
        <v>0</v>
      </c>
      <c r="Y51" s="1242"/>
      <c r="Z51" s="414"/>
      <c r="AA51" s="68">
        <f>ROUND(SUM(AA34:AA50),1)</f>
        <v>83.5</v>
      </c>
      <c r="AB51" s="1242"/>
      <c r="AC51" s="414"/>
      <c r="AD51" s="68">
        <f>ROUND(SUM(AD34:AD50),1)</f>
        <v>97.4</v>
      </c>
      <c r="AE51" s="1824"/>
      <c r="AF51" s="735"/>
      <c r="AG51" s="68">
        <f>ROUND(SUM(AG34:AG50),1)</f>
        <v>-13.9</v>
      </c>
      <c r="AH51" s="83"/>
      <c r="AI51" s="1101">
        <f>ROUND(IF(AD51=0,0,AG51/ABS(AD51)),3)</f>
        <v>-0.14299999999999999</v>
      </c>
      <c r="AJ51" s="1555"/>
    </row>
    <row r="52" spans="1:36" s="736" customFormat="1" ht="14.25" customHeight="1">
      <c r="A52" s="83"/>
      <c r="B52" s="13"/>
      <c r="C52" s="734"/>
      <c r="D52" s="13"/>
      <c r="E52" s="734"/>
      <c r="F52" s="13"/>
      <c r="G52" s="734"/>
      <c r="H52" s="13"/>
      <c r="I52" s="414"/>
      <c r="J52" s="13"/>
      <c r="K52" s="414"/>
      <c r="L52" s="13"/>
      <c r="M52" s="414"/>
      <c r="N52" s="13"/>
      <c r="O52" s="414"/>
      <c r="P52" s="13"/>
      <c r="Q52" s="414"/>
      <c r="R52" s="13"/>
      <c r="S52" s="414"/>
      <c r="T52" s="13"/>
      <c r="U52" s="414"/>
      <c r="V52" s="13"/>
      <c r="W52" s="414"/>
      <c r="X52" s="13"/>
      <c r="Y52" s="1242"/>
      <c r="Z52" s="414"/>
      <c r="AA52" s="13"/>
      <c r="AB52" s="1242"/>
      <c r="AC52" s="414"/>
      <c r="AD52" s="13"/>
      <c r="AE52" s="1824"/>
      <c r="AF52" s="735"/>
      <c r="AG52" s="414"/>
      <c r="AH52" s="83"/>
      <c r="AI52" s="733"/>
      <c r="AJ52" s="1555"/>
    </row>
    <row r="53" spans="1:36" ht="15.5">
      <c r="A53" s="737" t="s">
        <v>543</v>
      </c>
      <c r="B53" s="532">
        <f>AA53</f>
        <v>27.1</v>
      </c>
      <c r="C53" s="554"/>
      <c r="D53" s="532"/>
      <c r="E53" s="554"/>
      <c r="F53" s="532"/>
      <c r="G53" s="554"/>
      <c r="H53" s="532"/>
      <c r="I53" s="940"/>
      <c r="J53" s="532"/>
      <c r="K53" s="940"/>
      <c r="L53" s="532"/>
      <c r="M53" s="940"/>
      <c r="N53" s="532"/>
      <c r="O53" s="940"/>
      <c r="P53" s="513"/>
      <c r="Q53" s="940"/>
      <c r="R53" s="513"/>
      <c r="S53" s="940"/>
      <c r="T53" s="513"/>
      <c r="U53" s="940"/>
      <c r="V53" s="513"/>
      <c r="W53" s="940"/>
      <c r="X53" s="513"/>
      <c r="Y53" s="1241"/>
      <c r="Z53" s="940"/>
      <c r="AA53" s="986">
        <v>27.1</v>
      </c>
      <c r="AB53" s="264"/>
      <c r="AC53" s="525" t="s">
        <v>103</v>
      </c>
      <c r="AD53" s="986">
        <v>29.2</v>
      </c>
      <c r="AE53" s="1059"/>
      <c r="AF53" s="939"/>
      <c r="AG53" s="1061">
        <f>ROUND(SUM(AA53-AD53),1)</f>
        <v>-2.1</v>
      </c>
      <c r="AH53" s="737"/>
      <c r="AI53" s="534">
        <f>ROUND(IF(AD53=0,1,AG53/ABS(AD53)),3)</f>
        <v>-7.1999999999999995E-2</v>
      </c>
      <c r="AJ53" s="1555"/>
    </row>
    <row r="54" spans="1:36" ht="12" customHeight="1">
      <c r="A54" s="737"/>
      <c r="B54" s="1102"/>
      <c r="C54" s="554"/>
      <c r="D54" s="1102"/>
      <c r="E54" s="554"/>
      <c r="F54" s="1102"/>
      <c r="G54" s="554"/>
      <c r="H54" s="1102"/>
      <c r="I54" s="940"/>
      <c r="J54" s="1103"/>
      <c r="K54" s="940"/>
      <c r="L54" s="1103"/>
      <c r="M54" s="940"/>
      <c r="N54" s="1103"/>
      <c r="O54" s="940"/>
      <c r="P54" s="1103"/>
      <c r="Q54" s="940"/>
      <c r="R54" s="1103"/>
      <c r="S54" s="940"/>
      <c r="T54" s="1103"/>
      <c r="U54" s="940"/>
      <c r="V54" s="1103"/>
      <c r="W54" s="940"/>
      <c r="X54" s="1103"/>
      <c r="Y54" s="1241"/>
      <c r="Z54" s="940"/>
      <c r="AA54" s="554"/>
      <c r="AB54" s="1241"/>
      <c r="AC54" s="940"/>
      <c r="AD54" s="554"/>
      <c r="AE54" s="1059"/>
      <c r="AF54" s="939"/>
      <c r="AG54" s="940"/>
      <c r="AH54" s="737"/>
      <c r="AI54" s="737"/>
      <c r="AJ54" s="1555"/>
    </row>
    <row r="55" spans="1:36" ht="14.25" customHeight="1">
      <c r="A55" s="83" t="s">
        <v>544</v>
      </c>
      <c r="B55" s="609">
        <f>B30+B51+B53</f>
        <v>6283.4000000000005</v>
      </c>
      <c r="C55" s="734"/>
      <c r="D55" s="609">
        <f>D30+D51+D53</f>
        <v>0</v>
      </c>
      <c r="E55" s="738"/>
      <c r="F55" s="609">
        <f>F30+F51+F53</f>
        <v>0</v>
      </c>
      <c r="G55" s="738"/>
      <c r="H55" s="609">
        <f>H30+H51+H53</f>
        <v>0</v>
      </c>
      <c r="I55" s="739"/>
      <c r="J55" s="1062">
        <f>J30+J51+J53</f>
        <v>0</v>
      </c>
      <c r="K55" s="739"/>
      <c r="L55" s="1062">
        <f>L30+L51+L53</f>
        <v>0</v>
      </c>
      <c r="M55" s="739"/>
      <c r="N55" s="1062">
        <f>N30+N51+N53</f>
        <v>0</v>
      </c>
      <c r="O55" s="739"/>
      <c r="P55" s="1062">
        <f>P30+P51+P53</f>
        <v>0</v>
      </c>
      <c r="Q55" s="414"/>
      <c r="R55" s="1062">
        <f>R30+R51+R53</f>
        <v>0</v>
      </c>
      <c r="S55" s="739"/>
      <c r="T55" s="1062">
        <f>T30+T51+T53</f>
        <v>0</v>
      </c>
      <c r="U55" s="739"/>
      <c r="V55" s="1062">
        <f>V30+V51+V53</f>
        <v>0</v>
      </c>
      <c r="W55" s="739"/>
      <c r="X55" s="1062">
        <f>X30+X51+X53</f>
        <v>0</v>
      </c>
      <c r="Y55" s="1242"/>
      <c r="Z55" s="414"/>
      <c r="AA55" s="1062">
        <f>AA30+AA51+AA53</f>
        <v>6283.4000000000005</v>
      </c>
      <c r="AB55" s="1242"/>
      <c r="AC55" s="414"/>
      <c r="AD55" s="1062">
        <f>AD30+AD51+AD53</f>
        <v>5845.2999999999993</v>
      </c>
      <c r="AE55" s="1824"/>
      <c r="AF55" s="735"/>
      <c r="AG55" s="1062">
        <f>ROUND(SUM(AG30+AG51+AG53),1)</f>
        <v>438.1</v>
      </c>
      <c r="AH55" s="83"/>
      <c r="AI55" s="539">
        <f>ROUND(IF(AD55=0,0,AG55/ABS(AD55)),3)</f>
        <v>7.4999999999999997E-2</v>
      </c>
      <c r="AJ55" s="1531"/>
    </row>
    <row r="56" spans="1:36" ht="19.5" customHeight="1">
      <c r="A56" s="737"/>
      <c r="B56" s="554"/>
      <c r="C56" s="554"/>
      <c r="D56" s="554"/>
      <c r="E56" s="554"/>
      <c r="F56" s="554"/>
      <c r="G56" s="554"/>
      <c r="H56" s="554"/>
      <c r="I56" s="940"/>
      <c r="J56" s="940"/>
      <c r="K56" s="940"/>
      <c r="L56" s="940"/>
      <c r="M56" s="940"/>
      <c r="N56" s="940"/>
      <c r="O56" s="940"/>
      <c r="P56" s="940"/>
      <c r="Q56" s="940"/>
      <c r="R56" s="940"/>
      <c r="S56" s="940"/>
      <c r="T56" s="940"/>
      <c r="U56" s="940"/>
      <c r="V56" s="940"/>
      <c r="W56" s="940"/>
      <c r="X56" s="940"/>
      <c r="Y56" s="1241"/>
      <c r="Z56" s="940"/>
      <c r="AA56" s="554"/>
      <c r="AB56" s="1241"/>
      <c r="AC56" s="940"/>
      <c r="AD56" s="554"/>
      <c r="AE56" s="1059"/>
      <c r="AF56" s="939"/>
      <c r="AG56" s="940"/>
      <c r="AH56" s="737"/>
      <c r="AI56" s="737"/>
      <c r="AJ56" s="1555"/>
    </row>
    <row r="57" spans="1:36" ht="15.5">
      <c r="A57" s="740" t="s">
        <v>545</v>
      </c>
      <c r="B57" s="554"/>
      <c r="C57" s="554"/>
      <c r="D57" s="554"/>
      <c r="E57" s="554"/>
      <c r="F57" s="554"/>
      <c r="G57" s="554"/>
      <c r="H57" s="554"/>
      <c r="I57" s="940"/>
      <c r="J57" s="940"/>
      <c r="K57" s="940"/>
      <c r="L57" s="940"/>
      <c r="M57" s="940"/>
      <c r="N57" s="940"/>
      <c r="O57" s="940"/>
      <c r="P57" s="940"/>
      <c r="Q57" s="940"/>
      <c r="R57" s="940"/>
      <c r="S57" s="940"/>
      <c r="T57" s="940"/>
      <c r="U57" s="940"/>
      <c r="V57" s="940"/>
      <c r="W57" s="940"/>
      <c r="X57" s="940"/>
      <c r="Y57" s="1241"/>
      <c r="Z57" s="940"/>
      <c r="AA57" s="554"/>
      <c r="AB57" s="1241"/>
      <c r="AC57" s="940"/>
      <c r="AD57" s="554"/>
      <c r="AE57" s="1059"/>
      <c r="AF57" s="939"/>
      <c r="AG57" s="940"/>
      <c r="AH57" s="737"/>
      <c r="AI57" s="737"/>
      <c r="AJ57" s="1555"/>
    </row>
    <row r="58" spans="1:36" ht="14.25" customHeight="1">
      <c r="A58" s="741" t="s">
        <v>453</v>
      </c>
      <c r="B58" s="554"/>
      <c r="C58" s="554"/>
      <c r="D58" s="554"/>
      <c r="E58" s="554"/>
      <c r="F58" s="554"/>
      <c r="G58" s="554"/>
      <c r="H58" s="554"/>
      <c r="I58" s="940"/>
      <c r="J58" s="940"/>
      <c r="K58" s="940"/>
      <c r="L58" s="940"/>
      <c r="M58" s="940"/>
      <c r="N58" s="940"/>
      <c r="O58" s="940"/>
      <c r="P58" s="940"/>
      <c r="Q58" s="940"/>
      <c r="R58" s="940"/>
      <c r="S58" s="940"/>
      <c r="T58" s="940"/>
      <c r="U58" s="940"/>
      <c r="V58" s="940"/>
      <c r="W58" s="940"/>
      <c r="X58" s="940"/>
      <c r="Y58" s="1241"/>
      <c r="Z58" s="940"/>
      <c r="AA58" s="554"/>
      <c r="AB58" s="1241"/>
      <c r="AC58" s="940"/>
      <c r="AD58" s="554"/>
      <c r="AE58" s="1059"/>
      <c r="AF58" s="939"/>
      <c r="AG58" s="940"/>
      <c r="AH58" s="737"/>
      <c r="AI58" s="737"/>
      <c r="AJ58" s="1555"/>
    </row>
    <row r="59" spans="1:36" ht="14.25" customHeight="1">
      <c r="A59" s="741" t="s">
        <v>137</v>
      </c>
      <c r="B59" s="532">
        <f>AA59</f>
        <v>0.1</v>
      </c>
      <c r="C59" s="554"/>
      <c r="D59" s="532"/>
      <c r="E59" s="1131"/>
      <c r="F59" s="532"/>
      <c r="G59" s="554"/>
      <c r="H59" s="532"/>
      <c r="I59" s="940"/>
      <c r="J59" s="532"/>
      <c r="K59" s="940"/>
      <c r="L59" s="532"/>
      <c r="M59" s="940"/>
      <c r="N59" s="532"/>
      <c r="O59" s="940"/>
      <c r="P59" s="513"/>
      <c r="Q59" s="940"/>
      <c r="R59" s="513"/>
      <c r="S59" s="940"/>
      <c r="T59" s="513"/>
      <c r="U59" s="940"/>
      <c r="V59" s="513"/>
      <c r="W59" s="940"/>
      <c r="X59" s="513"/>
      <c r="Y59" s="1241"/>
      <c r="Z59" s="940"/>
      <c r="AA59" s="532">
        <v>0.1</v>
      </c>
      <c r="AB59" s="264"/>
      <c r="AC59" s="525" t="s">
        <v>103</v>
      </c>
      <c r="AD59" s="532">
        <v>0.1</v>
      </c>
      <c r="AE59" s="1059"/>
      <c r="AF59" s="939"/>
      <c r="AG59" s="940">
        <f>ROUND(SUM(AA59-AD59),1)</f>
        <v>0</v>
      </c>
      <c r="AH59" s="737"/>
      <c r="AI59" s="543">
        <f>ROUND(IF(AD59=0,1,AG59/ABS(AD59)),3)</f>
        <v>0</v>
      </c>
      <c r="AJ59" s="1555"/>
    </row>
    <row r="60" spans="1:36" ht="14.25" customHeight="1">
      <c r="A60" s="741" t="s">
        <v>512</v>
      </c>
      <c r="B60" s="532"/>
      <c r="C60" s="554"/>
      <c r="D60" s="513"/>
      <c r="E60" s="554"/>
      <c r="F60" s="513"/>
      <c r="G60" s="554"/>
      <c r="H60" s="532"/>
      <c r="I60" s="940"/>
      <c r="J60" s="532"/>
      <c r="K60" s="940"/>
      <c r="L60" s="532"/>
      <c r="M60" s="940"/>
      <c r="N60" s="532"/>
      <c r="O60" s="940"/>
      <c r="P60" s="513"/>
      <c r="Q60" s="940"/>
      <c r="R60" s="513"/>
      <c r="S60" s="940"/>
      <c r="T60" s="513"/>
      <c r="U60" s="940"/>
      <c r="V60" s="513"/>
      <c r="W60" s="940"/>
      <c r="X60" s="513"/>
      <c r="Y60" s="1241"/>
      <c r="Z60" s="940"/>
      <c r="AA60" s="554" t="s">
        <v>230</v>
      </c>
      <c r="AB60" s="1241"/>
      <c r="AC60" s="940"/>
      <c r="AD60" s="554" t="s">
        <v>230</v>
      </c>
      <c r="AE60" s="1059"/>
      <c r="AF60" s="939"/>
      <c r="AG60" s="940"/>
      <c r="AH60" s="737"/>
      <c r="AI60" s="737"/>
      <c r="AJ60" s="1555"/>
    </row>
    <row r="61" spans="1:36" ht="14.25" customHeight="1">
      <c r="A61" s="742" t="s">
        <v>1468</v>
      </c>
      <c r="B61" s="532">
        <f t="shared" ref="B61" si="3">AA61</f>
        <v>1.5</v>
      </c>
      <c r="C61" s="554"/>
      <c r="D61" s="532"/>
      <c r="E61" s="554"/>
      <c r="F61" s="532"/>
      <c r="G61" s="554"/>
      <c r="H61" s="532"/>
      <c r="I61" s="940"/>
      <c r="J61" s="532"/>
      <c r="K61" s="940"/>
      <c r="L61" s="532"/>
      <c r="M61" s="940"/>
      <c r="N61" s="532"/>
      <c r="O61" s="940"/>
      <c r="P61" s="513"/>
      <c r="Q61" s="940"/>
      <c r="R61" s="513"/>
      <c r="S61" s="940"/>
      <c r="T61" s="513"/>
      <c r="U61" s="940"/>
      <c r="V61" s="513"/>
      <c r="W61" s="940"/>
      <c r="X61" s="513"/>
      <c r="Y61" s="1241"/>
      <c r="Z61" s="940"/>
      <c r="AA61" s="986">
        <v>1.5</v>
      </c>
      <c r="AB61" s="264"/>
      <c r="AC61" s="525" t="s">
        <v>103</v>
      </c>
      <c r="AD61" s="986">
        <v>4.8</v>
      </c>
      <c r="AE61" s="1059"/>
      <c r="AF61" s="939"/>
      <c r="AG61" s="1063">
        <f>ROUND(SUM(AA61-AD61),1)</f>
        <v>-3.3</v>
      </c>
      <c r="AH61" s="737"/>
      <c r="AI61" s="534">
        <f>ROUND(IF(AD61=0,0,AG61/ABS(AD61)),3)</f>
        <v>-0.68799999999999994</v>
      </c>
      <c r="AJ61" s="1555"/>
    </row>
    <row r="62" spans="1:36" ht="15.5">
      <c r="A62" s="737"/>
      <c r="B62" s="1102"/>
      <c r="C62" s="554"/>
      <c r="D62" s="1102"/>
      <c r="E62" s="554"/>
      <c r="F62" s="1102"/>
      <c r="G62" s="554"/>
      <c r="H62" s="1102"/>
      <c r="I62" s="940"/>
      <c r="J62" s="1103"/>
      <c r="K62" s="940"/>
      <c r="L62" s="1103"/>
      <c r="M62" s="940"/>
      <c r="N62" s="1103"/>
      <c r="O62" s="940"/>
      <c r="P62" s="1103"/>
      <c r="Q62" s="940"/>
      <c r="R62" s="1103"/>
      <c r="S62" s="940"/>
      <c r="T62" s="1103"/>
      <c r="U62" s="940"/>
      <c r="V62" s="1103"/>
      <c r="W62" s="940"/>
      <c r="X62" s="1103"/>
      <c r="Y62" s="1241"/>
      <c r="Z62" s="940"/>
      <c r="AA62" s="554"/>
      <c r="AB62" s="1241"/>
      <c r="AC62" s="940"/>
      <c r="AD62" s="554"/>
      <c r="AE62" s="1059"/>
      <c r="AF62" s="939"/>
      <c r="AG62" s="940"/>
      <c r="AH62" s="737"/>
      <c r="AI62" s="737"/>
      <c r="AJ62" s="1555"/>
    </row>
    <row r="63" spans="1:36" ht="14.25" customHeight="1">
      <c r="A63" s="740" t="s">
        <v>546</v>
      </c>
      <c r="B63" s="609">
        <f>ROUND(SUM(B59:B61),1)</f>
        <v>1.6</v>
      </c>
      <c r="C63" s="734"/>
      <c r="D63" s="609">
        <f>ROUND(SUM(D59:D61),1)</f>
        <v>0</v>
      </c>
      <c r="E63" s="738"/>
      <c r="F63" s="609">
        <f>ROUND(SUM(F59:F61),1)</f>
        <v>0</v>
      </c>
      <c r="G63" s="738"/>
      <c r="H63" s="609">
        <f>ROUND(SUM(H59:H61),1)</f>
        <v>0</v>
      </c>
      <c r="I63" s="739"/>
      <c r="J63" s="1062">
        <f>ROUND(SUM(J59:J61),1)</f>
        <v>0</v>
      </c>
      <c r="K63" s="739"/>
      <c r="L63" s="1062">
        <f>ROUND(SUM(L59:L61),1)</f>
        <v>0</v>
      </c>
      <c r="M63" s="739"/>
      <c r="N63" s="1062">
        <f>ROUND(SUM(N59:N61),1)</f>
        <v>0</v>
      </c>
      <c r="O63" s="739"/>
      <c r="P63" s="1062">
        <f>ROUND(SUM(P59:P61),1)</f>
        <v>0</v>
      </c>
      <c r="Q63" s="414"/>
      <c r="R63" s="1062">
        <f>ROUND(SUM(R59:R61),1)</f>
        <v>0</v>
      </c>
      <c r="S63" s="739"/>
      <c r="T63" s="1062">
        <f>ROUND(SUM(T59:T61),1)</f>
        <v>0</v>
      </c>
      <c r="U63" s="739"/>
      <c r="V63" s="1062">
        <f>ROUND(SUM(V59:V61),1)</f>
        <v>0</v>
      </c>
      <c r="W63" s="739"/>
      <c r="X63" s="1062">
        <f>ROUND(SUM(X59:X61),1)</f>
        <v>0</v>
      </c>
      <c r="Y63" s="1242"/>
      <c r="Z63" s="414"/>
      <c r="AA63" s="1062">
        <f>ROUND(SUM(AA59:AA61),1)</f>
        <v>1.6</v>
      </c>
      <c r="AB63" s="1242"/>
      <c r="AC63" s="414"/>
      <c r="AD63" s="1062">
        <f>ROUND(SUM(AD59:AD61),1)</f>
        <v>4.9000000000000004</v>
      </c>
      <c r="AE63" s="1824"/>
      <c r="AF63" s="735"/>
      <c r="AG63" s="1062">
        <f>ROUND(SUM(AG59:AG61),1)</f>
        <v>-3.3</v>
      </c>
      <c r="AH63" s="83"/>
      <c r="AI63" s="539">
        <f>ROUND(IF(AD63=0,0,AG63/ABS(AD63)),3)</f>
        <v>-0.67300000000000004</v>
      </c>
      <c r="AJ63" s="1531"/>
    </row>
    <row r="64" spans="1:36" ht="12" customHeight="1">
      <c r="A64" s="737"/>
      <c r="B64" s="554"/>
      <c r="C64" s="554"/>
      <c r="D64" s="743"/>
      <c r="E64" s="743"/>
      <c r="F64" s="743"/>
      <c r="G64" s="743"/>
      <c r="H64" s="743"/>
      <c r="I64" s="1064"/>
      <c r="J64" s="1064"/>
      <c r="K64" s="1064"/>
      <c r="L64" s="1064"/>
      <c r="M64" s="1064"/>
      <c r="N64" s="1064"/>
      <c r="O64" s="1064"/>
      <c r="P64" s="1064"/>
      <c r="Q64" s="1064"/>
      <c r="R64" s="1064"/>
      <c r="S64" s="1064"/>
      <c r="T64" s="1064"/>
      <c r="U64" s="1064"/>
      <c r="V64" s="1064"/>
      <c r="W64" s="1064"/>
      <c r="X64" s="1064"/>
      <c r="Y64" s="1241"/>
      <c r="Z64" s="940"/>
      <c r="AA64" s="554"/>
      <c r="AB64" s="1241"/>
      <c r="AC64" s="940"/>
      <c r="AD64" s="554"/>
      <c r="AE64" s="1059"/>
      <c r="AF64" s="939"/>
      <c r="AG64" s="940"/>
      <c r="AH64" s="737"/>
      <c r="AI64" s="737"/>
      <c r="AJ64" s="1555"/>
    </row>
    <row r="65" spans="1:36" ht="14.25" customHeight="1">
      <c r="A65" s="740" t="s">
        <v>143</v>
      </c>
      <c r="B65" s="554"/>
      <c r="C65" s="554"/>
      <c r="D65" s="743"/>
      <c r="E65" s="743"/>
      <c r="F65" s="743"/>
      <c r="G65" s="743"/>
      <c r="H65" s="743"/>
      <c r="I65" s="1064"/>
      <c r="J65" s="1064"/>
      <c r="K65" s="1064"/>
      <c r="L65" s="1064"/>
      <c r="M65" s="1064"/>
      <c r="N65" s="1064"/>
      <c r="O65" s="1064"/>
      <c r="P65" s="1064"/>
      <c r="Q65" s="1064"/>
      <c r="R65" s="1064"/>
      <c r="S65" s="1064"/>
      <c r="T65" s="1064"/>
      <c r="U65" s="1064"/>
      <c r="V65" s="1064"/>
      <c r="W65" s="1064"/>
      <c r="X65" s="1064"/>
      <c r="Y65" s="1241"/>
      <c r="Z65" s="940"/>
      <c r="AA65" s="554"/>
      <c r="AB65" s="1241"/>
      <c r="AC65" s="940"/>
      <c r="AD65" s="554"/>
      <c r="AE65" s="1059"/>
      <c r="AF65" s="939"/>
      <c r="AG65" s="940"/>
      <c r="AH65" s="737"/>
      <c r="AI65" s="737"/>
      <c r="AJ65" s="1555"/>
    </row>
    <row r="66" spans="1:36" ht="14.25" customHeight="1">
      <c r="A66" s="83" t="s">
        <v>547</v>
      </c>
      <c r="B66" s="609">
        <f>ROUND(SUM(B55-B63),1)</f>
        <v>6281.8</v>
      </c>
      <c r="C66" s="734"/>
      <c r="D66" s="609">
        <f>ROUND(SUM(D55-D63),1)</f>
        <v>0</v>
      </c>
      <c r="E66" s="738"/>
      <c r="F66" s="609">
        <f>ROUND(SUM(F55-F63),1)</f>
        <v>0</v>
      </c>
      <c r="G66" s="738"/>
      <c r="H66" s="609">
        <f>ROUND(SUM(H55-H63),1)</f>
        <v>0</v>
      </c>
      <c r="I66" s="739"/>
      <c r="J66" s="1062">
        <f>ROUND(SUM(J55-J63),1)</f>
        <v>0</v>
      </c>
      <c r="K66" s="739"/>
      <c r="L66" s="1062">
        <f>ROUND(SUM(L55-L63),1)</f>
        <v>0</v>
      </c>
      <c r="M66" s="739"/>
      <c r="N66" s="1062">
        <f>ROUND(SUM(N55-N63),1)</f>
        <v>0</v>
      </c>
      <c r="O66" s="739"/>
      <c r="P66" s="1062">
        <f>ROUND(SUM(P55-P63),1)</f>
        <v>0</v>
      </c>
      <c r="Q66" s="414"/>
      <c r="R66" s="1062">
        <f>ROUND(SUM(R55-R63),1)</f>
        <v>0</v>
      </c>
      <c r="S66" s="739"/>
      <c r="T66" s="1062">
        <f>ROUND(SUM(T55-T63),1)</f>
        <v>0</v>
      </c>
      <c r="U66" s="739"/>
      <c r="V66" s="1062">
        <f>ROUND(SUM(V55-V63),1)</f>
        <v>0</v>
      </c>
      <c r="W66" s="739"/>
      <c r="X66" s="1062">
        <f>ROUND(SUM(X55-X63),1)</f>
        <v>0</v>
      </c>
      <c r="Y66" s="1242"/>
      <c r="Z66" s="414"/>
      <c r="AA66" s="1062">
        <f>ROUND(SUM(AA55-AA63),1)</f>
        <v>6281.8</v>
      </c>
      <c r="AB66" s="1242"/>
      <c r="AC66" s="414"/>
      <c r="AD66" s="1062">
        <f>ROUND(SUM(AD55-AD63),1)</f>
        <v>5840.4</v>
      </c>
      <c r="AE66" s="1824"/>
      <c r="AF66" s="735"/>
      <c r="AG66" s="1062">
        <f>ROUND(SUM(+AG55-AG63),1)</f>
        <v>441.4</v>
      </c>
      <c r="AH66" s="83"/>
      <c r="AI66" s="539">
        <f>ROUND(IF(AD66=0,0,AG66/ABS(AD66)),3)</f>
        <v>7.5999999999999998E-2</v>
      </c>
      <c r="AJ66" s="1531"/>
    </row>
    <row r="67" spans="1:36" ht="19.5" customHeight="1">
      <c r="A67" s="737"/>
      <c r="B67" s="554"/>
      <c r="C67" s="554"/>
      <c r="D67" s="554"/>
      <c r="E67" s="554"/>
      <c r="F67" s="554"/>
      <c r="G67" s="554"/>
      <c r="H67" s="554"/>
      <c r="I67" s="940"/>
      <c r="J67" s="940"/>
      <c r="K67" s="940"/>
      <c r="L67" s="940"/>
      <c r="M67" s="940"/>
      <c r="N67" s="940"/>
      <c r="O67" s="940"/>
      <c r="P67" s="940"/>
      <c r="Q67" s="940"/>
      <c r="R67" s="940"/>
      <c r="S67" s="940"/>
      <c r="T67" s="940"/>
      <c r="U67" s="940"/>
      <c r="V67" s="940"/>
      <c r="W67" s="940"/>
      <c r="X67" s="940"/>
      <c r="Y67" s="1241"/>
      <c r="Z67" s="940"/>
      <c r="AA67" s="554"/>
      <c r="AB67" s="1241"/>
      <c r="AC67" s="940"/>
      <c r="AD67" s="554"/>
      <c r="AE67" s="1059"/>
      <c r="AF67" s="939"/>
      <c r="AG67" s="940"/>
      <c r="AH67" s="737"/>
      <c r="AI67" s="737"/>
      <c r="AJ67" s="1555"/>
    </row>
    <row r="68" spans="1:36" ht="14.25" customHeight="1">
      <c r="A68" s="740" t="s">
        <v>145</v>
      </c>
      <c r="B68" s="554"/>
      <c r="C68" s="554"/>
      <c r="D68" s="554"/>
      <c r="E68" s="554"/>
      <c r="F68" s="554"/>
      <c r="G68" s="554"/>
      <c r="H68" s="554"/>
      <c r="I68" s="940"/>
      <c r="J68" s="940"/>
      <c r="K68" s="940"/>
      <c r="L68" s="940"/>
      <c r="M68" s="940"/>
      <c r="N68" s="940"/>
      <c r="O68" s="940"/>
      <c r="P68" s="940"/>
      <c r="Q68" s="940"/>
      <c r="R68" s="940"/>
      <c r="S68" s="940"/>
      <c r="T68" s="940"/>
      <c r="U68" s="940"/>
      <c r="V68" s="940"/>
      <c r="W68" s="940"/>
      <c r="X68" s="940"/>
      <c r="Y68" s="1241"/>
      <c r="Z68" s="940"/>
      <c r="AA68" s="554"/>
      <c r="AB68" s="1241"/>
      <c r="AC68" s="940"/>
      <c r="AD68" s="554"/>
      <c r="AE68" s="1059"/>
      <c r="AF68" s="939"/>
      <c r="AG68" s="940"/>
      <c r="AH68" s="737"/>
      <c r="AI68" s="737"/>
      <c r="AJ68" s="1555"/>
    </row>
    <row r="69" spans="1:36" ht="14.25" customHeight="1">
      <c r="A69" s="741" t="s">
        <v>537</v>
      </c>
      <c r="B69" s="532">
        <f>AA69</f>
        <v>243.8</v>
      </c>
      <c r="C69" s="554"/>
      <c r="D69" s="532"/>
      <c r="E69" s="554"/>
      <c r="F69" s="532"/>
      <c r="G69" s="554"/>
      <c r="H69" s="532"/>
      <c r="I69" s="940"/>
      <c r="J69" s="532"/>
      <c r="K69" s="940"/>
      <c r="L69" s="532"/>
      <c r="M69" s="940"/>
      <c r="N69" s="532"/>
      <c r="O69" s="940"/>
      <c r="P69" s="513"/>
      <c r="Q69" s="940"/>
      <c r="R69" s="513"/>
      <c r="S69" s="940"/>
      <c r="T69" s="513"/>
      <c r="U69" s="940"/>
      <c r="V69" s="513"/>
      <c r="W69" s="940"/>
      <c r="X69" s="513"/>
      <c r="Y69" s="1241"/>
      <c r="Z69" s="940"/>
      <c r="AA69" s="532">
        <v>243.8</v>
      </c>
      <c r="AB69" s="287"/>
      <c r="AC69" s="1769"/>
      <c r="AD69" s="532">
        <v>203.8</v>
      </c>
      <c r="AE69" s="1059"/>
      <c r="AF69" s="939"/>
      <c r="AG69" s="940">
        <f>ROUND(SUM(AA69-AD69),1)</f>
        <v>40</v>
      </c>
      <c r="AH69" s="737"/>
      <c r="AI69" s="266">
        <f>ROUND(IF(AD69=0,0,AG69/ABS(AD69)),3)</f>
        <v>0.19600000000000001</v>
      </c>
      <c r="AJ69" s="1555"/>
    </row>
    <row r="70" spans="1:36" ht="14.25" customHeight="1">
      <c r="A70" s="741" t="s">
        <v>548</v>
      </c>
      <c r="B70" s="532">
        <f>AA70</f>
        <v>-6368.0999999999995</v>
      </c>
      <c r="C70" s="554"/>
      <c r="D70" s="532"/>
      <c r="E70" s="554"/>
      <c r="F70" s="532"/>
      <c r="G70" s="554"/>
      <c r="H70" s="532"/>
      <c r="I70" s="940"/>
      <c r="J70" s="532"/>
      <c r="K70" s="940"/>
      <c r="L70" s="532"/>
      <c r="M70" s="940"/>
      <c r="N70" s="532"/>
      <c r="O70" s="940"/>
      <c r="P70" s="513"/>
      <c r="Q70" s="940"/>
      <c r="R70" s="513"/>
      <c r="S70" s="940"/>
      <c r="T70" s="513"/>
      <c r="U70" s="940"/>
      <c r="V70" s="513"/>
      <c r="W70" s="940"/>
      <c r="X70" s="513"/>
      <c r="Y70" s="1241"/>
      <c r="Z70" s="940"/>
      <c r="AA70" s="986">
        <v>-6368.0999999999995</v>
      </c>
      <c r="AB70" s="287"/>
      <c r="AC70" s="1769"/>
      <c r="AD70" s="986">
        <v>-5986.8</v>
      </c>
      <c r="AE70" s="1059"/>
      <c r="AF70" s="939"/>
      <c r="AG70" s="1063">
        <f>ROUND(SUM(-(AA70-AD70)),1)</f>
        <v>381.3</v>
      </c>
      <c r="AH70" s="737"/>
      <c r="AI70" s="534">
        <f>ROUND(IF(AD70=0,0,AG70/ABS(AD70)),3)</f>
        <v>6.4000000000000001E-2</v>
      </c>
      <c r="AJ70" s="1555"/>
    </row>
    <row r="71" spans="1:36" ht="15.5">
      <c r="A71" s="737"/>
      <c r="B71" s="1103"/>
      <c r="C71" s="940"/>
      <c r="D71" s="1104"/>
      <c r="E71" s="940"/>
      <c r="F71" s="1104"/>
      <c r="G71" s="940"/>
      <c r="H71" s="1104"/>
      <c r="I71" s="940"/>
      <c r="J71" s="1104"/>
      <c r="K71" s="940"/>
      <c r="L71" s="1104"/>
      <c r="M71" s="940"/>
      <c r="N71" s="1104"/>
      <c r="O71" s="940"/>
      <c r="P71" s="1104"/>
      <c r="Q71" s="940"/>
      <c r="R71" s="1104"/>
      <c r="S71" s="940"/>
      <c r="T71" s="1104"/>
      <c r="U71" s="940"/>
      <c r="V71" s="1104"/>
      <c r="W71" s="940"/>
      <c r="X71" s="1104"/>
      <c r="Y71" s="1241"/>
      <c r="Z71" s="940"/>
      <c r="AA71" s="554"/>
      <c r="AB71" s="1241"/>
      <c r="AC71" s="940"/>
      <c r="AD71" s="554"/>
      <c r="AE71" s="1059"/>
      <c r="AF71" s="939"/>
      <c r="AG71" s="940"/>
      <c r="AH71" s="737"/>
      <c r="AI71" s="737"/>
      <c r="AJ71" s="1555"/>
    </row>
    <row r="72" spans="1:36" ht="14.25" customHeight="1">
      <c r="A72" s="740" t="s">
        <v>549</v>
      </c>
      <c r="B72" s="1019">
        <f>ROUND(SUM(B69:B70),1)</f>
        <v>-6124.3</v>
      </c>
      <c r="C72" s="414"/>
      <c r="D72" s="1019">
        <f>ROUND(SUM(D69:D70),1)</f>
        <v>0</v>
      </c>
      <c r="E72" s="739"/>
      <c r="F72" s="1019">
        <f>ROUND(SUM(F69:F70),1)</f>
        <v>0</v>
      </c>
      <c r="G72" s="739"/>
      <c r="H72" s="1019">
        <f>ROUND(SUM(H69:H70),1)</f>
        <v>0</v>
      </c>
      <c r="I72" s="739"/>
      <c r="J72" s="1019">
        <f>ROUND(SUM(J69:J70),1)</f>
        <v>0</v>
      </c>
      <c r="K72" s="739"/>
      <c r="L72" s="1019">
        <f>ROUND(SUM(L69:L70),1)</f>
        <v>0</v>
      </c>
      <c r="M72" s="739"/>
      <c r="N72" s="1019">
        <f>ROUND(SUM(N69:N70),1)</f>
        <v>0</v>
      </c>
      <c r="O72" s="739"/>
      <c r="P72" s="1019">
        <f>ROUND(SUM(P69:P70),1)</f>
        <v>0</v>
      </c>
      <c r="Q72" s="671"/>
      <c r="R72" s="1019">
        <f>ROUND(SUM(R69:R70),1)</f>
        <v>0</v>
      </c>
      <c r="S72" s="739"/>
      <c r="T72" s="1019">
        <f>ROUND(SUM(T69:T70),1)</f>
        <v>0</v>
      </c>
      <c r="U72" s="739"/>
      <c r="V72" s="1019">
        <f>ROUND(SUM(V69:V70),1)</f>
        <v>0</v>
      </c>
      <c r="W72" s="739"/>
      <c r="X72" s="1019">
        <f>ROUND(SUM(X69:X70),1)</f>
        <v>0</v>
      </c>
      <c r="Y72" s="1242"/>
      <c r="Z72" s="414"/>
      <c r="AA72" s="1019">
        <f>ROUND(SUM(AA69:AA70),1)</f>
        <v>-6124.3</v>
      </c>
      <c r="AB72" s="1242"/>
      <c r="AC72" s="414"/>
      <c r="AD72" s="1019">
        <f>ROUND(SUM(AD69:AD70),1)</f>
        <v>-5783</v>
      </c>
      <c r="AE72" s="1824"/>
      <c r="AF72" s="735"/>
      <c r="AG72" s="1019">
        <f>ROUND(SUM(AA72-AD72),1)</f>
        <v>-341.3</v>
      </c>
      <c r="AH72" s="83"/>
      <c r="AI72" s="539">
        <f>ROUND(IF(AD72=0,0,AG72/ABS(AD72)),3)</f>
        <v>-5.8999999999999997E-2</v>
      </c>
      <c r="AJ72" s="1531"/>
    </row>
    <row r="73" spans="1:36" ht="19.5" customHeight="1">
      <c r="A73" s="737"/>
      <c r="B73" s="940"/>
      <c r="C73" s="940"/>
      <c r="D73" s="1059"/>
      <c r="E73" s="940"/>
      <c r="F73" s="1059"/>
      <c r="G73" s="940"/>
      <c r="H73" s="1059"/>
      <c r="I73" s="940"/>
      <c r="J73" s="1059"/>
      <c r="K73" s="940"/>
      <c r="L73" s="1059"/>
      <c r="M73" s="940"/>
      <c r="N73" s="1059"/>
      <c r="O73" s="940"/>
      <c r="P73" s="1059"/>
      <c r="Q73" s="940"/>
      <c r="R73" s="1059"/>
      <c r="S73" s="940"/>
      <c r="T73" s="1059"/>
      <c r="U73" s="940"/>
      <c r="V73" s="1059"/>
      <c r="W73" s="940"/>
      <c r="X73" s="1059"/>
      <c r="Y73" s="1241"/>
      <c r="Z73" s="940"/>
      <c r="AA73" s="554"/>
      <c r="AB73" s="1241"/>
      <c r="AC73" s="940"/>
      <c r="AD73" s="554"/>
      <c r="AE73" s="1059"/>
      <c r="AF73" s="939"/>
      <c r="AG73" s="940"/>
      <c r="AH73" s="737"/>
      <c r="AI73" s="737"/>
      <c r="AJ73" s="1555"/>
    </row>
    <row r="74" spans="1:36" ht="14.25" customHeight="1">
      <c r="A74" s="83" t="s">
        <v>550</v>
      </c>
      <c r="B74" s="940"/>
      <c r="C74" s="940"/>
      <c r="D74" s="1064"/>
      <c r="E74" s="940"/>
      <c r="F74" s="1064"/>
      <c r="G74" s="940"/>
      <c r="H74" s="1064"/>
      <c r="I74" s="940"/>
      <c r="J74" s="1064"/>
      <c r="K74" s="940"/>
      <c r="L74" s="1064"/>
      <c r="M74" s="940"/>
      <c r="N74" s="1064"/>
      <c r="O74" s="940"/>
      <c r="P74" s="1064"/>
      <c r="Q74" s="940"/>
      <c r="R74" s="1064"/>
      <c r="S74" s="940"/>
      <c r="T74" s="1064"/>
      <c r="U74" s="940"/>
      <c r="V74" s="1064"/>
      <c r="W74" s="940"/>
      <c r="X74" s="1064"/>
      <c r="Y74" s="1241"/>
      <c r="Z74" s="940"/>
      <c r="AA74" s="554"/>
      <c r="AB74" s="1241"/>
      <c r="AC74" s="940"/>
      <c r="AD74" s="554"/>
      <c r="AE74" s="1059"/>
      <c r="AF74" s="939"/>
      <c r="AG74" s="940"/>
      <c r="AH74" s="737"/>
      <c r="AI74" s="737"/>
      <c r="AJ74" s="1555"/>
    </row>
    <row r="75" spans="1:36" ht="14.25" customHeight="1">
      <c r="A75" s="83" t="s">
        <v>551</v>
      </c>
      <c r="B75" s="940"/>
      <c r="C75" s="940"/>
      <c r="D75" s="1064"/>
      <c r="E75" s="940"/>
      <c r="F75" s="1064"/>
      <c r="G75" s="940"/>
      <c r="H75" s="1064"/>
      <c r="I75" s="940"/>
      <c r="J75" s="1064"/>
      <c r="K75" s="940"/>
      <c r="L75" s="1064"/>
      <c r="M75" s="940"/>
      <c r="N75" s="1064"/>
      <c r="O75" s="940"/>
      <c r="P75" s="1064"/>
      <c r="Q75" s="940"/>
      <c r="R75" s="1064"/>
      <c r="S75" s="940"/>
      <c r="T75" s="1064"/>
      <c r="U75" s="940"/>
      <c r="V75" s="1064"/>
      <c r="W75" s="940"/>
      <c r="X75" s="1064"/>
      <c r="Y75" s="1241"/>
      <c r="Z75" s="940"/>
      <c r="AA75" s="554"/>
      <c r="AB75" s="1241"/>
      <c r="AC75" s="940"/>
      <c r="AD75" s="554"/>
      <c r="AE75" s="1059"/>
      <c r="AF75" s="939"/>
      <c r="AG75" s="940"/>
      <c r="AH75" s="737"/>
      <c r="AI75" s="737"/>
      <c r="AJ75" s="1555"/>
    </row>
    <row r="76" spans="1:36" ht="14.25" customHeight="1">
      <c r="A76" s="83" t="s">
        <v>552</v>
      </c>
      <c r="B76" s="1062">
        <f>ROUND(SUM(+B66+B72),1)</f>
        <v>157.5</v>
      </c>
      <c r="C76" s="414"/>
      <c r="D76" s="1062">
        <f>ROUND(SUM(+D66+D72),1)</f>
        <v>0</v>
      </c>
      <c r="E76" s="414"/>
      <c r="F76" s="1062">
        <f>ROUND(SUM(+F66+F72),1)</f>
        <v>0</v>
      </c>
      <c r="G76" s="414"/>
      <c r="H76" s="1062">
        <f>ROUND(SUM(+H66+H72),1)</f>
        <v>0</v>
      </c>
      <c r="I76" s="414"/>
      <c r="J76" s="1062">
        <f>ROUND(SUM(+J66+J72),1)</f>
        <v>0</v>
      </c>
      <c r="K76" s="414"/>
      <c r="L76" s="1062">
        <f>ROUND(SUM(+L66+L72),1)</f>
        <v>0</v>
      </c>
      <c r="M76" s="414"/>
      <c r="N76" s="1062">
        <f>ROUND(SUM(+N66+N72),1)</f>
        <v>0</v>
      </c>
      <c r="O76" s="414"/>
      <c r="P76" s="1062">
        <f>ROUND(SUM(+P66+P72),1)</f>
        <v>0</v>
      </c>
      <c r="Q76" s="414"/>
      <c r="R76" s="1062">
        <f>ROUND(SUM(+R66+R72),1)</f>
        <v>0</v>
      </c>
      <c r="S76" s="414"/>
      <c r="T76" s="1062">
        <f>ROUND(SUM(+T66+T72),1)</f>
        <v>0</v>
      </c>
      <c r="U76" s="414"/>
      <c r="V76" s="1062">
        <f>ROUND(SUM(+V66+V72),1)</f>
        <v>0</v>
      </c>
      <c r="W76" s="414"/>
      <c r="X76" s="1062">
        <f>ROUND(SUM(+X66+X72),1)</f>
        <v>0</v>
      </c>
      <c r="Y76" s="1242"/>
      <c r="Z76" s="414"/>
      <c r="AA76" s="1062">
        <f>ROUND(SUM(+AA66+AA72),1)</f>
        <v>157.5</v>
      </c>
      <c r="AB76" s="1242"/>
      <c r="AC76" s="414"/>
      <c r="AD76" s="1062">
        <f>ROUND(SUM(+AD66+AD72),1)</f>
        <v>57.4</v>
      </c>
      <c r="AE76" s="1824"/>
      <c r="AF76" s="735"/>
      <c r="AG76" s="1062">
        <f>ROUND(SUM(+AG66+AG72),1)</f>
        <v>100.1</v>
      </c>
      <c r="AH76" s="83"/>
      <c r="AI76" s="540">
        <f>ROUND(IF(AD76=0,0,AG76/ABS(AD76)),3)</f>
        <v>1.744</v>
      </c>
      <c r="AJ76" s="1531"/>
    </row>
    <row r="77" spans="1:36" ht="15.5">
      <c r="A77" s="737"/>
      <c r="B77" s="900"/>
      <c r="C77" s="900"/>
      <c r="D77" s="1056"/>
      <c r="E77" s="900"/>
      <c r="F77" s="1105"/>
      <c r="G77" s="900"/>
      <c r="H77" s="1105"/>
      <c r="I77" s="900"/>
      <c r="J77" s="1105"/>
      <c r="K77" s="900"/>
      <c r="L77" s="1106"/>
      <c r="M77" s="900"/>
      <c r="N77" s="1105"/>
      <c r="O77" s="900"/>
      <c r="P77" s="1105"/>
      <c r="Q77" s="900"/>
      <c r="R77" s="1105"/>
      <c r="S77" s="900"/>
      <c r="T77" s="1105"/>
      <c r="U77" s="900"/>
      <c r="V77" s="1105"/>
      <c r="W77" s="900"/>
      <c r="X77" s="1105"/>
      <c r="Y77" s="1240"/>
      <c r="Z77" s="900"/>
      <c r="AA77" s="900" t="s">
        <v>103</v>
      </c>
      <c r="AB77" s="1240"/>
      <c r="AC77" s="900"/>
      <c r="AD77" s="1953"/>
      <c r="AE77" s="1056"/>
      <c r="AF77" s="902"/>
      <c r="AG77" s="900"/>
      <c r="AH77" s="737"/>
      <c r="AI77" s="737"/>
      <c r="AJ77" s="1555"/>
    </row>
    <row r="78" spans="1:36" ht="19.5" customHeight="1" thickBot="1">
      <c r="A78" s="83" t="s">
        <v>433</v>
      </c>
      <c r="B78" s="744">
        <f>ROUND(SUM(B13+B76),1)</f>
        <v>262.2</v>
      </c>
      <c r="C78" s="82"/>
      <c r="D78" s="744">
        <f>ROUND(SUM(D13+D76),1)</f>
        <v>0</v>
      </c>
      <c r="E78" s="82"/>
      <c r="F78" s="744">
        <f>ROUND(SUM(F13+F76),1)</f>
        <v>0</v>
      </c>
      <c r="G78" s="82"/>
      <c r="H78" s="744">
        <f>ROUND(SUM(H13+H76),1)</f>
        <v>0</v>
      </c>
      <c r="I78" s="82"/>
      <c r="J78" s="744">
        <f>ROUND(SUM(J13+J76),1)</f>
        <v>0</v>
      </c>
      <c r="K78" s="82"/>
      <c r="L78" s="744">
        <f>ROUND(SUM(L13+L76),1)</f>
        <v>0</v>
      </c>
      <c r="M78" s="82"/>
      <c r="N78" s="744">
        <f>ROUND(SUM(N13+N76),1)</f>
        <v>0</v>
      </c>
      <c r="O78" s="82"/>
      <c r="P78" s="744">
        <f>ROUND(SUM(P13+P76),1)</f>
        <v>0</v>
      </c>
      <c r="Q78" s="82"/>
      <c r="R78" s="744">
        <f>ROUND(SUM(R13+R76),1)</f>
        <v>0</v>
      </c>
      <c r="S78" s="82"/>
      <c r="T78" s="744">
        <f>ROUND(SUM(T13+T76),1)</f>
        <v>0</v>
      </c>
      <c r="U78" s="82"/>
      <c r="V78" s="744">
        <f>ROUND(SUM(V13+V76),1)</f>
        <v>0</v>
      </c>
      <c r="W78" s="82"/>
      <c r="X78" s="744">
        <f>ROUND(SUM(X13+X76),1)</f>
        <v>0</v>
      </c>
      <c r="Y78" s="1238"/>
      <c r="Z78" s="82"/>
      <c r="AA78" s="744">
        <f>ROUND(SUM(AA13+AA76),1)</f>
        <v>262.2</v>
      </c>
      <c r="AB78" s="1238"/>
      <c r="AC78" s="82"/>
      <c r="AD78" s="744">
        <f>ROUND(SUM(AD13+AD76),1)</f>
        <v>174.8</v>
      </c>
      <c r="AE78" s="1825"/>
      <c r="AF78" s="732"/>
      <c r="AG78" s="744">
        <f>ROUND(SUM(+AG13+AG76),1)</f>
        <v>87.4</v>
      </c>
      <c r="AH78" s="83"/>
      <c r="AI78" s="975">
        <f>ROUND(IF(AD78=0,0,AG78/ABS(AD78)),3)</f>
        <v>0.5</v>
      </c>
      <c r="AJ78" s="1531"/>
    </row>
    <row r="79" spans="1:36" ht="14.25" customHeight="1" thickTop="1">
      <c r="A79" s="736"/>
      <c r="B79" s="745"/>
      <c r="C79" s="745"/>
      <c r="D79" s="745"/>
      <c r="F79" s="745"/>
      <c r="H79" s="746"/>
      <c r="J79" s="746"/>
      <c r="L79" s="746"/>
      <c r="N79" s="746"/>
      <c r="P79" s="746"/>
      <c r="R79" s="746"/>
      <c r="T79" s="746"/>
      <c r="U79" s="722"/>
      <c r="V79" s="746"/>
      <c r="W79" s="722"/>
      <c r="X79" s="746"/>
      <c r="Y79" s="745"/>
      <c r="Z79" s="745"/>
      <c r="AA79" s="745"/>
      <c r="AB79" s="745"/>
      <c r="AC79" s="745"/>
      <c r="AD79" s="745"/>
      <c r="AE79" s="747"/>
      <c r="AF79" s="745"/>
      <c r="AG79" s="745"/>
      <c r="AI79" s="748"/>
    </row>
    <row r="80" spans="1:36">
      <c r="L80" s="722"/>
      <c r="T80" s="749"/>
      <c r="U80" s="749"/>
      <c r="V80" s="749"/>
      <c r="W80" s="749"/>
      <c r="X80" s="749"/>
      <c r="AD80" s="750"/>
    </row>
    <row r="81" spans="1:24" ht="12" customHeight="1">
      <c r="A81" s="737"/>
      <c r="L81" s="722"/>
      <c r="R81" s="751"/>
      <c r="T81" s="745"/>
      <c r="V81" s="745"/>
      <c r="X81" s="745"/>
    </row>
    <row r="82" spans="1:24">
      <c r="B82" s="750"/>
      <c r="L82" s="722"/>
      <c r="R82" s="751"/>
      <c r="T82" s="745"/>
      <c r="V82" s="745"/>
      <c r="X82" s="745"/>
    </row>
  </sheetData>
  <mergeCells count="2">
    <mergeCell ref="AB5:AD5"/>
    <mergeCell ref="Z9:AI9"/>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6" max="34" man="1"/>
  </rowBreaks>
  <customProperties>
    <customPr name="SheetOptions" r:id="rId2"/>
  </customProperties>
  <ignoredErrors>
    <ignoredError sqref="AI19 AI77 AI25 AI29 AI56:AI58 AI74:AI75 AI73 AI67 AI64:AI65 AI62 AI60 AI71 AI72 AI63 AI66 AI69:AI70 AI52 AI54 AI55 AI51 AI68 AI78" unlockedFormula="1"/>
    <ignoredError sqref="I51 K51" formulaRange="1"/>
    <ignoredError sqref="AI48 AI46 AI47" formula="1" unlockedFormula="1"/>
    <ignoredError sqref="AI27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AP109"/>
  <sheetViews>
    <sheetView showGridLines="0" zoomScale="70" zoomScaleNormal="70" workbookViewId="0"/>
  </sheetViews>
  <sheetFormatPr defaultColWidth="8.84375" defaultRowHeight="15.5"/>
  <cols>
    <col min="1" max="1" width="2.53515625" style="23" customWidth="1"/>
    <col min="2" max="2" width="15.84375" style="23" customWidth="1"/>
    <col min="3" max="3" width="25.07421875" style="23" customWidth="1"/>
    <col min="4" max="4" width="2" style="23" customWidth="1"/>
    <col min="5" max="5" width="12.53515625" style="23" customWidth="1"/>
    <col min="6" max="6" width="1.84375" style="23" customWidth="1"/>
    <col min="7" max="7" width="11.84375" style="23" bestFit="1" customWidth="1"/>
    <col min="8" max="8" width="1.84375" style="23" customWidth="1"/>
    <col min="9" max="9" width="11.4609375" style="23" bestFit="1" customWidth="1"/>
    <col min="10" max="10" width="1.84375" style="23" customWidth="1"/>
    <col min="11" max="11" width="11.84375" style="23" bestFit="1" customWidth="1"/>
    <col min="12" max="12" width="1.07421875" style="23" customWidth="1"/>
    <col min="13" max="13" width="10.53515625" style="23" customWidth="1"/>
    <col min="14" max="14" width="1.84375" style="23" customWidth="1"/>
    <col min="15" max="15" width="12.4609375" style="23" customWidth="1"/>
    <col min="16" max="16" width="1.84375" style="23" customWidth="1"/>
    <col min="17" max="17" width="12.07421875" style="23" customWidth="1"/>
    <col min="18" max="18" width="1.84375" style="23" customWidth="1"/>
    <col min="19" max="19" width="12.07421875" style="23" customWidth="1"/>
    <col min="20" max="20" width="1.84375" style="23" customWidth="1"/>
    <col min="21" max="21" width="10.84375" style="23" customWidth="1"/>
    <col min="22" max="22" width="1.84375" style="23" customWidth="1"/>
    <col min="23" max="23" width="13.84375" style="23" customWidth="1"/>
    <col min="24" max="24" width="1.84375" style="23" customWidth="1"/>
    <col min="25" max="25" width="12.84375" style="23" customWidth="1"/>
    <col min="26" max="26" width="1.84375" style="23" customWidth="1"/>
    <col min="27" max="27" width="11.84375" style="23" customWidth="1"/>
    <col min="28" max="28" width="1.4609375" style="23" customWidth="1"/>
    <col min="29" max="29" width="14.07421875" style="23" customWidth="1"/>
    <col min="30" max="31" width="1.07421875" style="23" customWidth="1"/>
    <col min="32" max="32" width="12.84375" style="23" customWidth="1"/>
    <col min="33" max="34" width="1.07421875" style="23" customWidth="1"/>
    <col min="35" max="35" width="12.84375" style="23" customWidth="1"/>
    <col min="36" max="37" width="1.07421875" style="23" customWidth="1"/>
    <col min="38" max="38" width="12.84375" style="23" customWidth="1"/>
    <col min="39" max="39" width="1.07421875" style="23" customWidth="1"/>
    <col min="40" max="40" width="12.84375" style="23" customWidth="1"/>
    <col min="41" max="16384" width="8.84375" style="23"/>
  </cols>
  <sheetData>
    <row r="1" spans="1:41">
      <c r="B1" s="265" t="s">
        <v>97</v>
      </c>
    </row>
    <row r="2" spans="1:41">
      <c r="B2" s="354"/>
    </row>
    <row r="3" spans="1:41" ht="19.5" customHeight="1">
      <c r="A3" s="84"/>
      <c r="B3" s="50" t="s">
        <v>98</v>
      </c>
      <c r="C3" s="85"/>
      <c r="D3" s="85"/>
      <c r="E3" s="85"/>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N3" s="106" t="s">
        <v>553</v>
      </c>
    </row>
    <row r="4" spans="1:41" ht="19.5" customHeight="1">
      <c r="A4" s="84"/>
      <c r="B4" s="50" t="s">
        <v>554</v>
      </c>
      <c r="C4" s="85"/>
      <c r="D4" s="85"/>
      <c r="E4" s="85"/>
      <c r="F4" s="86"/>
      <c r="G4" s="86"/>
      <c r="H4" s="86"/>
      <c r="I4" s="86"/>
      <c r="J4" s="86"/>
      <c r="K4" s="86"/>
      <c r="L4" s="86"/>
      <c r="M4" s="86"/>
      <c r="N4" s="86"/>
      <c r="O4" s="86"/>
      <c r="P4" s="86"/>
      <c r="Q4" s="86"/>
      <c r="R4" s="86"/>
      <c r="S4" s="86"/>
      <c r="T4" s="86"/>
      <c r="U4" s="86"/>
      <c r="V4" s="86"/>
      <c r="W4" s="86"/>
      <c r="X4" s="86"/>
      <c r="Y4" s="86"/>
      <c r="Z4" s="86"/>
      <c r="AA4" s="86"/>
      <c r="AB4" s="86"/>
      <c r="AC4" s="86"/>
      <c r="AD4" s="86"/>
      <c r="AE4" s="86"/>
      <c r="AG4" s="87"/>
      <c r="AH4" s="87"/>
    </row>
    <row r="5" spans="1:41" ht="19.5" customHeight="1">
      <c r="A5" s="84"/>
      <c r="B5" s="81" t="s">
        <v>444</v>
      </c>
      <c r="C5" s="85"/>
      <c r="D5" s="85"/>
      <c r="E5" s="85"/>
      <c r="F5" s="86"/>
      <c r="G5" s="86"/>
      <c r="H5" s="86"/>
      <c r="I5" s="86"/>
      <c r="J5" s="86"/>
      <c r="K5" s="86"/>
      <c r="L5" s="86"/>
      <c r="M5" s="86"/>
      <c r="N5" s="86"/>
      <c r="O5" s="86"/>
      <c r="P5" s="86"/>
      <c r="Q5" s="86"/>
      <c r="R5" s="86"/>
      <c r="S5" s="86" t="s">
        <v>103</v>
      </c>
      <c r="T5" s="86"/>
      <c r="U5" s="86" t="s">
        <v>103</v>
      </c>
      <c r="V5" s="86"/>
      <c r="W5" s="86"/>
      <c r="X5" s="86"/>
      <c r="Y5" s="86"/>
      <c r="Z5" s="86"/>
      <c r="AA5" s="86"/>
      <c r="AB5" s="86"/>
      <c r="AC5" s="86"/>
      <c r="AD5" s="86"/>
      <c r="AE5" s="86"/>
      <c r="AF5" s="86"/>
      <c r="AG5" s="86"/>
      <c r="AH5" s="86"/>
      <c r="AI5" s="86"/>
      <c r="AJ5" s="86"/>
      <c r="AK5" s="86"/>
      <c r="AN5" s="72"/>
    </row>
    <row r="6" spans="1:41" ht="19.5" customHeight="1">
      <c r="A6" s="84"/>
      <c r="B6" s="541" t="str">
        <f>'Cashflow Governmental'!A6</f>
        <v>FISCAL YEAR 2026-2027</v>
      </c>
      <c r="C6" s="85"/>
      <c r="D6" s="85"/>
      <c r="E6" s="85"/>
      <c r="F6" s="86"/>
      <c r="G6" s="86"/>
      <c r="H6" s="1133"/>
      <c r="I6" s="86"/>
      <c r="J6" s="86"/>
      <c r="K6" s="86"/>
      <c r="L6" s="86"/>
      <c r="M6" s="86"/>
      <c r="N6" s="86"/>
      <c r="O6" s="86"/>
      <c r="P6" s="86"/>
      <c r="Q6" s="86"/>
      <c r="R6" s="86"/>
      <c r="S6" s="86" t="s">
        <v>103</v>
      </c>
      <c r="T6" s="86"/>
      <c r="U6" s="86"/>
      <c r="V6" s="86"/>
      <c r="W6" s="86"/>
      <c r="X6" s="86"/>
      <c r="Y6" s="86"/>
      <c r="Z6" s="86"/>
      <c r="AA6" s="86"/>
      <c r="AB6" s="86"/>
      <c r="AC6" s="86"/>
      <c r="AD6" s="86"/>
      <c r="AE6" s="86"/>
      <c r="AF6" s="86"/>
      <c r="AG6" s="88"/>
      <c r="AH6" s="88"/>
      <c r="AI6" s="88"/>
      <c r="AJ6" s="88"/>
      <c r="AK6" s="88"/>
    </row>
    <row r="7" spans="1:41" ht="19.5" customHeight="1">
      <c r="A7" s="84"/>
      <c r="B7" s="50" t="s">
        <v>555</v>
      </c>
      <c r="C7" s="85"/>
      <c r="D7" s="85"/>
      <c r="E7" s="85"/>
      <c r="F7" s="86"/>
      <c r="G7" s="86"/>
      <c r="H7" s="1133"/>
      <c r="I7" s="86"/>
      <c r="J7" s="86"/>
      <c r="K7" s="86"/>
      <c r="L7" s="86"/>
      <c r="M7" s="86"/>
      <c r="N7" s="86"/>
      <c r="O7" s="86"/>
      <c r="P7" s="86"/>
      <c r="Q7" s="86"/>
      <c r="R7" s="86"/>
      <c r="S7" s="86" t="s">
        <v>103</v>
      </c>
      <c r="T7" s="86"/>
      <c r="U7" s="86"/>
      <c r="V7" s="86"/>
      <c r="W7" s="86"/>
      <c r="X7" s="86"/>
      <c r="Y7" s="86"/>
      <c r="Z7" s="86"/>
      <c r="AA7" s="86"/>
      <c r="AB7" s="86"/>
      <c r="AC7" s="86"/>
      <c r="AD7" s="86"/>
      <c r="AE7" s="86"/>
      <c r="AF7" s="86"/>
      <c r="AG7" s="88"/>
      <c r="AH7" s="88"/>
      <c r="AI7" s="88"/>
      <c r="AJ7" s="88"/>
      <c r="AK7" s="88"/>
    </row>
    <row r="8" spans="1:41" ht="19.5" customHeight="1">
      <c r="A8" s="84"/>
      <c r="C8" s="85"/>
      <c r="D8" s="85"/>
      <c r="E8" s="85"/>
      <c r="F8" s="86"/>
      <c r="G8" s="86"/>
      <c r="H8" s="86"/>
      <c r="I8" s="86"/>
      <c r="J8" s="86"/>
      <c r="K8" s="86"/>
      <c r="L8" s="86"/>
      <c r="M8" s="86"/>
      <c r="N8" s="86"/>
      <c r="O8" s="86"/>
      <c r="P8" s="86"/>
      <c r="Q8" s="86"/>
      <c r="R8" s="86"/>
      <c r="S8" s="86" t="s">
        <v>103</v>
      </c>
      <c r="T8" s="86"/>
      <c r="U8" s="86"/>
      <c r="V8" s="86"/>
      <c r="W8" s="86"/>
      <c r="X8" s="86"/>
      <c r="Y8" s="86"/>
      <c r="Z8" s="86"/>
      <c r="AA8" s="86"/>
      <c r="AB8" s="86"/>
      <c r="AC8" s="86"/>
      <c r="AD8" s="86"/>
      <c r="AE8" s="89"/>
    </row>
    <row r="9" spans="1:41" ht="15.75" customHeight="1">
      <c r="A9" s="84"/>
      <c r="B9" s="90"/>
      <c r="C9" s="85"/>
      <c r="D9" s="85"/>
      <c r="E9" s="1198"/>
      <c r="F9" s="322"/>
      <c r="G9" s="322"/>
      <c r="H9" s="322"/>
      <c r="I9" s="322"/>
      <c r="J9" s="322"/>
      <c r="K9" s="322"/>
      <c r="L9" s="322"/>
      <c r="M9" s="322"/>
      <c r="N9" s="322"/>
      <c r="O9" s="322"/>
      <c r="P9" s="322"/>
      <c r="Q9" s="322"/>
      <c r="R9" s="322"/>
      <c r="S9" s="322"/>
      <c r="T9" s="322"/>
      <c r="U9" s="322"/>
      <c r="V9" s="322"/>
      <c r="W9" s="322"/>
      <c r="X9" s="322"/>
      <c r="Y9" s="322"/>
      <c r="Z9" s="322"/>
      <c r="AA9" s="322"/>
      <c r="AB9" s="322"/>
      <c r="AC9" s="52" t="s">
        <v>475</v>
      </c>
      <c r="AD9" s="322"/>
      <c r="AE9" s="2066" t="str">
        <f>'Cashflow Governmental'!$AB$12</f>
        <v>1 Month Ended April 30</v>
      </c>
      <c r="AF9" s="2066"/>
      <c r="AG9" s="2066"/>
      <c r="AH9" s="2066"/>
      <c r="AI9" s="2066"/>
      <c r="AJ9" s="2066"/>
      <c r="AK9" s="2066"/>
      <c r="AL9" s="2066"/>
      <c r="AM9" s="2066"/>
      <c r="AN9" s="2066"/>
    </row>
    <row r="10" spans="1:41" ht="15.75" customHeight="1">
      <c r="A10" s="91"/>
      <c r="B10" s="91"/>
      <c r="C10" s="91"/>
      <c r="D10" s="91"/>
      <c r="E10" s="314" t="str">
        <f>'Cashflow Governmental'!C13</f>
        <v>2026</v>
      </c>
      <c r="F10" s="323"/>
      <c r="G10" s="323"/>
      <c r="H10" s="323"/>
      <c r="I10" s="323"/>
      <c r="J10" s="323"/>
      <c r="K10" s="323"/>
      <c r="L10" s="323"/>
      <c r="M10" s="323"/>
      <c r="N10" s="323"/>
      <c r="O10" s="323"/>
      <c r="P10" s="323"/>
      <c r="Q10" s="323"/>
      <c r="R10" s="323"/>
      <c r="S10" s="323"/>
      <c r="T10" s="323"/>
      <c r="U10" s="323"/>
      <c r="V10" s="323"/>
      <c r="W10" s="314">
        <f>'Cashflow Governmental'!U13</f>
        <v>2027</v>
      </c>
      <c r="X10" s="323"/>
      <c r="Y10" s="323"/>
      <c r="Z10" s="323"/>
      <c r="AA10" s="323"/>
      <c r="AB10" s="323"/>
      <c r="AC10" s="52" t="s">
        <v>476</v>
      </c>
      <c r="AD10" s="323"/>
      <c r="AE10" s="323"/>
      <c r="AF10" s="323"/>
      <c r="AG10" s="323"/>
      <c r="AH10" s="323"/>
      <c r="AI10" s="323"/>
      <c r="AJ10" s="323"/>
      <c r="AK10" s="323"/>
      <c r="AL10" s="320" t="s">
        <v>110</v>
      </c>
      <c r="AM10" s="320"/>
      <c r="AN10" s="318" t="s">
        <v>111</v>
      </c>
      <c r="AO10" s="3"/>
    </row>
    <row r="11" spans="1:41" ht="15.75" customHeight="1">
      <c r="A11" s="291"/>
      <c r="B11" s="291"/>
      <c r="C11" s="291"/>
      <c r="D11" s="291"/>
      <c r="E11" s="1219" t="s">
        <v>329</v>
      </c>
      <c r="F11" s="3"/>
      <c r="G11" s="1219" t="s">
        <v>330</v>
      </c>
      <c r="H11" s="3"/>
      <c r="I11" s="1219" t="s">
        <v>331</v>
      </c>
      <c r="J11" s="3"/>
      <c r="K11" s="1219" t="s">
        <v>332</v>
      </c>
      <c r="L11" s="3"/>
      <c r="M11" s="1219" t="s">
        <v>333</v>
      </c>
      <c r="N11" s="3"/>
      <c r="O11" s="1219" t="s">
        <v>445</v>
      </c>
      <c r="P11" s="3"/>
      <c r="Q11" s="1219" t="s">
        <v>446</v>
      </c>
      <c r="R11" s="3"/>
      <c r="S11" s="1219" t="s">
        <v>336</v>
      </c>
      <c r="T11" s="3"/>
      <c r="U11" s="1219" t="s">
        <v>337</v>
      </c>
      <c r="V11" s="3"/>
      <c r="W11" s="1219" t="s">
        <v>338</v>
      </c>
      <c r="X11" s="3"/>
      <c r="Y11" s="1219" t="s">
        <v>339</v>
      </c>
      <c r="Z11" s="3"/>
      <c r="AA11" s="1219" t="s">
        <v>447</v>
      </c>
      <c r="AB11" s="52"/>
      <c r="AC11" s="1219" t="s">
        <v>477</v>
      </c>
      <c r="AD11" s="3"/>
      <c r="AE11" s="3"/>
      <c r="AF11" s="1219" t="str">
        <f>'Cashflow Governmental'!AB14</f>
        <v>2026</v>
      </c>
      <c r="AG11" s="3"/>
      <c r="AH11" s="3"/>
      <c r="AI11" s="1219" t="str">
        <f>'Cashflow Governmental'!AE14</f>
        <v>2025</v>
      </c>
      <c r="AJ11" s="52"/>
      <c r="AK11" s="52"/>
      <c r="AL11" s="416" t="s">
        <v>112</v>
      </c>
      <c r="AM11" s="320"/>
      <c r="AN11" s="416" t="s">
        <v>113</v>
      </c>
      <c r="AO11" s="3"/>
    </row>
    <row r="12" spans="1:41" ht="6" customHeight="1">
      <c r="A12" s="291"/>
      <c r="B12" s="3"/>
      <c r="C12" s="3"/>
      <c r="D12" s="291"/>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268"/>
      <c r="AJ12" s="268"/>
      <c r="AK12" s="40"/>
    </row>
    <row r="13" spans="1:41" ht="15.75" customHeight="1">
      <c r="A13" s="291"/>
      <c r="B13" s="1218" t="s">
        <v>556</v>
      </c>
      <c r="C13" s="3"/>
      <c r="D13" s="291"/>
      <c r="E13" s="82">
        <f>'Exhibit I State'!E13+'Exhibit I Federal'!E13</f>
        <v>-2483.1</v>
      </c>
      <c r="F13" s="20"/>
      <c r="G13" s="20"/>
      <c r="H13" s="20"/>
      <c r="I13" s="20"/>
      <c r="J13" s="20"/>
      <c r="K13" s="20"/>
      <c r="L13" s="20"/>
      <c r="M13" s="20"/>
      <c r="N13" s="20"/>
      <c r="O13" s="20"/>
      <c r="P13" s="20"/>
      <c r="Q13" s="20"/>
      <c r="R13" s="20"/>
      <c r="S13" s="20"/>
      <c r="T13" s="20"/>
      <c r="U13" s="20"/>
      <c r="V13" s="20"/>
      <c r="W13" s="20"/>
      <c r="X13" s="20"/>
      <c r="Y13" s="20"/>
      <c r="Z13" s="20"/>
      <c r="AA13" s="20"/>
      <c r="AB13" s="20"/>
      <c r="AC13" s="20">
        <v>0</v>
      </c>
      <c r="AD13" s="20"/>
      <c r="AE13" s="21"/>
      <c r="AF13" s="20">
        <f>E13</f>
        <v>-2483.1</v>
      </c>
      <c r="AG13" s="1243"/>
      <c r="AH13" s="20"/>
      <c r="AI13" s="1954">
        <f>'Exhibit I State'!AG13+'Exhibit I Federal'!AG13</f>
        <v>-1456</v>
      </c>
      <c r="AJ13" s="20"/>
      <c r="AK13" s="94"/>
      <c r="AL13" s="93">
        <f>+AF13-AI13</f>
        <v>-1027.0999999999999</v>
      </c>
      <c r="AM13" s="20"/>
      <c r="AN13" s="281">
        <f>ROUND(IF(AI13=0,0,-AL13/(AI13)),3)</f>
        <v>-0.70499999999999996</v>
      </c>
      <c r="AO13" s="3"/>
    </row>
    <row r="14" spans="1:41" ht="15.75" customHeight="1">
      <c r="A14" s="291"/>
      <c r="B14" s="3"/>
      <c r="C14" s="3"/>
      <c r="D14" s="291"/>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268"/>
      <c r="AD14" s="268"/>
      <c r="AE14" s="668"/>
      <c r="AF14" s="268"/>
      <c r="AG14" s="1244"/>
      <c r="AH14" s="268"/>
      <c r="AI14" s="268"/>
      <c r="AJ14" s="268"/>
      <c r="AK14" s="92"/>
    </row>
    <row r="15" spans="1:41">
      <c r="A15" s="291"/>
      <c r="B15" s="3" t="s">
        <v>557</v>
      </c>
      <c r="C15" s="291"/>
      <c r="D15" s="291"/>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268"/>
      <c r="AD15" s="268"/>
      <c r="AE15" s="668"/>
      <c r="AF15" s="268"/>
      <c r="AG15" s="1244"/>
      <c r="AH15" s="268"/>
      <c r="AI15" s="268"/>
      <c r="AJ15" s="268"/>
      <c r="AK15" s="92"/>
    </row>
    <row r="16" spans="1:41">
      <c r="A16" s="291"/>
      <c r="B16" s="1218" t="s">
        <v>342</v>
      </c>
      <c r="C16" s="291"/>
      <c r="D16" s="291"/>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668"/>
      <c r="AF16" s="268"/>
      <c r="AG16" s="1244"/>
      <c r="AH16" s="268"/>
      <c r="AI16" s="268"/>
      <c r="AJ16" s="268"/>
      <c r="AK16" s="92"/>
    </row>
    <row r="17" spans="1:42">
      <c r="A17" s="291"/>
      <c r="B17" s="413" t="s">
        <v>354</v>
      </c>
      <c r="C17" s="291"/>
      <c r="D17" s="291"/>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668"/>
      <c r="AF17" s="268"/>
      <c r="AG17" s="1244"/>
      <c r="AH17" s="268"/>
      <c r="AI17" s="268"/>
      <c r="AJ17" s="268"/>
      <c r="AK17" s="92"/>
    </row>
    <row r="18" spans="1:42">
      <c r="A18" s="291"/>
      <c r="B18" s="284" t="s">
        <v>356</v>
      </c>
      <c r="C18" s="291"/>
      <c r="D18" s="291"/>
      <c r="E18" s="513">
        <f>+'Exhibit I State'!E18</f>
        <v>-0.3</v>
      </c>
      <c r="F18" s="513"/>
      <c r="G18" s="513"/>
      <c r="H18" s="513"/>
      <c r="I18" s="513"/>
      <c r="J18" s="264"/>
      <c r="K18" s="513"/>
      <c r="L18" s="737"/>
      <c r="M18" s="513"/>
      <c r="N18" s="737"/>
      <c r="O18" s="513"/>
      <c r="P18" s="513"/>
      <c r="Q18" s="513"/>
      <c r="R18" s="737"/>
      <c r="S18" s="513"/>
      <c r="T18" s="513"/>
      <c r="U18" s="513"/>
      <c r="V18" s="513"/>
      <c r="W18" s="513"/>
      <c r="X18" s="513"/>
      <c r="Y18" s="513"/>
      <c r="Z18" s="513"/>
      <c r="AA18" s="513"/>
      <c r="AB18" s="513"/>
      <c r="AC18" s="513">
        <v>0</v>
      </c>
      <c r="AD18" s="1239"/>
      <c r="AE18" s="737"/>
      <c r="AF18" s="264">
        <f>ROUND(SUM(E18:AC18),1)</f>
        <v>-0.3</v>
      </c>
      <c r="AG18" s="1240"/>
      <c r="AH18" s="900"/>
      <c r="AI18" s="940">
        <f>+'Exhibit I State'!AG18</f>
        <v>5</v>
      </c>
      <c r="AJ18" s="901"/>
      <c r="AK18" s="902"/>
      <c r="AL18" s="940">
        <f>ROUND(SUM(AF18-AI18),1)</f>
        <v>-5.3</v>
      </c>
      <c r="AM18" s="737"/>
      <c r="AN18" s="543">
        <f>ROUND(IF(AI18=0,0,AL18/ABS(AI18)),3)</f>
        <v>-1.06</v>
      </c>
      <c r="AO18" s="211"/>
    </row>
    <row r="19" spans="1:42">
      <c r="A19" s="291"/>
      <c r="B19" s="284" t="s">
        <v>359</v>
      </c>
      <c r="C19" s="291"/>
      <c r="D19" s="291"/>
      <c r="E19" s="513">
        <f>+'Exhibit I State'!E19</f>
        <v>29.1</v>
      </c>
      <c r="F19" s="513"/>
      <c r="G19" s="513"/>
      <c r="H19" s="513"/>
      <c r="I19" s="513"/>
      <c r="J19" s="264"/>
      <c r="K19" s="513"/>
      <c r="L19" s="737"/>
      <c r="M19" s="513"/>
      <c r="N19" s="737"/>
      <c r="O19" s="513"/>
      <c r="P19" s="737"/>
      <c r="Q19" s="513"/>
      <c r="R19" s="737"/>
      <c r="S19" s="513"/>
      <c r="T19" s="513"/>
      <c r="U19" s="513"/>
      <c r="V19" s="513"/>
      <c r="W19" s="513"/>
      <c r="X19" s="513"/>
      <c r="Y19" s="513"/>
      <c r="Z19" s="513"/>
      <c r="AA19" s="513"/>
      <c r="AB19" s="513"/>
      <c r="AC19" s="513">
        <v>0</v>
      </c>
      <c r="AD19" s="1239"/>
      <c r="AE19" s="737"/>
      <c r="AF19" s="264">
        <f>ROUND(SUM(E19:AC19),1)</f>
        <v>29.1</v>
      </c>
      <c r="AG19" s="1240"/>
      <c r="AH19" s="900"/>
      <c r="AI19" s="940">
        <f>+'Exhibit I State'!AG19</f>
        <v>28.3</v>
      </c>
      <c r="AJ19" s="901"/>
      <c r="AK19" s="902"/>
      <c r="AL19" s="940">
        <f>ROUND(SUM(AF19-AI19),1)</f>
        <v>0.8</v>
      </c>
      <c r="AM19" s="737"/>
      <c r="AN19" s="374">
        <f>ROUND(IF(AI19=0,0,AL19/ABS(AI19)),3)</f>
        <v>2.8000000000000001E-2</v>
      </c>
      <c r="AO19" s="211"/>
    </row>
    <row r="20" spans="1:42">
      <c r="A20" s="291"/>
      <c r="B20" s="284" t="s">
        <v>362</v>
      </c>
      <c r="C20" s="291"/>
      <c r="D20" s="291"/>
      <c r="E20" s="513">
        <f>+'Exhibit I State'!E20</f>
        <v>13.4</v>
      </c>
      <c r="F20" s="513"/>
      <c r="G20" s="513"/>
      <c r="H20" s="513"/>
      <c r="I20" s="513"/>
      <c r="J20" s="264"/>
      <c r="K20" s="513"/>
      <c r="L20" s="737"/>
      <c r="M20" s="513"/>
      <c r="N20" s="737"/>
      <c r="O20" s="513"/>
      <c r="P20" s="737"/>
      <c r="Q20" s="513"/>
      <c r="R20" s="737"/>
      <c r="S20" s="513"/>
      <c r="T20" s="513"/>
      <c r="U20" s="513"/>
      <c r="V20" s="513"/>
      <c r="W20" s="513"/>
      <c r="X20" s="513"/>
      <c r="Y20" s="513"/>
      <c r="Z20" s="513"/>
      <c r="AA20" s="513"/>
      <c r="AB20" s="513"/>
      <c r="AC20" s="513">
        <v>0</v>
      </c>
      <c r="AD20" s="1239"/>
      <c r="AE20" s="737"/>
      <c r="AF20" s="264">
        <f>ROUND(SUM(E20:AC20),1)</f>
        <v>13.4</v>
      </c>
      <c r="AG20" s="1240"/>
      <c r="AH20" s="900"/>
      <c r="AI20" s="940">
        <f>+'Exhibit I State'!AG20</f>
        <v>13.9</v>
      </c>
      <c r="AJ20" s="901"/>
      <c r="AK20" s="902"/>
      <c r="AL20" s="940">
        <f>ROUND(SUM(AF20-AI20),1)</f>
        <v>-0.5</v>
      </c>
      <c r="AM20" s="737"/>
      <c r="AN20" s="543">
        <f>ROUND(IF(AI20=0,0,AL20/ABS(AI20)),3)</f>
        <v>-3.5999999999999997E-2</v>
      </c>
      <c r="AO20" s="211"/>
    </row>
    <row r="21" spans="1:42">
      <c r="A21" s="291"/>
      <c r="B21" s="83" t="s">
        <v>558</v>
      </c>
      <c r="C21" s="291"/>
      <c r="D21" s="291"/>
      <c r="E21" s="68">
        <f>ROUND(SUM(E18:E20),1)</f>
        <v>42.2</v>
      </c>
      <c r="F21" s="13"/>
      <c r="G21" s="68">
        <f>ROUND(SUM(G18:G20),1)</f>
        <v>0</v>
      </c>
      <c r="H21" s="13"/>
      <c r="I21" s="68">
        <f>ROUND(SUM(I18:I20),1)</f>
        <v>0</v>
      </c>
      <c r="J21" s="13"/>
      <c r="K21" s="68">
        <f>ROUND(SUM(K18:K20),1)</f>
        <v>0</v>
      </c>
      <c r="L21" s="737"/>
      <c r="M21" s="68">
        <f>ROUND(SUM(M18:M20),1)</f>
        <v>0</v>
      </c>
      <c r="N21" s="737"/>
      <c r="O21" s="68">
        <f>ROUND(SUM(O18:O20),1)</f>
        <v>0</v>
      </c>
      <c r="P21" s="737"/>
      <c r="Q21" s="68">
        <f>ROUND(SUM(Q18:Q20),1)</f>
        <v>0</v>
      </c>
      <c r="R21" s="737"/>
      <c r="S21" s="68">
        <f>ROUND(SUM(S18:S20),1)</f>
        <v>0</v>
      </c>
      <c r="T21" s="737"/>
      <c r="U21" s="68">
        <f>ROUND(SUM(U18:U20),1)</f>
        <v>0</v>
      </c>
      <c r="V21" s="737"/>
      <c r="W21" s="68">
        <f>ROUND(SUM(W18:W20),1)</f>
        <v>0</v>
      </c>
      <c r="X21" s="737"/>
      <c r="Y21" s="68">
        <f>ROUND(SUM(Y18:Y20),1)</f>
        <v>0</v>
      </c>
      <c r="Z21" s="737"/>
      <c r="AA21" s="68">
        <f>ROUND(SUM(AA18:AA20),1)</f>
        <v>0</v>
      </c>
      <c r="AB21" s="13"/>
      <c r="AC21" s="68">
        <f>ROUND(SUM(AC18:AC20),1)</f>
        <v>0</v>
      </c>
      <c r="AD21" s="1239"/>
      <c r="AE21" s="737"/>
      <c r="AF21" s="68">
        <f>ROUND(SUM(AF18:AF20),1)</f>
        <v>42.2</v>
      </c>
      <c r="AG21" s="1240"/>
      <c r="AH21" s="900"/>
      <c r="AI21" s="68">
        <f>ROUND(SUM(AI18:AI20),1)</f>
        <v>47.2</v>
      </c>
      <c r="AJ21" s="901"/>
      <c r="AK21" s="902"/>
      <c r="AL21" s="1099">
        <f>ROUND(SUM(AF21-AI21),1)</f>
        <v>-5</v>
      </c>
      <c r="AM21" s="83"/>
      <c r="AN21" s="1075">
        <f>ROUND(IF(AI21=0,0,AL21/ABS(AI21)),3)</f>
        <v>-0.106</v>
      </c>
      <c r="AO21" s="211"/>
    </row>
    <row r="22" spans="1:42">
      <c r="A22" s="291"/>
      <c r="B22" s="413" t="s">
        <v>366</v>
      </c>
      <c r="C22" s="291"/>
      <c r="D22" s="291"/>
      <c r="E22" s="13"/>
      <c r="F22" s="13"/>
      <c r="G22" s="13"/>
      <c r="H22" s="13"/>
      <c r="I22" s="13"/>
      <c r="J22" s="13"/>
      <c r="K22" s="13"/>
      <c r="L22" s="737"/>
      <c r="M22" s="13"/>
      <c r="N22" s="737"/>
      <c r="O22" s="13"/>
      <c r="P22" s="737"/>
      <c r="Q22" s="13"/>
      <c r="R22" s="737"/>
      <c r="S22" s="13"/>
      <c r="T22" s="737"/>
      <c r="U22" s="13"/>
      <c r="V22" s="737"/>
      <c r="W22" s="13"/>
      <c r="X22" s="737"/>
      <c r="Y22" s="13"/>
      <c r="Z22" s="737"/>
      <c r="AA22" s="13"/>
      <c r="AB22" s="13"/>
      <c r="AC22" s="13"/>
      <c r="AD22" s="1239"/>
      <c r="AE22" s="737"/>
      <c r="AF22" s="13"/>
      <c r="AG22" s="1240"/>
      <c r="AH22" s="900"/>
      <c r="AI22" s="13"/>
      <c r="AJ22" s="901"/>
      <c r="AK22" s="902"/>
      <c r="AL22" s="414"/>
      <c r="AM22" s="83"/>
      <c r="AN22" s="2"/>
      <c r="AO22" s="211"/>
    </row>
    <row r="23" spans="1:42">
      <c r="A23" s="291"/>
      <c r="B23" s="284" t="s">
        <v>367</v>
      </c>
      <c r="C23" s="291"/>
      <c r="D23" s="291"/>
      <c r="E23" s="513">
        <f>+'Exhibit I State'!E23</f>
        <v>0</v>
      </c>
      <c r="F23" s="513"/>
      <c r="G23" s="513"/>
      <c r="H23" s="513"/>
      <c r="I23" s="513"/>
      <c r="J23" s="13"/>
      <c r="K23" s="513"/>
      <c r="L23" s="737"/>
      <c r="M23" s="513"/>
      <c r="N23" s="737"/>
      <c r="O23" s="513"/>
      <c r="P23" s="737"/>
      <c r="Q23" s="513"/>
      <c r="R23" s="737"/>
      <c r="S23" s="513"/>
      <c r="T23" s="513"/>
      <c r="U23" s="513"/>
      <c r="V23" s="513"/>
      <c r="W23" s="513"/>
      <c r="X23" s="513"/>
      <c r="Y23" s="513"/>
      <c r="Z23" s="513"/>
      <c r="AA23" s="513"/>
      <c r="AB23" s="513"/>
      <c r="AC23" s="513">
        <v>0</v>
      </c>
      <c r="AD23" s="1239"/>
      <c r="AE23" s="737"/>
      <c r="AF23" s="264">
        <v>0</v>
      </c>
      <c r="AG23" s="1240"/>
      <c r="AH23" s="900"/>
      <c r="AI23" s="940">
        <f>+'Exhibit I State'!AG23</f>
        <v>0</v>
      </c>
      <c r="AJ23" s="901"/>
      <c r="AK23" s="902"/>
      <c r="AL23" s="940">
        <f>ROUND(SUM(AF23-AI23),1)</f>
        <v>0</v>
      </c>
      <c r="AM23" s="737"/>
      <c r="AN23" s="1060">
        <f>ROUND(IF(AI23=0,0,AL23/ABS(AI23)),3)</f>
        <v>0</v>
      </c>
      <c r="AO23" s="211"/>
      <c r="AP23" s="80"/>
    </row>
    <row r="24" spans="1:42">
      <c r="A24" s="291"/>
      <c r="B24" s="284" t="s">
        <v>368</v>
      </c>
      <c r="C24" s="291"/>
      <c r="D24" s="291"/>
      <c r="E24" s="513">
        <f>+'Exhibit I State'!E24</f>
        <v>2</v>
      </c>
      <c r="F24" s="513"/>
      <c r="G24" s="513"/>
      <c r="H24" s="513"/>
      <c r="I24" s="513"/>
      <c r="J24" s="13"/>
      <c r="K24" s="513"/>
      <c r="L24" s="737"/>
      <c r="M24" s="513"/>
      <c r="N24" s="737"/>
      <c r="O24" s="513"/>
      <c r="P24" s="737"/>
      <c r="Q24" s="513"/>
      <c r="R24" s="737"/>
      <c r="S24" s="513"/>
      <c r="T24" s="513"/>
      <c r="U24" s="513"/>
      <c r="V24" s="513"/>
      <c r="W24" s="513"/>
      <c r="X24" s="513"/>
      <c r="Y24" s="513"/>
      <c r="Z24" s="513"/>
      <c r="AA24" s="513"/>
      <c r="AB24" s="513"/>
      <c r="AC24" s="513">
        <v>0</v>
      </c>
      <c r="AD24" s="1239"/>
      <c r="AE24" s="737"/>
      <c r="AF24" s="264">
        <f>ROUND(SUM(E24:AC24),1)</f>
        <v>2</v>
      </c>
      <c r="AG24" s="1240"/>
      <c r="AH24" s="900"/>
      <c r="AI24" s="940">
        <f>+'Exhibit I State'!AG24</f>
        <v>3.8</v>
      </c>
      <c r="AJ24" s="901"/>
      <c r="AK24" s="902"/>
      <c r="AL24" s="940">
        <f>ROUND(SUM(AF24-AI24),1)</f>
        <v>-1.8</v>
      </c>
      <c r="AM24" s="737"/>
      <c r="AN24" s="543">
        <f>ROUND(IF(AI24=0,1,AL24/ABS(AI24)),3)</f>
        <v>-0.47399999999999998</v>
      </c>
      <c r="AO24" s="211"/>
      <c r="AP24" s="80"/>
    </row>
    <row r="25" spans="1:42">
      <c r="A25" s="291"/>
      <c r="B25" s="284" t="s">
        <v>372</v>
      </c>
      <c r="C25" s="291"/>
      <c r="D25" s="291"/>
      <c r="E25" s="513">
        <f>+'Exhibit I State'!E25</f>
        <v>41.9</v>
      </c>
      <c r="F25" s="513"/>
      <c r="G25" s="513"/>
      <c r="H25" s="513"/>
      <c r="I25" s="513"/>
      <c r="J25" s="13"/>
      <c r="K25" s="513"/>
      <c r="L25" s="737"/>
      <c r="M25" s="513"/>
      <c r="N25" s="737"/>
      <c r="O25" s="513"/>
      <c r="P25" s="737"/>
      <c r="Q25" s="513"/>
      <c r="R25" s="737"/>
      <c r="S25" s="513"/>
      <c r="T25" s="513"/>
      <c r="U25" s="513"/>
      <c r="V25" s="513"/>
      <c r="W25" s="513"/>
      <c r="X25" s="513"/>
      <c r="Y25" s="513"/>
      <c r="Z25" s="513"/>
      <c r="AA25" s="513"/>
      <c r="AB25" s="513"/>
      <c r="AC25" s="513">
        <v>0</v>
      </c>
      <c r="AD25" s="1239"/>
      <c r="AE25" s="737"/>
      <c r="AF25" s="264">
        <f>ROUND(SUM(E25:AC25),1)</f>
        <v>41.9</v>
      </c>
      <c r="AG25" s="1240"/>
      <c r="AH25" s="900"/>
      <c r="AI25" s="940">
        <f>+'Exhibit I State'!AG25</f>
        <v>43.9</v>
      </c>
      <c r="AJ25" s="901"/>
      <c r="AK25" s="902"/>
      <c r="AL25" s="940">
        <f>ROUND(SUM(AF25-AI25),1)</f>
        <v>-2</v>
      </c>
      <c r="AM25" s="737"/>
      <c r="AN25" s="266">
        <f>ROUND(IF(AI25=0,0,AL25/ABS(AI25)),3)</f>
        <v>-4.5999999999999999E-2</v>
      </c>
      <c r="AO25" s="211"/>
      <c r="AP25" s="80"/>
    </row>
    <row r="26" spans="1:42">
      <c r="A26" s="291"/>
      <c r="B26" s="83" t="s">
        <v>559</v>
      </c>
      <c r="C26" s="291"/>
      <c r="D26" s="291"/>
      <c r="E26" s="68">
        <f>ROUND(SUM(E23:E25),1)</f>
        <v>43.9</v>
      </c>
      <c r="F26" s="532"/>
      <c r="G26" s="68">
        <f>ROUND(SUM(G23:G25),1)</f>
        <v>0</v>
      </c>
      <c r="H26" s="532"/>
      <c r="I26" s="68">
        <f>ROUND(SUM(I23:I25),1)</f>
        <v>0</v>
      </c>
      <c r="J26" s="13"/>
      <c r="K26" s="68">
        <f>ROUND(SUM(K23:K25),1)</f>
        <v>0</v>
      </c>
      <c r="L26" s="737"/>
      <c r="M26" s="68">
        <f>ROUND(SUM(M23:M25),1)</f>
        <v>0</v>
      </c>
      <c r="N26" s="737"/>
      <c r="O26" s="68">
        <f>ROUND(SUM(O23:O25),1)</f>
        <v>0</v>
      </c>
      <c r="P26" s="737"/>
      <c r="Q26" s="68">
        <f>ROUND(SUM(Q23:Q25),1)</f>
        <v>0</v>
      </c>
      <c r="R26" s="737"/>
      <c r="S26" s="68">
        <f>ROUND(SUM(S23:S25),1)</f>
        <v>0</v>
      </c>
      <c r="T26" s="737"/>
      <c r="U26" s="68">
        <f>ROUND(SUM(U23:U25),1)</f>
        <v>0</v>
      </c>
      <c r="V26" s="737"/>
      <c r="W26" s="68">
        <f>ROUND(SUM(W23:W25),1)</f>
        <v>0</v>
      </c>
      <c r="X26" s="737"/>
      <c r="Y26" s="68">
        <f>ROUND(SUM(Y23:Y25),1)</f>
        <v>0</v>
      </c>
      <c r="Z26" s="737"/>
      <c r="AA26" s="68">
        <f>ROUND(SUM(AA23:AA25),1)</f>
        <v>0</v>
      </c>
      <c r="AB26" s="13"/>
      <c r="AC26" s="68">
        <f>ROUND(SUM(AC23:AC25),1)</f>
        <v>0</v>
      </c>
      <c r="AD26" s="1239"/>
      <c r="AE26" s="737"/>
      <c r="AF26" s="68">
        <f>ROUND(SUM(AF23:AF25),1)</f>
        <v>43.9</v>
      </c>
      <c r="AG26" s="1240"/>
      <c r="AH26" s="900"/>
      <c r="AI26" s="68">
        <f>ROUND(SUM(AI23:AI25),1)</f>
        <v>47.7</v>
      </c>
      <c r="AJ26" s="901"/>
      <c r="AK26" s="902"/>
      <c r="AL26" s="68">
        <f>ROUND(SUM(AL23:AL25),1)</f>
        <v>-3.8</v>
      </c>
      <c r="AM26" s="737"/>
      <c r="AN26" s="538">
        <f>ROUND(IF(AI26=0,0,AL26/ABS(AI26)),3)</f>
        <v>-0.08</v>
      </c>
      <c r="AO26" s="211"/>
      <c r="AP26" s="80"/>
    </row>
    <row r="27" spans="1:42">
      <c r="A27" s="291"/>
      <c r="B27" s="413" t="s">
        <v>374</v>
      </c>
      <c r="C27" s="291"/>
      <c r="D27" s="291"/>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668"/>
      <c r="AF27" s="268"/>
      <c r="AG27" s="1244"/>
      <c r="AH27" s="268"/>
      <c r="AI27" s="268"/>
      <c r="AJ27" s="268"/>
      <c r="AK27" s="92"/>
    </row>
    <row r="28" spans="1:42">
      <c r="A28" s="291"/>
      <c r="B28" s="284" t="s">
        <v>378</v>
      </c>
      <c r="C28" s="291"/>
      <c r="D28" s="291"/>
      <c r="E28" s="513">
        <f>+'Exhibit I State'!E28</f>
        <v>0</v>
      </c>
      <c r="F28" s="513"/>
      <c r="G28" s="513"/>
      <c r="H28" s="513"/>
      <c r="I28" s="513"/>
      <c r="J28" s="13"/>
      <c r="K28" s="513"/>
      <c r="L28" s="737"/>
      <c r="M28" s="513"/>
      <c r="N28" s="737"/>
      <c r="O28" s="513"/>
      <c r="P28" s="737"/>
      <c r="Q28" s="513"/>
      <c r="R28" s="737"/>
      <c r="S28" s="513"/>
      <c r="T28" s="513"/>
      <c r="U28" s="513"/>
      <c r="V28" s="513"/>
      <c r="W28" s="513"/>
      <c r="X28" s="513"/>
      <c r="Y28" s="513"/>
      <c r="Z28" s="513"/>
      <c r="AA28" s="513"/>
      <c r="AB28" s="513"/>
      <c r="AC28" s="513">
        <v>0</v>
      </c>
      <c r="AD28" s="1239"/>
      <c r="AE28" s="737"/>
      <c r="AF28" s="264">
        <f>ROUND(SUM(E28:AC28),1)</f>
        <v>0</v>
      </c>
      <c r="AG28" s="1240"/>
      <c r="AH28" s="900"/>
      <c r="AI28" s="940">
        <f>+'Exhibit I State'!AG28</f>
        <v>0</v>
      </c>
      <c r="AJ28" s="901"/>
      <c r="AK28" s="902"/>
      <c r="AL28" s="940">
        <f>ROUND(SUM(AF28-AI28),1)</f>
        <v>0</v>
      </c>
      <c r="AM28" s="737"/>
      <c r="AN28" s="266">
        <f>ROUND(IF(AI28=0,0,AL28/ABS(AI28)),3)</f>
        <v>0</v>
      </c>
      <c r="AO28" s="211"/>
      <c r="AP28" s="80"/>
    </row>
    <row r="29" spans="1:42">
      <c r="A29" s="291"/>
      <c r="B29" s="83" t="s">
        <v>560</v>
      </c>
      <c r="C29" s="291"/>
      <c r="D29" s="291"/>
      <c r="E29" s="68">
        <f>ROUND(SUM(E28:E28),1)</f>
        <v>0</v>
      </c>
      <c r="F29" s="13"/>
      <c r="G29" s="68">
        <f>ROUND(SUM(G28:G28),1)</f>
        <v>0</v>
      </c>
      <c r="H29" s="13"/>
      <c r="I29" s="68">
        <f>ROUND(SUM(I28:I28),1)</f>
        <v>0</v>
      </c>
      <c r="J29" s="13"/>
      <c r="K29" s="68">
        <f>ROUND(SUM(K28:K28),1)</f>
        <v>0</v>
      </c>
      <c r="L29" s="737"/>
      <c r="M29" s="68">
        <f>ROUND(SUM(M28:M28),1)</f>
        <v>0</v>
      </c>
      <c r="N29" s="737"/>
      <c r="O29" s="68">
        <f>ROUND(SUM(O28:O28),1)</f>
        <v>0</v>
      </c>
      <c r="P29" s="737"/>
      <c r="Q29" s="68">
        <f>ROUND(SUM(Q28:Q28),1)</f>
        <v>0</v>
      </c>
      <c r="R29" s="737"/>
      <c r="S29" s="68">
        <f>ROUND(SUM(S28:S28),1)</f>
        <v>0</v>
      </c>
      <c r="T29" s="737"/>
      <c r="U29" s="68">
        <f>ROUND(SUM(U28:U28),1)</f>
        <v>0</v>
      </c>
      <c r="V29" s="737"/>
      <c r="W29" s="68">
        <f>ROUND(SUM(W28:W28),1)</f>
        <v>0</v>
      </c>
      <c r="X29" s="737"/>
      <c r="Y29" s="68">
        <f>ROUND(SUM(Y28:Y28),1)</f>
        <v>0</v>
      </c>
      <c r="Z29" s="737"/>
      <c r="AA29" s="68">
        <f>ROUND(SUM(AA28:AA28),1)</f>
        <v>0</v>
      </c>
      <c r="AB29" s="13"/>
      <c r="AC29" s="68">
        <f>ROUND(SUM(AC28:AC28),1)</f>
        <v>0</v>
      </c>
      <c r="AD29" s="1239"/>
      <c r="AE29" s="737"/>
      <c r="AF29" s="68">
        <f>ROUND(SUM(AF28:AF28),1)</f>
        <v>0</v>
      </c>
      <c r="AG29" s="1240"/>
      <c r="AH29" s="900"/>
      <c r="AI29" s="68">
        <f>ROUND(SUM(AI28:AI28),1)</f>
        <v>0</v>
      </c>
      <c r="AJ29" s="901"/>
      <c r="AK29" s="902"/>
      <c r="AL29" s="1099">
        <f>ROUND(SUM(AF29-AI29),1)</f>
        <v>0</v>
      </c>
      <c r="AM29" s="83"/>
      <c r="AN29" s="538">
        <f>ROUND(IF(AI29=0,0,AL29/ABS(AI29)),3)</f>
        <v>0</v>
      </c>
      <c r="AO29" s="211"/>
      <c r="AP29" s="80"/>
    </row>
    <row r="30" spans="1:42">
      <c r="A30" s="291"/>
      <c r="B30" s="83"/>
      <c r="C30" s="291"/>
      <c r="D30" s="291"/>
      <c r="E30" s="1100"/>
      <c r="F30" s="13"/>
      <c r="G30" s="1100"/>
      <c r="H30" s="13"/>
      <c r="I30" s="1100"/>
      <c r="J30" s="13"/>
      <c r="K30" s="1100"/>
      <c r="L30" s="737"/>
      <c r="M30" s="1100"/>
      <c r="N30" s="737"/>
      <c r="O30" s="1100"/>
      <c r="P30" s="737"/>
      <c r="Q30" s="1100"/>
      <c r="R30" s="737"/>
      <c r="S30" s="1100"/>
      <c r="T30" s="737"/>
      <c r="U30" s="1100"/>
      <c r="V30" s="737"/>
      <c r="W30" s="1100"/>
      <c r="X30" s="737"/>
      <c r="Y30" s="1100"/>
      <c r="Z30" s="737"/>
      <c r="AA30" s="1100"/>
      <c r="AB30" s="13"/>
      <c r="AC30" s="1100"/>
      <c r="AD30" s="1239"/>
      <c r="AE30" s="737"/>
      <c r="AF30" s="1100"/>
      <c r="AG30" s="1240"/>
      <c r="AH30" s="900"/>
      <c r="AI30" s="900"/>
      <c r="AJ30" s="901"/>
      <c r="AK30" s="902"/>
      <c r="AL30" s="900"/>
      <c r="AM30" s="737"/>
      <c r="AN30" s="737"/>
      <c r="AO30" s="211"/>
      <c r="AP30" s="80"/>
    </row>
    <row r="31" spans="1:42">
      <c r="A31" s="291"/>
      <c r="B31" s="83" t="s">
        <v>382</v>
      </c>
      <c r="C31" s="291"/>
      <c r="D31" s="291"/>
      <c r="E31" s="1043">
        <f>ROUND(SUM(E9+E26+E21+E29),1)</f>
        <v>86.1</v>
      </c>
      <c r="F31" s="264"/>
      <c r="G31" s="1043">
        <f>ROUND(SUM(G9+G26+G21+G29),1)</f>
        <v>0</v>
      </c>
      <c r="H31" s="264"/>
      <c r="I31" s="1043">
        <f>ROUND(SUM(I9+I26+I21+I29),1)</f>
        <v>0</v>
      </c>
      <c r="J31" s="264"/>
      <c r="K31" s="1043">
        <f>ROUND(SUM(K9+K26+K21+K29),1)</f>
        <v>0</v>
      </c>
      <c r="L31" s="737"/>
      <c r="M31" s="1043">
        <f>ROUND(SUM(M9+M26+M21+M29),1)</f>
        <v>0</v>
      </c>
      <c r="N31" s="737"/>
      <c r="O31" s="1043">
        <f>ROUND(SUM(O9+O26+O21+O29),1)</f>
        <v>0</v>
      </c>
      <c r="P31" s="737"/>
      <c r="Q31" s="1043">
        <f>ROUND(SUM(Q9+Q26+Q21+Q29),1)</f>
        <v>0</v>
      </c>
      <c r="R31" s="737"/>
      <c r="S31" s="1016">
        <f>ROUND(SUM(S9+S26+S21+S29),1)</f>
        <v>0</v>
      </c>
      <c r="T31" s="737"/>
      <c r="U31" s="1016">
        <f>ROUND(SUM(U9+U26+U21+U29),1)</f>
        <v>0</v>
      </c>
      <c r="V31" s="737"/>
      <c r="W31" s="1016">
        <f>ROUND(SUM(W9+W26+W21+W29),1)</f>
        <v>0</v>
      </c>
      <c r="X31" s="737"/>
      <c r="Y31" s="1016">
        <f>ROUND(SUM(Y9+Y26+Y21+Y29),1)</f>
        <v>0</v>
      </c>
      <c r="Z31" s="737"/>
      <c r="AA31" s="1016">
        <f>ROUND(SUM(AA9+AA26+AA21+AA29),1)</f>
        <v>0</v>
      </c>
      <c r="AB31" s="415"/>
      <c r="AC31" s="1016">
        <f>ROUND(SUM(AC13+AC26+AC21+AC29),1)</f>
        <v>0</v>
      </c>
      <c r="AD31" s="1239"/>
      <c r="AE31" s="737"/>
      <c r="AF31" s="1016">
        <f>ROUND(SUM(AF26+AF21+AF29),1)</f>
        <v>86.1</v>
      </c>
      <c r="AG31" s="1240"/>
      <c r="AH31" s="900"/>
      <c r="AI31" s="1016">
        <f>ROUND(SUM(AI26+AI21+AI29),1)</f>
        <v>94.9</v>
      </c>
      <c r="AJ31" s="901"/>
      <c r="AK31" s="902"/>
      <c r="AL31" s="1062">
        <f>ROUND(SUM(AF31-AI31),1)</f>
        <v>-8.8000000000000007</v>
      </c>
      <c r="AM31" s="83"/>
      <c r="AN31" s="539">
        <f>ROUND(IF(AI31=0,0,AL31/ABS(AI31)),3)</f>
        <v>-9.2999999999999999E-2</v>
      </c>
      <c r="AO31" s="211"/>
      <c r="AP31" s="80"/>
    </row>
    <row r="32" spans="1:42">
      <c r="A32" s="291"/>
      <c r="B32" s="83"/>
      <c r="C32" s="291"/>
      <c r="D32" s="291"/>
      <c r="E32" s="610"/>
      <c r="F32" s="264"/>
      <c r="G32" s="610"/>
      <c r="H32" s="264"/>
      <c r="I32" s="610"/>
      <c r="J32" s="264"/>
      <c r="K32" s="610"/>
      <c r="L32" s="737"/>
      <c r="M32" s="610"/>
      <c r="N32" s="737"/>
      <c r="O32" s="610"/>
      <c r="P32" s="737"/>
      <c r="Q32" s="610"/>
      <c r="R32" s="737"/>
      <c r="S32" s="415"/>
      <c r="T32" s="737"/>
      <c r="U32" s="415"/>
      <c r="V32" s="737"/>
      <c r="W32" s="415"/>
      <c r="X32" s="737"/>
      <c r="Y32" s="415"/>
      <c r="Z32" s="737"/>
      <c r="AA32" s="415"/>
      <c r="AB32" s="415"/>
      <c r="AC32" s="415"/>
      <c r="AD32" s="1239"/>
      <c r="AE32" s="737"/>
      <c r="AF32" s="415"/>
      <c r="AG32" s="1240"/>
      <c r="AH32" s="900"/>
      <c r="AI32" s="415"/>
      <c r="AJ32" s="901"/>
      <c r="AK32" s="902"/>
      <c r="AL32" s="414"/>
      <c r="AM32" s="83"/>
      <c r="AN32" s="281"/>
      <c r="AO32" s="211"/>
      <c r="AP32" s="80"/>
    </row>
    <row r="33" spans="1:41">
      <c r="A33" s="291"/>
      <c r="B33" s="1218" t="s">
        <v>383</v>
      </c>
      <c r="C33" s="291"/>
      <c r="D33" s="291"/>
      <c r="E33" s="275"/>
      <c r="F33" s="264"/>
      <c r="G33" s="275"/>
      <c r="H33" s="264"/>
      <c r="I33" s="275"/>
      <c r="J33" s="264"/>
      <c r="K33" s="275"/>
      <c r="L33" s="264"/>
      <c r="M33" s="275"/>
      <c r="N33" s="264"/>
      <c r="O33" s="275"/>
      <c r="P33" s="264"/>
      <c r="Q33" s="275"/>
      <c r="R33" s="264"/>
      <c r="S33" s="275"/>
      <c r="T33" s="264"/>
      <c r="U33" s="275"/>
      <c r="V33" s="264"/>
      <c r="W33" s="275"/>
      <c r="X33" s="264"/>
      <c r="Y33" s="275"/>
      <c r="Z33" s="264"/>
      <c r="AA33" s="275"/>
      <c r="AB33" s="275"/>
      <c r="AC33" s="275"/>
      <c r="AD33" s="264"/>
      <c r="AE33" s="524"/>
      <c r="AF33" s="289"/>
      <c r="AG33" s="1245"/>
      <c r="AH33" s="367"/>
      <c r="AI33" s="1955"/>
      <c r="AJ33" s="287"/>
      <c r="AK33" s="97"/>
      <c r="AL33" s="12"/>
      <c r="AM33" s="95"/>
      <c r="AN33" s="266"/>
    </row>
    <row r="34" spans="1:41">
      <c r="A34" s="291"/>
      <c r="B34" s="350" t="s">
        <v>384</v>
      </c>
      <c r="C34" s="291"/>
      <c r="D34" s="291"/>
      <c r="E34" s="275"/>
      <c r="F34" s="264"/>
      <c r="G34" s="275"/>
      <c r="H34" s="264"/>
      <c r="I34" s="275"/>
      <c r="J34" s="264"/>
      <c r="K34" s="275"/>
      <c r="L34" s="264"/>
      <c r="M34" s="275"/>
      <c r="N34" s="264"/>
      <c r="O34" s="275"/>
      <c r="P34" s="264"/>
      <c r="Q34" s="275"/>
      <c r="R34" s="264"/>
      <c r="S34" s="275"/>
      <c r="T34" s="264"/>
      <c r="U34" s="275"/>
      <c r="V34" s="264"/>
      <c r="W34" s="275"/>
      <c r="X34" s="264"/>
      <c r="Y34" s="275"/>
      <c r="Z34" s="264"/>
      <c r="AA34" s="275"/>
      <c r="AB34" s="275"/>
      <c r="AC34" s="275"/>
      <c r="AD34" s="264"/>
      <c r="AE34" s="524"/>
      <c r="AF34" s="289"/>
      <c r="AG34" s="1245"/>
      <c r="AH34" s="367"/>
      <c r="AI34" s="1955"/>
      <c r="AJ34" s="287"/>
      <c r="AK34" s="97"/>
      <c r="AL34" s="12"/>
      <c r="AM34" s="95"/>
      <c r="AN34" s="266"/>
    </row>
    <row r="35" spans="1:41">
      <c r="A35" s="291"/>
      <c r="B35" s="350" t="s">
        <v>1483</v>
      </c>
      <c r="C35" s="291"/>
      <c r="D35" s="291"/>
      <c r="E35" s="275">
        <f>+'Exhibit I State'!E35+'Exhibit I Federal'!E18</f>
        <v>0</v>
      </c>
      <c r="F35" s="275"/>
      <c r="G35" s="275"/>
      <c r="H35" s="275"/>
      <c r="I35" s="275"/>
      <c r="J35" s="264"/>
      <c r="K35" s="275"/>
      <c r="L35" s="264"/>
      <c r="M35" s="275"/>
      <c r="N35" s="264"/>
      <c r="O35" s="275"/>
      <c r="P35" s="264"/>
      <c r="Q35" s="275"/>
      <c r="R35" s="264"/>
      <c r="S35" s="275"/>
      <c r="T35" s="275"/>
      <c r="U35" s="275"/>
      <c r="V35" s="275"/>
      <c r="W35" s="275"/>
      <c r="X35" s="275"/>
      <c r="Y35" s="275"/>
      <c r="Z35" s="275"/>
      <c r="AA35" s="275"/>
      <c r="AB35" s="275"/>
      <c r="AC35" s="275">
        <v>0</v>
      </c>
      <c r="AD35" s="264"/>
      <c r="AE35" s="524"/>
      <c r="AF35" s="289">
        <f>ROUND(SUM(E35:AC35),1)</f>
        <v>0</v>
      </c>
      <c r="AG35" s="1245"/>
      <c r="AH35" s="367"/>
      <c r="AI35" s="1955">
        <f>+'Exhibit I State'!AG35+'Exhibit I Federal'!AG18</f>
        <v>0.1</v>
      </c>
      <c r="AJ35" s="287"/>
      <c r="AK35" s="97"/>
      <c r="AL35" s="12">
        <f t="shared" ref="AL35" si="0">ROUND(SUM(+AF35-AI35),1)</f>
        <v>-0.1</v>
      </c>
      <c r="AM35" s="95"/>
      <c r="AN35" s="266">
        <f>ROUND(IF(AI35=0,0,AL35/ABS(AI35)),3)</f>
        <v>-1</v>
      </c>
      <c r="AO35" s="12"/>
    </row>
    <row r="36" spans="1:41">
      <c r="A36" s="291"/>
      <c r="B36" s="350" t="s">
        <v>561</v>
      </c>
      <c r="C36" s="291"/>
      <c r="D36" s="291"/>
      <c r="E36" s="275">
        <f>+'Exhibit I State'!E36+'Exhibit I Federal'!E19</f>
        <v>0</v>
      </c>
      <c r="F36" s="275"/>
      <c r="G36" s="275"/>
      <c r="H36" s="275"/>
      <c r="I36" s="275"/>
      <c r="J36" s="264"/>
      <c r="K36" s="275"/>
      <c r="L36" s="264"/>
      <c r="M36" s="275"/>
      <c r="N36" s="264"/>
      <c r="O36" s="275"/>
      <c r="P36" s="264"/>
      <c r="Q36" s="275"/>
      <c r="R36" s="264"/>
      <c r="S36" s="275"/>
      <c r="T36" s="275"/>
      <c r="U36" s="275"/>
      <c r="V36" s="275"/>
      <c r="W36" s="275"/>
      <c r="X36" s="275"/>
      <c r="Y36" s="275"/>
      <c r="Z36" s="275"/>
      <c r="AA36" s="275"/>
      <c r="AB36" s="275"/>
      <c r="AC36" s="275">
        <v>0</v>
      </c>
      <c r="AD36" s="264"/>
      <c r="AE36" s="524"/>
      <c r="AF36" s="289">
        <f>ROUND(SUM(E36:AC36),1)</f>
        <v>0</v>
      </c>
      <c r="AG36" s="1245"/>
      <c r="AH36" s="367"/>
      <c r="AI36" s="1955">
        <f>+'Exhibit I State'!AG36+'Exhibit I Federal'!AG19</f>
        <v>0</v>
      </c>
      <c r="AJ36" s="287"/>
      <c r="AK36" s="97"/>
      <c r="AL36" s="12">
        <f t="shared" ref="AL36:AL59" si="1">ROUND(SUM(+AF36-AI36),1)</f>
        <v>0</v>
      </c>
      <c r="AM36" s="95"/>
      <c r="AN36" s="266">
        <f>ROUND(IF(AI36=0,0,AL36/ABS(AI36)),3)</f>
        <v>0</v>
      </c>
      <c r="AO36" s="12"/>
    </row>
    <row r="37" spans="1:41">
      <c r="A37" s="291"/>
      <c r="B37" s="350" t="s">
        <v>387</v>
      </c>
      <c r="C37" s="291"/>
      <c r="D37" s="291"/>
      <c r="E37" s="275"/>
      <c r="F37" s="275"/>
      <c r="G37" s="275"/>
      <c r="H37" s="275"/>
      <c r="I37" s="275"/>
      <c r="J37" s="264"/>
      <c r="K37" s="275"/>
      <c r="L37" s="264"/>
      <c r="M37" s="275"/>
      <c r="N37" s="264"/>
      <c r="O37" s="275"/>
      <c r="P37" s="264"/>
      <c r="Q37" s="275"/>
      <c r="R37" s="264"/>
      <c r="S37" s="275"/>
      <c r="T37" s="275"/>
      <c r="U37" s="275"/>
      <c r="V37" s="275"/>
      <c r="W37" s="275"/>
      <c r="X37" s="275"/>
      <c r="Y37" s="275"/>
      <c r="Z37" s="275"/>
      <c r="AA37" s="275"/>
      <c r="AB37" s="275"/>
      <c r="AC37" s="275"/>
      <c r="AD37" s="264"/>
      <c r="AE37" s="524"/>
      <c r="AF37" s="289"/>
      <c r="AG37" s="1245"/>
      <c r="AH37" s="367"/>
      <c r="AI37" s="1955"/>
      <c r="AJ37" s="287"/>
      <c r="AK37" s="97"/>
      <c r="AL37" s="12"/>
      <c r="AM37" s="95"/>
      <c r="AN37" s="266"/>
      <c r="AO37" s="12"/>
    </row>
    <row r="38" spans="1:41">
      <c r="A38" s="291"/>
      <c r="B38" s="350" t="s">
        <v>483</v>
      </c>
      <c r="C38" s="291"/>
      <c r="D38" s="291"/>
      <c r="E38" s="275">
        <f>+'Exhibit I State'!E38+'Exhibit I Federal'!E21</f>
        <v>1.9</v>
      </c>
      <c r="F38" s="275"/>
      <c r="G38" s="275"/>
      <c r="H38" s="275"/>
      <c r="I38" s="275"/>
      <c r="J38" s="264"/>
      <c r="K38" s="275"/>
      <c r="L38" s="264"/>
      <c r="M38" s="275"/>
      <c r="N38" s="264"/>
      <c r="O38" s="275"/>
      <c r="P38" s="264"/>
      <c r="Q38" s="275"/>
      <c r="R38" s="264"/>
      <c r="S38" s="275"/>
      <c r="T38" s="275"/>
      <c r="U38" s="275"/>
      <c r="V38" s="275"/>
      <c r="W38" s="275"/>
      <c r="X38" s="275"/>
      <c r="Y38" s="275"/>
      <c r="Z38" s="275"/>
      <c r="AA38" s="275"/>
      <c r="AB38" s="275"/>
      <c r="AC38" s="275">
        <v>0</v>
      </c>
      <c r="AD38" s="264"/>
      <c r="AE38" s="524"/>
      <c r="AF38" s="289">
        <f>ROUND(SUM(E38:AC38),1)</f>
        <v>1.9</v>
      </c>
      <c r="AG38" s="1245"/>
      <c r="AH38" s="367"/>
      <c r="AI38" s="1955">
        <f>+'Exhibit I State'!AG38+'Exhibit I Federal'!AG21</f>
        <v>5.7</v>
      </c>
      <c r="AJ38" s="287"/>
      <c r="AK38" s="97"/>
      <c r="AL38" s="12">
        <f t="shared" si="1"/>
        <v>-3.8</v>
      </c>
      <c r="AM38" s="95"/>
      <c r="AN38" s="266">
        <f>ROUND(IF(AI38=0,0,AL38/ABS(AI38)),3)</f>
        <v>-0.66700000000000004</v>
      </c>
      <c r="AO38" s="12"/>
    </row>
    <row r="39" spans="1:41">
      <c r="A39" s="291"/>
      <c r="B39" s="350" t="s">
        <v>392</v>
      </c>
      <c r="C39" s="291"/>
      <c r="D39" s="291"/>
      <c r="E39" s="275"/>
      <c r="F39" s="275"/>
      <c r="G39" s="275"/>
      <c r="H39" s="275"/>
      <c r="I39" s="275"/>
      <c r="J39" s="264"/>
      <c r="K39" s="275"/>
      <c r="L39" s="264"/>
      <c r="M39" s="275"/>
      <c r="N39" s="264"/>
      <c r="O39" s="275"/>
      <c r="P39" s="264"/>
      <c r="Q39" s="275"/>
      <c r="R39" s="264"/>
      <c r="S39" s="275"/>
      <c r="T39" s="275"/>
      <c r="U39" s="275"/>
      <c r="V39" s="275"/>
      <c r="W39" s="275"/>
      <c r="X39" s="275"/>
      <c r="Y39" s="275"/>
      <c r="Z39" s="275"/>
      <c r="AA39" s="275"/>
      <c r="AB39" s="275"/>
      <c r="AC39" s="275"/>
      <c r="AD39" s="264"/>
      <c r="AE39" s="524"/>
      <c r="AF39" s="289"/>
      <c r="AG39" s="1245"/>
      <c r="AH39" s="367"/>
      <c r="AI39" s="1955"/>
      <c r="AJ39" s="287"/>
      <c r="AK39" s="97"/>
      <c r="AL39" s="12"/>
      <c r="AM39" s="95"/>
      <c r="AN39" s="266"/>
      <c r="AO39" s="12"/>
    </row>
    <row r="40" spans="1:41">
      <c r="A40" s="291"/>
      <c r="B40" s="350" t="s">
        <v>486</v>
      </c>
      <c r="C40" s="291"/>
      <c r="D40" s="291"/>
      <c r="E40" s="275">
        <f>+'Exhibit I State'!E40+'Exhibit I Federal'!E23</f>
        <v>1.5</v>
      </c>
      <c r="F40" s="275"/>
      <c r="G40" s="275"/>
      <c r="H40" s="275"/>
      <c r="I40" s="275"/>
      <c r="J40" s="264"/>
      <c r="K40" s="275"/>
      <c r="L40" s="264"/>
      <c r="M40" s="275"/>
      <c r="N40" s="264"/>
      <c r="O40" s="275"/>
      <c r="P40" s="264"/>
      <c r="Q40" s="275"/>
      <c r="R40" s="264"/>
      <c r="S40" s="275"/>
      <c r="T40" s="275"/>
      <c r="U40" s="275"/>
      <c r="V40" s="275"/>
      <c r="W40" s="275"/>
      <c r="X40" s="275"/>
      <c r="Y40" s="275"/>
      <c r="Z40" s="275"/>
      <c r="AA40" s="275"/>
      <c r="AB40" s="275"/>
      <c r="AC40" s="275">
        <v>0</v>
      </c>
      <c r="AD40" s="264"/>
      <c r="AE40" s="524"/>
      <c r="AF40" s="289">
        <f t="shared" ref="AF40:AF43" si="2">ROUND(SUM(E40:AC40),1)</f>
        <v>1.5</v>
      </c>
      <c r="AG40" s="1245"/>
      <c r="AH40" s="367"/>
      <c r="AI40" s="1955">
        <f>+'Exhibit I State'!AG40+'Exhibit I Federal'!AG23</f>
        <v>-7.2</v>
      </c>
      <c r="AJ40" s="287"/>
      <c r="AK40" s="97"/>
      <c r="AL40" s="12">
        <f t="shared" si="1"/>
        <v>8.6999999999999993</v>
      </c>
      <c r="AM40" s="95"/>
      <c r="AN40" s="266">
        <f>ROUND(IF(AI40=0,0,AL40/ABS(AI40)),3)</f>
        <v>1.208</v>
      </c>
      <c r="AO40" s="12"/>
    </row>
    <row r="41" spans="1:41">
      <c r="A41" s="291"/>
      <c r="B41" s="350" t="s">
        <v>562</v>
      </c>
      <c r="C41" s="291"/>
      <c r="D41" s="291"/>
      <c r="E41" s="275">
        <f>+'Exhibit I State'!E41+'Exhibit I Federal'!E24</f>
        <v>0</v>
      </c>
      <c r="F41" s="275"/>
      <c r="G41" s="275"/>
      <c r="H41" s="275"/>
      <c r="I41" s="275"/>
      <c r="J41" s="264"/>
      <c r="K41" s="275"/>
      <c r="L41" s="264"/>
      <c r="M41" s="275"/>
      <c r="N41" s="264"/>
      <c r="O41" s="275"/>
      <c r="P41" s="264"/>
      <c r="Q41" s="275"/>
      <c r="R41" s="264"/>
      <c r="S41" s="275"/>
      <c r="T41" s="275"/>
      <c r="U41" s="275"/>
      <c r="V41" s="275"/>
      <c r="W41" s="275"/>
      <c r="X41" s="275"/>
      <c r="Y41" s="275"/>
      <c r="Z41" s="275"/>
      <c r="AA41" s="275"/>
      <c r="AB41" s="275"/>
      <c r="AC41" s="275">
        <v>0</v>
      </c>
      <c r="AD41" s="264"/>
      <c r="AE41" s="524"/>
      <c r="AF41" s="289">
        <f t="shared" si="2"/>
        <v>0</v>
      </c>
      <c r="AG41" s="1245"/>
      <c r="AH41" s="367"/>
      <c r="AI41" s="1955">
        <f>+'Exhibit I State'!AG41+'Exhibit I Federal'!AG24</f>
        <v>0</v>
      </c>
      <c r="AJ41" s="287"/>
      <c r="AK41" s="97"/>
      <c r="AL41" s="12">
        <f>ROUND(SUM(+AF41-AI41),1)</f>
        <v>0</v>
      </c>
      <c r="AM41" s="95"/>
      <c r="AN41" s="266">
        <f>ROUND(IF(AI41=0,0,AL41/ABS(AI41)),3)</f>
        <v>0</v>
      </c>
      <c r="AO41" s="12"/>
    </row>
    <row r="42" spans="1:41">
      <c r="A42" s="291"/>
      <c r="B42" s="350" t="s">
        <v>489</v>
      </c>
      <c r="C42" s="291"/>
      <c r="D42" s="291"/>
      <c r="E42" s="275">
        <f>+'Exhibit I State'!E42+'Exhibit I Federal'!E25</f>
        <v>9.8000000000000007</v>
      </c>
      <c r="F42" s="275"/>
      <c r="G42" s="275"/>
      <c r="H42" s="275"/>
      <c r="I42" s="275"/>
      <c r="J42" s="264"/>
      <c r="K42" s="275"/>
      <c r="L42" s="264"/>
      <c r="M42" s="275"/>
      <c r="N42" s="264"/>
      <c r="O42" s="275"/>
      <c r="P42" s="264"/>
      <c r="Q42" s="275"/>
      <c r="R42" s="264"/>
      <c r="S42" s="275"/>
      <c r="T42" s="275"/>
      <c r="U42" s="275"/>
      <c r="V42" s="275"/>
      <c r="W42" s="275"/>
      <c r="X42" s="275"/>
      <c r="Y42" s="275"/>
      <c r="Z42" s="275"/>
      <c r="AA42" s="275"/>
      <c r="AB42" s="275"/>
      <c r="AC42" s="275">
        <v>0</v>
      </c>
      <c r="AD42" s="264"/>
      <c r="AE42" s="524"/>
      <c r="AF42" s="289">
        <f>ROUND(SUM(E42:AC42),1)</f>
        <v>9.8000000000000007</v>
      </c>
      <c r="AG42" s="1245"/>
      <c r="AH42" s="367"/>
      <c r="AI42" s="1955">
        <f>+'Exhibit I State'!AG42+'Exhibit I Federal'!AG25</f>
        <v>63</v>
      </c>
      <c r="AJ42" s="287"/>
      <c r="AK42" s="97"/>
      <c r="AL42" s="12">
        <f t="shared" si="1"/>
        <v>-53.2</v>
      </c>
      <c r="AM42" s="95"/>
      <c r="AN42" s="266">
        <f>ROUND(IF(AI42=0,0,AL42/ABS(AI42)),3)</f>
        <v>-0.84399999999999997</v>
      </c>
      <c r="AO42" s="12"/>
    </row>
    <row r="43" spans="1:41">
      <c r="A43" s="291"/>
      <c r="B43" s="350" t="s">
        <v>490</v>
      </c>
      <c r="C43" s="291"/>
      <c r="D43" s="291"/>
      <c r="E43" s="275">
        <f>+'Exhibit I State'!E43+'Exhibit I Federal'!E26</f>
        <v>0.4</v>
      </c>
      <c r="F43" s="275"/>
      <c r="G43" s="275"/>
      <c r="H43" s="275"/>
      <c r="I43" s="275"/>
      <c r="J43" s="264"/>
      <c r="K43" s="275"/>
      <c r="L43" s="264"/>
      <c r="M43" s="275"/>
      <c r="N43" s="264"/>
      <c r="O43" s="275"/>
      <c r="P43" s="264"/>
      <c r="Q43" s="275"/>
      <c r="R43" s="264"/>
      <c r="S43" s="275"/>
      <c r="T43" s="275"/>
      <c r="U43" s="275"/>
      <c r="V43" s="275"/>
      <c r="W43" s="275"/>
      <c r="X43" s="275"/>
      <c r="Y43" s="275"/>
      <c r="Z43" s="275"/>
      <c r="AA43" s="275"/>
      <c r="AB43" s="275"/>
      <c r="AC43" s="275">
        <v>0</v>
      </c>
      <c r="AD43" s="264"/>
      <c r="AE43" s="524"/>
      <c r="AF43" s="289">
        <f t="shared" si="2"/>
        <v>0.4</v>
      </c>
      <c r="AG43" s="1245"/>
      <c r="AH43" s="367"/>
      <c r="AI43" s="1955">
        <f>+'Exhibit I State'!AG43+'Exhibit I Federal'!AG26</f>
        <v>4.4000000000000004</v>
      </c>
      <c r="AJ43" s="287"/>
      <c r="AK43" s="97"/>
      <c r="AL43" s="264">
        <f>ROUND(SUM(+AF43-AI43),1)</f>
        <v>-4</v>
      </c>
      <c r="AM43" s="264"/>
      <c r="AN43" s="543">
        <f>ROUND(IF(AI43=0,1,AL43/ABS(AI43)),3)</f>
        <v>-0.90900000000000003</v>
      </c>
      <c r="AO43" s="12"/>
    </row>
    <row r="44" spans="1:41">
      <c r="A44" s="291"/>
      <c r="B44" s="350" t="s">
        <v>400</v>
      </c>
      <c r="C44" s="291"/>
      <c r="D44" s="291"/>
      <c r="E44" s="275">
        <f>+'Exhibit I State'!E44+'Exhibit I Federal'!E27</f>
        <v>5.6</v>
      </c>
      <c r="F44" s="275"/>
      <c r="G44" s="275"/>
      <c r="H44" s="275"/>
      <c r="I44" s="275"/>
      <c r="J44" s="264"/>
      <c r="K44" s="275"/>
      <c r="L44" s="264"/>
      <c r="M44" s="275"/>
      <c r="N44" s="264"/>
      <c r="O44" s="275"/>
      <c r="P44" s="264"/>
      <c r="Q44" s="275"/>
      <c r="R44" s="264"/>
      <c r="S44" s="275"/>
      <c r="T44" s="275"/>
      <c r="U44" s="275"/>
      <c r="V44" s="275"/>
      <c r="W44" s="275"/>
      <c r="X44" s="275"/>
      <c r="Y44" s="275"/>
      <c r="Z44" s="275"/>
      <c r="AA44" s="275"/>
      <c r="AB44" s="275"/>
      <c r="AC44" s="275">
        <v>0</v>
      </c>
      <c r="AD44" s="264"/>
      <c r="AE44" s="524"/>
      <c r="AF44" s="289">
        <f>ROUND(SUM(E44:AC44),1)</f>
        <v>5.6</v>
      </c>
      <c r="AG44" s="1245"/>
      <c r="AH44" s="367"/>
      <c r="AI44" s="1955">
        <f>+'Exhibit I State'!AG44+'Exhibit I Federal'!AG27</f>
        <v>2.8</v>
      </c>
      <c r="AJ44" s="287"/>
      <c r="AK44" s="97"/>
      <c r="AL44" s="12">
        <f t="shared" si="1"/>
        <v>2.8</v>
      </c>
      <c r="AM44" s="95"/>
      <c r="AN44" s="543">
        <f>ROUND(IF(AI44=0,1,AL44/ABS(AI44)),3)</f>
        <v>1</v>
      </c>
      <c r="AO44" s="12"/>
    </row>
    <row r="45" spans="1:41">
      <c r="A45" s="291"/>
      <c r="B45" s="350" t="s">
        <v>406</v>
      </c>
      <c r="C45" s="291"/>
      <c r="D45" s="291"/>
      <c r="E45" s="275">
        <f>+'Exhibit I State'!E45+'Exhibit I Federal'!E28</f>
        <v>4.1999999999999993</v>
      </c>
      <c r="F45" s="275"/>
      <c r="G45" s="275"/>
      <c r="H45" s="275"/>
      <c r="I45" s="275"/>
      <c r="J45" s="264"/>
      <c r="K45" s="275"/>
      <c r="L45" s="264"/>
      <c r="M45" s="275"/>
      <c r="N45" s="264"/>
      <c r="O45" s="275"/>
      <c r="P45" s="264"/>
      <c r="Q45" s="275"/>
      <c r="R45" s="264"/>
      <c r="S45" s="275"/>
      <c r="T45" s="275"/>
      <c r="U45" s="275"/>
      <c r="V45" s="275"/>
      <c r="W45" s="275"/>
      <c r="X45" s="275"/>
      <c r="Y45" s="275"/>
      <c r="Z45" s="275"/>
      <c r="AA45" s="275"/>
      <c r="AB45" s="275"/>
      <c r="AC45" s="275">
        <v>0</v>
      </c>
      <c r="AD45" s="264"/>
      <c r="AE45" s="524"/>
      <c r="AF45" s="289">
        <f>ROUND(SUM(E45:AC45),1)</f>
        <v>4.2</v>
      </c>
      <c r="AG45" s="1245"/>
      <c r="AH45" s="367"/>
      <c r="AI45" s="1955">
        <f>+'Exhibit I State'!AG45+'Exhibit I Federal'!AG28</f>
        <v>4</v>
      </c>
      <c r="AJ45" s="287"/>
      <c r="AK45" s="97"/>
      <c r="AL45" s="12">
        <f>ROUND(SUM(+AF45-AI45),1)</f>
        <v>0.2</v>
      </c>
      <c r="AM45" s="95"/>
      <c r="AN45" s="543">
        <f>ROUND(IF(AI45=0,1,AL45/ABS(AI45)),3)</f>
        <v>0.05</v>
      </c>
      <c r="AO45" s="12"/>
    </row>
    <row r="46" spans="1:41">
      <c r="A46" s="291"/>
      <c r="B46" s="350" t="s">
        <v>407</v>
      </c>
      <c r="C46" s="291"/>
      <c r="D46" s="291"/>
      <c r="E46" s="275">
        <f>+'Exhibit I State'!E46+'Exhibit I Federal'!E29</f>
        <v>0</v>
      </c>
      <c r="F46" s="275"/>
      <c r="G46" s="275"/>
      <c r="H46" s="275"/>
      <c r="I46" s="275"/>
      <c r="J46" s="264"/>
      <c r="K46" s="275"/>
      <c r="L46" s="264"/>
      <c r="M46" s="275"/>
      <c r="N46" s="264"/>
      <c r="O46" s="275"/>
      <c r="P46" s="264"/>
      <c r="Q46" s="275"/>
      <c r="R46" s="264"/>
      <c r="S46" s="275"/>
      <c r="T46" s="275"/>
      <c r="U46" s="275"/>
      <c r="V46" s="275"/>
      <c r="W46" s="275"/>
      <c r="X46" s="275"/>
      <c r="Y46" s="275"/>
      <c r="Z46" s="275"/>
      <c r="AA46" s="275"/>
      <c r="AB46" s="275"/>
      <c r="AC46" s="275">
        <v>0</v>
      </c>
      <c r="AD46" s="264"/>
      <c r="AE46" s="524"/>
      <c r="AF46" s="289">
        <f>ROUND(SUM(E46:AC46),1)</f>
        <v>0</v>
      </c>
      <c r="AG46" s="1245"/>
      <c r="AH46" s="367"/>
      <c r="AI46" s="1955">
        <f>+'Exhibit I State'!AG46+'Exhibit I Federal'!AG29</f>
        <v>0</v>
      </c>
      <c r="AJ46" s="287"/>
      <c r="AK46" s="97"/>
      <c r="AL46" s="12">
        <f>ROUND(SUM(+AF46-AI46),1)</f>
        <v>0</v>
      </c>
      <c r="AM46" s="95"/>
      <c r="AN46" s="543">
        <f>ROUND(IF(AI46=0,0,AL46/ABS(AI46)),3)</f>
        <v>0</v>
      </c>
      <c r="AO46" s="12"/>
    </row>
    <row r="47" spans="1:41">
      <c r="A47" s="291"/>
      <c r="B47" s="350" t="s">
        <v>408</v>
      </c>
      <c r="C47" s="291"/>
      <c r="D47" s="291"/>
      <c r="E47" s="275"/>
      <c r="F47" s="275"/>
      <c r="G47" s="275"/>
      <c r="H47" s="275"/>
      <c r="I47" s="275"/>
      <c r="J47" s="264"/>
      <c r="K47" s="275"/>
      <c r="L47" s="264"/>
      <c r="M47" s="275"/>
      <c r="N47" s="264"/>
      <c r="O47" s="275"/>
      <c r="P47" s="264"/>
      <c r="Q47" s="275"/>
      <c r="R47" s="264"/>
      <c r="S47" s="275"/>
      <c r="T47" s="275"/>
      <c r="U47" s="275"/>
      <c r="V47" s="275"/>
      <c r="W47" s="275"/>
      <c r="X47" s="275"/>
      <c r="Y47" s="275"/>
      <c r="Z47" s="275"/>
      <c r="AA47" s="275"/>
      <c r="AB47" s="275"/>
      <c r="AC47" s="275"/>
      <c r="AD47" s="264"/>
      <c r="AE47" s="524"/>
      <c r="AF47" s="289"/>
      <c r="AG47" s="1245"/>
      <c r="AH47" s="367"/>
      <c r="AI47" s="1955"/>
      <c r="AJ47" s="287"/>
      <c r="AK47" s="97"/>
      <c r="AL47" s="12"/>
      <c r="AM47" s="95"/>
      <c r="AN47" s="374"/>
      <c r="AO47" s="12"/>
    </row>
    <row r="48" spans="1:41">
      <c r="A48" s="291"/>
      <c r="B48" s="350" t="s">
        <v>494</v>
      </c>
      <c r="C48" s="291"/>
      <c r="D48" s="291"/>
      <c r="E48" s="275">
        <f>+'Exhibit I State'!E48+'Exhibit I Federal'!E31</f>
        <v>3.8000000000000003</v>
      </c>
      <c r="F48" s="275"/>
      <c r="G48" s="275"/>
      <c r="H48" s="275"/>
      <c r="I48" s="275"/>
      <c r="J48" s="264"/>
      <c r="K48" s="275"/>
      <c r="L48" s="264"/>
      <c r="M48" s="275"/>
      <c r="N48" s="264"/>
      <c r="O48" s="275"/>
      <c r="P48" s="264"/>
      <c r="Q48" s="275"/>
      <c r="R48" s="264"/>
      <c r="S48" s="275"/>
      <c r="T48" s="275"/>
      <c r="U48" s="275"/>
      <c r="V48" s="275"/>
      <c r="W48" s="275"/>
      <c r="X48" s="275"/>
      <c r="Y48" s="275"/>
      <c r="Z48" s="275"/>
      <c r="AA48" s="275"/>
      <c r="AB48" s="275"/>
      <c r="AC48" s="275">
        <v>0</v>
      </c>
      <c r="AD48" s="264"/>
      <c r="AE48" s="524"/>
      <c r="AF48" s="289">
        <f>ROUND(SUM(E48:AC48),1)</f>
        <v>3.8</v>
      </c>
      <c r="AG48" s="1245"/>
      <c r="AH48" s="367"/>
      <c r="AI48" s="1955">
        <f>+'Exhibit I State'!AG48+'Exhibit I Federal'!AG31</f>
        <v>0</v>
      </c>
      <c r="AJ48" s="287"/>
      <c r="AK48" s="97"/>
      <c r="AL48" s="12">
        <f t="shared" si="1"/>
        <v>3.8</v>
      </c>
      <c r="AM48" s="95"/>
      <c r="AN48" s="548">
        <f>ROUND(IF(AI48=0,1,AL48/ABS(AI48)),3)</f>
        <v>1</v>
      </c>
      <c r="AO48" s="12"/>
    </row>
    <row r="49" spans="1:42">
      <c r="A49" s="291"/>
      <c r="B49" s="350" t="s">
        <v>496</v>
      </c>
      <c r="C49" s="291"/>
      <c r="D49" s="291"/>
      <c r="E49" s="275">
        <f>+'Exhibit I State'!E49+'Exhibit I Federal'!E32</f>
        <v>0</v>
      </c>
      <c r="F49" s="275"/>
      <c r="G49" s="275"/>
      <c r="H49" s="275"/>
      <c r="I49" s="275"/>
      <c r="J49" s="275"/>
      <c r="K49" s="275"/>
      <c r="L49" s="275"/>
      <c r="M49" s="275"/>
      <c r="N49" s="275"/>
      <c r="O49" s="275"/>
      <c r="P49" s="275"/>
      <c r="Q49" s="275"/>
      <c r="R49" s="264"/>
      <c r="S49" s="275"/>
      <c r="T49" s="275"/>
      <c r="U49" s="275"/>
      <c r="V49" s="275"/>
      <c r="W49" s="275"/>
      <c r="X49" s="275"/>
      <c r="Y49" s="275"/>
      <c r="Z49" s="275"/>
      <c r="AA49" s="275"/>
      <c r="AB49" s="275"/>
      <c r="AC49" s="275">
        <v>0</v>
      </c>
      <c r="AD49" s="264"/>
      <c r="AE49" s="524"/>
      <c r="AF49" s="289">
        <f>ROUND(SUM(E49:AC49),1)</f>
        <v>0</v>
      </c>
      <c r="AG49" s="1245"/>
      <c r="AH49" s="367"/>
      <c r="AI49" s="1955">
        <f>+'Exhibit I State'!AG49+'Exhibit I Federal'!AG32</f>
        <v>0</v>
      </c>
      <c r="AJ49" s="287"/>
      <c r="AK49" s="97"/>
      <c r="AL49" s="12">
        <f t="shared" si="1"/>
        <v>0</v>
      </c>
      <c r="AM49" s="95"/>
      <c r="AN49" s="266">
        <f>ROUND(IF(AI49=0,0,AL49/ABS(AI49)),3)</f>
        <v>0</v>
      </c>
      <c r="AO49" s="12"/>
    </row>
    <row r="50" spans="1:42">
      <c r="A50" s="291"/>
      <c r="B50" s="350" t="s">
        <v>497</v>
      </c>
      <c r="C50" s="291"/>
      <c r="D50" s="291"/>
      <c r="E50" s="275">
        <f>+'Exhibit I State'!E50+'Exhibit I Federal'!E33</f>
        <v>0.2</v>
      </c>
      <c r="F50" s="275"/>
      <c r="G50" s="275"/>
      <c r="H50" s="275"/>
      <c r="I50" s="275"/>
      <c r="J50" s="264"/>
      <c r="K50" s="275"/>
      <c r="L50" s="264"/>
      <c r="M50" s="275"/>
      <c r="N50" s="264"/>
      <c r="O50" s="275"/>
      <c r="P50" s="264"/>
      <c r="Q50" s="275"/>
      <c r="R50" s="264"/>
      <c r="S50" s="275"/>
      <c r="T50" s="275"/>
      <c r="U50" s="275"/>
      <c r="V50" s="275"/>
      <c r="W50" s="275"/>
      <c r="X50" s="275"/>
      <c r="Y50" s="275"/>
      <c r="Z50" s="275"/>
      <c r="AA50" s="275"/>
      <c r="AB50" s="275"/>
      <c r="AC50" s="275">
        <v>0</v>
      </c>
      <c r="AD50" s="264"/>
      <c r="AE50" s="524"/>
      <c r="AF50" s="289">
        <f>ROUND(SUM(E50:AC50),1)</f>
        <v>0.2</v>
      </c>
      <c r="AG50" s="1245"/>
      <c r="AH50" s="367"/>
      <c r="AI50" s="1955">
        <f>+'Exhibit I State'!AG50+'Exhibit I Federal'!AG33</f>
        <v>2.8</v>
      </c>
      <c r="AJ50" s="287"/>
      <c r="AK50" s="97"/>
      <c r="AL50" s="12">
        <f t="shared" si="1"/>
        <v>-2.6</v>
      </c>
      <c r="AM50" s="95"/>
      <c r="AN50" s="562">
        <f>ROUND(IF(AI50=0,1,AL50/ABS(AI50)),3)</f>
        <v>-0.92900000000000005</v>
      </c>
      <c r="AO50" s="12"/>
    </row>
    <row r="51" spans="1:42">
      <c r="A51" s="291"/>
      <c r="B51" s="350" t="s">
        <v>413</v>
      </c>
      <c r="C51" s="291"/>
      <c r="D51" s="291"/>
      <c r="E51" s="275">
        <f>+'Exhibit I State'!E51+'Exhibit I Federal'!E34</f>
        <v>0.8</v>
      </c>
      <c r="F51" s="275"/>
      <c r="G51" s="275"/>
      <c r="H51" s="275"/>
      <c r="I51" s="275"/>
      <c r="J51" s="264"/>
      <c r="K51" s="275"/>
      <c r="L51" s="264"/>
      <c r="M51" s="275"/>
      <c r="N51" s="264"/>
      <c r="O51" s="275"/>
      <c r="P51" s="264"/>
      <c r="Q51" s="275"/>
      <c r="R51" s="264"/>
      <c r="S51" s="275"/>
      <c r="T51" s="275"/>
      <c r="U51" s="275"/>
      <c r="V51" s="275"/>
      <c r="W51" s="275"/>
      <c r="X51" s="275"/>
      <c r="Y51" s="275"/>
      <c r="Z51" s="275"/>
      <c r="AA51" s="275"/>
      <c r="AB51" s="275"/>
      <c r="AC51" s="275">
        <v>0</v>
      </c>
      <c r="AD51" s="264"/>
      <c r="AE51" s="524"/>
      <c r="AF51" s="289">
        <f>ROUND(SUM(E51:AC51),1)</f>
        <v>0.8</v>
      </c>
      <c r="AG51" s="1245"/>
      <c r="AH51" s="367"/>
      <c r="AI51" s="885">
        <f>+'Exhibit I State'!AG51+'Exhibit I Federal'!AG34</f>
        <v>1.1000000000000001</v>
      </c>
      <c r="AJ51" s="287"/>
      <c r="AK51" s="97"/>
      <c r="AL51" s="12">
        <f t="shared" si="1"/>
        <v>-0.3</v>
      </c>
      <c r="AM51" s="95"/>
      <c r="AN51" s="374">
        <f>ROUND(IF(AI51=0,0,AL51/ABS(AI51)),3)</f>
        <v>-0.27300000000000002</v>
      </c>
      <c r="AO51" s="12"/>
    </row>
    <row r="52" spans="1:42">
      <c r="A52" s="291"/>
      <c r="B52" s="350" t="s">
        <v>414</v>
      </c>
      <c r="C52" s="291"/>
      <c r="D52" s="291"/>
      <c r="E52" s="275"/>
      <c r="F52" s="275"/>
      <c r="G52" s="275"/>
      <c r="H52" s="275"/>
      <c r="I52" s="275"/>
      <c r="J52" s="264"/>
      <c r="K52" s="275"/>
      <c r="L52" s="264"/>
      <c r="M52" s="275"/>
      <c r="N52" s="264"/>
      <c r="O52" s="275"/>
      <c r="P52" s="264"/>
      <c r="Q52" s="275"/>
      <c r="R52" s="264"/>
      <c r="S52" s="275"/>
      <c r="T52" s="275"/>
      <c r="U52" s="275"/>
      <c r="V52" s="275"/>
      <c r="W52" s="275"/>
      <c r="X52" s="275"/>
      <c r="Y52" s="275"/>
      <c r="Z52" s="275"/>
      <c r="AA52" s="275"/>
      <c r="AB52" s="275"/>
      <c r="AC52" s="275" t="s">
        <v>103</v>
      </c>
      <c r="AD52" s="264"/>
      <c r="AE52" s="524"/>
      <c r="AF52" s="289"/>
      <c r="AG52" s="1245"/>
      <c r="AH52" s="367"/>
      <c r="AI52" s="1955"/>
      <c r="AJ52" s="287"/>
      <c r="AK52" s="97"/>
      <c r="AL52" s="12"/>
      <c r="AM52" s="95"/>
      <c r="AN52" s="374"/>
      <c r="AO52" s="12"/>
    </row>
    <row r="53" spans="1:42">
      <c r="A53" s="291"/>
      <c r="B53" s="350" t="s">
        <v>498</v>
      </c>
      <c r="C53" s="291"/>
      <c r="D53" s="291"/>
      <c r="E53" s="275">
        <f>+'Exhibit I State'!E53+'Exhibit I Federal'!E36</f>
        <v>0</v>
      </c>
      <c r="F53" s="275"/>
      <c r="G53" s="275"/>
      <c r="H53" s="275"/>
      <c r="I53" s="275"/>
      <c r="J53" s="264"/>
      <c r="K53" s="275"/>
      <c r="L53" s="264"/>
      <c r="M53" s="275"/>
      <c r="N53" s="264"/>
      <c r="O53" s="275"/>
      <c r="P53" s="264"/>
      <c r="Q53" s="275"/>
      <c r="R53" s="264"/>
      <c r="S53" s="275"/>
      <c r="T53" s="275"/>
      <c r="U53" s="275"/>
      <c r="V53" s="275"/>
      <c r="W53" s="275"/>
      <c r="X53" s="275"/>
      <c r="Y53" s="275"/>
      <c r="Z53" s="275"/>
      <c r="AA53" s="275"/>
      <c r="AB53" s="275"/>
      <c r="AC53" s="275">
        <v>0</v>
      </c>
      <c r="AD53" s="264"/>
      <c r="AE53" s="524"/>
      <c r="AF53" s="289">
        <f t="shared" ref="AF53:AF57" si="3">ROUND(SUM(E53:AC53),1)</f>
        <v>0</v>
      </c>
      <c r="AG53" s="1245"/>
      <c r="AH53" s="367"/>
      <c r="AI53" s="1955">
        <f>+'Exhibit I State'!AG53+'Exhibit I Federal'!AG36</f>
        <v>0</v>
      </c>
      <c r="AJ53" s="287"/>
      <c r="AK53" s="97"/>
      <c r="AL53" s="264">
        <f>ROUND(SUM(+AF53-AI53),1)</f>
        <v>0</v>
      </c>
      <c r="AM53" s="264"/>
      <c r="AN53" s="266">
        <f>ROUND(IF(AI53=0,0,AL53/ABS(AI53)),3)</f>
        <v>0</v>
      </c>
      <c r="AO53" s="12"/>
    </row>
    <row r="54" spans="1:42">
      <c r="A54" s="291"/>
      <c r="B54" s="350" t="s">
        <v>500</v>
      </c>
      <c r="C54" s="291"/>
      <c r="D54" s="291"/>
      <c r="E54" s="275">
        <f>+'Exhibit I State'!E54+'Exhibit I Federal'!E37</f>
        <v>0.1</v>
      </c>
      <c r="F54" s="275"/>
      <c r="G54" s="275"/>
      <c r="H54" s="275"/>
      <c r="I54" s="275"/>
      <c r="J54" s="264"/>
      <c r="K54" s="275"/>
      <c r="L54" s="264"/>
      <c r="M54" s="275"/>
      <c r="N54" s="264"/>
      <c r="O54" s="275"/>
      <c r="P54" s="264"/>
      <c r="Q54" s="275"/>
      <c r="R54" s="264"/>
      <c r="S54" s="275"/>
      <c r="T54" s="275"/>
      <c r="U54" s="275"/>
      <c r="V54" s="275"/>
      <c r="W54" s="275"/>
      <c r="X54" s="275"/>
      <c r="Y54" s="275"/>
      <c r="Z54" s="275"/>
      <c r="AA54" s="275"/>
      <c r="AB54" s="275"/>
      <c r="AC54" s="275">
        <v>0</v>
      </c>
      <c r="AD54" s="264"/>
      <c r="AE54" s="524"/>
      <c r="AF54" s="289">
        <f t="shared" si="3"/>
        <v>0.1</v>
      </c>
      <c r="AG54" s="1245"/>
      <c r="AH54" s="367"/>
      <c r="AI54" s="1955">
        <f>+'Exhibit I State'!AG54+'Exhibit I Federal'!AG37</f>
        <v>-0.7</v>
      </c>
      <c r="AJ54" s="287"/>
      <c r="AK54" s="97"/>
      <c r="AL54" s="264">
        <f>ROUND(SUM(+AF54-AI54),1)</f>
        <v>0.8</v>
      </c>
      <c r="AM54" s="264"/>
      <c r="AN54" s="266">
        <f>ROUND(IF(AI54=0,0,AL54/ABS(AI54)),3)</f>
        <v>1.143</v>
      </c>
      <c r="AO54" s="12"/>
    </row>
    <row r="55" spans="1:42">
      <c r="A55" s="291"/>
      <c r="B55" s="350" t="s">
        <v>501</v>
      </c>
      <c r="C55" s="291"/>
      <c r="D55" s="291"/>
      <c r="E55" s="275">
        <f>+'Exhibit I State'!E55+'Exhibit I Federal'!E38</f>
        <v>9.5</v>
      </c>
      <c r="F55" s="275"/>
      <c r="G55" s="275"/>
      <c r="H55" s="275"/>
      <c r="I55" s="275"/>
      <c r="J55" s="264"/>
      <c r="K55" s="275"/>
      <c r="L55" s="264"/>
      <c r="M55" s="275"/>
      <c r="N55" s="264"/>
      <c r="O55" s="275"/>
      <c r="P55" s="264"/>
      <c r="Q55" s="275"/>
      <c r="R55" s="264"/>
      <c r="S55" s="275"/>
      <c r="T55" s="275"/>
      <c r="U55" s="275"/>
      <c r="V55" s="275"/>
      <c r="W55" s="275"/>
      <c r="X55" s="275"/>
      <c r="Y55" s="275"/>
      <c r="Z55" s="275"/>
      <c r="AA55" s="275"/>
      <c r="AB55" s="275"/>
      <c r="AC55" s="275">
        <v>0</v>
      </c>
      <c r="AD55" s="264"/>
      <c r="AE55" s="524"/>
      <c r="AF55" s="289">
        <f t="shared" si="3"/>
        <v>9.5</v>
      </c>
      <c r="AG55" s="1245"/>
      <c r="AH55" s="367"/>
      <c r="AI55" s="1955">
        <f>+'Exhibit I State'!AG55+'Exhibit I Federal'!AG38</f>
        <v>1.8</v>
      </c>
      <c r="AJ55" s="287"/>
      <c r="AK55" s="97"/>
      <c r="AL55" s="264">
        <f>ROUND(SUM(+AF55-AI55),1)</f>
        <v>7.7</v>
      </c>
      <c r="AM55" s="264"/>
      <c r="AN55" s="266">
        <f>ROUND(IF(AI55=0,1,AL55/ABS(AI55)),3)</f>
        <v>4.2779999999999996</v>
      </c>
      <c r="AO55" s="12"/>
    </row>
    <row r="56" spans="1:42">
      <c r="A56" s="291"/>
      <c r="B56" s="350" t="s">
        <v>503</v>
      </c>
      <c r="C56" s="291"/>
      <c r="D56" s="291"/>
      <c r="E56" s="275">
        <f>+'Exhibit I State'!E56</f>
        <v>0</v>
      </c>
      <c r="F56" s="275"/>
      <c r="G56" s="275"/>
      <c r="H56" s="275"/>
      <c r="I56" s="275"/>
      <c r="J56" s="264"/>
      <c r="K56" s="275"/>
      <c r="L56" s="264"/>
      <c r="M56" s="275"/>
      <c r="N56" s="264"/>
      <c r="O56" s="275"/>
      <c r="P56" s="264"/>
      <c r="Q56" s="275"/>
      <c r="R56" s="264"/>
      <c r="S56" s="275"/>
      <c r="T56" s="275"/>
      <c r="U56" s="275"/>
      <c r="V56" s="275"/>
      <c r="W56" s="275"/>
      <c r="X56" s="275"/>
      <c r="Y56" s="275"/>
      <c r="Z56" s="275"/>
      <c r="AA56" s="275"/>
      <c r="AB56" s="275"/>
      <c r="AC56" s="275">
        <v>0</v>
      </c>
      <c r="AD56" s="264"/>
      <c r="AE56" s="524"/>
      <c r="AF56" s="289">
        <f t="shared" si="3"/>
        <v>0</v>
      </c>
      <c r="AG56" s="1245"/>
      <c r="AH56" s="367"/>
      <c r="AI56" s="1955">
        <f>+'Exhibit I State'!AG56</f>
        <v>0</v>
      </c>
      <c r="AJ56" s="287"/>
      <c r="AK56" s="97"/>
      <c r="AL56" s="264">
        <f>ROUND(SUM(+AF56-AI56),1)</f>
        <v>0</v>
      </c>
      <c r="AM56" s="264"/>
      <c r="AN56" s="266">
        <f>ROUND(IF(AI56=0,0,AL56/ABS(AI56)),3)</f>
        <v>0</v>
      </c>
      <c r="AO56" s="12"/>
    </row>
    <row r="57" spans="1:42">
      <c r="A57" s="291"/>
      <c r="B57" s="350" t="s">
        <v>504</v>
      </c>
      <c r="C57" s="291"/>
      <c r="D57" s="291"/>
      <c r="E57" s="275">
        <f>+'Exhibit I State'!E57+'Exhibit I Federal'!E39</f>
        <v>0.8</v>
      </c>
      <c r="F57" s="275"/>
      <c r="G57" s="275"/>
      <c r="H57" s="275"/>
      <c r="I57" s="275"/>
      <c r="J57" s="264"/>
      <c r="K57" s="275"/>
      <c r="L57" s="264"/>
      <c r="M57" s="275"/>
      <c r="N57" s="264"/>
      <c r="O57" s="275"/>
      <c r="P57" s="264"/>
      <c r="Q57" s="275"/>
      <c r="R57" s="264"/>
      <c r="S57" s="275"/>
      <c r="T57" s="275"/>
      <c r="U57" s="275"/>
      <c r="V57" s="275"/>
      <c r="W57" s="275"/>
      <c r="X57" s="275"/>
      <c r="Y57" s="275"/>
      <c r="Z57" s="275"/>
      <c r="AA57" s="275"/>
      <c r="AB57" s="275"/>
      <c r="AC57" s="275">
        <v>0</v>
      </c>
      <c r="AD57" s="264"/>
      <c r="AE57" s="524"/>
      <c r="AF57" s="289">
        <f t="shared" si="3"/>
        <v>0.8</v>
      </c>
      <c r="AG57" s="1245"/>
      <c r="AH57" s="367"/>
      <c r="AI57" s="1955">
        <f>+'Exhibit I State'!AG57+'Exhibit I Federal'!AG39</f>
        <v>0</v>
      </c>
      <c r="AJ57" s="287"/>
      <c r="AK57" s="97"/>
      <c r="AL57" s="12">
        <f t="shared" si="1"/>
        <v>0.8</v>
      </c>
      <c r="AM57" s="95"/>
      <c r="AN57" s="548">
        <f>ROUND(IF(AI57=0,1,AL57/ABS(AI57)),3)</f>
        <v>1</v>
      </c>
      <c r="AO57" s="12"/>
    </row>
    <row r="58" spans="1:42">
      <c r="A58" s="291"/>
      <c r="B58" s="350" t="s">
        <v>505</v>
      </c>
      <c r="C58" s="291"/>
      <c r="D58" s="291"/>
      <c r="E58" s="275">
        <f>+'Exhibit I State'!E58+'Exhibit I Federal'!E40</f>
        <v>0.4</v>
      </c>
      <c r="F58" s="275"/>
      <c r="G58" s="275"/>
      <c r="H58" s="275"/>
      <c r="I58" s="275"/>
      <c r="J58" s="264"/>
      <c r="K58" s="275"/>
      <c r="L58" s="264"/>
      <c r="M58" s="275"/>
      <c r="N58" s="264"/>
      <c r="O58" s="275"/>
      <c r="P58" s="264"/>
      <c r="Q58" s="275"/>
      <c r="R58" s="264"/>
      <c r="S58" s="275"/>
      <c r="T58" s="275"/>
      <c r="U58" s="275"/>
      <c r="V58" s="275"/>
      <c r="W58" s="275"/>
      <c r="X58" s="275"/>
      <c r="Y58" s="275"/>
      <c r="Z58" s="275"/>
      <c r="AA58" s="275"/>
      <c r="AB58" s="275"/>
      <c r="AC58" s="275">
        <v>0</v>
      </c>
      <c r="AD58" s="264"/>
      <c r="AE58" s="524"/>
      <c r="AF58" s="289">
        <f>ROUND(SUM(E58:AC58),1)</f>
        <v>0.4</v>
      </c>
      <c r="AG58" s="1245"/>
      <c r="AH58" s="367"/>
      <c r="AI58" s="885">
        <f>+'Exhibit I State'!AG58+'Exhibit I Federal'!AG40</f>
        <v>0.3</v>
      </c>
      <c r="AJ58" s="287"/>
      <c r="AK58" s="97"/>
      <c r="AL58" s="12">
        <f t="shared" si="1"/>
        <v>0.1</v>
      </c>
      <c r="AM58" s="95"/>
      <c r="AN58" s="860">
        <f>ROUND(IF(AI58=0,0,AL58/ABS(AI58)),3)</f>
        <v>0.33300000000000002</v>
      </c>
      <c r="AO58" s="12"/>
    </row>
    <row r="59" spans="1:42">
      <c r="A59" s="291"/>
      <c r="B59" s="350" t="s">
        <v>424</v>
      </c>
      <c r="C59" s="291"/>
      <c r="D59" s="291"/>
      <c r="E59" s="275">
        <f>+'Exhibit I State'!E59+'Exhibit I Federal'!E41</f>
        <v>0.1</v>
      </c>
      <c r="F59" s="275"/>
      <c r="G59" s="275"/>
      <c r="H59" s="275"/>
      <c r="I59" s="275"/>
      <c r="J59" s="264"/>
      <c r="K59" s="275"/>
      <c r="L59" s="264"/>
      <c r="M59" s="275"/>
      <c r="N59" s="264"/>
      <c r="O59" s="275"/>
      <c r="P59" s="264"/>
      <c r="Q59" s="275"/>
      <c r="R59" s="264"/>
      <c r="S59" s="275"/>
      <c r="T59" s="275"/>
      <c r="U59" s="275"/>
      <c r="V59" s="275"/>
      <c r="W59" s="275"/>
      <c r="X59" s="275"/>
      <c r="Y59" s="275"/>
      <c r="Z59" s="275"/>
      <c r="AA59" s="275"/>
      <c r="AB59" s="275"/>
      <c r="AC59" s="275">
        <v>0</v>
      </c>
      <c r="AD59" s="264"/>
      <c r="AE59" s="524"/>
      <c r="AF59" s="289">
        <f>ROUND(SUM(E59:AC59),1)</f>
        <v>0.1</v>
      </c>
      <c r="AG59" s="1245"/>
      <c r="AH59" s="367"/>
      <c r="AI59" s="1955">
        <f>+'Exhibit I State'!AG59+'Exhibit I Federal'!AG41</f>
        <v>0.1</v>
      </c>
      <c r="AJ59" s="287"/>
      <c r="AK59" s="97"/>
      <c r="AL59" s="12">
        <f t="shared" si="1"/>
        <v>0</v>
      </c>
      <c r="AM59" s="95"/>
      <c r="AN59" s="543">
        <f>ROUND(IF(AI59=0,1,AL59/ABS(AI59)),3)</f>
        <v>0</v>
      </c>
      <c r="AO59" s="12"/>
    </row>
    <row r="60" spans="1:42" s="3" customFormat="1">
      <c r="B60" s="83" t="s">
        <v>526</v>
      </c>
      <c r="E60" s="68">
        <f>ROUND(SUM(E34:E59),1)</f>
        <v>39.1</v>
      </c>
      <c r="F60" s="13"/>
      <c r="G60" s="68">
        <f>ROUND(SUM(G35:G59),1)</f>
        <v>0</v>
      </c>
      <c r="H60" s="394"/>
      <c r="I60" s="68">
        <f>ROUND(SUM(I36:I59),1)</f>
        <v>0</v>
      </c>
      <c r="J60" s="13"/>
      <c r="K60" s="68">
        <f>ROUND(SUM(K36:K59),1)</f>
        <v>0</v>
      </c>
      <c r="L60" s="13"/>
      <c r="M60" s="68">
        <f>ROUND(SUM(M36:M59),1)</f>
        <v>0</v>
      </c>
      <c r="N60" s="13"/>
      <c r="O60" s="68">
        <f>ROUND(SUM(O36:O59),1)</f>
        <v>0</v>
      </c>
      <c r="P60" s="13"/>
      <c r="Q60" s="68">
        <f>ROUND(SUM(Q36:Q59),1)</f>
        <v>0</v>
      </c>
      <c r="R60" s="13"/>
      <c r="S60" s="68">
        <f>ROUND(SUM(S36:S59),1)</f>
        <v>0</v>
      </c>
      <c r="T60" s="13"/>
      <c r="U60" s="68">
        <f>ROUND(SUM(U36:U59),1)</f>
        <v>0</v>
      </c>
      <c r="V60" s="13"/>
      <c r="W60" s="68">
        <f>ROUND(SUM(W36:W59),1)</f>
        <v>0</v>
      </c>
      <c r="X60" s="13"/>
      <c r="Y60" s="68">
        <f>ROUND(SUM(Y36:Y59),1)</f>
        <v>0</v>
      </c>
      <c r="Z60" s="13"/>
      <c r="AA60" s="68">
        <f>ROUND(SUM(AA36:AA59),1)</f>
        <v>0</v>
      </c>
      <c r="AB60" s="13"/>
      <c r="AC60" s="68">
        <f>ROUND(SUM(AC36:AC59),1)</f>
        <v>0</v>
      </c>
      <c r="AD60" s="13"/>
      <c r="AE60" s="14"/>
      <c r="AF60" s="68">
        <f>ROUND(SUM(AF35:AF59),1)</f>
        <v>39.1</v>
      </c>
      <c r="AG60" s="1236"/>
      <c r="AH60" s="13"/>
      <c r="AI60" s="68">
        <f>ROUND(SUM(AI35:AI59),1)</f>
        <v>78.2</v>
      </c>
      <c r="AJ60" s="18"/>
      <c r="AK60" s="97"/>
      <c r="AL60" s="68">
        <f>ROUND(SUM(AL36:AL59),1)</f>
        <v>-39</v>
      </c>
      <c r="AM60" s="40"/>
      <c r="AN60" s="417">
        <f>ROUND(SUM(AL60/AI60),3)</f>
        <v>-0.499</v>
      </c>
    </row>
    <row r="61" spans="1:42">
      <c r="A61" s="291"/>
      <c r="B61" s="83"/>
      <c r="C61" s="291"/>
      <c r="D61" s="291"/>
      <c r="E61" s="264"/>
      <c r="F61" s="264"/>
      <c r="G61" s="264"/>
      <c r="H61" s="289"/>
      <c r="I61" s="264"/>
      <c r="J61" s="264"/>
      <c r="K61" s="264"/>
      <c r="L61" s="264"/>
      <c r="M61" s="264"/>
      <c r="N61" s="264"/>
      <c r="O61" s="264"/>
      <c r="P61" s="264"/>
      <c r="Q61" s="264"/>
      <c r="R61" s="264"/>
      <c r="S61" s="264"/>
      <c r="T61" s="264"/>
      <c r="U61" s="264"/>
      <c r="V61" s="264"/>
      <c r="W61" s="264"/>
      <c r="X61" s="264"/>
      <c r="Y61" s="264"/>
      <c r="Z61" s="264"/>
      <c r="AA61" s="264"/>
      <c r="AB61" s="264"/>
      <c r="AC61" s="264"/>
      <c r="AD61" s="264"/>
      <c r="AE61" s="524"/>
      <c r="AF61" s="289"/>
      <c r="AG61" s="1234"/>
      <c r="AH61" s="264"/>
      <c r="AI61" s="264"/>
      <c r="AJ61" s="287"/>
      <c r="AK61" s="97"/>
      <c r="AL61" s="12"/>
      <c r="AM61" s="41"/>
      <c r="AN61" s="96"/>
    </row>
    <row r="62" spans="1:42">
      <c r="A62" s="291"/>
      <c r="B62" s="291" t="s">
        <v>507</v>
      </c>
      <c r="C62" s="291"/>
      <c r="D62" s="291"/>
      <c r="E62" s="289">
        <f>+'Exhibit I State'!E62+'Exhibit I Federal'!E44</f>
        <v>87.6</v>
      </c>
      <c r="F62" s="289"/>
      <c r="G62" s="289"/>
      <c r="H62" s="12"/>
      <c r="I62" s="289"/>
      <c r="J62" s="264"/>
      <c r="K62" s="289"/>
      <c r="L62" s="264"/>
      <c r="M62" s="289"/>
      <c r="N62" s="264"/>
      <c r="O62" s="289"/>
      <c r="P62" s="264"/>
      <c r="Q62" s="289"/>
      <c r="R62" s="264"/>
      <c r="S62" s="289"/>
      <c r="T62" s="289"/>
      <c r="U62" s="289"/>
      <c r="V62" s="289"/>
      <c r="W62" s="289"/>
      <c r="X62" s="289"/>
      <c r="Y62" s="289"/>
      <c r="Z62" s="289"/>
      <c r="AA62" s="289"/>
      <c r="AB62" s="289"/>
      <c r="AC62" s="289">
        <v>0</v>
      </c>
      <c r="AD62" s="264"/>
      <c r="AE62" s="524"/>
      <c r="AF62" s="264">
        <f>ROUND(SUM(E62:AC62),1)</f>
        <v>87.6</v>
      </c>
      <c r="AG62" s="1234"/>
      <c r="AH62" s="264"/>
      <c r="AI62" s="264">
        <f>+'Exhibit I State'!AG62+'Exhibit I Federal'!AG44</f>
        <v>118.8</v>
      </c>
      <c r="AJ62" s="287"/>
      <c r="AK62" s="98"/>
      <c r="AL62" s="1065">
        <f>ROUND(SUM(+AF62-AI62),1)</f>
        <v>-31.2</v>
      </c>
      <c r="AM62" s="41"/>
      <c r="AN62" s="1066">
        <f>ROUND(SUM(AL62/AI62),3)</f>
        <v>-0.26300000000000001</v>
      </c>
    </row>
    <row r="63" spans="1:42">
      <c r="A63" s="291"/>
      <c r="B63" s="291"/>
      <c r="C63" s="291"/>
      <c r="D63" s="291"/>
      <c r="E63" s="616"/>
      <c r="F63" s="264"/>
      <c r="G63" s="616"/>
      <c r="H63" s="264"/>
      <c r="I63" s="616"/>
      <c r="J63" s="264"/>
      <c r="K63" s="616"/>
      <c r="L63" s="264"/>
      <c r="M63" s="616"/>
      <c r="N63" s="264"/>
      <c r="O63" s="616"/>
      <c r="P63" s="264"/>
      <c r="Q63" s="616"/>
      <c r="R63" s="264"/>
      <c r="S63" s="616"/>
      <c r="T63" s="264"/>
      <c r="U63" s="616"/>
      <c r="V63" s="264"/>
      <c r="W63" s="616"/>
      <c r="X63" s="264"/>
      <c r="Y63" s="616"/>
      <c r="Z63" s="264"/>
      <c r="AA63" s="616"/>
      <c r="AB63" s="264"/>
      <c r="AC63" s="616"/>
      <c r="AD63" s="264"/>
      <c r="AE63" s="524"/>
      <c r="AF63" s="616"/>
      <c r="AG63" s="1234"/>
      <c r="AH63" s="264"/>
      <c r="AI63" s="616"/>
      <c r="AJ63" s="264"/>
      <c r="AK63" s="98"/>
      <c r="AL63" s="12"/>
      <c r="AN63" s="96"/>
    </row>
    <row r="64" spans="1:42">
      <c r="A64" s="291"/>
      <c r="B64" s="3" t="s">
        <v>563</v>
      </c>
      <c r="C64" s="291"/>
      <c r="D64" s="291"/>
      <c r="E64" s="609">
        <f>ROUND(SUM(+E60+E62+E31),1)</f>
        <v>212.8</v>
      </c>
      <c r="F64" s="13"/>
      <c r="G64" s="609">
        <f>ROUND(SUM(+G60+G62+G31),1)</f>
        <v>0</v>
      </c>
      <c r="H64" s="13"/>
      <c r="I64" s="609">
        <f>ROUND(SUM(+I60+I62+I31),1)</f>
        <v>0</v>
      </c>
      <c r="J64" s="13"/>
      <c r="K64" s="609">
        <f>ROUND(SUM(+K60+K62+K31),1)</f>
        <v>0</v>
      </c>
      <c r="L64" s="13"/>
      <c r="M64" s="609">
        <f>ROUND(SUM(+M60+M62+M31),1)</f>
        <v>0</v>
      </c>
      <c r="N64" s="13"/>
      <c r="O64" s="609">
        <f>ROUND(SUM(+O60+O62+O31),1)</f>
        <v>0</v>
      </c>
      <c r="P64" s="13"/>
      <c r="Q64" s="609">
        <f>ROUND(SUM(+Q60+Q62+Q31),1)</f>
        <v>0</v>
      </c>
      <c r="R64" s="13"/>
      <c r="S64" s="1062">
        <f>ROUND(SUM(+S60+S62+S31),1)</f>
        <v>0</v>
      </c>
      <c r="T64" s="13"/>
      <c r="U64" s="1062">
        <f>ROUND(SUM(+U60+U62+U31),1)</f>
        <v>0</v>
      </c>
      <c r="V64" s="13"/>
      <c r="W64" s="1062">
        <f>ROUND(SUM(+W60+W62+W31),1)</f>
        <v>0</v>
      </c>
      <c r="X64" s="13"/>
      <c r="Y64" s="1062">
        <f>ROUND(SUM(+Y60+Y62+Y31),1)</f>
        <v>0</v>
      </c>
      <c r="Z64" s="13"/>
      <c r="AA64" s="1062">
        <f>ROUND(SUM(+AA60+AA62+AA31),1)</f>
        <v>0</v>
      </c>
      <c r="AB64" s="414"/>
      <c r="AC64" s="1062">
        <f>ROUND(SUM(+AC60+AC62+AC31),1)</f>
        <v>0</v>
      </c>
      <c r="AD64" s="13"/>
      <c r="AE64" s="14"/>
      <c r="AF64" s="1062">
        <f>ROUND(SUM(+AF60+AF62+AF31),1)</f>
        <v>212.8</v>
      </c>
      <c r="AG64" s="1236"/>
      <c r="AH64" s="13"/>
      <c r="AI64" s="1062">
        <f>ROUND(SUM(+AI60+AI62+AI31),1)</f>
        <v>291.89999999999998</v>
      </c>
      <c r="AJ64" s="18"/>
      <c r="AK64" s="98"/>
      <c r="AL64" s="1062">
        <f>ROUND(SUM(+AL60+AL62+AL31),1)</f>
        <v>-79</v>
      </c>
      <c r="AM64" s="40"/>
      <c r="AN64" s="368">
        <f>ROUND(SUM(AL64/AI64),3)</f>
        <v>-0.27100000000000002</v>
      </c>
      <c r="AO64" s="3"/>
      <c r="AP64" s="40"/>
    </row>
    <row r="65" spans="1:42">
      <c r="A65" s="291"/>
      <c r="B65" s="291"/>
      <c r="C65" s="291"/>
      <c r="D65" s="291"/>
      <c r="E65" s="616"/>
      <c r="F65" s="264"/>
      <c r="G65" s="616"/>
      <c r="H65" s="264"/>
      <c r="I65" s="616"/>
      <c r="J65" s="264"/>
      <c r="K65" s="616"/>
      <c r="L65" s="264"/>
      <c r="M65" s="616"/>
      <c r="N65" s="264"/>
      <c r="O65" s="616"/>
      <c r="P65" s="264"/>
      <c r="Q65" s="616"/>
      <c r="R65" s="264"/>
      <c r="S65" s="616"/>
      <c r="T65" s="264"/>
      <c r="U65" s="616"/>
      <c r="V65" s="264"/>
      <c r="W65" s="616"/>
      <c r="X65" s="264"/>
      <c r="Y65" s="616"/>
      <c r="Z65" s="264"/>
      <c r="AA65" s="616"/>
      <c r="AB65" s="264"/>
      <c r="AC65" s="616"/>
      <c r="AD65" s="264"/>
      <c r="AE65" s="524"/>
      <c r="AF65" s="616"/>
      <c r="AG65" s="1234"/>
      <c r="AH65" s="264"/>
      <c r="AI65" s="616"/>
      <c r="AJ65" s="264"/>
      <c r="AK65" s="98"/>
      <c r="AL65" s="12"/>
      <c r="AN65" s="96"/>
    </row>
    <row r="66" spans="1:42">
      <c r="A66" s="291"/>
      <c r="B66" s="3" t="s">
        <v>122</v>
      </c>
      <c r="C66" s="291"/>
      <c r="D66" s="291"/>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264"/>
      <c r="AE66" s="524"/>
      <c r="AF66" s="264"/>
      <c r="AG66" s="1234"/>
      <c r="AH66" s="264"/>
      <c r="AI66" s="264"/>
      <c r="AJ66" s="264"/>
      <c r="AK66" s="98"/>
      <c r="AL66" s="12"/>
      <c r="AN66" s="96"/>
    </row>
    <row r="67" spans="1:42">
      <c r="A67" s="291"/>
      <c r="B67" s="291" t="s">
        <v>451</v>
      </c>
      <c r="C67" s="291"/>
      <c r="D67" s="291"/>
      <c r="E67" s="264"/>
      <c r="F67" s="264"/>
      <c r="G67" s="264"/>
      <c r="H67" s="264"/>
      <c r="I67" s="264"/>
      <c r="J67" s="264"/>
      <c r="K67" s="264"/>
      <c r="L67" s="264"/>
      <c r="M67" s="264"/>
      <c r="N67" s="264"/>
      <c r="O67" s="264"/>
      <c r="P67" s="264"/>
      <c r="Q67" s="264"/>
      <c r="R67" s="264"/>
      <c r="S67" s="264"/>
      <c r="T67" s="264"/>
      <c r="U67" s="264"/>
      <c r="V67" s="264"/>
      <c r="W67" s="264"/>
      <c r="X67" s="264"/>
      <c r="Y67" s="264"/>
      <c r="Z67" s="264"/>
      <c r="AA67" s="264" t="s">
        <v>103</v>
      </c>
      <c r="AB67" s="264"/>
      <c r="AC67" s="264"/>
      <c r="AD67" s="264"/>
      <c r="AE67" s="524"/>
      <c r="AF67" s="287"/>
      <c r="AG67" s="1234"/>
      <c r="AH67" s="264"/>
      <c r="AI67" s="264"/>
      <c r="AJ67" s="264"/>
      <c r="AK67" s="98"/>
      <c r="AL67" s="12"/>
      <c r="AN67" s="96"/>
    </row>
    <row r="68" spans="1:42">
      <c r="A68" s="291"/>
      <c r="B68" s="291" t="s">
        <v>124</v>
      </c>
      <c r="C68" s="291"/>
      <c r="D68" s="291"/>
      <c r="E68" s="289">
        <f>+'Exhibit I State'!E68+'Exhibit I Federal'!E50</f>
        <v>36.1</v>
      </c>
      <c r="F68" s="289"/>
      <c r="G68" s="289"/>
      <c r="H68" s="289"/>
      <c r="I68" s="289"/>
      <c r="J68" s="264"/>
      <c r="K68" s="289"/>
      <c r="L68" s="264"/>
      <c r="M68" s="289"/>
      <c r="N68" s="264"/>
      <c r="O68" s="289"/>
      <c r="P68" s="264"/>
      <c r="Q68" s="289"/>
      <c r="R68" s="264"/>
      <c r="S68" s="289"/>
      <c r="T68" s="289"/>
      <c r="U68" s="289"/>
      <c r="V68" s="289"/>
      <c r="W68" s="289"/>
      <c r="X68" s="289"/>
      <c r="Y68" s="289"/>
      <c r="Z68" s="289"/>
      <c r="AA68" s="289"/>
      <c r="AB68" s="289"/>
      <c r="AC68" s="289">
        <v>0</v>
      </c>
      <c r="AD68" s="264"/>
      <c r="AE68" s="524"/>
      <c r="AF68" s="264">
        <f>ROUND(SUM(E68:AC68),1)</f>
        <v>36.1</v>
      </c>
      <c r="AG68" s="1234"/>
      <c r="AH68" s="264"/>
      <c r="AI68" s="264">
        <f>+'Exhibit I State'!AG68+'Exhibit I Federal'!AG50</f>
        <v>7</v>
      </c>
      <c r="AJ68" s="287"/>
      <c r="AK68" s="97"/>
      <c r="AL68" s="12">
        <f>ROUND(SUM(+AF68-AI68),1)</f>
        <v>29.1</v>
      </c>
      <c r="AM68" s="41"/>
      <c r="AN68" s="548">
        <f>ROUND(IF(AI68=0,1,AL68/ABS(AI68)),3)</f>
        <v>4.157</v>
      </c>
    </row>
    <row r="69" spans="1:42">
      <c r="A69" s="291"/>
      <c r="B69" s="291" t="s">
        <v>125</v>
      </c>
      <c r="C69" s="291"/>
      <c r="D69" s="291"/>
      <c r="E69" s="289">
        <f>+'Exhibit I State'!E69+'Exhibit I Federal'!E51</f>
        <v>11.6</v>
      </c>
      <c r="F69" s="289"/>
      <c r="G69" s="289"/>
      <c r="H69" s="289"/>
      <c r="I69" s="289"/>
      <c r="J69" s="264"/>
      <c r="K69" s="289"/>
      <c r="L69" s="264"/>
      <c r="M69" s="289"/>
      <c r="N69" s="264"/>
      <c r="O69" s="289"/>
      <c r="P69" s="264"/>
      <c r="Q69" s="289"/>
      <c r="R69" s="264"/>
      <c r="S69" s="289"/>
      <c r="T69" s="289"/>
      <c r="U69" s="289"/>
      <c r="V69" s="289"/>
      <c r="W69" s="289"/>
      <c r="X69" s="289"/>
      <c r="Y69" s="289"/>
      <c r="Z69" s="289"/>
      <c r="AA69" s="289"/>
      <c r="AB69" s="289"/>
      <c r="AC69" s="289">
        <v>0</v>
      </c>
      <c r="AD69" s="264"/>
      <c r="AE69" s="524"/>
      <c r="AF69" s="264">
        <f>ROUND(SUM(E69:AC69),1)</f>
        <v>11.6</v>
      </c>
      <c r="AG69" s="1234"/>
      <c r="AH69" s="264"/>
      <c r="AI69" s="264">
        <f>+'Exhibit I State'!AG69+'Exhibit I Federal'!AG51</f>
        <v>6.1</v>
      </c>
      <c r="AJ69" s="287"/>
      <c r="AK69" s="97"/>
      <c r="AL69" s="12">
        <f t="shared" ref="AL69:AL75" si="4">ROUND(SUM(+AF69-AI69),1)</f>
        <v>5.5</v>
      </c>
      <c r="AM69" s="41"/>
      <c r="AN69" s="543">
        <f>ROUND(IF(AI69=0,0,AL69/ABS(AI69)),3)</f>
        <v>0.90200000000000002</v>
      </c>
    </row>
    <row r="70" spans="1:42">
      <c r="A70" s="291"/>
      <c r="B70" s="291" t="s">
        <v>126</v>
      </c>
      <c r="C70" s="291"/>
      <c r="D70" s="291"/>
      <c r="E70" s="289">
        <f>+'Exhibit I State'!E70+'Exhibit I Federal'!E52</f>
        <v>35.9</v>
      </c>
      <c r="F70" s="289"/>
      <c r="G70" s="289"/>
      <c r="H70" s="289"/>
      <c r="I70" s="289"/>
      <c r="J70" s="264"/>
      <c r="K70" s="289"/>
      <c r="L70" s="264"/>
      <c r="M70" s="289"/>
      <c r="N70" s="264"/>
      <c r="O70" s="289"/>
      <c r="P70" s="264"/>
      <c r="Q70" s="289"/>
      <c r="R70" s="264"/>
      <c r="S70" s="289"/>
      <c r="T70" s="289"/>
      <c r="U70" s="289"/>
      <c r="V70" s="289"/>
      <c r="W70" s="289"/>
      <c r="X70" s="289"/>
      <c r="Y70" s="289"/>
      <c r="Z70" s="289"/>
      <c r="AA70" s="289"/>
      <c r="AB70" s="289" t="s">
        <v>230</v>
      </c>
      <c r="AC70" s="289">
        <v>0</v>
      </c>
      <c r="AD70" s="264"/>
      <c r="AE70" s="524"/>
      <c r="AF70" s="264">
        <f>ROUND(SUM(E70:AC70),1)</f>
        <v>35.9</v>
      </c>
      <c r="AG70" s="1234"/>
      <c r="AH70" s="264"/>
      <c r="AI70" s="264">
        <f>+'Exhibit I State'!AG70+'Exhibit I Federal'!AG52</f>
        <v>34.1</v>
      </c>
      <c r="AJ70" s="287"/>
      <c r="AK70" s="97"/>
      <c r="AL70" s="12">
        <f t="shared" si="4"/>
        <v>1.8</v>
      </c>
      <c r="AM70" s="41"/>
      <c r="AN70" s="266">
        <f>ROUND(IF(AI70=0,0,AL70/ABS(AI70)),3)</f>
        <v>5.2999999999999999E-2</v>
      </c>
    </row>
    <row r="71" spans="1:42">
      <c r="A71" s="291"/>
      <c r="B71" s="291" t="s">
        <v>127</v>
      </c>
      <c r="C71" s="291"/>
      <c r="D71" s="291"/>
      <c r="E71" s="289"/>
      <c r="F71" s="289"/>
      <c r="G71" s="289"/>
      <c r="H71" s="289"/>
      <c r="I71" s="289"/>
      <c r="J71" s="264"/>
      <c r="K71" s="289"/>
      <c r="L71" s="264"/>
      <c r="M71" s="289"/>
      <c r="N71" s="264"/>
      <c r="O71" s="289"/>
      <c r="P71" s="264"/>
      <c r="Q71" s="289"/>
      <c r="R71" s="264"/>
      <c r="S71" s="289"/>
      <c r="T71" s="289"/>
      <c r="U71" s="289"/>
      <c r="V71" s="289"/>
      <c r="W71" s="289"/>
      <c r="X71" s="289"/>
      <c r="Y71" s="289"/>
      <c r="Z71" s="289"/>
      <c r="AA71" s="289"/>
      <c r="AB71" s="289"/>
      <c r="AC71" s="289"/>
      <c r="AD71" s="264"/>
      <c r="AE71" s="524"/>
      <c r="AF71" s="264" t="s">
        <v>103</v>
      </c>
      <c r="AG71" s="1234"/>
      <c r="AH71" s="264"/>
      <c r="AI71" s="367"/>
      <c r="AJ71" s="264"/>
      <c r="AK71" s="98"/>
      <c r="AL71" s="12" t="s">
        <v>103</v>
      </c>
      <c r="AM71" s="41"/>
      <c r="AN71" s="99" t="s">
        <v>103</v>
      </c>
    </row>
    <row r="72" spans="1:42">
      <c r="A72" s="291"/>
      <c r="B72" s="291" t="s">
        <v>129</v>
      </c>
      <c r="C72" s="291"/>
      <c r="D72" s="291"/>
      <c r="E72" s="289">
        <f>+'Exhibit I State'!E72+'Exhibit I Federal'!E54</f>
        <v>22.2</v>
      </c>
      <c r="F72" s="289"/>
      <c r="G72" s="289"/>
      <c r="H72" s="289"/>
      <c r="I72" s="289"/>
      <c r="J72" s="264"/>
      <c r="K72" s="289"/>
      <c r="L72" s="264"/>
      <c r="M72" s="289"/>
      <c r="N72" s="264"/>
      <c r="O72" s="289"/>
      <c r="P72" s="264"/>
      <c r="Q72" s="289"/>
      <c r="R72" s="264"/>
      <c r="S72" s="289"/>
      <c r="T72" s="289"/>
      <c r="U72" s="289"/>
      <c r="V72" s="289"/>
      <c r="W72" s="289"/>
      <c r="X72" s="289"/>
      <c r="Y72" s="289"/>
      <c r="Z72" s="289"/>
      <c r="AA72" s="289"/>
      <c r="AB72" s="289"/>
      <c r="AC72" s="289">
        <v>0</v>
      </c>
      <c r="AD72" s="264"/>
      <c r="AE72" s="524"/>
      <c r="AF72" s="264">
        <f t="shared" ref="AF72:AF74" si="5">ROUND(SUM(E72:AC72),1)</f>
        <v>22.2</v>
      </c>
      <c r="AG72" s="1234"/>
      <c r="AH72" s="264"/>
      <c r="AI72" s="367">
        <f>+'Exhibit I State'!AG72+'Exhibit I Federal'!AG54</f>
        <v>26.7</v>
      </c>
      <c r="AJ72" s="287"/>
      <c r="AK72" s="97"/>
      <c r="AL72" s="12">
        <f t="shared" si="4"/>
        <v>-4.5</v>
      </c>
      <c r="AM72" s="41"/>
      <c r="AN72" s="374">
        <f>ROUND(IF(AI72=0,0,AL72/ABS(AI72)),3)</f>
        <v>-0.16900000000000001</v>
      </c>
    </row>
    <row r="73" spans="1:42">
      <c r="A73" s="291"/>
      <c r="B73" s="291" t="s">
        <v>130</v>
      </c>
      <c r="C73" s="291"/>
      <c r="D73" s="291"/>
      <c r="E73" s="289">
        <f>+'Exhibit I State'!E73+'Exhibit I Federal'!E55</f>
        <v>3.2</v>
      </c>
      <c r="F73" s="289"/>
      <c r="G73" s="289"/>
      <c r="H73" s="289"/>
      <c r="I73" s="289"/>
      <c r="J73" s="264"/>
      <c r="K73" s="289"/>
      <c r="L73" s="264"/>
      <c r="M73" s="289"/>
      <c r="N73" s="264"/>
      <c r="O73" s="289"/>
      <c r="P73" s="264"/>
      <c r="Q73" s="289"/>
      <c r="R73" s="264"/>
      <c r="S73" s="289"/>
      <c r="T73" s="289"/>
      <c r="U73" s="289"/>
      <c r="V73" s="289"/>
      <c r="W73" s="289"/>
      <c r="X73" s="289"/>
      <c r="Y73" s="289"/>
      <c r="Z73" s="289"/>
      <c r="AA73" s="289"/>
      <c r="AB73" s="289"/>
      <c r="AC73" s="289">
        <v>0</v>
      </c>
      <c r="AD73" s="264"/>
      <c r="AE73" s="524"/>
      <c r="AF73" s="264">
        <f>ROUND(SUM(E73:AC73),1)</f>
        <v>3.2</v>
      </c>
      <c r="AG73" s="1234"/>
      <c r="AH73" s="264"/>
      <c r="AI73" s="367">
        <f>+'Exhibit I State'!AG73+'Exhibit I Federal'!AG55</f>
        <v>1.5</v>
      </c>
      <c r="AJ73" s="287"/>
      <c r="AK73" s="97"/>
      <c r="AL73" s="12">
        <f t="shared" si="4"/>
        <v>1.7</v>
      </c>
      <c r="AM73" s="41"/>
      <c r="AN73" s="543">
        <f>ROUND(IF(AI73=0,1,AL73/ABS(AI73)),3)</f>
        <v>1.133</v>
      </c>
    </row>
    <row r="74" spans="1:42">
      <c r="A74" s="291"/>
      <c r="B74" s="291" t="s">
        <v>131</v>
      </c>
      <c r="C74" s="291"/>
      <c r="D74" s="291"/>
      <c r="E74" s="289">
        <f>+'Exhibit I State'!E74+'Exhibit I Federal'!E56</f>
        <v>91.6</v>
      </c>
      <c r="F74" s="289"/>
      <c r="G74" s="289"/>
      <c r="H74" s="289"/>
      <c r="I74" s="289"/>
      <c r="J74" s="264"/>
      <c r="K74" s="289"/>
      <c r="L74" s="264"/>
      <c r="M74" s="289"/>
      <c r="N74" s="264"/>
      <c r="O74" s="289"/>
      <c r="P74" s="264"/>
      <c r="Q74" s="289"/>
      <c r="R74" s="264"/>
      <c r="S74" s="289"/>
      <c r="T74" s="289"/>
      <c r="U74" s="289"/>
      <c r="V74" s="289"/>
      <c r="W74" s="289"/>
      <c r="X74" s="289"/>
      <c r="Y74" s="289"/>
      <c r="Z74" s="289"/>
      <c r="AA74" s="289"/>
      <c r="AB74" s="289"/>
      <c r="AC74" s="289">
        <v>0</v>
      </c>
      <c r="AD74" s="264"/>
      <c r="AE74" s="524"/>
      <c r="AF74" s="264">
        <f t="shared" si="5"/>
        <v>91.6</v>
      </c>
      <c r="AG74" s="1234"/>
      <c r="AH74" s="264"/>
      <c r="AI74" s="367">
        <f>+'Exhibit I State'!AG74+'Exhibit I Federal'!AG56</f>
        <v>50.3</v>
      </c>
      <c r="AJ74" s="264"/>
      <c r="AK74" s="98"/>
      <c r="AL74" s="12">
        <f t="shared" si="4"/>
        <v>41.3</v>
      </c>
      <c r="AM74" s="41"/>
      <c r="AN74" s="562">
        <f>ROUND(IF(AI74=0,1,AL74/ABS(AI74)),3)</f>
        <v>0.82099999999999995</v>
      </c>
    </row>
    <row r="75" spans="1:42">
      <c r="A75" s="291"/>
      <c r="B75" s="291" t="s">
        <v>132</v>
      </c>
      <c r="C75" s="3"/>
      <c r="D75" s="291"/>
      <c r="E75" s="289">
        <f>+'Exhibit I State'!E75+'Exhibit I Federal'!E57</f>
        <v>98.2</v>
      </c>
      <c r="F75" s="289"/>
      <c r="G75" s="289"/>
      <c r="H75" s="289"/>
      <c r="I75" s="289"/>
      <c r="J75" s="264"/>
      <c r="K75" s="289"/>
      <c r="L75" s="264"/>
      <c r="M75" s="289"/>
      <c r="N75" s="264"/>
      <c r="O75" s="289"/>
      <c r="P75" s="264"/>
      <c r="Q75" s="289"/>
      <c r="R75" s="264"/>
      <c r="S75" s="289"/>
      <c r="T75" s="289"/>
      <c r="U75" s="289"/>
      <c r="V75" s="289"/>
      <c r="W75" s="289"/>
      <c r="X75" s="289"/>
      <c r="Y75" s="289"/>
      <c r="Z75" s="289"/>
      <c r="AA75" s="289"/>
      <c r="AB75" s="289"/>
      <c r="AC75" s="289">
        <v>0</v>
      </c>
      <c r="AD75" s="264"/>
      <c r="AE75" s="524"/>
      <c r="AF75" s="264">
        <f>ROUND(SUM(E75:AC75),1)</f>
        <v>98.2</v>
      </c>
      <c r="AG75" s="1234"/>
      <c r="AH75" s="264"/>
      <c r="AI75" s="367">
        <f>+'Exhibit I State'!AG75+'Exhibit I Federal'!AG57</f>
        <v>93.4</v>
      </c>
      <c r="AJ75" s="264"/>
      <c r="AK75" s="98"/>
      <c r="AL75" s="12">
        <f t="shared" si="4"/>
        <v>4.8</v>
      </c>
      <c r="AM75" s="41"/>
      <c r="AN75" s="562">
        <f>ROUND(IF(AI75=0,0,AL75/ABS(AI75)),3)</f>
        <v>5.0999999999999997E-2</v>
      </c>
    </row>
    <row r="76" spans="1:42">
      <c r="A76" s="291"/>
      <c r="B76" s="291" t="s">
        <v>133</v>
      </c>
      <c r="C76" s="291"/>
      <c r="D76" s="291"/>
      <c r="E76" s="289">
        <f>+'Exhibit I State'!E76+'Exhibit I Federal'!E58</f>
        <v>61.900000000000006</v>
      </c>
      <c r="F76" s="289"/>
      <c r="G76" s="289"/>
      <c r="H76" s="289"/>
      <c r="I76" s="289"/>
      <c r="J76" s="264"/>
      <c r="K76" s="289"/>
      <c r="L76" s="264"/>
      <c r="M76" s="289"/>
      <c r="N76" s="264"/>
      <c r="O76" s="289"/>
      <c r="P76" s="264"/>
      <c r="Q76" s="289"/>
      <c r="R76" s="264"/>
      <c r="S76" s="289"/>
      <c r="T76" s="289"/>
      <c r="U76" s="289"/>
      <c r="V76" s="289"/>
      <c r="W76" s="289"/>
      <c r="X76" s="289"/>
      <c r="Y76" s="289"/>
      <c r="Z76" s="289"/>
      <c r="AA76" s="289"/>
      <c r="AB76" s="289"/>
      <c r="AC76" s="289">
        <v>0</v>
      </c>
      <c r="AD76" s="264"/>
      <c r="AE76" s="524"/>
      <c r="AF76" s="264">
        <f>ROUND(SUM(E76:AC76),1)</f>
        <v>61.9</v>
      </c>
      <c r="AG76" s="1234"/>
      <c r="AH76" s="264"/>
      <c r="AI76" s="367">
        <f>+'Exhibit I State'!AG76+'Exhibit I Federal'!AG58</f>
        <v>36.199999999999996</v>
      </c>
      <c r="AJ76" s="264"/>
      <c r="AK76" s="98"/>
      <c r="AL76" s="12">
        <f>ROUND(SUM(+AF76-AI76),1)</f>
        <v>25.7</v>
      </c>
      <c r="AN76" s="864">
        <f>ROUND(IF(AI76=0,0,AL76/ABS(AI76)),3)</f>
        <v>0.71</v>
      </c>
    </row>
    <row r="77" spans="1:42">
      <c r="A77" s="291"/>
      <c r="B77" s="3" t="s">
        <v>564</v>
      </c>
      <c r="C77" s="291"/>
      <c r="D77" s="291"/>
      <c r="E77" s="617">
        <f>ROUND(SUM(E68:E76),1)</f>
        <v>360.7</v>
      </c>
      <c r="F77" s="13"/>
      <c r="G77" s="617">
        <f>ROUND(SUM(G68:G76),1)</f>
        <v>0</v>
      </c>
      <c r="H77" s="13"/>
      <c r="I77" s="617">
        <f>ROUND(SUM(I68:I76),1)</f>
        <v>0</v>
      </c>
      <c r="J77" s="13"/>
      <c r="K77" s="617">
        <f>ROUND(SUM(K68:K76),1)</f>
        <v>0</v>
      </c>
      <c r="L77" s="13"/>
      <c r="M77" s="617">
        <f>ROUND(SUM(M68:M76),1)</f>
        <v>0</v>
      </c>
      <c r="N77" s="13"/>
      <c r="O77" s="617">
        <f>ROUND(SUM(O68:O76),1)</f>
        <v>0</v>
      </c>
      <c r="P77" s="13"/>
      <c r="Q77" s="617">
        <f>ROUND(SUM(Q68:Q76),1)</f>
        <v>0</v>
      </c>
      <c r="R77" s="13"/>
      <c r="S77" s="617">
        <f>ROUND(SUM(S68:S76),1)</f>
        <v>0</v>
      </c>
      <c r="T77" s="13"/>
      <c r="U77" s="617">
        <f>ROUND(SUM(U68:U76),1)</f>
        <v>0</v>
      </c>
      <c r="V77" s="13"/>
      <c r="W77" s="617">
        <f>ROUND(SUM(W68:W76),1)</f>
        <v>0</v>
      </c>
      <c r="X77" s="13"/>
      <c r="Y77" s="617">
        <f>ROUND(SUM(Y68:Y76),1)</f>
        <v>0</v>
      </c>
      <c r="Z77" s="13"/>
      <c r="AA77" s="617">
        <f>ROUND(SUM(AA68:AA76),1)</f>
        <v>0</v>
      </c>
      <c r="AB77" s="13"/>
      <c r="AC77" s="617">
        <f>ROUND(SUM(AC68:AC76),1)</f>
        <v>0</v>
      </c>
      <c r="AD77" s="13"/>
      <c r="AE77" s="14"/>
      <c r="AF77" s="617">
        <f>ROUND(SUM(AF68:AF76),1)</f>
        <v>360.7</v>
      </c>
      <c r="AG77" s="1236"/>
      <c r="AH77" s="13"/>
      <c r="AI77" s="617">
        <f>ROUND(SUM(AI68:AI76),1)</f>
        <v>255.3</v>
      </c>
      <c r="AJ77" s="13"/>
      <c r="AK77" s="98"/>
      <c r="AL77" s="617">
        <f>ROUND(SUM(AL68:AL76),1)</f>
        <v>105.4</v>
      </c>
      <c r="AM77" s="3"/>
      <c r="AN77" s="368">
        <f>ROUND(SUM(AL77/AI77),3)</f>
        <v>0.41299999999999998</v>
      </c>
      <c r="AO77" s="3"/>
      <c r="AP77" s="40"/>
    </row>
    <row r="78" spans="1:42">
      <c r="A78" s="291"/>
      <c r="B78" s="291" t="s">
        <v>565</v>
      </c>
      <c r="C78" s="291"/>
      <c r="D78" s="291"/>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4"/>
      <c r="AD78" s="264"/>
      <c r="AE78" s="524"/>
      <c r="AF78" s="264"/>
      <c r="AG78" s="1234"/>
      <c r="AH78" s="264"/>
      <c r="AI78" s="264"/>
      <c r="AJ78" s="264"/>
      <c r="AK78" s="98"/>
      <c r="AL78" s="12"/>
      <c r="AN78" s="96"/>
    </row>
    <row r="79" spans="1:42">
      <c r="A79" s="291"/>
      <c r="B79" s="291" t="s">
        <v>566</v>
      </c>
      <c r="C79" s="291"/>
      <c r="D79" s="291"/>
      <c r="E79" s="289">
        <f>+'Exhibit I State'!E79+'Exhibit I Federal'!E61</f>
        <v>0</v>
      </c>
      <c r="F79" s="289"/>
      <c r="G79" s="289"/>
      <c r="H79" s="289"/>
      <c r="I79" s="289"/>
      <c r="J79" s="264"/>
      <c r="K79" s="289"/>
      <c r="L79" s="264"/>
      <c r="M79" s="289"/>
      <c r="N79" s="264"/>
      <c r="O79" s="289"/>
      <c r="P79" s="264"/>
      <c r="Q79" s="289"/>
      <c r="R79" s="264"/>
      <c r="S79" s="289"/>
      <c r="T79" s="289"/>
      <c r="U79" s="289"/>
      <c r="V79" s="289"/>
      <c r="W79" s="289"/>
      <c r="X79" s="289"/>
      <c r="Y79" s="289"/>
      <c r="Z79" s="289"/>
      <c r="AA79" s="289"/>
      <c r="AB79" s="289"/>
      <c r="AC79" s="289">
        <v>0</v>
      </c>
      <c r="AD79" s="264"/>
      <c r="AE79" s="524"/>
      <c r="AF79" s="287">
        <f>ROUND(SUM(E79:AC79),1)</f>
        <v>0</v>
      </c>
      <c r="AG79" s="1234"/>
      <c r="AH79" s="264"/>
      <c r="AI79" s="275">
        <f>+'Exhibit I State'!AG79+'Exhibit I Federal'!AG61</f>
        <v>0</v>
      </c>
      <c r="AJ79" s="367"/>
      <c r="AK79" s="100"/>
      <c r="AL79" s="264">
        <f>ROUND(SUM(+AF79-AI79),1)</f>
        <v>0</v>
      </c>
      <c r="AN79" s="374">
        <f>ROUND(IF(AI79=0,0,AL79/ABS(AI79)),3)</f>
        <v>0</v>
      </c>
    </row>
    <row r="80" spans="1:42">
      <c r="A80" s="291"/>
      <c r="B80" s="291" t="s">
        <v>567</v>
      </c>
      <c r="C80" s="291"/>
      <c r="D80" s="291"/>
      <c r="E80" s="289">
        <f>+'Exhibit I State'!E80+'Exhibit I Federal'!E62</f>
        <v>0</v>
      </c>
      <c r="F80" s="289"/>
      <c r="G80" s="289"/>
      <c r="H80" s="289"/>
      <c r="I80" s="289"/>
      <c r="J80" s="264"/>
      <c r="K80" s="289"/>
      <c r="L80" s="264"/>
      <c r="M80" s="289"/>
      <c r="N80" s="264"/>
      <c r="O80" s="289"/>
      <c r="P80" s="264"/>
      <c r="Q80" s="289"/>
      <c r="R80" s="264"/>
      <c r="S80" s="289"/>
      <c r="T80" s="289"/>
      <c r="U80" s="289"/>
      <c r="V80" s="289"/>
      <c r="W80" s="289"/>
      <c r="X80" s="289"/>
      <c r="Y80" s="289"/>
      <c r="Z80" s="289"/>
      <c r="AA80" s="289"/>
      <c r="AB80" s="289"/>
      <c r="AC80" s="289">
        <v>0</v>
      </c>
      <c r="AD80" s="264"/>
      <c r="AE80" s="524"/>
      <c r="AF80" s="1932">
        <f>ROUND(SUM(E80:AC80),1)</f>
        <v>0</v>
      </c>
      <c r="AG80" s="1234"/>
      <c r="AH80" s="264"/>
      <c r="AI80" s="275">
        <f>+'Exhibit I State'!AG80+'Exhibit I Federal'!AG62</f>
        <v>0</v>
      </c>
      <c r="AJ80" s="367"/>
      <c r="AK80" s="100"/>
      <c r="AL80" s="264">
        <f>ROUND(SUM(+AF80-AI80),1)</f>
        <v>0</v>
      </c>
      <c r="AN80" s="374">
        <f>ROUND(IF(AI80=0,0,AL80/ABS(AI80)),3)</f>
        <v>0</v>
      </c>
    </row>
    <row r="81" spans="1:42">
      <c r="A81" s="291"/>
      <c r="B81" s="291" t="s">
        <v>568</v>
      </c>
      <c r="C81" s="291"/>
      <c r="D81" s="291"/>
      <c r="E81" s="289">
        <f>+'Exhibit I State'!E81+'Exhibit I Federal'!E63</f>
        <v>0</v>
      </c>
      <c r="F81" s="289"/>
      <c r="G81" s="289"/>
      <c r="H81" s="289"/>
      <c r="I81" s="289"/>
      <c r="J81" s="264"/>
      <c r="K81" s="289"/>
      <c r="L81" s="264"/>
      <c r="M81" s="289"/>
      <c r="N81" s="264"/>
      <c r="O81" s="289"/>
      <c r="P81" s="264"/>
      <c r="Q81" s="289"/>
      <c r="R81" s="264"/>
      <c r="S81" s="289"/>
      <c r="T81" s="289"/>
      <c r="U81" s="289"/>
      <c r="V81" s="289"/>
      <c r="W81" s="289"/>
      <c r="X81" s="289"/>
      <c r="Y81" s="289"/>
      <c r="Z81" s="289"/>
      <c r="AA81" s="289"/>
      <c r="AB81" s="289"/>
      <c r="AC81" s="289">
        <v>0</v>
      </c>
      <c r="AD81" s="1067"/>
      <c r="AE81" s="1068"/>
      <c r="AF81" s="287">
        <f>ROUND(SUM(E81:AC81),1)</f>
        <v>0</v>
      </c>
      <c r="AG81" s="1234"/>
      <c r="AH81" s="264"/>
      <c r="AI81" s="275">
        <f>+'Exhibit I State'!AG81+'Exhibit I Federal'!AG63</f>
        <v>0</v>
      </c>
      <c r="AJ81" s="367"/>
      <c r="AK81" s="100"/>
      <c r="AL81" s="264">
        <f>ROUND(SUM(+AF81-AI81),1)</f>
        <v>0</v>
      </c>
      <c r="AN81" s="374">
        <f>ROUND(IF(AI81=0,0,AL81/ABS(AI81)),3)</f>
        <v>0</v>
      </c>
    </row>
    <row r="82" spans="1:42">
      <c r="A82" s="291"/>
      <c r="B82" s="413" t="s">
        <v>513</v>
      </c>
      <c r="C82" s="291"/>
      <c r="D82" s="291"/>
      <c r="E82" s="289">
        <f>+'Exhibit I State'!E82+'Exhibit I Federal'!E64</f>
        <v>406</v>
      </c>
      <c r="F82" s="289"/>
      <c r="G82" s="289"/>
      <c r="H82" s="289"/>
      <c r="I82" s="289"/>
      <c r="J82" s="275"/>
      <c r="K82" s="289"/>
      <c r="L82" s="264"/>
      <c r="M82" s="289"/>
      <c r="N82" s="264"/>
      <c r="O82" s="289"/>
      <c r="P82" s="264"/>
      <c r="Q82" s="289"/>
      <c r="R82" s="264"/>
      <c r="S82" s="289"/>
      <c r="T82" s="289"/>
      <c r="U82" s="289"/>
      <c r="V82" s="289"/>
      <c r="W82" s="289"/>
      <c r="X82" s="289"/>
      <c r="Y82" s="289"/>
      <c r="Z82" s="289"/>
      <c r="AA82" s="289"/>
      <c r="AB82" s="289"/>
      <c r="AC82" s="289">
        <v>0</v>
      </c>
      <c r="AD82" s="264"/>
      <c r="AE82" s="524"/>
      <c r="AF82" s="287">
        <f>ROUND(SUM(E82:AC82),1)</f>
        <v>406</v>
      </c>
      <c r="AG82" s="1234"/>
      <c r="AH82" s="264"/>
      <c r="AI82" s="886">
        <f>+'Exhibit I State'!AG82+'Exhibit I Federal'!AG64</f>
        <v>550.9</v>
      </c>
      <c r="AJ82" s="287"/>
      <c r="AK82" s="97"/>
      <c r="AL82" s="1065">
        <f>ROUND(SUM(+AF82-AI82),1)</f>
        <v>-144.9</v>
      </c>
      <c r="AN82" s="864">
        <f>ROUND(IF(AI82=0,1,AL82/ABS(AI82)),3)</f>
        <v>-0.26300000000000001</v>
      </c>
    </row>
    <row r="83" spans="1:42">
      <c r="A83" s="291"/>
      <c r="B83" s="291"/>
      <c r="C83" s="291"/>
      <c r="D83" s="291"/>
      <c r="E83" s="616"/>
      <c r="F83" s="264"/>
      <c r="G83" s="616"/>
      <c r="H83" s="264"/>
      <c r="I83" s="616"/>
      <c r="J83" s="264"/>
      <c r="K83" s="616"/>
      <c r="L83" s="264"/>
      <c r="M83" s="616"/>
      <c r="N83" s="264"/>
      <c r="O83" s="616"/>
      <c r="P83" s="264"/>
      <c r="Q83" s="616"/>
      <c r="R83" s="264"/>
      <c r="S83" s="616"/>
      <c r="T83" s="264"/>
      <c r="U83" s="616"/>
      <c r="V83" s="264"/>
      <c r="W83" s="616"/>
      <c r="X83" s="264"/>
      <c r="Y83" s="616"/>
      <c r="Z83" s="264"/>
      <c r="AA83" s="616"/>
      <c r="AB83" s="264"/>
      <c r="AC83" s="616"/>
      <c r="AD83" s="264"/>
      <c r="AE83" s="524"/>
      <c r="AF83" s="616"/>
      <c r="AG83" s="1234"/>
      <c r="AH83" s="264"/>
      <c r="AI83" s="12"/>
      <c r="AJ83" s="12"/>
      <c r="AK83" s="98"/>
      <c r="AL83" s="12"/>
      <c r="AN83" s="96"/>
    </row>
    <row r="84" spans="1:42">
      <c r="A84" s="291"/>
      <c r="B84" s="3" t="s">
        <v>569</v>
      </c>
      <c r="C84" s="291"/>
      <c r="D84" s="291"/>
      <c r="E84" s="13">
        <f>ROUND(SUM(+E82+E77),1)</f>
        <v>766.7</v>
      </c>
      <c r="F84" s="13"/>
      <c r="G84" s="13">
        <f>ROUND(SUM(G77:G82),1)</f>
        <v>0</v>
      </c>
      <c r="H84" s="13"/>
      <c r="I84" s="13">
        <f>ROUND(SUM(I77:I82),1)</f>
        <v>0</v>
      </c>
      <c r="J84" s="13"/>
      <c r="K84" s="13">
        <f>ROUND(SUM(+K82+K77),1)</f>
        <v>0</v>
      </c>
      <c r="L84" s="13"/>
      <c r="M84" s="13">
        <f>ROUND(SUM(+M82+M77),1)</f>
        <v>0</v>
      </c>
      <c r="N84" s="13"/>
      <c r="O84" s="13">
        <f>ROUND(SUM(+O82+O77),1)</f>
        <v>0</v>
      </c>
      <c r="P84" s="13"/>
      <c r="Q84" s="13">
        <f>ROUND(SUM(+Q82+Q77),1)</f>
        <v>0</v>
      </c>
      <c r="R84" s="13"/>
      <c r="S84" s="13">
        <f>ROUND(SUM(+S82+S77),1)</f>
        <v>0</v>
      </c>
      <c r="T84" s="13"/>
      <c r="U84" s="13">
        <f>ROUND(SUM(+U82+U77),1)</f>
        <v>0</v>
      </c>
      <c r="V84" s="13"/>
      <c r="W84" s="13">
        <f>ROUND(SUM(+W82+W77),1)</f>
        <v>0</v>
      </c>
      <c r="X84" s="13"/>
      <c r="Y84" s="13">
        <f>ROUND(SUM(+Y82+Y77),1)</f>
        <v>0</v>
      </c>
      <c r="Z84" s="13"/>
      <c r="AA84" s="13">
        <f>ROUND(SUM(+AA82+AA77),1)</f>
        <v>0</v>
      </c>
      <c r="AB84" s="13"/>
      <c r="AC84" s="13">
        <f>ROUND(SUM(+AC82+AC77),1)</f>
        <v>0</v>
      </c>
      <c r="AD84" s="13"/>
      <c r="AE84" s="14"/>
      <c r="AF84" s="1933">
        <f>ROUND(SUM(+AF82+AF77+AF79+AF80+AF81),1)</f>
        <v>766.7</v>
      </c>
      <c r="AG84" s="1236"/>
      <c r="AH84" s="13"/>
      <c r="AI84" s="13">
        <f>ROUND(SUM(+AI82+AI77+AI79+AI80+AI81),1)</f>
        <v>806.2</v>
      </c>
      <c r="AJ84" s="13"/>
      <c r="AK84" s="98"/>
      <c r="AL84" s="357">
        <f>ROUND(SUM(AL77+AL82+AL79+AL80+AL81),1)</f>
        <v>-39.5</v>
      </c>
      <c r="AM84" s="3"/>
      <c r="AN84" s="368">
        <f>ROUND(SUM(AL84/AI84),3)</f>
        <v>-4.9000000000000002E-2</v>
      </c>
      <c r="AO84" s="3"/>
      <c r="AP84" s="40"/>
    </row>
    <row r="85" spans="1:42">
      <c r="A85" s="291"/>
      <c r="B85" s="291"/>
      <c r="C85" s="291"/>
      <c r="D85" s="291"/>
      <c r="E85" s="616"/>
      <c r="F85" s="264"/>
      <c r="G85" s="616"/>
      <c r="H85" s="264"/>
      <c r="I85" s="616"/>
      <c r="J85" s="264"/>
      <c r="K85" s="616"/>
      <c r="L85" s="264"/>
      <c r="M85" s="616"/>
      <c r="N85" s="264"/>
      <c r="O85" s="616"/>
      <c r="P85" s="264"/>
      <c r="Q85" s="616"/>
      <c r="R85" s="264"/>
      <c r="S85" s="616"/>
      <c r="T85" s="264"/>
      <c r="U85" s="616"/>
      <c r="V85" s="264"/>
      <c r="W85" s="616"/>
      <c r="X85" s="264"/>
      <c r="Y85" s="616"/>
      <c r="Z85" s="264"/>
      <c r="AA85" s="616"/>
      <c r="AB85" s="264"/>
      <c r="AC85" s="616"/>
      <c r="AD85" s="264"/>
      <c r="AE85" s="524"/>
      <c r="AF85" s="616"/>
      <c r="AG85" s="1234"/>
      <c r="AH85" s="264"/>
      <c r="AI85" s="616"/>
      <c r="AJ85" s="264"/>
      <c r="AK85" s="98"/>
      <c r="AL85" s="12"/>
      <c r="AN85" s="96"/>
    </row>
    <row r="86" spans="1:42">
      <c r="A86" s="291"/>
      <c r="B86" s="3" t="s">
        <v>570</v>
      </c>
      <c r="C86" s="291"/>
      <c r="D86" s="291"/>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524"/>
      <c r="AF86" s="12"/>
      <c r="AG86" s="1234"/>
      <c r="AH86" s="264"/>
      <c r="AI86" s="12"/>
      <c r="AJ86" s="12"/>
      <c r="AK86" s="98"/>
      <c r="AL86" s="12"/>
      <c r="AN86" s="96"/>
    </row>
    <row r="87" spans="1:42">
      <c r="A87" s="291"/>
      <c r="B87" s="3" t="s">
        <v>571</v>
      </c>
      <c r="C87" s="291"/>
      <c r="D87" s="291"/>
      <c r="E87" s="13">
        <f>ROUND(SUM(E64-E84),1)</f>
        <v>-553.9</v>
      </c>
      <c r="F87" s="13"/>
      <c r="G87" s="13">
        <f>ROUND(SUM(G64-G84),1)</f>
        <v>0</v>
      </c>
      <c r="H87" s="13"/>
      <c r="I87" s="13">
        <f>ROUND(SUM(I64-I84),1)</f>
        <v>0</v>
      </c>
      <c r="J87" s="13"/>
      <c r="K87" s="13">
        <f>ROUND(SUM(K64-K84),1)</f>
        <v>0</v>
      </c>
      <c r="L87" s="13"/>
      <c r="M87" s="13">
        <f>ROUND(SUM(M64-M84),1)</f>
        <v>0</v>
      </c>
      <c r="N87" s="13"/>
      <c r="O87" s="13">
        <f>ROUND(SUM(O64-O84),1)</f>
        <v>0</v>
      </c>
      <c r="P87" s="13"/>
      <c r="Q87" s="13">
        <f>ROUND(SUM(Q64-Q84),1)</f>
        <v>0</v>
      </c>
      <c r="R87" s="13"/>
      <c r="S87" s="13">
        <f>ROUND(SUM(S64-S84),1)</f>
        <v>0</v>
      </c>
      <c r="T87" s="13"/>
      <c r="U87" s="13">
        <f>ROUND(SUM(U64-U84),1)</f>
        <v>0</v>
      </c>
      <c r="V87" s="13"/>
      <c r="W87" s="13">
        <f>ROUND(SUM(W64-W84),1)</f>
        <v>0</v>
      </c>
      <c r="X87" s="13"/>
      <c r="Y87" s="13">
        <f>ROUND(SUM(Y64-Y84),1)</f>
        <v>0</v>
      </c>
      <c r="Z87" s="13"/>
      <c r="AA87" s="13">
        <f>ROUND(SUM(AA64-AA84),1)</f>
        <v>0</v>
      </c>
      <c r="AB87" s="13"/>
      <c r="AC87" s="13">
        <f>ROUND(SUM(AC64-AC84),1)</f>
        <v>0</v>
      </c>
      <c r="AD87" s="13"/>
      <c r="AE87" s="14"/>
      <c r="AF87" s="13">
        <f>ROUND(SUM(AF64-AF84),1)</f>
        <v>-553.9</v>
      </c>
      <c r="AG87" s="1236"/>
      <c r="AH87" s="13"/>
      <c r="AI87" s="13">
        <f>ROUND(SUM(AI64-AI84),1)</f>
        <v>-514.29999999999995</v>
      </c>
      <c r="AJ87" s="13"/>
      <c r="AK87" s="98"/>
      <c r="AL87" s="357">
        <f>ROUND(SUM(AL64-AL84),1)</f>
        <v>-39.5</v>
      </c>
      <c r="AM87" s="3"/>
      <c r="AN87" s="612">
        <f>ROUND(IF(AI87=0,0,AL87/ABS(AI87)),3)</f>
        <v>-7.6999999999999999E-2</v>
      </c>
      <c r="AO87" s="3"/>
      <c r="AP87" s="3"/>
    </row>
    <row r="88" spans="1:42">
      <c r="A88" s="291"/>
      <c r="B88" s="291"/>
      <c r="C88" s="291"/>
      <c r="D88" s="291"/>
      <c r="E88" s="616"/>
      <c r="F88" s="264"/>
      <c r="G88" s="616"/>
      <c r="H88" s="264"/>
      <c r="I88" s="616"/>
      <c r="J88" s="264"/>
      <c r="K88" s="616"/>
      <c r="L88" s="264"/>
      <c r="M88" s="616"/>
      <c r="N88" s="264"/>
      <c r="O88" s="616"/>
      <c r="P88" s="264"/>
      <c r="Q88" s="616"/>
      <c r="R88" s="264"/>
      <c r="S88" s="616"/>
      <c r="T88" s="264"/>
      <c r="U88" s="616"/>
      <c r="V88" s="264"/>
      <c r="W88" s="616"/>
      <c r="X88" s="264"/>
      <c r="Y88" s="616"/>
      <c r="Z88" s="264"/>
      <c r="AA88" s="616"/>
      <c r="AB88" s="264"/>
      <c r="AC88" s="616"/>
      <c r="AD88" s="264"/>
      <c r="AE88" s="524"/>
      <c r="AF88" s="616"/>
      <c r="AG88" s="1234"/>
      <c r="AH88" s="264"/>
      <c r="AI88" s="616"/>
      <c r="AJ88" s="264"/>
      <c r="AK88" s="98"/>
      <c r="AL88" s="12"/>
      <c r="AN88" s="96"/>
    </row>
    <row r="89" spans="1:42">
      <c r="A89" s="291"/>
      <c r="B89" s="3" t="s">
        <v>572</v>
      </c>
      <c r="C89" s="291"/>
      <c r="D89" s="291"/>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264"/>
      <c r="AE89" s="524"/>
      <c r="AF89" s="264"/>
      <c r="AG89" s="1234"/>
      <c r="AH89" s="264"/>
      <c r="AI89" s="367"/>
      <c r="AJ89" s="367"/>
      <c r="AK89" s="100"/>
      <c r="AL89" s="12"/>
      <c r="AN89" s="96"/>
    </row>
    <row r="90" spans="1:42">
      <c r="A90" s="291"/>
      <c r="B90" s="291" t="s">
        <v>573</v>
      </c>
      <c r="C90" s="291"/>
      <c r="D90" s="291"/>
      <c r="E90" s="289">
        <f>+'Exhibit I State'!E90</f>
        <v>0</v>
      </c>
      <c r="F90" s="289"/>
      <c r="G90" s="289"/>
      <c r="H90" s="289"/>
      <c r="I90" s="289"/>
      <c r="J90" s="264"/>
      <c r="K90" s="289"/>
      <c r="L90" s="264"/>
      <c r="M90" s="289"/>
      <c r="N90" s="275"/>
      <c r="O90" s="289"/>
      <c r="P90" s="264"/>
      <c r="Q90" s="289"/>
      <c r="R90" s="264"/>
      <c r="S90" s="289"/>
      <c r="T90" s="289"/>
      <c r="U90" s="289"/>
      <c r="V90" s="289"/>
      <c r="W90" s="289"/>
      <c r="X90" s="289"/>
      <c r="Y90" s="289"/>
      <c r="Z90" s="289"/>
      <c r="AA90" s="289"/>
      <c r="AB90" s="289"/>
      <c r="AC90" s="289">
        <v>0</v>
      </c>
      <c r="AD90" s="264"/>
      <c r="AE90" s="524"/>
      <c r="AF90" s="287">
        <f>ROUND(SUM(E90:AC90),1)</f>
        <v>0</v>
      </c>
      <c r="AG90" s="1234"/>
      <c r="AH90" s="264"/>
      <c r="AI90" s="367">
        <f>+'Exhibit I State'!AG90</f>
        <v>0</v>
      </c>
      <c r="AJ90" s="367"/>
      <c r="AK90" s="100"/>
      <c r="AL90" s="264">
        <f>ROUND(SUM(+AF90-AI90),1)</f>
        <v>0</v>
      </c>
      <c r="AM90" s="41"/>
      <c r="AN90" s="374">
        <f>ROUND(IF(AI90=0,0,AL90/ABS(AI90)),3)</f>
        <v>0</v>
      </c>
      <c r="AP90" s="12"/>
    </row>
    <row r="91" spans="1:42">
      <c r="A91" s="291"/>
      <c r="B91" s="413" t="s">
        <v>515</v>
      </c>
      <c r="C91" s="291"/>
      <c r="D91" s="291"/>
      <c r="E91" s="289">
        <f>+'Exhibit I State'!E91+'Exhibit I Federal'!E72</f>
        <v>463.8</v>
      </c>
      <c r="F91" s="289"/>
      <c r="G91" s="289"/>
      <c r="H91" s="289"/>
      <c r="I91" s="289"/>
      <c r="J91" s="264"/>
      <c r="K91" s="289"/>
      <c r="L91" s="264"/>
      <c r="M91" s="289"/>
      <c r="N91" s="264"/>
      <c r="O91" s="289"/>
      <c r="P91" s="264"/>
      <c r="Q91" s="289"/>
      <c r="R91" s="264"/>
      <c r="S91" s="289"/>
      <c r="T91" s="289"/>
      <c r="U91" s="289"/>
      <c r="V91" s="289"/>
      <c r="W91" s="289"/>
      <c r="X91" s="289"/>
      <c r="Y91" s="289"/>
      <c r="Z91" s="289"/>
      <c r="AA91" s="289"/>
      <c r="AB91" s="1069"/>
      <c r="AC91" s="1194">
        <v>0</v>
      </c>
      <c r="AD91" s="264"/>
      <c r="AE91" s="524"/>
      <c r="AF91" s="287">
        <f>ROUND(SUM(E91:AC91),1)</f>
        <v>463.8</v>
      </c>
      <c r="AG91" s="1234"/>
      <c r="AH91" s="264"/>
      <c r="AI91" s="264">
        <f>'Exhibit I State'!AG91+'Exhibit I Federal'!AG72</f>
        <v>414.4</v>
      </c>
      <c r="AJ91" s="287"/>
      <c r="AK91" s="97"/>
      <c r="AL91" s="264">
        <f>ROUND(SUM(+AF91-AI91),1)</f>
        <v>49.4</v>
      </c>
      <c r="AN91" s="562">
        <f>ROUND(IF(AI91=0,0,AL91/ABS(AI91)),3)</f>
        <v>0.11899999999999999</v>
      </c>
      <c r="AP91" s="41"/>
    </row>
    <row r="92" spans="1:42">
      <c r="A92" s="291"/>
      <c r="B92" s="413" t="s">
        <v>574</v>
      </c>
      <c r="C92" s="291"/>
      <c r="D92" s="291"/>
      <c r="E92" s="289">
        <f>+'Exhibit I State'!E92+'Exhibit I Federal'!E73</f>
        <v>-1.3</v>
      </c>
      <c r="F92" s="289"/>
      <c r="G92" s="289"/>
      <c r="H92" s="289"/>
      <c r="I92" s="289"/>
      <c r="J92" s="264"/>
      <c r="K92" s="289"/>
      <c r="L92" s="264"/>
      <c r="M92" s="289"/>
      <c r="N92" s="264"/>
      <c r="O92" s="289"/>
      <c r="P92" s="264"/>
      <c r="Q92" s="289"/>
      <c r="R92" s="264"/>
      <c r="S92" s="289"/>
      <c r="T92" s="289"/>
      <c r="U92" s="289"/>
      <c r="V92" s="289"/>
      <c r="W92" s="289"/>
      <c r="X92" s="289"/>
      <c r="Y92" s="289"/>
      <c r="Z92" s="289"/>
      <c r="AA92" s="289"/>
      <c r="AB92" s="1069"/>
      <c r="AC92" s="986">
        <v>0</v>
      </c>
      <c r="AD92" s="264"/>
      <c r="AE92" s="524"/>
      <c r="AF92" s="287">
        <f>ROUND(SUM(E92:AC92),1)</f>
        <v>-1.3</v>
      </c>
      <c r="AG92" s="1234"/>
      <c r="AH92" s="264"/>
      <c r="AI92" s="1956">
        <f>'Exhibit I State'!AG92+'Exhibit I Federal'!AG73</f>
        <v>-0.4</v>
      </c>
      <c r="AJ92" s="264"/>
      <c r="AK92" s="98"/>
      <c r="AL92" s="383">
        <f>ROUND(-SUM(+AF92-AI92),1)</f>
        <v>0.9</v>
      </c>
      <c r="AN92" s="864">
        <f>ROUND(IF(AI92=0,0,AL92/ABS(AI92)),3)</f>
        <v>2.25</v>
      </c>
      <c r="AO92" s="12"/>
      <c r="AP92" s="41"/>
    </row>
    <row r="93" spans="1:42">
      <c r="A93" s="291"/>
      <c r="B93" s="291"/>
      <c r="C93" s="291"/>
      <c r="D93" s="291"/>
      <c r="E93" s="616"/>
      <c r="F93" s="264"/>
      <c r="G93" s="616"/>
      <c r="H93" s="264"/>
      <c r="I93" s="616"/>
      <c r="J93" s="264"/>
      <c r="K93" s="616"/>
      <c r="L93" s="264"/>
      <c r="M93" s="616"/>
      <c r="N93" s="264"/>
      <c r="O93" s="616"/>
      <c r="P93" s="264"/>
      <c r="Q93" s="616"/>
      <c r="R93" s="264"/>
      <c r="S93" s="616"/>
      <c r="T93" s="264"/>
      <c r="U93" s="616"/>
      <c r="V93" s="264"/>
      <c r="W93" s="616"/>
      <c r="X93" s="264"/>
      <c r="Y93" s="616"/>
      <c r="Z93" s="264"/>
      <c r="AA93" s="616"/>
      <c r="AB93" s="264"/>
      <c r="AC93" s="264"/>
      <c r="AD93" s="264"/>
      <c r="AE93" s="524"/>
      <c r="AF93" s="616"/>
      <c r="AG93" s="1234"/>
      <c r="AH93" s="264"/>
      <c r="AI93" s="12"/>
      <c r="AJ93" s="12"/>
      <c r="AK93" s="98"/>
      <c r="AL93" s="12"/>
      <c r="AN93" s="96"/>
      <c r="AO93" s="41"/>
    </row>
    <row r="94" spans="1:42">
      <c r="A94" s="291"/>
      <c r="B94" s="3" t="s">
        <v>575</v>
      </c>
      <c r="C94" s="291"/>
      <c r="D94" s="291"/>
      <c r="E94" s="13">
        <f>ROUND(SUM(E90:E93),1)</f>
        <v>462.5</v>
      </c>
      <c r="F94" s="13"/>
      <c r="G94" s="13">
        <f>ROUND(SUM(G90:G93),1)</f>
        <v>0</v>
      </c>
      <c r="H94" s="13"/>
      <c r="I94" s="13">
        <f>ROUND(SUM(I90:I93),1)</f>
        <v>0</v>
      </c>
      <c r="J94" s="13"/>
      <c r="K94" s="13">
        <f>ROUND(SUM(K90:K93),1)</f>
        <v>0</v>
      </c>
      <c r="L94" s="13"/>
      <c r="M94" s="13">
        <f>ROUND(SUM(M90:M93),1)</f>
        <v>0</v>
      </c>
      <c r="N94" s="13"/>
      <c r="O94" s="13">
        <f>ROUND(SUM(O90:O93),1)</f>
        <v>0</v>
      </c>
      <c r="P94" s="13"/>
      <c r="Q94" s="13">
        <f>ROUND(SUM(Q90:Q93),1)</f>
        <v>0</v>
      </c>
      <c r="R94" s="13"/>
      <c r="S94" s="13">
        <f>ROUND(SUM(S90:S93),1)</f>
        <v>0</v>
      </c>
      <c r="T94" s="13"/>
      <c r="U94" s="13">
        <f>ROUND(SUM(U90:U93),1)</f>
        <v>0</v>
      </c>
      <c r="V94" s="13"/>
      <c r="W94" s="13">
        <f>ROUND(SUM(W90:W93),1)</f>
        <v>0</v>
      </c>
      <c r="X94" s="13"/>
      <c r="Y94" s="13">
        <f>ROUND(SUM(Y90:Y93),1)</f>
        <v>0</v>
      </c>
      <c r="Z94" s="13"/>
      <c r="AA94" s="13">
        <f>ROUND(SUM(AA90:AA93),1)</f>
        <v>0</v>
      </c>
      <c r="AB94" s="13"/>
      <c r="AC94" s="13">
        <f>ROUND(SUM(AC90:AC93),1)</f>
        <v>0</v>
      </c>
      <c r="AD94" s="13"/>
      <c r="AE94" s="14"/>
      <c r="AF94" s="13">
        <f>ROUND(SUM(AF90:AF93),1)</f>
        <v>462.5</v>
      </c>
      <c r="AG94" s="1236"/>
      <c r="AH94" s="13"/>
      <c r="AI94" s="13">
        <f>ROUND(SUM(AI90:AI93),1)</f>
        <v>414</v>
      </c>
      <c r="AJ94" s="13"/>
      <c r="AK94" s="98"/>
      <c r="AL94" s="357">
        <f>ROUND(SUM(AF94-AI94),1)</f>
        <v>48.5</v>
      </c>
      <c r="AM94" s="3"/>
      <c r="AN94" s="612">
        <f>ROUND(SUM(AL94/ABS(AI94)),3)</f>
        <v>0.11700000000000001</v>
      </c>
      <c r="AO94" s="3"/>
      <c r="AP94" s="3"/>
    </row>
    <row r="95" spans="1:42">
      <c r="A95" s="291"/>
      <c r="B95" s="291"/>
      <c r="C95" s="291"/>
      <c r="D95" s="291"/>
      <c r="E95" s="616"/>
      <c r="F95" s="264"/>
      <c r="G95" s="616"/>
      <c r="H95" s="264"/>
      <c r="I95" s="616"/>
      <c r="J95" s="264"/>
      <c r="K95" s="616"/>
      <c r="L95" s="264"/>
      <c r="M95" s="616"/>
      <c r="N95" s="264"/>
      <c r="O95" s="616"/>
      <c r="P95" s="264"/>
      <c r="Q95" s="616"/>
      <c r="R95" s="264"/>
      <c r="S95" s="616"/>
      <c r="T95" s="264"/>
      <c r="U95" s="616"/>
      <c r="V95" s="264"/>
      <c r="W95" s="616"/>
      <c r="X95" s="264"/>
      <c r="Y95" s="616"/>
      <c r="Z95" s="264"/>
      <c r="AA95" s="616"/>
      <c r="AB95" s="264"/>
      <c r="AC95" s="616"/>
      <c r="AD95" s="264"/>
      <c r="AE95" s="524"/>
      <c r="AF95" s="616"/>
      <c r="AG95" s="1234"/>
      <c r="AH95" s="264"/>
      <c r="AI95" s="616"/>
      <c r="AJ95" s="264"/>
      <c r="AK95" s="98"/>
      <c r="AL95" s="12"/>
      <c r="AN95" s="96"/>
    </row>
    <row r="96" spans="1:42">
      <c r="A96" s="291"/>
      <c r="B96" s="3" t="s">
        <v>576</v>
      </c>
      <c r="C96" s="291"/>
      <c r="D96" s="291"/>
      <c r="E96" s="264"/>
      <c r="F96" s="264"/>
      <c r="G96" s="264"/>
      <c r="H96" s="264"/>
      <c r="I96" s="264"/>
      <c r="J96" s="264"/>
      <c r="K96" s="264" t="s">
        <v>103</v>
      </c>
      <c r="L96" s="264"/>
      <c r="M96" s="264" t="s">
        <v>103</v>
      </c>
      <c r="N96" s="264"/>
      <c r="O96" s="264" t="s">
        <v>103</v>
      </c>
      <c r="P96" s="264"/>
      <c r="Q96" s="264" t="s">
        <v>103</v>
      </c>
      <c r="R96" s="264"/>
      <c r="S96" s="264" t="s">
        <v>103</v>
      </c>
      <c r="T96" s="264"/>
      <c r="U96" s="264" t="s">
        <v>103</v>
      </c>
      <c r="V96" s="264"/>
      <c r="W96" s="264" t="s">
        <v>103</v>
      </c>
      <c r="X96" s="264"/>
      <c r="Y96" s="264" t="s">
        <v>103</v>
      </c>
      <c r="Z96" s="264"/>
      <c r="AA96" s="264" t="s">
        <v>103</v>
      </c>
      <c r="AB96" s="264"/>
      <c r="AC96" s="264" t="s">
        <v>103</v>
      </c>
      <c r="AD96" s="264"/>
      <c r="AE96" s="524"/>
      <c r="AF96" s="264"/>
      <c r="AG96" s="1234"/>
      <c r="AH96" s="264"/>
      <c r="AI96" s="264" t="s">
        <v>103</v>
      </c>
      <c r="AJ96" s="264"/>
      <c r="AK96" s="98"/>
      <c r="AL96" s="12"/>
      <c r="AN96" s="96"/>
    </row>
    <row r="97" spans="1:42">
      <c r="A97" s="291"/>
      <c r="B97" s="3" t="s">
        <v>577</v>
      </c>
      <c r="C97" s="291"/>
      <c r="D97" s="291"/>
      <c r="E97" s="13" t="s">
        <v>103</v>
      </c>
      <c r="F97" s="13"/>
      <c r="G97" s="13" t="s">
        <v>103</v>
      </c>
      <c r="H97" s="13"/>
      <c r="I97" s="13" t="s">
        <v>103</v>
      </c>
      <c r="J97" s="13"/>
      <c r="K97" s="13"/>
      <c r="L97" s="13"/>
      <c r="M97" s="13"/>
      <c r="N97" s="13"/>
      <c r="O97" s="13"/>
      <c r="P97" s="13"/>
      <c r="Q97" s="13"/>
      <c r="R97" s="13"/>
      <c r="S97" s="13"/>
      <c r="T97" s="13"/>
      <c r="U97" s="13"/>
      <c r="V97" s="13"/>
      <c r="W97" s="13"/>
      <c r="X97" s="13"/>
      <c r="Y97" s="13"/>
      <c r="Z97" s="13"/>
      <c r="AA97" s="13"/>
      <c r="AB97" s="13"/>
      <c r="AC97" s="13"/>
      <c r="AD97" s="13"/>
      <c r="AE97" s="14"/>
      <c r="AF97" s="13" t="s">
        <v>103</v>
      </c>
      <c r="AG97" s="1236"/>
      <c r="AH97" s="13"/>
      <c r="AI97" s="13"/>
      <c r="AJ97" s="13"/>
      <c r="AK97" s="98"/>
      <c r="AL97" s="13"/>
      <c r="AM97" s="3"/>
      <c r="AN97" s="74"/>
      <c r="AO97" s="3"/>
      <c r="AP97" s="3"/>
    </row>
    <row r="98" spans="1:42">
      <c r="A98" s="291"/>
      <c r="B98" s="3" t="s">
        <v>518</v>
      </c>
      <c r="C98" s="291"/>
      <c r="D98" s="291"/>
      <c r="E98" s="1071">
        <f>ROUND(SUM(E87+E94),1)</f>
        <v>-91.4</v>
      </c>
      <c r="F98" s="13"/>
      <c r="G98" s="1071">
        <f>ROUND(SUM(G87+G94),1)</f>
        <v>0</v>
      </c>
      <c r="H98" s="13"/>
      <c r="I98" s="1071">
        <f>ROUND(SUM(I87+I94),1)</f>
        <v>0</v>
      </c>
      <c r="J98" s="13"/>
      <c r="K98" s="1071">
        <f>ROUND(SUM(K87+K94),1)</f>
        <v>0</v>
      </c>
      <c r="L98" s="13"/>
      <c r="M98" s="1071">
        <f>ROUND(SUM(M87+M94),1)</f>
        <v>0</v>
      </c>
      <c r="N98" s="13"/>
      <c r="O98" s="1071">
        <f>ROUND(SUM(O87+O94),1)</f>
        <v>0</v>
      </c>
      <c r="P98" s="13"/>
      <c r="Q98" s="1071">
        <f>ROUND(SUM(Q87+Q94),1)</f>
        <v>0</v>
      </c>
      <c r="R98" s="13"/>
      <c r="S98" s="1071">
        <f>ROUND(SUM(S87+S94),1)</f>
        <v>0</v>
      </c>
      <c r="T98" s="13"/>
      <c r="U98" s="1071">
        <f>ROUND(SUM(U87+U94),1)</f>
        <v>0</v>
      </c>
      <c r="V98" s="13"/>
      <c r="W98" s="1070">
        <f>ROUND(SUM(W87+W94),1)</f>
        <v>0</v>
      </c>
      <c r="X98" s="13"/>
      <c r="Y98" s="1070">
        <f>ROUND(SUM(Y87+Y94),1)</f>
        <v>0</v>
      </c>
      <c r="Z98" s="13"/>
      <c r="AA98" s="1070">
        <f>ROUND(SUM(AA87+AA94),1)</f>
        <v>0</v>
      </c>
      <c r="AB98" s="663"/>
      <c r="AC98" s="1070">
        <f>ROUND(SUM(AC87+AC94),1)</f>
        <v>0</v>
      </c>
      <c r="AD98" s="13"/>
      <c r="AE98" s="14"/>
      <c r="AF98" s="1071">
        <f>ROUND(AF87+AF94,1)</f>
        <v>-91.4</v>
      </c>
      <c r="AG98" s="1236"/>
      <c r="AH98" s="13"/>
      <c r="AI98" s="1071">
        <f>ROUND(SUM(AI87+AI94),1)</f>
        <v>-100.3</v>
      </c>
      <c r="AJ98" s="13"/>
      <c r="AK98" s="98"/>
      <c r="AL98" s="1070">
        <f>ROUND(SUM(+AF98-AI98),1)</f>
        <v>8.9</v>
      </c>
      <c r="AM98" s="3"/>
      <c r="AN98" s="574">
        <f>ROUND(IF(AI98=0,0,AL98/ABS(AI98)),3)</f>
        <v>8.8999999999999996E-2</v>
      </c>
      <c r="AO98" s="3"/>
      <c r="AP98" s="101"/>
    </row>
    <row r="99" spans="1:42">
      <c r="A99" s="291"/>
      <c r="B99" s="291" t="s">
        <v>103</v>
      </c>
      <c r="C99" s="291"/>
      <c r="D99" s="291"/>
      <c r="E99" s="291"/>
      <c r="F99" s="291"/>
      <c r="G99" s="291"/>
      <c r="H99" s="291"/>
      <c r="I99" s="291"/>
      <c r="J99" s="291"/>
      <c r="K99" s="291"/>
      <c r="L99" s="291"/>
      <c r="M99" s="291"/>
      <c r="N99" s="291"/>
      <c r="O99" s="291"/>
      <c r="P99" s="291"/>
      <c r="Q99" s="291"/>
      <c r="R99" s="291"/>
      <c r="S99" s="406" t="s">
        <v>103</v>
      </c>
      <c r="T99" s="291"/>
      <c r="U99" s="406" t="s">
        <v>103</v>
      </c>
      <c r="V99" s="291"/>
      <c r="W99" s="406" t="s">
        <v>103</v>
      </c>
      <c r="X99" s="291"/>
      <c r="Y99" s="406" t="s">
        <v>103</v>
      </c>
      <c r="Z99" s="291"/>
      <c r="AA99" s="291"/>
      <c r="AB99" s="291"/>
      <c r="AC99" s="291"/>
      <c r="AD99" s="380"/>
      <c r="AE99" s="1072"/>
      <c r="AF99" s="291"/>
      <c r="AG99" s="380"/>
      <c r="AH99" s="1072"/>
      <c r="AI99" s="291"/>
      <c r="AJ99" s="1034"/>
      <c r="AK99" s="364"/>
      <c r="AN99" s="96"/>
    </row>
    <row r="100" spans="1:42" s="4" customFormat="1" ht="15" customHeight="1" thickBot="1">
      <c r="A100" s="291"/>
      <c r="B100" s="3" t="s">
        <v>532</v>
      </c>
      <c r="C100" s="291"/>
      <c r="D100" s="364"/>
      <c r="E100" s="70">
        <f>ROUND(SUM(+E98+E13),1)</f>
        <v>-2574.5</v>
      </c>
      <c r="F100" s="20"/>
      <c r="G100" s="70">
        <f>ROUND(SUM(+G98+G13),1)</f>
        <v>0</v>
      </c>
      <c r="H100" s="20"/>
      <c r="I100" s="70">
        <f>ROUND(SUM(+I98+I13),1)</f>
        <v>0</v>
      </c>
      <c r="J100" s="20"/>
      <c r="K100" s="70">
        <f>ROUND(SUM(+K98+K13),1)</f>
        <v>0</v>
      </c>
      <c r="L100" s="20"/>
      <c r="M100" s="70">
        <f>ROUND(SUM(+M98+M13),1)</f>
        <v>0</v>
      </c>
      <c r="N100" s="20"/>
      <c r="O100" s="70">
        <f>ROUND(SUM(+O98+O13),1)</f>
        <v>0</v>
      </c>
      <c r="P100" s="20"/>
      <c r="Q100" s="70">
        <f>ROUND(SUM(+Q98+Q13),1)</f>
        <v>0</v>
      </c>
      <c r="R100" s="20"/>
      <c r="S100" s="70">
        <f>ROUND(SUM(+S98+S13),1)</f>
        <v>0</v>
      </c>
      <c r="T100" s="20"/>
      <c r="U100" s="70">
        <f>ROUND(SUM(+U98+U13),1)</f>
        <v>0</v>
      </c>
      <c r="V100" s="20"/>
      <c r="W100" s="70">
        <f>ROUND(SUM(+W98+W13),1)</f>
        <v>0</v>
      </c>
      <c r="X100" s="20"/>
      <c r="Y100" s="70">
        <f>ROUND(SUM(+Y98+Y13),1)</f>
        <v>0</v>
      </c>
      <c r="Z100" s="20"/>
      <c r="AA100" s="70">
        <f>ROUND(SUM(+AA98+AA13),1)</f>
        <v>0</v>
      </c>
      <c r="AB100" s="20"/>
      <c r="AC100" s="70">
        <f>ROUND(SUM(+AC98+AC13),1)</f>
        <v>0</v>
      </c>
      <c r="AD100" s="20"/>
      <c r="AE100" s="21"/>
      <c r="AF100" s="70">
        <f>ROUND(SUM(+AF98+AF13),1)</f>
        <v>-2574.5</v>
      </c>
      <c r="AG100" s="20"/>
      <c r="AH100" s="21"/>
      <c r="AI100" s="70">
        <f>ROUND(SUM(+AI98+AI13),1)</f>
        <v>-1556.3</v>
      </c>
      <c r="AJ100" s="73"/>
      <c r="AK100" s="20"/>
      <c r="AL100" s="70">
        <f>ROUND(SUM(+AL98+AL13),1)</f>
        <v>-1018.2</v>
      </c>
      <c r="AM100" s="45"/>
      <c r="AN100" s="77">
        <f>ROUND(SUM(-(+AF100-AI100)/AI100),3)</f>
        <v>-0.65400000000000003</v>
      </c>
      <c r="AO100" s="3"/>
      <c r="AP100" s="3"/>
    </row>
    <row r="101" spans="1:42" ht="16" thickTop="1">
      <c r="B101" s="926"/>
    </row>
    <row r="102" spans="1:42">
      <c r="B102" s="429" t="s">
        <v>578</v>
      </c>
      <c r="C102" s="103"/>
      <c r="D102" s="103"/>
      <c r="E102" s="103"/>
      <c r="F102" s="103"/>
      <c r="G102" s="103"/>
      <c r="AI102" s="887"/>
      <c r="AL102" s="41"/>
    </row>
    <row r="103" spans="1:42">
      <c r="B103" s="102"/>
      <c r="C103" s="103"/>
      <c r="D103" s="103"/>
      <c r="E103" s="103"/>
      <c r="F103" s="103"/>
      <c r="G103" s="103"/>
      <c r="AL103" s="41"/>
    </row>
    <row r="104" spans="1:42">
      <c r="B104" s="104"/>
      <c r="AC104" s="513"/>
      <c r="AF104" s="426"/>
      <c r="AL104" s="41"/>
    </row>
    <row r="105" spans="1:42">
      <c r="B105" s="104"/>
      <c r="AC105" s="513"/>
    </row>
    <row r="106" spans="1:42">
      <c r="B106" s="102"/>
    </row>
    <row r="107" spans="1:42">
      <c r="B107" s="104"/>
    </row>
    <row r="108" spans="1:42">
      <c r="B108" s="104"/>
    </row>
    <row r="109" spans="1:42">
      <c r="B109" s="102"/>
    </row>
  </sheetData>
  <mergeCells count="1">
    <mergeCell ref="AE9:AN9"/>
  </mergeCells>
  <printOptions horizontalCentered="1"/>
  <pageMargins left="0.25" right="0.25" top="0.5" bottom="0.25" header="0" footer="0.25"/>
  <pageSetup scale="39" firstPageNumber="29" orientation="landscape" useFirstPageNumber="1" r:id="rId1"/>
  <headerFooter scaleWithDoc="0" alignWithMargins="0">
    <oddFooter>&amp;C&amp;8&amp;P</oddFooter>
  </headerFooter>
  <rowBreaks count="1" manualBreakCount="1">
    <brk id="64" min="1" max="39" man="1"/>
  </rowBreaks>
  <customProperties>
    <customPr name="SheetOptions" r:id="rId2"/>
  </customProperties>
  <ignoredErrors>
    <ignoredError sqref="AN39 AN60:AN61 AN27 AN30 AN32:AN34 AN63:AN67 AN88:AN89 AN71 AN51 AN19 AN90:AN93 AN21:AN23 AN76:AN86 AN72" unlockedFormula="1"/>
    <ignoredError sqref="AN47 AN52 AN57:AN58 AN24" formula="1" unlockedFormula="1"/>
    <ignoredError sqref="AN49:AN50 AN55:AN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N107"/>
  <sheetViews>
    <sheetView showGridLines="0" topLeftCell="B1" zoomScale="80" zoomScaleNormal="80" workbookViewId="0">
      <selection activeCell="B1" sqref="B1"/>
    </sheetView>
  </sheetViews>
  <sheetFormatPr defaultColWidth="8.84375" defaultRowHeight="15.5"/>
  <cols>
    <col min="1" max="1" width="2.53515625" style="23" customWidth="1"/>
    <col min="2" max="2" width="14.07421875" style="23" customWidth="1"/>
    <col min="3" max="3" width="26.07421875" style="23" customWidth="1"/>
    <col min="4" max="4" width="2" style="23" customWidth="1"/>
    <col min="5" max="5" width="11.84375" style="23" customWidth="1"/>
    <col min="6" max="6" width="1.84375" style="23" customWidth="1"/>
    <col min="7" max="7" width="11.84375" style="23" customWidth="1"/>
    <col min="8" max="8" width="1.84375" style="23" customWidth="1"/>
    <col min="9" max="9" width="11.84375" style="23" customWidth="1"/>
    <col min="10" max="10" width="1.84375" style="23" customWidth="1"/>
    <col min="11" max="11" width="11.84375" style="23" customWidth="1"/>
    <col min="12" max="12" width="1.07421875" style="23" customWidth="1"/>
    <col min="13" max="13" width="11.84375" style="23" customWidth="1"/>
    <col min="14" max="14" width="1.84375" style="23" customWidth="1"/>
    <col min="15" max="15" width="12.84375" style="23" customWidth="1"/>
    <col min="16" max="16" width="1.84375" style="23" customWidth="1"/>
    <col min="17" max="17" width="11.84375" style="23" customWidth="1"/>
    <col min="18" max="18" width="1.84375" style="23" customWidth="1"/>
    <col min="19" max="19" width="11.84375" style="23" customWidth="1"/>
    <col min="20" max="20" width="1.84375" style="23" customWidth="1"/>
    <col min="21" max="21" width="11.84375" style="23" customWidth="1"/>
    <col min="22" max="22" width="1.84375" style="23" customWidth="1"/>
    <col min="23" max="23" width="11.84375" style="23" customWidth="1"/>
    <col min="24" max="24" width="1.84375" style="23" customWidth="1"/>
    <col min="25" max="25" width="11.84375" style="23" customWidth="1"/>
    <col min="26" max="26" width="1.84375" style="23" customWidth="1"/>
    <col min="27" max="27" width="11.84375" style="23" customWidth="1"/>
    <col min="28" max="29" width="1.07421875" style="23" customWidth="1"/>
    <col min="30" max="30" width="11.84375" style="23" customWidth="1"/>
    <col min="31" max="32" width="1.07421875" style="23" customWidth="1"/>
    <col min="33" max="33" width="11.84375" style="23" customWidth="1"/>
    <col min="34" max="35" width="1.07421875" style="23" customWidth="1"/>
    <col min="36" max="36" width="11.84375" style="23" customWidth="1"/>
    <col min="37" max="37" width="1.07421875" style="23" customWidth="1"/>
    <col min="38" max="38" width="11.84375" style="23" customWidth="1"/>
    <col min="39" max="40" width="9.84375" style="23" bestFit="1" customWidth="1"/>
    <col min="41" max="42" width="6.07421875" style="23" customWidth="1"/>
    <col min="43" max="16384" width="8.84375" style="23"/>
  </cols>
  <sheetData>
    <row r="1" spans="1:40">
      <c r="B1" s="284" t="s">
        <v>97</v>
      </c>
    </row>
    <row r="2" spans="1:40">
      <c r="B2" s="364"/>
    </row>
    <row r="3" spans="1:40" ht="19.5" customHeight="1">
      <c r="A3" s="84"/>
      <c r="B3" s="50" t="s">
        <v>98</v>
      </c>
      <c r="C3" s="85"/>
      <c r="D3" s="85"/>
      <c r="E3" s="85"/>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L3" s="106" t="s">
        <v>553</v>
      </c>
    </row>
    <row r="4" spans="1:40" ht="19.5" customHeight="1">
      <c r="A4" s="84"/>
      <c r="B4" s="50" t="s">
        <v>579</v>
      </c>
      <c r="C4" s="85"/>
      <c r="D4" s="85"/>
      <c r="E4" s="85"/>
      <c r="F4" s="86"/>
      <c r="G4" s="86"/>
      <c r="H4" s="86"/>
      <c r="I4" s="86"/>
      <c r="J4" s="86"/>
      <c r="K4" s="86"/>
      <c r="L4" s="86"/>
      <c r="M4" s="86"/>
      <c r="N4" s="86"/>
      <c r="O4" s="86"/>
      <c r="P4" s="86"/>
      <c r="Q4" s="86"/>
      <c r="R4" s="86"/>
      <c r="S4" s="86"/>
      <c r="T4" s="86"/>
      <c r="U4" s="86"/>
      <c r="V4" s="86"/>
      <c r="W4" s="86"/>
      <c r="X4" s="86"/>
      <c r="Y4" s="86"/>
      <c r="Z4" s="86"/>
      <c r="AA4" s="86"/>
      <c r="AB4" s="86"/>
      <c r="AC4" s="86"/>
      <c r="AE4" s="87"/>
      <c r="AF4" s="87"/>
    </row>
    <row r="5" spans="1:40" ht="19.5" customHeight="1">
      <c r="A5" s="84"/>
      <c r="B5" s="541" t="s">
        <v>444</v>
      </c>
      <c r="C5" s="85"/>
      <c r="D5" s="85"/>
      <c r="E5" s="85"/>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L5" s="72"/>
    </row>
    <row r="6" spans="1:40" ht="19.5" customHeight="1">
      <c r="A6" s="84"/>
      <c r="B6" s="541" t="str">
        <f>'Cashflow Governmental'!A6</f>
        <v>FISCAL YEAR 2026-2027</v>
      </c>
      <c r="C6" s="85"/>
      <c r="D6" s="85"/>
      <c r="E6" s="85"/>
      <c r="F6" s="86"/>
      <c r="G6" s="86"/>
      <c r="H6" s="1133"/>
      <c r="I6" s="86"/>
      <c r="J6" s="86"/>
      <c r="K6" s="86"/>
      <c r="L6" s="86"/>
      <c r="M6" s="86"/>
      <c r="N6" s="86"/>
      <c r="O6" s="86"/>
      <c r="P6" s="86"/>
      <c r="Q6" s="86"/>
      <c r="R6" s="86"/>
      <c r="S6" s="86"/>
      <c r="T6" s="86"/>
      <c r="U6" s="86"/>
      <c r="V6" s="86"/>
      <c r="W6" s="86"/>
      <c r="X6" s="86"/>
      <c r="Y6" s="86"/>
      <c r="Z6" s="86"/>
      <c r="AA6" s="86"/>
      <c r="AB6" s="86"/>
      <c r="AC6" s="86"/>
      <c r="AD6" s="86"/>
      <c r="AE6" s="88"/>
      <c r="AF6" s="88"/>
      <c r="AG6" s="88"/>
      <c r="AH6" s="88"/>
      <c r="AI6" s="88"/>
    </row>
    <row r="7" spans="1:40" ht="19.5" customHeight="1">
      <c r="A7" s="84"/>
      <c r="B7" s="50" t="s">
        <v>226</v>
      </c>
      <c r="C7" s="85"/>
      <c r="D7" s="85"/>
      <c r="E7" s="85"/>
      <c r="F7" s="86"/>
      <c r="G7" s="86"/>
      <c r="H7" s="1133"/>
      <c r="I7" s="86"/>
      <c r="J7" s="86"/>
      <c r="K7" s="86"/>
      <c r="L7" s="86"/>
      <c r="M7" s="86"/>
      <c r="N7" s="86"/>
      <c r="O7" s="86"/>
      <c r="P7" s="86"/>
      <c r="Q7" s="86"/>
      <c r="R7" s="86"/>
      <c r="S7" s="86"/>
      <c r="T7" s="86"/>
      <c r="U7" s="86"/>
      <c r="V7" s="86"/>
      <c r="W7" s="86"/>
      <c r="X7" s="86"/>
      <c r="Y7" s="86"/>
      <c r="Z7" s="86"/>
      <c r="AA7" s="86"/>
      <c r="AB7" s="86"/>
      <c r="AC7" s="86"/>
      <c r="AD7" s="86"/>
      <c r="AE7" s="88"/>
      <c r="AF7" s="88"/>
      <c r="AG7" s="88"/>
      <c r="AH7" s="88"/>
      <c r="AI7" s="88"/>
    </row>
    <row r="8" spans="1:40" ht="15.75" customHeight="1">
      <c r="A8" s="84"/>
      <c r="B8" s="50"/>
      <c r="C8" s="85"/>
      <c r="D8" s="85"/>
      <c r="E8" s="1556"/>
      <c r="F8" s="86"/>
      <c r="G8" s="86"/>
      <c r="H8" s="86"/>
      <c r="I8" s="86"/>
      <c r="J8" s="86"/>
      <c r="K8" s="86"/>
      <c r="L8" s="86"/>
      <c r="M8" s="86"/>
      <c r="N8" s="86"/>
      <c r="O8" s="86"/>
      <c r="P8" s="86"/>
      <c r="Q8" s="86"/>
      <c r="R8" s="86"/>
      <c r="S8" s="86"/>
      <c r="T8" s="86"/>
      <c r="U8" s="86"/>
      <c r="V8" s="86"/>
      <c r="W8" s="86"/>
      <c r="X8" s="86"/>
      <c r="Y8" s="86"/>
      <c r="Z8" s="86"/>
      <c r="AA8" s="86"/>
      <c r="AB8" s="86"/>
      <c r="AC8" s="89"/>
    </row>
    <row r="9" spans="1:40" ht="15.75" customHeight="1">
      <c r="A9" s="84"/>
      <c r="B9" s="90"/>
      <c r="C9" s="85"/>
      <c r="D9" s="85"/>
      <c r="E9" s="1531"/>
      <c r="F9" s="86"/>
      <c r="G9" s="86"/>
      <c r="H9" s="86"/>
      <c r="I9" s="86"/>
      <c r="J9" s="86"/>
      <c r="K9" s="86"/>
      <c r="L9" s="86"/>
      <c r="M9" s="86"/>
      <c r="N9" s="86"/>
      <c r="O9" s="86"/>
      <c r="P9" s="86"/>
      <c r="Q9" s="86"/>
      <c r="R9" s="86"/>
      <c r="S9" s="86"/>
      <c r="T9" s="86"/>
      <c r="U9" s="86"/>
      <c r="V9" s="86"/>
      <c r="W9" s="86"/>
      <c r="X9" s="86"/>
      <c r="Y9" s="86"/>
      <c r="Z9" s="86"/>
      <c r="AA9" s="86"/>
      <c r="AB9" s="86"/>
      <c r="AC9" s="2066" t="str">
        <f>'Cashflow Governmental'!$AB$12</f>
        <v>1 Month Ended April 30</v>
      </c>
      <c r="AD9" s="2066"/>
      <c r="AE9" s="2066"/>
      <c r="AF9" s="2066"/>
      <c r="AG9" s="2066"/>
      <c r="AH9" s="2066"/>
      <c r="AI9" s="2066"/>
      <c r="AJ9" s="2066"/>
      <c r="AK9" s="2066"/>
      <c r="AL9" s="2066"/>
    </row>
    <row r="10" spans="1:40" ht="15.75" customHeight="1">
      <c r="A10" s="91"/>
      <c r="B10" s="91"/>
      <c r="C10" s="91"/>
      <c r="D10" s="91"/>
      <c r="E10" s="314" t="str">
        <f>'Cashflow Governmental'!C13</f>
        <v>2026</v>
      </c>
      <c r="F10" s="323"/>
      <c r="G10" s="323"/>
      <c r="H10" s="323"/>
      <c r="I10" s="323"/>
      <c r="J10" s="323"/>
      <c r="K10" s="323"/>
      <c r="L10" s="323"/>
      <c r="M10" s="323"/>
      <c r="N10" s="323"/>
      <c r="O10" s="323"/>
      <c r="P10" s="323"/>
      <c r="Q10" s="323"/>
      <c r="R10" s="323"/>
      <c r="S10" s="323"/>
      <c r="T10" s="323"/>
      <c r="U10" s="323"/>
      <c r="V10" s="323"/>
      <c r="W10" s="314">
        <f>'Cashflow Governmental'!U13</f>
        <v>2027</v>
      </c>
      <c r="X10" s="323"/>
      <c r="Y10" s="323"/>
      <c r="Z10" s="323"/>
      <c r="AA10" s="323"/>
      <c r="AB10" s="323"/>
      <c r="AC10" s="323"/>
      <c r="AD10" s="323"/>
      <c r="AE10" s="323"/>
      <c r="AF10" s="323"/>
      <c r="AG10" s="323"/>
      <c r="AH10" s="323"/>
      <c r="AI10" s="323"/>
      <c r="AJ10" s="320" t="s">
        <v>110</v>
      </c>
      <c r="AK10" s="320"/>
      <c r="AL10" s="318" t="s">
        <v>111</v>
      </c>
      <c r="AM10" s="3"/>
    </row>
    <row r="11" spans="1:40" ht="15.75" customHeight="1">
      <c r="A11" s="291"/>
      <c r="B11" s="291"/>
      <c r="C11" s="291"/>
      <c r="D11" s="291"/>
      <c r="E11" s="1219" t="s">
        <v>329</v>
      </c>
      <c r="F11" s="3"/>
      <c r="G11" s="1219" t="s">
        <v>330</v>
      </c>
      <c r="H11" s="3"/>
      <c r="I11" s="1219" t="s">
        <v>331</v>
      </c>
      <c r="J11" s="3"/>
      <c r="K11" s="1219" t="s">
        <v>332</v>
      </c>
      <c r="L11" s="3"/>
      <c r="M11" s="1219" t="s">
        <v>333</v>
      </c>
      <c r="N11" s="3"/>
      <c r="O11" s="1219" t="s">
        <v>445</v>
      </c>
      <c r="P11" s="3"/>
      <c r="Q11" s="1219" t="s">
        <v>446</v>
      </c>
      <c r="R11" s="3"/>
      <c r="S11" s="1219" t="s">
        <v>336</v>
      </c>
      <c r="T11" s="3"/>
      <c r="U11" s="1219" t="s">
        <v>337</v>
      </c>
      <c r="V11" s="3"/>
      <c r="W11" s="1219" t="s">
        <v>338</v>
      </c>
      <c r="X11" s="3"/>
      <c r="Y11" s="1219" t="s">
        <v>339</v>
      </c>
      <c r="Z11" s="3"/>
      <c r="AA11" s="1219" t="s">
        <v>447</v>
      </c>
      <c r="AB11" s="3"/>
      <c r="AC11" s="3"/>
      <c r="AD11" s="1219" t="str">
        <f>'Cashflow Governmental'!AB14</f>
        <v>2026</v>
      </c>
      <c r="AE11" s="3"/>
      <c r="AF11" s="3"/>
      <c r="AG11" s="1219" t="str">
        <f>'Cashflow Governmental'!AE14</f>
        <v>2025</v>
      </c>
      <c r="AH11" s="52"/>
      <c r="AI11" s="52"/>
      <c r="AJ11" s="416" t="s">
        <v>112</v>
      </c>
      <c r="AK11" s="320"/>
      <c r="AL11" s="416" t="s">
        <v>113</v>
      </c>
      <c r="AM11" s="3"/>
    </row>
    <row r="12" spans="1:40" ht="5.25" customHeight="1">
      <c r="A12" s="291"/>
      <c r="B12" s="3"/>
      <c r="C12" s="3"/>
      <c r="D12" s="291"/>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40"/>
      <c r="AJ12" s="291"/>
      <c r="AK12" s="291"/>
      <c r="AL12" s="291"/>
    </row>
    <row r="13" spans="1:40">
      <c r="A13" s="291"/>
      <c r="B13" s="3" t="s">
        <v>523</v>
      </c>
      <c r="C13" s="3"/>
      <c r="D13" s="291"/>
      <c r="E13" s="82">
        <v>-2206.4</v>
      </c>
      <c r="F13" s="268"/>
      <c r="G13" s="20"/>
      <c r="H13" s="20"/>
      <c r="I13" s="20"/>
      <c r="J13" s="274"/>
      <c r="K13" s="20"/>
      <c r="L13" s="274"/>
      <c r="M13" s="20"/>
      <c r="N13" s="268"/>
      <c r="O13" s="20"/>
      <c r="P13" s="268"/>
      <c r="Q13" s="20"/>
      <c r="R13" s="20"/>
      <c r="S13" s="20"/>
      <c r="T13" s="20"/>
      <c r="U13" s="20"/>
      <c r="V13" s="20"/>
      <c r="W13" s="20"/>
      <c r="X13" s="20"/>
      <c r="Y13" s="20"/>
      <c r="Z13" s="20"/>
      <c r="AA13" s="20"/>
      <c r="AB13" s="268"/>
      <c r="AC13" s="668"/>
      <c r="AD13" s="20">
        <f>E13</f>
        <v>-2206.4</v>
      </c>
      <c r="AE13" s="268"/>
      <c r="AF13" s="1045"/>
      <c r="AG13" s="1949">
        <v>-1077.3</v>
      </c>
      <c r="AH13" s="268"/>
      <c r="AI13" s="92"/>
      <c r="AJ13" s="20">
        <f>ROUND(AD13-AG13,1)</f>
        <v>-1129.0999999999999</v>
      </c>
      <c r="AK13" s="76"/>
      <c r="AL13" s="281">
        <f>ROUND(IF(AG13=0,0,AJ13/ABS(AG13)),3)</f>
        <v>-1.048</v>
      </c>
      <c r="AM13" s="1632"/>
      <c r="AN13" s="1632"/>
    </row>
    <row r="14" spans="1:40">
      <c r="A14" s="291"/>
      <c r="B14" s="3"/>
      <c r="C14" s="3"/>
      <c r="D14" s="291"/>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668"/>
      <c r="AD14" s="268"/>
      <c r="AE14" s="268"/>
      <c r="AF14" s="1045"/>
      <c r="AG14" s="268"/>
      <c r="AH14" s="268"/>
      <c r="AI14" s="92"/>
      <c r="AJ14" s="291"/>
      <c r="AK14" s="291"/>
      <c r="AL14" s="291"/>
      <c r="AM14" s="1632"/>
      <c r="AN14" s="1632"/>
    </row>
    <row r="15" spans="1:40">
      <c r="A15" s="291"/>
      <c r="B15" s="3" t="s">
        <v>557</v>
      </c>
      <c r="C15" s="291"/>
      <c r="D15" s="291"/>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668"/>
      <c r="AD15" s="268"/>
      <c r="AE15" s="1244"/>
      <c r="AF15" s="268"/>
      <c r="AG15" s="268"/>
      <c r="AH15" s="268"/>
      <c r="AI15" s="92"/>
      <c r="AM15" s="1632"/>
      <c r="AN15" s="1632"/>
    </row>
    <row r="16" spans="1:40">
      <c r="A16" s="291"/>
      <c r="B16" s="1218" t="s">
        <v>342</v>
      </c>
      <c r="C16" s="291"/>
      <c r="D16" s="291"/>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668"/>
      <c r="AD16" s="268"/>
      <c r="AE16" s="1244"/>
      <c r="AF16" s="268"/>
      <c r="AG16" s="268"/>
      <c r="AH16" s="268"/>
      <c r="AI16" s="92"/>
      <c r="AM16" s="1632"/>
      <c r="AN16" s="1632"/>
    </row>
    <row r="17" spans="1:40">
      <c r="A17" s="291"/>
      <c r="B17" s="413" t="s">
        <v>580</v>
      </c>
      <c r="C17" s="291"/>
      <c r="D17" s="291"/>
      <c r="E17" s="1134"/>
      <c r="F17" s="268"/>
      <c r="G17" s="264"/>
      <c r="H17" s="264"/>
      <c r="I17" s="264"/>
      <c r="J17" s="264"/>
      <c r="K17" s="264"/>
      <c r="L17" s="264"/>
      <c r="M17" s="264"/>
      <c r="N17" s="264"/>
      <c r="O17" s="264"/>
      <c r="P17" s="264"/>
      <c r="Q17" s="264"/>
      <c r="R17" s="264"/>
      <c r="S17" s="264"/>
      <c r="T17" s="264"/>
      <c r="U17" s="264"/>
      <c r="V17" s="264"/>
      <c r="W17" s="264"/>
      <c r="X17" s="264"/>
      <c r="Y17" s="264"/>
      <c r="Z17" s="264"/>
      <c r="AA17" s="264"/>
      <c r="AB17" s="264"/>
      <c r="AC17" s="524"/>
      <c r="AD17" s="12" t="s">
        <v>103</v>
      </c>
      <c r="AE17" s="1234"/>
      <c r="AF17" s="264"/>
      <c r="AG17" s="264" t="s">
        <v>103</v>
      </c>
      <c r="AH17" s="264"/>
      <c r="AI17" s="98"/>
      <c r="AJ17" s="12"/>
      <c r="AM17" s="1632"/>
      <c r="AN17" s="1632"/>
    </row>
    <row r="18" spans="1:40">
      <c r="A18" s="291"/>
      <c r="B18" s="284" t="s">
        <v>356</v>
      </c>
      <c r="C18" s="291"/>
      <c r="D18" s="350" t="s">
        <v>103</v>
      </c>
      <c r="E18" s="264">
        <f>AD18</f>
        <v>-0.3</v>
      </c>
      <c r="F18" s="264"/>
      <c r="G18" s="264"/>
      <c r="H18" s="264"/>
      <c r="I18" s="264"/>
      <c r="J18" s="264"/>
      <c r="K18" s="264"/>
      <c r="L18" s="554"/>
      <c r="M18" s="264"/>
      <c r="N18" s="607"/>
      <c r="O18" s="264"/>
      <c r="P18" s="607"/>
      <c r="Q18" s="264"/>
      <c r="R18" s="607"/>
      <c r="S18" s="264"/>
      <c r="T18" s="264"/>
      <c r="U18" s="264"/>
      <c r="V18" s="264"/>
      <c r="W18" s="264"/>
      <c r="X18" s="264"/>
      <c r="Y18" s="264"/>
      <c r="Z18" s="264"/>
      <c r="AA18" s="264"/>
      <c r="AB18" s="264"/>
      <c r="AC18" s="524"/>
      <c r="AD18" s="532">
        <v>-0.3</v>
      </c>
      <c r="AE18" s="264"/>
      <c r="AF18" s="525" t="s">
        <v>103</v>
      </c>
      <c r="AG18" s="532">
        <v>5</v>
      </c>
      <c r="AH18" s="717"/>
      <c r="AI18" s="718"/>
      <c r="AJ18" s="264">
        <f>ROUND(AD18-AG18,1)</f>
        <v>-5.3</v>
      </c>
      <c r="AK18" s="384"/>
      <c r="AL18" s="543">
        <f>ROUND(IF(AG18=0,0,AJ18/ABS(AG18)),3)</f>
        <v>-1.06</v>
      </c>
      <c r="AM18" s="1632"/>
      <c r="AN18" s="1632"/>
    </row>
    <row r="19" spans="1:40">
      <c r="A19" s="291"/>
      <c r="B19" s="284" t="s">
        <v>359</v>
      </c>
      <c r="C19" s="291"/>
      <c r="D19" s="291"/>
      <c r="E19" s="264">
        <f t="shared" ref="E19:E20" si="0">AD19</f>
        <v>29.1</v>
      </c>
      <c r="F19" s="264"/>
      <c r="G19" s="264"/>
      <c r="H19" s="264"/>
      <c r="I19" s="264"/>
      <c r="J19" s="264"/>
      <c r="K19" s="264"/>
      <c r="L19" s="553"/>
      <c r="M19" s="264"/>
      <c r="N19" s="553"/>
      <c r="O19" s="264"/>
      <c r="P19" s="553"/>
      <c r="Q19" s="264"/>
      <c r="R19" s="553"/>
      <c r="S19" s="264"/>
      <c r="T19" s="264"/>
      <c r="U19" s="264"/>
      <c r="V19" s="553"/>
      <c r="W19" s="264"/>
      <c r="X19" s="553"/>
      <c r="Y19" s="264"/>
      <c r="Z19" s="553"/>
      <c r="AA19" s="264"/>
      <c r="AB19" s="264"/>
      <c r="AC19" s="524"/>
      <c r="AD19" s="532">
        <v>29.1</v>
      </c>
      <c r="AE19" s="264"/>
      <c r="AF19" s="525" t="s">
        <v>103</v>
      </c>
      <c r="AG19" s="532">
        <v>28.3</v>
      </c>
      <c r="AH19" s="264"/>
      <c r="AI19" s="98"/>
      <c r="AJ19" s="264">
        <f>ROUND(AD19-AG19,1)</f>
        <v>0.8</v>
      </c>
      <c r="AK19" s="41"/>
      <c r="AL19" s="266">
        <f>ROUND(IF(AG19=0,0,AJ19/ABS(AG19)),3)</f>
        <v>2.8000000000000001E-2</v>
      </c>
      <c r="AM19" s="1632"/>
      <c r="AN19" s="1632"/>
    </row>
    <row r="20" spans="1:40">
      <c r="A20" s="291"/>
      <c r="B20" s="284" t="s">
        <v>362</v>
      </c>
      <c r="C20" s="291"/>
      <c r="D20" s="291"/>
      <c r="E20" s="264">
        <f t="shared" si="0"/>
        <v>13.4</v>
      </c>
      <c r="F20" s="264"/>
      <c r="G20" s="264"/>
      <c r="H20" s="264"/>
      <c r="I20" s="264"/>
      <c r="J20" s="264"/>
      <c r="K20" s="264"/>
      <c r="L20" s="553"/>
      <c r="M20" s="264"/>
      <c r="N20" s="553"/>
      <c r="O20" s="264"/>
      <c r="P20" s="553"/>
      <c r="Q20" s="264"/>
      <c r="R20" s="553"/>
      <c r="S20" s="264"/>
      <c r="T20" s="264"/>
      <c r="U20" s="264"/>
      <c r="V20" s="553"/>
      <c r="W20" s="264"/>
      <c r="X20" s="553"/>
      <c r="Y20" s="264"/>
      <c r="Z20" s="553"/>
      <c r="AA20" s="264"/>
      <c r="AB20" s="264"/>
      <c r="AC20" s="524"/>
      <c r="AD20" s="532">
        <v>13.4</v>
      </c>
      <c r="AE20" s="264"/>
      <c r="AF20" s="525" t="s">
        <v>103</v>
      </c>
      <c r="AG20" s="532">
        <v>13.9</v>
      </c>
      <c r="AH20" s="264"/>
      <c r="AI20" s="98"/>
      <c r="AJ20" s="264">
        <f>ROUND(AD20-AG20,1)</f>
        <v>-0.5</v>
      </c>
      <c r="AK20" s="41"/>
      <c r="AL20" s="543">
        <f>ROUND(IF(AG20=0,0,AJ20/ABS(AG20)),3)</f>
        <v>-3.5999999999999997E-2</v>
      </c>
      <c r="AM20" s="1632"/>
      <c r="AN20" s="1632"/>
    </row>
    <row r="21" spans="1:40">
      <c r="A21" s="291"/>
      <c r="B21" s="83" t="s">
        <v>558</v>
      </c>
      <c r="C21" s="291"/>
      <c r="D21" s="291"/>
      <c r="E21" s="68">
        <f>ROUND(SUM(E18:E20),1)</f>
        <v>42.2</v>
      </c>
      <c r="F21" s="264"/>
      <c r="G21" s="68">
        <f>ROUND(SUM(G18:G20),1)</f>
        <v>0</v>
      </c>
      <c r="H21" s="264"/>
      <c r="I21" s="68">
        <f>ROUND(SUM(I18:I20),1)</f>
        <v>0</v>
      </c>
      <c r="J21" s="264"/>
      <c r="K21" s="68">
        <f>ROUND(SUM(K18:K20),1)</f>
        <v>0</v>
      </c>
      <c r="L21" s="264"/>
      <c r="M21" s="68">
        <f>ROUND(SUM(M18:M20),1)</f>
        <v>0</v>
      </c>
      <c r="N21" s="264"/>
      <c r="O21" s="68">
        <f>ROUND(SUM(O18:O20),1)</f>
        <v>0</v>
      </c>
      <c r="P21" s="264"/>
      <c r="Q21" s="68">
        <f>ROUND(SUM(Q18:Q20),1)</f>
        <v>0</v>
      </c>
      <c r="R21" s="264"/>
      <c r="S21" s="68">
        <f>ROUND(SUM(S18:S20),1)</f>
        <v>0</v>
      </c>
      <c r="T21" s="13"/>
      <c r="U21" s="68">
        <f>ROUND(SUM(U18:U20),1)</f>
        <v>0</v>
      </c>
      <c r="V21" s="264"/>
      <c r="W21" s="68">
        <f>ROUND(SUM(W18:W20),1)</f>
        <v>0</v>
      </c>
      <c r="X21" s="264"/>
      <c r="Y21" s="68">
        <f>ROUND(SUM(Y18:Y20),1)</f>
        <v>0</v>
      </c>
      <c r="Z21" s="264"/>
      <c r="AA21" s="68">
        <f>ROUND(SUM(AA18:AA20),1)</f>
        <v>0</v>
      </c>
      <c r="AB21" s="264"/>
      <c r="AC21" s="524"/>
      <c r="AD21" s="68">
        <f>ROUND(SUM(AD18:AD20),1)</f>
        <v>42.2</v>
      </c>
      <c r="AE21" s="1234"/>
      <c r="AF21" s="264"/>
      <c r="AG21" s="68">
        <f>ROUND(SUM(AG18:AG20),1)</f>
        <v>47.2</v>
      </c>
      <c r="AH21" s="264"/>
      <c r="AI21" s="98"/>
      <c r="AJ21" s="68">
        <f>ROUND(SUM(AJ18:AJ20),1)</f>
        <v>-5</v>
      </c>
      <c r="AK21" s="41"/>
      <c r="AL21" s="538">
        <f>ROUND(IF(AG21=0,0,AJ21/ABS(AG21)),3)</f>
        <v>-0.106</v>
      </c>
      <c r="AM21" s="1632"/>
      <c r="AN21" s="1632"/>
    </row>
    <row r="22" spans="1:40">
      <c r="A22" s="291"/>
      <c r="B22" s="413" t="s">
        <v>524</v>
      </c>
      <c r="C22" s="291"/>
      <c r="D22" s="291"/>
      <c r="E22" s="264"/>
      <c r="F22" s="264"/>
      <c r="G22" s="264"/>
      <c r="H22" s="264"/>
      <c r="I22" s="264"/>
      <c r="J22" s="264"/>
      <c r="K22" s="264"/>
      <c r="L22" s="264"/>
      <c r="M22" s="264"/>
      <c r="N22" s="264"/>
      <c r="O22" s="264"/>
      <c r="P22" s="264"/>
      <c r="Q22" s="289"/>
      <c r="R22" s="264"/>
      <c r="S22" s="289"/>
      <c r="T22" s="264"/>
      <c r="U22" s="289"/>
      <c r="V22" s="264"/>
      <c r="W22" s="1135"/>
      <c r="X22" s="264"/>
      <c r="Y22" s="289"/>
      <c r="Z22" s="264"/>
      <c r="AA22" s="1135"/>
      <c r="AB22" s="264"/>
      <c r="AC22" s="524"/>
      <c r="AD22" s="287"/>
      <c r="AE22" s="1234"/>
      <c r="AF22" s="264"/>
      <c r="AG22" s="287"/>
      <c r="AH22" s="264"/>
      <c r="AI22" s="98"/>
      <c r="AJ22" s="287"/>
      <c r="AL22" s="96"/>
      <c r="AM22" s="1632"/>
      <c r="AN22" s="1632"/>
    </row>
    <row r="23" spans="1:40">
      <c r="A23" s="291"/>
      <c r="B23" s="284" t="s">
        <v>367</v>
      </c>
      <c r="C23" s="291"/>
      <c r="D23" s="291"/>
      <c r="E23" s="264">
        <f>AD23</f>
        <v>0</v>
      </c>
      <c r="F23" s="264"/>
      <c r="G23" s="264"/>
      <c r="H23" s="264"/>
      <c r="I23" s="264"/>
      <c r="J23" s="264"/>
      <c r="K23" s="264"/>
      <c r="L23" s="553"/>
      <c r="M23" s="264"/>
      <c r="N23" s="553"/>
      <c r="O23" s="264"/>
      <c r="P23" s="553"/>
      <c r="Q23" s="264"/>
      <c r="R23" s="553"/>
      <c r="S23" s="264"/>
      <c r="T23" s="264"/>
      <c r="U23" s="264"/>
      <c r="V23" s="553"/>
      <c r="W23" s="264"/>
      <c r="X23" s="553"/>
      <c r="Y23" s="264"/>
      <c r="Z23" s="553"/>
      <c r="AA23" s="264"/>
      <c r="AB23" s="264"/>
      <c r="AC23" s="524"/>
      <c r="AD23" s="532">
        <v>0</v>
      </c>
      <c r="AE23" s="264"/>
      <c r="AF23" s="525" t="s">
        <v>103</v>
      </c>
      <c r="AG23" s="532">
        <v>0</v>
      </c>
      <c r="AH23" s="264"/>
      <c r="AI23" s="98"/>
      <c r="AJ23" s="264">
        <f>ROUND(AD23-AG23,1)</f>
        <v>0</v>
      </c>
      <c r="AL23" s="266">
        <f>ROUND(IF(AG23=0,0,AJ23/ABS(AG23)),3)</f>
        <v>0</v>
      </c>
      <c r="AM23" s="1632"/>
      <c r="AN23" s="1632"/>
    </row>
    <row r="24" spans="1:40">
      <c r="A24" s="291"/>
      <c r="B24" s="284" t="s">
        <v>368</v>
      </c>
      <c r="C24" s="291"/>
      <c r="D24" s="291"/>
      <c r="E24" s="264">
        <f t="shared" ref="E24:E25" si="1">AD24</f>
        <v>2</v>
      </c>
      <c r="F24" s="264"/>
      <c r="G24" s="264"/>
      <c r="H24" s="264"/>
      <c r="I24" s="264"/>
      <c r="J24" s="264"/>
      <c r="K24" s="264"/>
      <c r="L24" s="553"/>
      <c r="M24" s="264"/>
      <c r="N24" s="553"/>
      <c r="O24" s="264"/>
      <c r="P24" s="553"/>
      <c r="Q24" s="264"/>
      <c r="R24" s="553"/>
      <c r="S24" s="264"/>
      <c r="T24" s="264"/>
      <c r="U24" s="264"/>
      <c r="V24" s="553"/>
      <c r="W24" s="264"/>
      <c r="X24" s="553"/>
      <c r="Y24" s="264"/>
      <c r="Z24" s="553"/>
      <c r="AA24" s="264"/>
      <c r="AB24" s="264"/>
      <c r="AC24" s="524"/>
      <c r="AD24" s="532">
        <v>2</v>
      </c>
      <c r="AE24" s="264"/>
      <c r="AF24" s="525" t="s">
        <v>103</v>
      </c>
      <c r="AG24" s="532">
        <v>3.8</v>
      </c>
      <c r="AH24" s="264"/>
      <c r="AI24" s="98"/>
      <c r="AJ24" s="264">
        <f>ROUND(AD24-AG24,1)</f>
        <v>-1.8</v>
      </c>
      <c r="AL24" s="543">
        <f>ROUND(IF(AG24=0,1,AJ24/ABS(AG24)),3)</f>
        <v>-0.47399999999999998</v>
      </c>
      <c r="AM24" s="1632"/>
      <c r="AN24" s="1632"/>
    </row>
    <row r="25" spans="1:40">
      <c r="A25" s="291"/>
      <c r="B25" s="284" t="s">
        <v>372</v>
      </c>
      <c r="C25" s="3"/>
      <c r="D25" s="291"/>
      <c r="E25" s="264">
        <f t="shared" si="1"/>
        <v>41.9</v>
      </c>
      <c r="F25" s="264"/>
      <c r="G25" s="264"/>
      <c r="H25" s="264"/>
      <c r="I25" s="264"/>
      <c r="J25" s="264"/>
      <c r="K25" s="264"/>
      <c r="L25" s="553"/>
      <c r="M25" s="264"/>
      <c r="N25" s="553"/>
      <c r="O25" s="264"/>
      <c r="P25" s="553"/>
      <c r="Q25" s="264"/>
      <c r="R25" s="553"/>
      <c r="S25" s="264"/>
      <c r="T25" s="264"/>
      <c r="U25" s="264"/>
      <c r="V25" s="553"/>
      <c r="W25" s="264"/>
      <c r="X25" s="553"/>
      <c r="Y25" s="264"/>
      <c r="Z25" s="553"/>
      <c r="AA25" s="264"/>
      <c r="AB25" s="264"/>
      <c r="AC25" s="524"/>
      <c r="AD25" s="532">
        <v>41.9</v>
      </c>
      <c r="AE25" s="264"/>
      <c r="AF25" s="525" t="s">
        <v>103</v>
      </c>
      <c r="AG25" s="532">
        <v>43.9</v>
      </c>
      <c r="AH25" s="264"/>
      <c r="AI25" s="98"/>
      <c r="AJ25" s="264">
        <f>ROUND(AD25-AG25,1)</f>
        <v>-2</v>
      </c>
      <c r="AK25" s="41"/>
      <c r="AL25" s="534">
        <f>ROUND(IF(AG25=0,0,AJ25/ABS(AG25)),3)</f>
        <v>-4.5999999999999999E-2</v>
      </c>
      <c r="AM25" s="1632"/>
      <c r="AN25" s="1632"/>
    </row>
    <row r="26" spans="1:40">
      <c r="A26" s="291"/>
      <c r="B26" s="83" t="s">
        <v>559</v>
      </c>
      <c r="C26" s="3"/>
      <c r="D26" s="291"/>
      <c r="E26" s="68">
        <f>ROUND(SUM(E23:E25),1)</f>
        <v>43.9</v>
      </c>
      <c r="F26" s="264"/>
      <c r="G26" s="68">
        <f>ROUND(SUM(G23:G25),1)</f>
        <v>0</v>
      </c>
      <c r="H26" s="264"/>
      <c r="I26" s="68">
        <f>ROUND(SUM(I23:I25),1)</f>
        <v>0</v>
      </c>
      <c r="J26" s="264"/>
      <c r="K26" s="68">
        <f>ROUND(SUM(K23:K25),1)</f>
        <v>0</v>
      </c>
      <c r="L26" s="264"/>
      <c r="M26" s="68">
        <f>ROUND(SUM(M23:M25),1)</f>
        <v>0</v>
      </c>
      <c r="N26" s="264"/>
      <c r="O26" s="68">
        <f>ROUND(SUM(O23:O25),1)</f>
        <v>0</v>
      </c>
      <c r="P26" s="264"/>
      <c r="Q26" s="68">
        <f>ROUND(SUM(Q23:Q25),1)</f>
        <v>0</v>
      </c>
      <c r="R26" s="264"/>
      <c r="S26" s="68">
        <f>ROUND(SUM(S23:S25),1)</f>
        <v>0</v>
      </c>
      <c r="T26" s="13"/>
      <c r="U26" s="68">
        <f>ROUND(SUM(U23:U25),1)</f>
        <v>0</v>
      </c>
      <c r="V26" s="264"/>
      <c r="W26" s="68">
        <f>ROUND(SUM(W23:W25),1)</f>
        <v>0</v>
      </c>
      <c r="X26" s="264"/>
      <c r="Y26" s="68">
        <f>ROUND(SUM(Y23:Y25),1)</f>
        <v>0</v>
      </c>
      <c r="Z26" s="264"/>
      <c r="AA26" s="68">
        <f>ROUND(SUM(AA23:AA25),1)</f>
        <v>0</v>
      </c>
      <c r="AB26" s="264"/>
      <c r="AC26" s="524"/>
      <c r="AD26" s="68">
        <f>ROUND(SUM(AD23:AD25),1)</f>
        <v>43.9</v>
      </c>
      <c r="AE26" s="1234"/>
      <c r="AF26" s="264"/>
      <c r="AG26" s="68">
        <f>ROUND(SUM(AG23:AG25),1)</f>
        <v>47.7</v>
      </c>
      <c r="AH26" s="264"/>
      <c r="AI26" s="98"/>
      <c r="AJ26" s="68">
        <f>ROUND(SUM(AJ23:AJ25),1)</f>
        <v>-3.8</v>
      </c>
      <c r="AK26" s="41"/>
      <c r="AL26" s="539">
        <f>ROUND(IF(AG26=0,0,AJ26/ABS(AG26)),3)</f>
        <v>-0.08</v>
      </c>
      <c r="AM26" s="1632"/>
      <c r="AN26" s="1632"/>
    </row>
    <row r="27" spans="1:40">
      <c r="A27" s="291"/>
      <c r="B27" s="413" t="s">
        <v>581</v>
      </c>
      <c r="C27" s="291"/>
      <c r="D27" s="291"/>
      <c r="E27" s="275"/>
      <c r="F27" s="264"/>
      <c r="G27" s="275"/>
      <c r="H27" s="264"/>
      <c r="I27" s="289"/>
      <c r="J27" s="264"/>
      <c r="K27" s="289"/>
      <c r="L27" s="264"/>
      <c r="M27" s="264"/>
      <c r="N27" s="264"/>
      <c r="O27" s="264"/>
      <c r="P27" s="264"/>
      <c r="Q27" s="289"/>
      <c r="R27" s="264"/>
      <c r="S27" s="289"/>
      <c r="T27" s="264"/>
      <c r="U27" s="289"/>
      <c r="V27" s="264"/>
      <c r="W27" s="289"/>
      <c r="X27" s="264"/>
      <c r="Y27" s="289"/>
      <c r="Z27" s="264"/>
      <c r="AA27" s="289"/>
      <c r="AB27" s="264"/>
      <c r="AC27" s="524"/>
      <c r="AD27" s="264"/>
      <c r="AE27" s="1245"/>
      <c r="AF27" s="367"/>
      <c r="AG27" s="264"/>
      <c r="AH27" s="287"/>
      <c r="AI27" s="97"/>
      <c r="AJ27" s="287"/>
      <c r="AK27" s="95"/>
      <c r="AL27" s="266"/>
      <c r="AM27" s="1632"/>
      <c r="AN27" s="1632"/>
    </row>
    <row r="28" spans="1:40">
      <c r="A28" s="291"/>
      <c r="B28" s="284" t="s">
        <v>378</v>
      </c>
      <c r="C28" s="291"/>
      <c r="D28" s="291"/>
      <c r="E28" s="264">
        <f>AD28</f>
        <v>0</v>
      </c>
      <c r="F28" s="264"/>
      <c r="G28" s="264"/>
      <c r="H28" s="264"/>
      <c r="I28" s="264"/>
      <c r="J28" s="264"/>
      <c r="K28" s="264"/>
      <c r="L28" s="553"/>
      <c r="M28" s="264"/>
      <c r="N28" s="553"/>
      <c r="O28" s="264"/>
      <c r="P28" s="553"/>
      <c r="Q28" s="264"/>
      <c r="R28" s="553"/>
      <c r="S28" s="264"/>
      <c r="T28" s="553"/>
      <c r="U28" s="264"/>
      <c r="V28" s="553"/>
      <c r="W28" s="264"/>
      <c r="X28" s="553"/>
      <c r="Y28" s="264"/>
      <c r="Z28" s="553"/>
      <c r="AA28" s="264"/>
      <c r="AB28" s="264"/>
      <c r="AC28" s="524"/>
      <c r="AD28" s="532">
        <v>0</v>
      </c>
      <c r="AE28" s="264">
        <f>'Exhibit F'!AG1123</f>
        <v>0</v>
      </c>
      <c r="AF28" s="525" t="s">
        <v>103</v>
      </c>
      <c r="AG28" s="532">
        <v>0</v>
      </c>
      <c r="AH28" s="287"/>
      <c r="AI28" s="97"/>
      <c r="AJ28" s="264">
        <f>ROUND(AD28-AG28,1)</f>
        <v>0</v>
      </c>
      <c r="AK28" s="95"/>
      <c r="AL28" s="534">
        <f>ROUND(IF(AG28=0,0,AJ28/ABS(AG28)),3)</f>
        <v>0</v>
      </c>
      <c r="AM28" s="1632"/>
      <c r="AN28" s="1632"/>
    </row>
    <row r="29" spans="1:40">
      <c r="B29" s="83" t="s">
        <v>560</v>
      </c>
      <c r="C29" s="291"/>
      <c r="D29" s="291"/>
      <c r="E29" s="68">
        <f>ROUND(SUM(E28:E28),1)</f>
        <v>0</v>
      </c>
      <c r="F29" s="264"/>
      <c r="G29" s="68">
        <f>ROUND(SUM(G28:G28),1)</f>
        <v>0</v>
      </c>
      <c r="H29" s="264"/>
      <c r="I29" s="68">
        <f>ROUND(SUM(I28:I28),1)</f>
        <v>0</v>
      </c>
      <c r="J29" s="264"/>
      <c r="K29" s="68">
        <f>ROUND(SUM(K28:K28),1)</f>
        <v>0</v>
      </c>
      <c r="L29" s="264"/>
      <c r="M29" s="68">
        <f>ROUND(SUM(M28:M28),1)</f>
        <v>0</v>
      </c>
      <c r="N29" s="264"/>
      <c r="O29" s="68">
        <f>ROUND(SUM(O28:O28),1)</f>
        <v>0</v>
      </c>
      <c r="P29" s="264"/>
      <c r="Q29" s="68">
        <f>ROUND(SUM(Q28:Q28),1)</f>
        <v>0</v>
      </c>
      <c r="R29" s="264"/>
      <c r="S29" s="68">
        <f>ROUND(SUM(S28:S28),1)</f>
        <v>0</v>
      </c>
      <c r="T29" s="13"/>
      <c r="U29" s="68">
        <f>ROUND(SUM(U28:U28),1)</f>
        <v>0</v>
      </c>
      <c r="V29" s="264"/>
      <c r="W29" s="68">
        <f>ROUND(SUM(W28:W28),1)</f>
        <v>0</v>
      </c>
      <c r="X29" s="264"/>
      <c r="Y29" s="68">
        <f>ROUND(SUM(Y28:Y28),1)</f>
        <v>0</v>
      </c>
      <c r="Z29" s="264"/>
      <c r="AA29" s="68">
        <f>ROUND(SUM(AA28:AA28),1)</f>
        <v>0</v>
      </c>
      <c r="AB29" s="264"/>
      <c r="AC29" s="524"/>
      <c r="AD29" s="68">
        <f>ROUND(SUM(AD28:AD28),1)</f>
        <v>0</v>
      </c>
      <c r="AE29" s="1245"/>
      <c r="AF29" s="367"/>
      <c r="AG29" s="68">
        <f>ROUND(SUM(AG28:AG28),1)</f>
        <v>0</v>
      </c>
      <c r="AH29" s="287"/>
      <c r="AI29" s="97"/>
      <c r="AJ29" s="68">
        <f>ROUND(SUM(AJ28:AJ28),1)</f>
        <v>0</v>
      </c>
      <c r="AK29" s="95"/>
      <c r="AL29" s="538">
        <f>ROUND(IF(AG29=0,0,AJ29/ABS(AG29)),3)</f>
        <v>0</v>
      </c>
      <c r="AM29" s="1632"/>
      <c r="AN29" s="1632"/>
    </row>
    <row r="30" spans="1:40">
      <c r="A30" s="291"/>
      <c r="B30" s="3"/>
      <c r="C30" s="291"/>
      <c r="D30" s="291"/>
      <c r="E30" s="275"/>
      <c r="F30" s="264"/>
      <c r="G30" s="275"/>
      <c r="H30" s="264"/>
      <c r="I30" s="289"/>
      <c r="J30" s="264"/>
      <c r="K30" s="289"/>
      <c r="L30" s="264"/>
      <c r="M30" s="264"/>
      <c r="N30" s="264"/>
      <c r="O30" s="264"/>
      <c r="P30" s="264"/>
      <c r="Q30" s="289"/>
      <c r="R30" s="264"/>
      <c r="S30" s="289"/>
      <c r="T30" s="264"/>
      <c r="U30" s="289"/>
      <c r="V30" s="264"/>
      <c r="W30" s="289"/>
      <c r="X30" s="264"/>
      <c r="Y30" s="289"/>
      <c r="Z30" s="264"/>
      <c r="AA30" s="289"/>
      <c r="AB30" s="264"/>
      <c r="AC30" s="524"/>
      <c r="AD30" s="264"/>
      <c r="AE30" s="1245"/>
      <c r="AF30" s="367"/>
      <c r="AG30" s="264"/>
      <c r="AH30" s="287"/>
      <c r="AI30" s="97"/>
      <c r="AJ30" s="287"/>
      <c r="AK30" s="95"/>
      <c r="AL30" s="1779"/>
      <c r="AM30" s="1632"/>
      <c r="AN30" s="1632"/>
    </row>
    <row r="31" spans="1:40" s="3" customFormat="1">
      <c r="B31" s="83" t="s">
        <v>382</v>
      </c>
      <c r="E31" s="709">
        <f>ROUND(SUM(+E26+E21+E29),1)</f>
        <v>86.1</v>
      </c>
      <c r="F31" s="13"/>
      <c r="G31" s="709">
        <f>ROUND(SUM(+G26+G21+G29),1)</f>
        <v>0</v>
      </c>
      <c r="H31" s="13"/>
      <c r="I31" s="709">
        <f>ROUND(SUM(+I26+I21+I29),1)</f>
        <v>0</v>
      </c>
      <c r="J31" s="13"/>
      <c r="K31" s="709">
        <f>ROUND(SUM(+K26+K21+K29),1)</f>
        <v>0</v>
      </c>
      <c r="L31" s="13"/>
      <c r="M31" s="1019">
        <f>ROUND(SUM(+M26+M21+M29),1)</f>
        <v>0</v>
      </c>
      <c r="N31" s="13"/>
      <c r="O31" s="1019">
        <f>ROUND(SUM(+O26+O21+O29),1)</f>
        <v>0</v>
      </c>
      <c r="P31" s="13"/>
      <c r="Q31" s="1019">
        <f>ROUND(SUM(+Q26+Q21+Q29),1)</f>
        <v>0</v>
      </c>
      <c r="R31" s="13"/>
      <c r="S31" s="1019">
        <f>ROUND(SUM(+S26+S21+S29),1)</f>
        <v>0</v>
      </c>
      <c r="T31" s="671"/>
      <c r="U31" s="1019">
        <f>ROUND(SUM(+U26+U21+U29),1)</f>
        <v>0</v>
      </c>
      <c r="V31" s="13"/>
      <c r="W31" s="1019">
        <f>ROUND(SUM(+W26+W21+W29),1)</f>
        <v>0</v>
      </c>
      <c r="X31" s="13"/>
      <c r="Y31" s="1019">
        <f>ROUND(SUM(+Y26+Y21+Y29),1)</f>
        <v>0</v>
      </c>
      <c r="Z31" s="13"/>
      <c r="AA31" s="1019">
        <f>ROUND(SUM(+AA26+AA21+AA29),1)</f>
        <v>0</v>
      </c>
      <c r="AB31" s="13"/>
      <c r="AC31" s="14"/>
      <c r="AD31" s="1019">
        <f>ROUND(SUM(+AD26+AD21+AD29),1)</f>
        <v>86.1</v>
      </c>
      <c r="AE31" s="1780"/>
      <c r="AF31" s="17"/>
      <c r="AG31" s="1019">
        <f>ROUND(SUM(+AG26+AG21+AG29),1)</f>
        <v>94.9</v>
      </c>
      <c r="AH31" s="18"/>
      <c r="AI31" s="97"/>
      <c r="AJ31" s="1019">
        <f>ROUND(SUM(+AJ26+AJ21+AJ29),1)</f>
        <v>-8.8000000000000007</v>
      </c>
      <c r="AK31" s="319"/>
      <c r="AL31" s="539">
        <f>ROUND(IF(AG31=0,1,AJ31/ABS(AG31)),3)</f>
        <v>-9.2999999999999999E-2</v>
      </c>
      <c r="AM31" s="1632"/>
      <c r="AN31" s="1632"/>
    </row>
    <row r="32" spans="1:40">
      <c r="A32" s="291"/>
      <c r="B32" s="291"/>
      <c r="C32" s="291"/>
      <c r="D32" s="291"/>
      <c r="E32" s="275"/>
      <c r="F32" s="264"/>
      <c r="G32" s="275"/>
      <c r="H32" s="264"/>
      <c r="I32" s="289"/>
      <c r="J32" s="264"/>
      <c r="K32" s="289"/>
      <c r="L32" s="264"/>
      <c r="M32" s="264"/>
      <c r="N32" s="264"/>
      <c r="O32" s="264"/>
      <c r="P32" s="264"/>
      <c r="Q32" s="289"/>
      <c r="R32" s="264"/>
      <c r="S32" s="289"/>
      <c r="T32" s="264"/>
      <c r="U32" s="289"/>
      <c r="V32" s="264"/>
      <c r="W32" s="289"/>
      <c r="X32" s="264"/>
      <c r="Y32" s="289"/>
      <c r="Z32" s="264"/>
      <c r="AA32" s="289"/>
      <c r="AB32" s="264"/>
      <c r="AC32" s="524"/>
      <c r="AD32" s="264"/>
      <c r="AE32" s="1245"/>
      <c r="AF32" s="367"/>
      <c r="AG32" s="264"/>
      <c r="AH32" s="287"/>
      <c r="AI32" s="97"/>
      <c r="AJ32" s="287"/>
      <c r="AK32" s="95"/>
      <c r="AL32" s="266"/>
      <c r="AM32" s="1632"/>
      <c r="AN32" s="1632"/>
    </row>
    <row r="33" spans="1:40">
      <c r="A33" s="291"/>
      <c r="B33" s="1218" t="s">
        <v>383</v>
      </c>
      <c r="C33" s="291"/>
      <c r="D33" s="291"/>
      <c r="E33" s="289"/>
      <c r="F33" s="264"/>
      <c r="G33" s="289"/>
      <c r="H33" s="264"/>
      <c r="I33" s="289"/>
      <c r="J33" s="264"/>
      <c r="K33" s="289"/>
      <c r="L33" s="264"/>
      <c r="M33" s="264"/>
      <c r="N33" s="264"/>
      <c r="O33" s="264"/>
      <c r="P33" s="264"/>
      <c r="Q33" s="289"/>
      <c r="R33" s="264"/>
      <c r="S33" s="289"/>
      <c r="T33" s="264"/>
      <c r="U33" s="289"/>
      <c r="V33" s="264"/>
      <c r="W33" s="289"/>
      <c r="X33" s="264"/>
      <c r="Y33" s="289"/>
      <c r="Z33" s="264"/>
      <c r="AA33" s="289"/>
      <c r="AB33" s="264"/>
      <c r="AC33" s="524"/>
      <c r="AD33" s="264"/>
      <c r="AE33" s="1234"/>
      <c r="AF33" s="264"/>
      <c r="AG33" s="264"/>
      <c r="AH33" s="287"/>
      <c r="AI33" s="97"/>
      <c r="AJ33" s="287"/>
      <c r="AK33" s="41"/>
      <c r="AL33" s="96"/>
      <c r="AM33" s="1632"/>
      <c r="AN33" s="1632"/>
    </row>
    <row r="34" spans="1:40">
      <c r="A34" s="291"/>
      <c r="B34" s="350" t="s">
        <v>384</v>
      </c>
      <c r="C34" s="291"/>
      <c r="D34" s="291"/>
      <c r="E34" s="289"/>
      <c r="F34" s="264"/>
      <c r="G34" s="289"/>
      <c r="H34" s="264"/>
      <c r="I34" s="289"/>
      <c r="J34" s="264"/>
      <c r="K34" s="289"/>
      <c r="L34" s="264"/>
      <c r="M34" s="264"/>
      <c r="N34" s="264"/>
      <c r="O34" s="264"/>
      <c r="P34" s="264"/>
      <c r="Q34" s="289"/>
      <c r="R34" s="264"/>
      <c r="S34" s="289"/>
      <c r="T34" s="264"/>
      <c r="U34" s="289"/>
      <c r="V34" s="264"/>
      <c r="W34" s="289"/>
      <c r="X34" s="264"/>
      <c r="Y34" s="289"/>
      <c r="Z34" s="264"/>
      <c r="AA34" s="289"/>
      <c r="AB34" s="264"/>
      <c r="AC34" s="524"/>
      <c r="AD34" s="264"/>
      <c r="AE34" s="1234"/>
      <c r="AF34" s="264"/>
      <c r="AG34" s="264"/>
      <c r="AH34" s="287"/>
      <c r="AI34" s="97"/>
      <c r="AJ34" s="287"/>
      <c r="AK34" s="41"/>
      <c r="AL34" s="96"/>
      <c r="AM34" s="1632"/>
      <c r="AN34" s="1632"/>
    </row>
    <row r="35" spans="1:40">
      <c r="A35" s="291"/>
      <c r="B35" s="350" t="s">
        <v>1483</v>
      </c>
      <c r="C35" s="291"/>
      <c r="D35" s="291"/>
      <c r="E35" s="264">
        <f>AD35</f>
        <v>0</v>
      </c>
      <c r="F35" s="264"/>
      <c r="G35" s="264"/>
      <c r="H35" s="264"/>
      <c r="I35" s="264"/>
      <c r="J35" s="264"/>
      <c r="K35" s="264"/>
      <c r="L35" s="553"/>
      <c r="M35" s="264"/>
      <c r="N35" s="553"/>
      <c r="O35" s="264"/>
      <c r="P35" s="553"/>
      <c r="Q35" s="264"/>
      <c r="R35" s="553"/>
      <c r="S35" s="264"/>
      <c r="T35" s="553"/>
      <c r="U35" s="264"/>
      <c r="V35" s="553"/>
      <c r="W35" s="264"/>
      <c r="X35" s="553"/>
      <c r="Y35" s="264"/>
      <c r="Z35" s="553"/>
      <c r="AA35" s="264"/>
      <c r="AB35" s="264"/>
      <c r="AC35" s="524"/>
      <c r="AD35" s="532">
        <v>0</v>
      </c>
      <c r="AE35" s="264"/>
      <c r="AF35" s="525" t="s">
        <v>103</v>
      </c>
      <c r="AG35" s="532">
        <v>0.1</v>
      </c>
      <c r="AH35" s="287"/>
      <c r="AI35" s="97"/>
      <c r="AJ35" s="264">
        <f t="shared" ref="AJ35" si="2">ROUND(AD35-AG35,1)</f>
        <v>-0.1</v>
      </c>
      <c r="AK35" s="41"/>
      <c r="AL35" s="266">
        <f>ROUND(IF(AG35=0,0,AJ35/ABS(AG35)),3)</f>
        <v>-1</v>
      </c>
      <c r="AM35" s="1632"/>
      <c r="AN35" s="1632"/>
    </row>
    <row r="36" spans="1:40">
      <c r="A36" s="291"/>
      <c r="B36" s="350" t="s">
        <v>561</v>
      </c>
      <c r="C36" s="291"/>
      <c r="D36" s="291"/>
      <c r="E36" s="264">
        <f t="shared" ref="E36:E59" si="3">AD36</f>
        <v>0</v>
      </c>
      <c r="F36" s="264"/>
      <c r="G36" s="264"/>
      <c r="H36" s="264"/>
      <c r="I36" s="264"/>
      <c r="J36" s="264"/>
      <c r="K36" s="264"/>
      <c r="L36" s="553"/>
      <c r="M36" s="264"/>
      <c r="N36" s="553"/>
      <c r="O36" s="264"/>
      <c r="P36" s="553"/>
      <c r="Q36" s="264"/>
      <c r="R36" s="553"/>
      <c r="S36" s="264"/>
      <c r="T36" s="553"/>
      <c r="U36" s="264"/>
      <c r="V36" s="553"/>
      <c r="W36" s="264"/>
      <c r="X36" s="553"/>
      <c r="Y36" s="264"/>
      <c r="Z36" s="553"/>
      <c r="AA36" s="264"/>
      <c r="AB36" s="264"/>
      <c r="AC36" s="524"/>
      <c r="AD36" s="532">
        <v>0</v>
      </c>
      <c r="AE36" s="264"/>
      <c r="AF36" s="525" t="s">
        <v>103</v>
      </c>
      <c r="AG36" s="532">
        <v>0</v>
      </c>
      <c r="AH36" s="287"/>
      <c r="AI36" s="97"/>
      <c r="AJ36" s="264">
        <f t="shared" ref="AJ36:AJ59" si="4">ROUND(AD36-AG36,1)</f>
        <v>0</v>
      </c>
      <c r="AK36" s="41"/>
      <c r="AL36" s="266">
        <f>ROUND(IF(AG36=0,0,AJ36/ABS(AG36)),3)</f>
        <v>0</v>
      </c>
      <c r="AM36" s="1632"/>
      <c r="AN36" s="1632"/>
    </row>
    <row r="37" spans="1:40">
      <c r="A37" s="291"/>
      <c r="B37" s="350" t="s">
        <v>387</v>
      </c>
      <c r="C37" s="291"/>
      <c r="D37" s="291"/>
      <c r="E37" s="264"/>
      <c r="F37" s="264"/>
      <c r="G37" s="264"/>
      <c r="H37" s="264"/>
      <c r="I37" s="264"/>
      <c r="J37" s="264"/>
      <c r="K37" s="264"/>
      <c r="L37" s="553"/>
      <c r="M37" s="264"/>
      <c r="N37" s="553"/>
      <c r="O37" s="264"/>
      <c r="P37" s="553"/>
      <c r="Q37" s="264"/>
      <c r="R37" s="553"/>
      <c r="S37" s="264"/>
      <c r="T37" s="553"/>
      <c r="U37" s="264"/>
      <c r="V37" s="553"/>
      <c r="W37" s="264"/>
      <c r="X37" s="553"/>
      <c r="Y37" s="264"/>
      <c r="Z37" s="553"/>
      <c r="AA37" s="264"/>
      <c r="AB37" s="264"/>
      <c r="AC37" s="524"/>
      <c r="AD37" s="289" t="s">
        <v>103</v>
      </c>
      <c r="AE37" s="1234"/>
      <c r="AF37" s="264"/>
      <c r="AG37" s="289" t="s">
        <v>103</v>
      </c>
      <c r="AH37" s="287"/>
      <c r="AI37" s="97"/>
      <c r="AJ37" s="264"/>
      <c r="AK37" s="41"/>
      <c r="AL37" s="96"/>
      <c r="AM37" s="1632"/>
      <c r="AN37" s="1632"/>
    </row>
    <row r="38" spans="1:40">
      <c r="A38" s="291"/>
      <c r="B38" s="350" t="s">
        <v>483</v>
      </c>
      <c r="C38" s="291"/>
      <c r="D38" s="291"/>
      <c r="E38" s="264">
        <f t="shared" si="3"/>
        <v>1.9</v>
      </c>
      <c r="F38" s="264"/>
      <c r="G38" s="264"/>
      <c r="H38" s="264"/>
      <c r="I38" s="264"/>
      <c r="J38" s="264"/>
      <c r="K38" s="264"/>
      <c r="L38" s="553"/>
      <c r="M38" s="264"/>
      <c r="N38" s="553"/>
      <c r="O38" s="264"/>
      <c r="P38" s="553"/>
      <c r="Q38" s="264"/>
      <c r="R38" s="553"/>
      <c r="S38" s="264"/>
      <c r="T38" s="553"/>
      <c r="U38" s="264"/>
      <c r="V38" s="553"/>
      <c r="W38" s="264"/>
      <c r="X38" s="553"/>
      <c r="Y38" s="264"/>
      <c r="Z38" s="553"/>
      <c r="AA38" s="264"/>
      <c r="AB38" s="264"/>
      <c r="AC38" s="524"/>
      <c r="AD38" s="532">
        <v>1.9</v>
      </c>
      <c r="AE38" s="264"/>
      <c r="AF38" s="525" t="s">
        <v>103</v>
      </c>
      <c r="AG38" s="532">
        <v>5.7</v>
      </c>
      <c r="AH38" s="287"/>
      <c r="AI38" s="97"/>
      <c r="AJ38" s="264">
        <f t="shared" si="4"/>
        <v>-3.8</v>
      </c>
      <c r="AK38" s="41"/>
      <c r="AL38" s="266">
        <f>ROUND(IF(AG38=0,0,AJ38/ABS(AG38)),3)</f>
        <v>-0.66700000000000004</v>
      </c>
      <c r="AM38" s="1632"/>
      <c r="AN38" s="1632"/>
    </row>
    <row r="39" spans="1:40">
      <c r="A39" s="291"/>
      <c r="B39" s="350" t="s">
        <v>392</v>
      </c>
      <c r="C39" s="291"/>
      <c r="D39" s="291"/>
      <c r="E39" s="264"/>
      <c r="F39" s="264"/>
      <c r="G39" s="264"/>
      <c r="H39" s="264"/>
      <c r="I39" s="264"/>
      <c r="J39" s="264"/>
      <c r="K39" s="264"/>
      <c r="L39" s="553"/>
      <c r="M39" s="264"/>
      <c r="N39" s="553"/>
      <c r="O39" s="264"/>
      <c r="P39" s="553"/>
      <c r="Q39" s="264"/>
      <c r="R39" s="553"/>
      <c r="S39" s="264"/>
      <c r="T39" s="553"/>
      <c r="U39" s="264"/>
      <c r="V39" s="553"/>
      <c r="W39" s="264"/>
      <c r="X39" s="553"/>
      <c r="Y39" s="264"/>
      <c r="Z39" s="553"/>
      <c r="AA39" s="264"/>
      <c r="AB39" s="264"/>
      <c r="AC39" s="524"/>
      <c r="AD39" s="289" t="s">
        <v>103</v>
      </c>
      <c r="AE39" s="1234"/>
      <c r="AF39" s="264"/>
      <c r="AG39" s="289" t="s">
        <v>103</v>
      </c>
      <c r="AH39" s="287"/>
      <c r="AI39" s="97"/>
      <c r="AJ39" s="264"/>
      <c r="AK39" s="41"/>
      <c r="AL39" s="96"/>
      <c r="AM39" s="1632"/>
      <c r="AN39" s="1632"/>
    </row>
    <row r="40" spans="1:40">
      <c r="A40" s="291"/>
      <c r="B40" s="350" t="s">
        <v>486</v>
      </c>
      <c r="C40" s="291"/>
      <c r="D40" s="291"/>
      <c r="E40" s="264">
        <f t="shared" si="3"/>
        <v>1.5</v>
      </c>
      <c r="F40" s="264"/>
      <c r="G40" s="264"/>
      <c r="H40" s="264"/>
      <c r="I40" s="264"/>
      <c r="J40" s="264"/>
      <c r="K40" s="264"/>
      <c r="L40" s="553"/>
      <c r="M40" s="264"/>
      <c r="N40" s="553"/>
      <c r="O40" s="264"/>
      <c r="P40" s="553"/>
      <c r="Q40" s="264"/>
      <c r="R40" s="553"/>
      <c r="S40" s="264"/>
      <c r="T40" s="553"/>
      <c r="U40" s="264"/>
      <c r="V40" s="553"/>
      <c r="W40" s="264"/>
      <c r="X40" s="553"/>
      <c r="Y40" s="264"/>
      <c r="Z40" s="553"/>
      <c r="AA40" s="264"/>
      <c r="AB40" s="264"/>
      <c r="AC40" s="524"/>
      <c r="AD40" s="532">
        <v>1.5</v>
      </c>
      <c r="AE40" s="264"/>
      <c r="AF40" s="525" t="s">
        <v>103</v>
      </c>
      <c r="AG40" s="532">
        <v>-7.2</v>
      </c>
      <c r="AH40" s="287"/>
      <c r="AI40" s="97"/>
      <c r="AJ40" s="264">
        <f t="shared" si="4"/>
        <v>8.6999999999999993</v>
      </c>
      <c r="AK40" s="41"/>
      <c r="AL40" s="266">
        <f>ROUND(IF(AG40=0,0,AJ40/ABS(AG40)),3)</f>
        <v>1.208</v>
      </c>
      <c r="AM40" s="1632"/>
      <c r="AN40" s="1632"/>
    </row>
    <row r="41" spans="1:40">
      <c r="A41" s="291"/>
      <c r="B41" s="350" t="s">
        <v>562</v>
      </c>
      <c r="C41" s="291"/>
      <c r="D41" s="291"/>
      <c r="E41" s="264">
        <f t="shared" si="3"/>
        <v>0</v>
      </c>
      <c r="F41" s="264"/>
      <c r="G41" s="264"/>
      <c r="H41" s="264"/>
      <c r="I41" s="264"/>
      <c r="J41" s="264"/>
      <c r="K41" s="264"/>
      <c r="L41" s="553"/>
      <c r="M41" s="264"/>
      <c r="N41" s="553"/>
      <c r="O41" s="264"/>
      <c r="P41" s="553"/>
      <c r="Q41" s="264"/>
      <c r="R41" s="553"/>
      <c r="S41" s="264"/>
      <c r="T41" s="553"/>
      <c r="U41" s="264"/>
      <c r="V41" s="553"/>
      <c r="W41" s="264"/>
      <c r="X41" s="553"/>
      <c r="Y41" s="264"/>
      <c r="Z41" s="553"/>
      <c r="AA41" s="264"/>
      <c r="AB41" s="264"/>
      <c r="AC41" s="524"/>
      <c r="AD41" s="532">
        <v>0</v>
      </c>
      <c r="AE41" s="264"/>
      <c r="AF41" s="525" t="s">
        <v>103</v>
      </c>
      <c r="AG41" s="532">
        <v>0</v>
      </c>
      <c r="AH41" s="287"/>
      <c r="AI41" s="97"/>
      <c r="AJ41" s="264">
        <f>ROUND(AD41-AG41,1)</f>
        <v>0</v>
      </c>
      <c r="AK41" s="41"/>
      <c r="AL41" s="266">
        <f>ROUND(IF(AG41=0,0,AJ41/ABS(AG41)),3)</f>
        <v>0</v>
      </c>
      <c r="AM41" s="1632"/>
      <c r="AN41" s="1632"/>
    </row>
    <row r="42" spans="1:40">
      <c r="A42" s="291"/>
      <c r="B42" s="350" t="s">
        <v>489</v>
      </c>
      <c r="C42" s="291"/>
      <c r="D42" s="291"/>
      <c r="E42" s="264">
        <f t="shared" si="3"/>
        <v>9.8000000000000007</v>
      </c>
      <c r="F42" s="264"/>
      <c r="G42" s="264"/>
      <c r="H42" s="264"/>
      <c r="I42" s="264"/>
      <c r="J42" s="264"/>
      <c r="K42" s="264"/>
      <c r="L42" s="553"/>
      <c r="M42" s="264"/>
      <c r="N42" s="553"/>
      <c r="O42" s="264"/>
      <c r="P42" s="553"/>
      <c r="Q42" s="264"/>
      <c r="R42" s="553"/>
      <c r="S42" s="264"/>
      <c r="T42" s="553"/>
      <c r="U42" s="264"/>
      <c r="V42" s="553"/>
      <c r="W42" s="264"/>
      <c r="X42" s="553"/>
      <c r="Y42" s="264"/>
      <c r="Z42" s="553"/>
      <c r="AA42" s="264"/>
      <c r="AB42" s="264"/>
      <c r="AC42" s="524"/>
      <c r="AD42" s="532">
        <v>9.8000000000000007</v>
      </c>
      <c r="AE42" s="264"/>
      <c r="AF42" s="525" t="s">
        <v>103</v>
      </c>
      <c r="AG42" s="532">
        <v>63</v>
      </c>
      <c r="AH42" s="287"/>
      <c r="AI42" s="97"/>
      <c r="AJ42" s="264">
        <f t="shared" si="4"/>
        <v>-53.2</v>
      </c>
      <c r="AK42" s="41"/>
      <c r="AL42" s="266">
        <f>ROUND(IF(AG42=0,0,AJ42/ABS(AG42)),3)</f>
        <v>-0.84399999999999997</v>
      </c>
      <c r="AM42" s="1632"/>
      <c r="AN42" s="1632"/>
    </row>
    <row r="43" spans="1:40">
      <c r="A43" s="291"/>
      <c r="B43" s="350" t="s">
        <v>490</v>
      </c>
      <c r="C43" s="291"/>
      <c r="D43" s="291"/>
      <c r="E43" s="264">
        <f t="shared" si="3"/>
        <v>0.4</v>
      </c>
      <c r="F43" s="264"/>
      <c r="G43" s="264"/>
      <c r="H43" s="264"/>
      <c r="I43" s="264"/>
      <c r="J43" s="264"/>
      <c r="K43" s="264"/>
      <c r="L43" s="553"/>
      <c r="M43" s="264"/>
      <c r="N43" s="553"/>
      <c r="O43" s="264"/>
      <c r="P43" s="553"/>
      <c r="Q43" s="264"/>
      <c r="R43" s="553"/>
      <c r="S43" s="264"/>
      <c r="T43" s="553"/>
      <c r="U43" s="264"/>
      <c r="V43" s="553"/>
      <c r="W43" s="264"/>
      <c r="X43" s="553"/>
      <c r="Y43" s="264"/>
      <c r="Z43" s="553"/>
      <c r="AA43" s="264"/>
      <c r="AB43" s="264"/>
      <c r="AC43" s="524"/>
      <c r="AD43" s="532">
        <v>0.4</v>
      </c>
      <c r="AE43" s="264"/>
      <c r="AF43" s="525" t="s">
        <v>103</v>
      </c>
      <c r="AG43" s="532">
        <v>4.4000000000000004</v>
      </c>
      <c r="AH43" s="287"/>
      <c r="AI43" s="97"/>
      <c r="AJ43" s="264">
        <f t="shared" si="4"/>
        <v>-4</v>
      </c>
      <c r="AK43" s="41"/>
      <c r="AL43" s="543">
        <f>ROUND(IF(AG43=0,1,AJ43/ABS(AG43)),3)</f>
        <v>-0.90900000000000003</v>
      </c>
      <c r="AM43" s="1632"/>
      <c r="AN43" s="1632"/>
    </row>
    <row r="44" spans="1:40">
      <c r="A44" s="291"/>
      <c r="B44" s="350" t="s">
        <v>400</v>
      </c>
      <c r="C44" s="291"/>
      <c r="D44" s="291"/>
      <c r="E44" s="264">
        <f t="shared" si="3"/>
        <v>5.6</v>
      </c>
      <c r="F44" s="264"/>
      <c r="G44" s="264"/>
      <c r="H44" s="264"/>
      <c r="I44" s="264"/>
      <c r="J44" s="264"/>
      <c r="K44" s="264"/>
      <c r="L44" s="553"/>
      <c r="M44" s="264"/>
      <c r="N44" s="553"/>
      <c r="O44" s="264"/>
      <c r="P44" s="553"/>
      <c r="Q44" s="264"/>
      <c r="R44" s="553"/>
      <c r="S44" s="264"/>
      <c r="T44" s="553"/>
      <c r="U44" s="264"/>
      <c r="V44" s="553"/>
      <c r="W44" s="264"/>
      <c r="X44" s="553"/>
      <c r="Y44" s="264"/>
      <c r="Z44" s="553"/>
      <c r="AA44" s="264"/>
      <c r="AB44" s="264"/>
      <c r="AC44" s="524"/>
      <c r="AD44" s="532">
        <v>5.6</v>
      </c>
      <c r="AE44" s="1234"/>
      <c r="AF44" s="264" t="s">
        <v>103</v>
      </c>
      <c r="AG44" s="532">
        <v>2.8</v>
      </c>
      <c r="AH44" s="287"/>
      <c r="AI44" s="97"/>
      <c r="AJ44" s="264">
        <f t="shared" si="4"/>
        <v>2.8</v>
      </c>
      <c r="AK44" s="41"/>
      <c r="AL44" s="543">
        <f>ROUND(IF(AG44=0,1,AJ44/ABS(AG44)),3)</f>
        <v>1</v>
      </c>
      <c r="AM44" s="1632"/>
      <c r="AN44" s="1632"/>
    </row>
    <row r="45" spans="1:40">
      <c r="A45" s="291"/>
      <c r="B45" s="350" t="s">
        <v>406</v>
      </c>
      <c r="C45" s="291"/>
      <c r="D45" s="291"/>
      <c r="E45" s="264">
        <f t="shared" si="3"/>
        <v>4.0999999999999996</v>
      </c>
      <c r="F45" s="264"/>
      <c r="G45" s="264"/>
      <c r="H45" s="264"/>
      <c r="I45" s="264"/>
      <c r="J45" s="264"/>
      <c r="K45" s="264"/>
      <c r="L45" s="553"/>
      <c r="M45" s="264"/>
      <c r="N45" s="553"/>
      <c r="O45" s="264"/>
      <c r="P45" s="553"/>
      <c r="Q45" s="264"/>
      <c r="R45" s="553"/>
      <c r="S45" s="264"/>
      <c r="T45" s="553"/>
      <c r="U45" s="264"/>
      <c r="V45" s="553"/>
      <c r="W45" s="264"/>
      <c r="X45" s="553"/>
      <c r="Y45" s="264"/>
      <c r="Z45" s="553"/>
      <c r="AA45" s="264"/>
      <c r="AB45" s="264"/>
      <c r="AC45" s="524"/>
      <c r="AD45" s="532">
        <v>4.0999999999999996</v>
      </c>
      <c r="AE45" s="1234"/>
      <c r="AF45" s="264" t="s">
        <v>103</v>
      </c>
      <c r="AG45" s="532">
        <v>3.8</v>
      </c>
      <c r="AH45" s="287"/>
      <c r="AI45" s="97"/>
      <c r="AJ45" s="264">
        <f t="shared" si="4"/>
        <v>0.3</v>
      </c>
      <c r="AK45" s="41"/>
      <c r="AL45" s="543">
        <f>ROUND(IF(AG45=0,1,AJ45/ABS(AG45)),3)</f>
        <v>7.9000000000000001E-2</v>
      </c>
      <c r="AM45" s="1632"/>
      <c r="AN45" s="1632"/>
    </row>
    <row r="46" spans="1:40">
      <c r="A46" s="291"/>
      <c r="B46" s="350" t="s">
        <v>407</v>
      </c>
      <c r="C46" s="291"/>
      <c r="D46" s="291"/>
      <c r="E46" s="264">
        <f t="shared" si="3"/>
        <v>0</v>
      </c>
      <c r="F46" s="264"/>
      <c r="G46" s="264"/>
      <c r="H46" s="264"/>
      <c r="I46" s="264"/>
      <c r="J46" s="264"/>
      <c r="K46" s="264"/>
      <c r="L46" s="553"/>
      <c r="M46" s="264"/>
      <c r="N46" s="553"/>
      <c r="O46" s="264"/>
      <c r="P46" s="553"/>
      <c r="Q46" s="264"/>
      <c r="R46" s="553"/>
      <c r="S46" s="264"/>
      <c r="T46" s="553"/>
      <c r="U46" s="264"/>
      <c r="V46" s="553"/>
      <c r="W46" s="264"/>
      <c r="X46" s="553"/>
      <c r="Y46" s="264"/>
      <c r="Z46" s="553"/>
      <c r="AA46" s="264"/>
      <c r="AB46" s="264"/>
      <c r="AC46" s="524"/>
      <c r="AD46" s="532">
        <v>0</v>
      </c>
      <c r="AE46" s="264"/>
      <c r="AF46" s="525" t="s">
        <v>103</v>
      </c>
      <c r="AG46" s="532">
        <v>0</v>
      </c>
      <c r="AH46" s="287"/>
      <c r="AI46" s="97"/>
      <c r="AJ46" s="264">
        <f>ROUND(AD46-AG46,1)</f>
        <v>0</v>
      </c>
      <c r="AK46" s="41"/>
      <c r="AL46" s="543">
        <f>ROUND(IF(AG46=0,0,AJ46/ABS(AG46)),3)</f>
        <v>0</v>
      </c>
      <c r="AM46" s="1632"/>
      <c r="AN46" s="1632"/>
    </row>
    <row r="47" spans="1:40">
      <c r="A47" s="291"/>
      <c r="B47" s="350" t="s">
        <v>408</v>
      </c>
      <c r="C47" s="291"/>
      <c r="D47" s="291"/>
      <c r="E47" s="264"/>
      <c r="F47" s="264"/>
      <c r="G47" s="264"/>
      <c r="H47" s="264"/>
      <c r="I47" s="264"/>
      <c r="J47" s="264"/>
      <c r="K47" s="264"/>
      <c r="L47" s="553"/>
      <c r="M47" s="264"/>
      <c r="N47" s="553"/>
      <c r="O47" s="264"/>
      <c r="P47" s="553"/>
      <c r="Q47" s="264"/>
      <c r="R47" s="553"/>
      <c r="S47" s="264"/>
      <c r="T47" s="553"/>
      <c r="U47" s="264"/>
      <c r="V47" s="553"/>
      <c r="W47" s="264"/>
      <c r="X47" s="553"/>
      <c r="Y47" s="264"/>
      <c r="Z47" s="553"/>
      <c r="AA47" s="264"/>
      <c r="AB47" s="264"/>
      <c r="AC47" s="524"/>
      <c r="AD47" s="289" t="s">
        <v>103</v>
      </c>
      <c r="AE47" s="1234"/>
      <c r="AF47" s="264"/>
      <c r="AG47" s="289" t="s">
        <v>103</v>
      </c>
      <c r="AH47" s="287"/>
      <c r="AI47" s="97"/>
      <c r="AJ47" s="264"/>
      <c r="AK47" s="41"/>
      <c r="AL47" s="96"/>
      <c r="AM47" s="1632"/>
      <c r="AN47" s="1632"/>
    </row>
    <row r="48" spans="1:40">
      <c r="A48" s="291"/>
      <c r="B48" s="350" t="s">
        <v>494</v>
      </c>
      <c r="C48" s="291"/>
      <c r="D48" s="291"/>
      <c r="E48" s="264">
        <f t="shared" si="3"/>
        <v>3.8000000000000003</v>
      </c>
      <c r="F48" s="264"/>
      <c r="G48" s="264"/>
      <c r="H48" s="264"/>
      <c r="I48" s="264"/>
      <c r="J48" s="264"/>
      <c r="K48" s="264"/>
      <c r="L48" s="553"/>
      <c r="M48" s="264"/>
      <c r="N48" s="553"/>
      <c r="O48" s="264"/>
      <c r="P48" s="553"/>
      <c r="Q48" s="264"/>
      <c r="R48" s="553"/>
      <c r="S48" s="264"/>
      <c r="T48" s="553"/>
      <c r="U48" s="264"/>
      <c r="V48" s="553"/>
      <c r="W48" s="264"/>
      <c r="X48" s="553"/>
      <c r="Y48" s="264"/>
      <c r="Z48" s="553"/>
      <c r="AA48" s="264"/>
      <c r="AB48" s="264"/>
      <c r="AC48" s="524"/>
      <c r="AD48" s="532">
        <v>3.8000000000000003</v>
      </c>
      <c r="AE48" s="264"/>
      <c r="AF48" s="525"/>
      <c r="AG48" s="532">
        <v>0</v>
      </c>
      <c r="AH48" s="287"/>
      <c r="AI48" s="97"/>
      <c r="AJ48" s="264">
        <f t="shared" si="4"/>
        <v>3.8</v>
      </c>
      <c r="AK48" s="41"/>
      <c r="AL48" s="1073">
        <f>ROUND(IF(AG48=0,1,AJ48/ABS(AG48)),3)</f>
        <v>1</v>
      </c>
      <c r="AM48" s="1632"/>
      <c r="AN48" s="1632"/>
    </row>
    <row r="49" spans="1:40" s="372" customFormat="1">
      <c r="B49" s="350" t="s">
        <v>496</v>
      </c>
      <c r="C49" s="291"/>
      <c r="D49" s="291"/>
      <c r="E49" s="264">
        <f t="shared" si="3"/>
        <v>0</v>
      </c>
      <c r="F49" s="289"/>
      <c r="G49" s="264"/>
      <c r="H49" s="289"/>
      <c r="I49" s="264"/>
      <c r="J49" s="289"/>
      <c r="K49" s="264"/>
      <c r="L49" s="553"/>
      <c r="M49" s="264"/>
      <c r="N49" s="553"/>
      <c r="O49" s="264"/>
      <c r="P49" s="553"/>
      <c r="Q49" s="264"/>
      <c r="R49" s="553"/>
      <c r="S49" s="264"/>
      <c r="T49" s="553"/>
      <c r="U49" s="264"/>
      <c r="V49" s="553"/>
      <c r="W49" s="264"/>
      <c r="X49" s="553"/>
      <c r="Y49" s="264"/>
      <c r="Z49" s="553"/>
      <c r="AA49" s="264"/>
      <c r="AB49" s="264"/>
      <c r="AC49" s="524"/>
      <c r="AD49" s="532">
        <v>0</v>
      </c>
      <c r="AE49" s="264"/>
      <c r="AF49" s="525" t="s">
        <v>103</v>
      </c>
      <c r="AG49" s="532">
        <v>0</v>
      </c>
      <c r="AH49" s="287"/>
      <c r="AI49" s="97"/>
      <c r="AJ49" s="264">
        <f t="shared" si="4"/>
        <v>0</v>
      </c>
      <c r="AK49" s="268"/>
      <c r="AL49" s="266">
        <f>ROUND(IF(AG49=0,0,AJ49/ABS(AG49)),3)</f>
        <v>0</v>
      </c>
      <c r="AM49" s="1632"/>
      <c r="AN49" s="1632"/>
    </row>
    <row r="50" spans="1:40">
      <c r="A50" s="291"/>
      <c r="B50" s="350" t="s">
        <v>497</v>
      </c>
      <c r="C50" s="291"/>
      <c r="D50" s="291"/>
      <c r="E50" s="264">
        <f t="shared" si="3"/>
        <v>0.2</v>
      </c>
      <c r="F50" s="264"/>
      <c r="G50" s="264"/>
      <c r="H50" s="264"/>
      <c r="I50" s="264"/>
      <c r="J50" s="264"/>
      <c r="K50" s="264"/>
      <c r="L50" s="553"/>
      <c r="M50" s="264"/>
      <c r="N50" s="553"/>
      <c r="O50" s="264"/>
      <c r="P50" s="553"/>
      <c r="Q50" s="264"/>
      <c r="R50" s="553"/>
      <c r="S50" s="264"/>
      <c r="T50" s="553"/>
      <c r="U50" s="264"/>
      <c r="V50" s="553"/>
      <c r="W50" s="264"/>
      <c r="X50" s="553"/>
      <c r="Y50" s="264"/>
      <c r="Z50" s="553"/>
      <c r="AA50" s="264"/>
      <c r="AB50" s="264"/>
      <c r="AC50" s="524"/>
      <c r="AD50" s="532">
        <v>0.2</v>
      </c>
      <c r="AE50" s="264"/>
      <c r="AF50" s="525" t="s">
        <v>103</v>
      </c>
      <c r="AG50" s="532">
        <v>2.8</v>
      </c>
      <c r="AH50" s="287"/>
      <c r="AI50" s="97"/>
      <c r="AJ50" s="264">
        <f t="shared" si="4"/>
        <v>-2.6</v>
      </c>
      <c r="AK50" s="41"/>
      <c r="AL50" s="543">
        <f>ROUND(IF(AG50=0,1,AJ50/ABS(AG50)),3)</f>
        <v>-0.92900000000000005</v>
      </c>
      <c r="AM50" s="1632"/>
      <c r="AN50" s="1632"/>
    </row>
    <row r="51" spans="1:40">
      <c r="A51" s="291"/>
      <c r="B51" s="350" t="s">
        <v>413</v>
      </c>
      <c r="C51" s="291"/>
      <c r="D51" s="291"/>
      <c r="E51" s="264">
        <f t="shared" si="3"/>
        <v>0.8</v>
      </c>
      <c r="F51" s="264"/>
      <c r="G51" s="264"/>
      <c r="H51" s="264"/>
      <c r="I51" s="264"/>
      <c r="J51" s="264"/>
      <c r="K51" s="264"/>
      <c r="L51" s="553"/>
      <c r="M51" s="264"/>
      <c r="N51" s="553"/>
      <c r="O51" s="264"/>
      <c r="P51" s="553"/>
      <c r="Q51" s="264"/>
      <c r="R51" s="553"/>
      <c r="S51" s="264"/>
      <c r="T51" s="553"/>
      <c r="U51" s="264"/>
      <c r="V51" s="553"/>
      <c r="W51" s="264"/>
      <c r="X51" s="553"/>
      <c r="Y51" s="264"/>
      <c r="Z51" s="553"/>
      <c r="AA51" s="264"/>
      <c r="AB51" s="264"/>
      <c r="AC51" s="524"/>
      <c r="AD51" s="532">
        <v>0.8</v>
      </c>
      <c r="AE51" s="264"/>
      <c r="AF51" s="525" t="s">
        <v>103</v>
      </c>
      <c r="AG51" s="532">
        <v>1.1000000000000001</v>
      </c>
      <c r="AH51" s="287"/>
      <c r="AI51" s="97"/>
      <c r="AJ51" s="264">
        <f t="shared" si="4"/>
        <v>-0.3</v>
      </c>
      <c r="AK51" s="41"/>
      <c r="AL51" s="266">
        <f>ROUND(IF(AG51=0,0,AJ51/ABS(AG51)),3)</f>
        <v>-0.27300000000000002</v>
      </c>
      <c r="AM51" s="1632"/>
      <c r="AN51" s="1632"/>
    </row>
    <row r="52" spans="1:40">
      <c r="A52" s="291"/>
      <c r="B52" s="350" t="s">
        <v>414</v>
      </c>
      <c r="C52" s="291"/>
      <c r="D52" s="291"/>
      <c r="E52" s="264"/>
      <c r="F52" s="264"/>
      <c r="G52" s="264"/>
      <c r="H52" s="264"/>
      <c r="I52" s="264"/>
      <c r="J52" s="264"/>
      <c r="K52" s="264"/>
      <c r="L52" s="553"/>
      <c r="M52" s="264"/>
      <c r="N52" s="553"/>
      <c r="O52" s="264"/>
      <c r="P52" s="553"/>
      <c r="Q52" s="264"/>
      <c r="R52" s="553"/>
      <c r="S52" s="264"/>
      <c r="T52" s="553"/>
      <c r="U52" s="264"/>
      <c r="V52" s="553"/>
      <c r="W52" s="264"/>
      <c r="X52" s="553"/>
      <c r="Y52" s="264"/>
      <c r="Z52" s="553"/>
      <c r="AA52" s="264"/>
      <c r="AB52" s="264"/>
      <c r="AC52" s="524"/>
      <c r="AD52" s="289" t="s">
        <v>103</v>
      </c>
      <c r="AE52" s="1234"/>
      <c r="AF52" s="264"/>
      <c r="AG52" s="289" t="s">
        <v>103</v>
      </c>
      <c r="AH52" s="287"/>
      <c r="AI52" s="97"/>
      <c r="AJ52" s="264"/>
      <c r="AK52" s="41"/>
      <c r="AL52" s="96"/>
      <c r="AM52" s="1632"/>
      <c r="AN52" s="1632"/>
    </row>
    <row r="53" spans="1:40">
      <c r="A53" s="291"/>
      <c r="B53" s="350" t="s">
        <v>498</v>
      </c>
      <c r="C53" s="291"/>
      <c r="D53" s="291"/>
      <c r="E53" s="264">
        <f t="shared" si="3"/>
        <v>0</v>
      </c>
      <c r="F53" s="289"/>
      <c r="G53" s="264"/>
      <c r="H53" s="264"/>
      <c r="I53" s="264"/>
      <c r="J53" s="264"/>
      <c r="K53" s="264"/>
      <c r="L53" s="553"/>
      <c r="M53" s="264"/>
      <c r="N53" s="553"/>
      <c r="O53" s="264"/>
      <c r="P53" s="553"/>
      <c r="Q53" s="264"/>
      <c r="R53" s="553"/>
      <c r="S53" s="264"/>
      <c r="T53" s="553"/>
      <c r="U53" s="264"/>
      <c r="V53" s="553"/>
      <c r="W53" s="264"/>
      <c r="X53" s="553"/>
      <c r="Y53" s="264"/>
      <c r="Z53" s="553"/>
      <c r="AA53" s="264"/>
      <c r="AB53" s="264"/>
      <c r="AC53" s="524"/>
      <c r="AD53" s="532">
        <v>0</v>
      </c>
      <c r="AE53" s="264"/>
      <c r="AF53" s="525" t="s">
        <v>103</v>
      </c>
      <c r="AG53" s="532">
        <v>0</v>
      </c>
      <c r="AH53" s="287"/>
      <c r="AI53" s="97"/>
      <c r="AJ53" s="264">
        <f t="shared" si="4"/>
        <v>0</v>
      </c>
      <c r="AK53" s="41"/>
      <c r="AL53" s="266">
        <f>ROUND(IF(AG53=0,0,AJ53/ABS(AG53)),3)</f>
        <v>0</v>
      </c>
      <c r="AM53" s="1632"/>
      <c r="AN53" s="1632"/>
    </row>
    <row r="54" spans="1:40">
      <c r="A54" s="291"/>
      <c r="B54" s="350" t="s">
        <v>500</v>
      </c>
      <c r="C54" s="291"/>
      <c r="D54" s="291"/>
      <c r="E54" s="264">
        <f t="shared" si="3"/>
        <v>0.1</v>
      </c>
      <c r="F54" s="289"/>
      <c r="G54" s="264"/>
      <c r="H54" s="264"/>
      <c r="I54" s="264"/>
      <c r="J54" s="264"/>
      <c r="K54" s="264"/>
      <c r="L54" s="553"/>
      <c r="M54" s="264"/>
      <c r="N54" s="553"/>
      <c r="O54" s="264"/>
      <c r="P54" s="553"/>
      <c r="Q54" s="264"/>
      <c r="R54" s="553"/>
      <c r="S54" s="264"/>
      <c r="T54" s="553"/>
      <c r="U54" s="264"/>
      <c r="V54" s="553"/>
      <c r="W54" s="264"/>
      <c r="X54" s="553"/>
      <c r="Y54" s="264"/>
      <c r="Z54" s="553"/>
      <c r="AA54" s="264"/>
      <c r="AB54" s="264"/>
      <c r="AC54" s="524"/>
      <c r="AD54" s="532">
        <v>0.1</v>
      </c>
      <c r="AE54" s="264"/>
      <c r="AF54" s="525" t="s">
        <v>103</v>
      </c>
      <c r="AG54" s="532">
        <v>-0.7</v>
      </c>
      <c r="AH54" s="287"/>
      <c r="AI54" s="97"/>
      <c r="AJ54" s="264">
        <f t="shared" si="4"/>
        <v>0.8</v>
      </c>
      <c r="AK54" s="41"/>
      <c r="AL54" s="266">
        <f>ROUND(IF(AG54=0,0,AJ54/ABS(AG54)),3)</f>
        <v>1.143</v>
      </c>
      <c r="AM54" s="1632"/>
      <c r="AN54" s="1632"/>
    </row>
    <row r="55" spans="1:40">
      <c r="A55" s="291"/>
      <c r="B55" s="350" t="s">
        <v>501</v>
      </c>
      <c r="C55" s="291"/>
      <c r="D55" s="291"/>
      <c r="E55" s="264">
        <f t="shared" si="3"/>
        <v>9.5</v>
      </c>
      <c r="F55" s="289"/>
      <c r="G55" s="264"/>
      <c r="H55" s="264"/>
      <c r="I55" s="264"/>
      <c r="J55" s="264"/>
      <c r="K55" s="264"/>
      <c r="L55" s="553"/>
      <c r="M55" s="264"/>
      <c r="N55" s="553"/>
      <c r="O55" s="264"/>
      <c r="P55" s="553"/>
      <c r="Q55" s="264"/>
      <c r="R55" s="553"/>
      <c r="S55" s="264"/>
      <c r="T55" s="553"/>
      <c r="U55" s="264"/>
      <c r="V55" s="553"/>
      <c r="W55" s="264"/>
      <c r="X55" s="553"/>
      <c r="Y55" s="264"/>
      <c r="Z55" s="553"/>
      <c r="AA55" s="264"/>
      <c r="AB55" s="264"/>
      <c r="AC55" s="524"/>
      <c r="AD55" s="532">
        <v>9.5</v>
      </c>
      <c r="AE55" s="264"/>
      <c r="AF55" s="525" t="s">
        <v>103</v>
      </c>
      <c r="AG55" s="532">
        <v>1.8</v>
      </c>
      <c r="AH55" s="287"/>
      <c r="AI55" s="97"/>
      <c r="AJ55" s="264">
        <f t="shared" si="4"/>
        <v>7.7</v>
      </c>
      <c r="AK55" s="41"/>
      <c r="AL55" s="266">
        <f>ROUND(IF(AG55=0,1,AJ55/ABS(AG55)),3)</f>
        <v>4.2779999999999996</v>
      </c>
      <c r="AM55" s="1632"/>
      <c r="AN55" s="1632"/>
    </row>
    <row r="56" spans="1:40">
      <c r="A56" s="291"/>
      <c r="B56" s="350" t="s">
        <v>503</v>
      </c>
      <c r="C56" s="291"/>
      <c r="D56" s="291"/>
      <c r="E56" s="264">
        <f t="shared" si="3"/>
        <v>0</v>
      </c>
      <c r="F56" s="289"/>
      <c r="G56" s="264"/>
      <c r="H56" s="264"/>
      <c r="I56" s="264"/>
      <c r="J56" s="264"/>
      <c r="K56" s="264"/>
      <c r="L56" s="553"/>
      <c r="M56" s="264"/>
      <c r="N56" s="553"/>
      <c r="O56" s="264"/>
      <c r="P56" s="553"/>
      <c r="Q56" s="264"/>
      <c r="R56" s="553"/>
      <c r="S56" s="264"/>
      <c r="T56" s="553"/>
      <c r="U56" s="264"/>
      <c r="V56" s="553"/>
      <c r="W56" s="264"/>
      <c r="X56" s="553"/>
      <c r="Y56" s="264"/>
      <c r="Z56" s="553"/>
      <c r="AA56" s="264"/>
      <c r="AB56" s="264"/>
      <c r="AC56" s="524"/>
      <c r="AD56" s="532">
        <v>0</v>
      </c>
      <c r="AE56" s="264"/>
      <c r="AF56" s="525" t="s">
        <v>103</v>
      </c>
      <c r="AG56" s="532">
        <v>0</v>
      </c>
      <c r="AH56" s="287"/>
      <c r="AI56" s="97"/>
      <c r="AJ56" s="264">
        <f>ROUND(AD56-AG56,1)</f>
        <v>0</v>
      </c>
      <c r="AK56" s="41"/>
      <c r="AL56" s="266">
        <f>ROUND(IF(AG56=0,0,AJ56/ABS(AG56)),3)</f>
        <v>0</v>
      </c>
      <c r="AM56" s="1632"/>
      <c r="AN56" s="1632"/>
    </row>
    <row r="57" spans="1:40">
      <c r="A57" s="291"/>
      <c r="B57" s="350" t="s">
        <v>504</v>
      </c>
      <c r="C57" s="291"/>
      <c r="D57" s="291"/>
      <c r="E57" s="264">
        <f t="shared" si="3"/>
        <v>0.8</v>
      </c>
      <c r="F57" s="289"/>
      <c r="G57" s="264"/>
      <c r="H57" s="264"/>
      <c r="I57" s="264"/>
      <c r="J57" s="264"/>
      <c r="K57" s="264"/>
      <c r="L57" s="553"/>
      <c r="M57" s="264"/>
      <c r="N57" s="553"/>
      <c r="O57" s="264"/>
      <c r="P57" s="553"/>
      <c r="Q57" s="264"/>
      <c r="R57" s="553"/>
      <c r="S57" s="264"/>
      <c r="T57" s="553"/>
      <c r="U57" s="264"/>
      <c r="V57" s="553"/>
      <c r="W57" s="264"/>
      <c r="X57" s="553"/>
      <c r="Y57" s="264"/>
      <c r="Z57" s="553"/>
      <c r="AA57" s="264"/>
      <c r="AB57" s="264"/>
      <c r="AC57" s="524"/>
      <c r="AD57" s="532">
        <v>0.8</v>
      </c>
      <c r="AE57" s="264"/>
      <c r="AF57" s="525" t="s">
        <v>103</v>
      </c>
      <c r="AG57" s="532">
        <v>0</v>
      </c>
      <c r="AH57" s="287"/>
      <c r="AI57" s="97"/>
      <c r="AJ57" s="264">
        <f t="shared" si="4"/>
        <v>0.8</v>
      </c>
      <c r="AK57" s="41"/>
      <c r="AL57" s="1073">
        <f>ROUND(IF(AG57=0,1,AJ57/ABS(AG57)),3)</f>
        <v>1</v>
      </c>
      <c r="AM57" s="1632"/>
      <c r="AN57" s="1632"/>
    </row>
    <row r="58" spans="1:40">
      <c r="A58" s="291"/>
      <c r="B58" s="350" t="s">
        <v>505</v>
      </c>
      <c r="C58" s="291"/>
      <c r="D58" s="291"/>
      <c r="E58" s="264">
        <f t="shared" si="3"/>
        <v>0.4</v>
      </c>
      <c r="F58" s="289"/>
      <c r="G58" s="264"/>
      <c r="H58" s="264"/>
      <c r="I58" s="264"/>
      <c r="J58" s="264"/>
      <c r="K58" s="264"/>
      <c r="L58" s="553"/>
      <c r="M58" s="264"/>
      <c r="N58" s="553"/>
      <c r="O58" s="264"/>
      <c r="P58" s="553"/>
      <c r="Q58" s="264"/>
      <c r="R58" s="553"/>
      <c r="S58" s="264"/>
      <c r="T58" s="553"/>
      <c r="U58" s="264"/>
      <c r="V58" s="553"/>
      <c r="W58" s="264"/>
      <c r="X58" s="553"/>
      <c r="Y58" s="264"/>
      <c r="Z58" s="553"/>
      <c r="AA58" s="264"/>
      <c r="AB58" s="264"/>
      <c r="AC58" s="524"/>
      <c r="AD58" s="532">
        <v>0.4</v>
      </c>
      <c r="AE58" s="264"/>
      <c r="AF58" s="525" t="s">
        <v>103</v>
      </c>
      <c r="AG58" s="532">
        <v>0.3</v>
      </c>
      <c r="AH58" s="287"/>
      <c r="AI58" s="97"/>
      <c r="AJ58" s="264">
        <f t="shared" si="4"/>
        <v>0.1</v>
      </c>
      <c r="AK58" s="41"/>
      <c r="AL58" s="543">
        <f>ROUND(IF(AG58=0,0,AJ58/ABS(AG58)),3)</f>
        <v>0.33300000000000002</v>
      </c>
      <c r="AM58" s="1632"/>
      <c r="AN58" s="1632"/>
    </row>
    <row r="59" spans="1:40">
      <c r="A59" s="291"/>
      <c r="B59" s="350" t="s">
        <v>424</v>
      </c>
      <c r="C59" s="291"/>
      <c r="D59" s="291"/>
      <c r="E59" s="264">
        <f t="shared" si="3"/>
        <v>0.1</v>
      </c>
      <c r="F59" s="289"/>
      <c r="G59" s="264"/>
      <c r="H59" s="264"/>
      <c r="I59" s="264"/>
      <c r="J59" s="264"/>
      <c r="K59" s="264"/>
      <c r="L59" s="553"/>
      <c r="M59" s="264"/>
      <c r="N59" s="553"/>
      <c r="O59" s="264"/>
      <c r="P59" s="553"/>
      <c r="Q59" s="264"/>
      <c r="R59" s="553"/>
      <c r="S59" s="264"/>
      <c r="T59" s="553"/>
      <c r="U59" s="264"/>
      <c r="V59" s="553"/>
      <c r="W59" s="264"/>
      <c r="X59" s="553"/>
      <c r="Y59" s="264"/>
      <c r="Z59" s="553"/>
      <c r="AA59" s="264"/>
      <c r="AB59" s="264"/>
      <c r="AC59" s="524"/>
      <c r="AD59" s="532">
        <v>0.1</v>
      </c>
      <c r="AE59" s="264"/>
      <c r="AF59" s="525" t="s">
        <v>103</v>
      </c>
      <c r="AG59" s="532">
        <v>0.1</v>
      </c>
      <c r="AH59" s="287"/>
      <c r="AI59" s="97"/>
      <c r="AJ59" s="264">
        <f t="shared" si="4"/>
        <v>0</v>
      </c>
      <c r="AK59" s="41"/>
      <c r="AL59" s="543">
        <f>ROUND(IF(AG59=0,1,AJ59/ABS(AG59)),3)</f>
        <v>0</v>
      </c>
      <c r="AM59" s="1632"/>
      <c r="AN59" s="1632"/>
    </row>
    <row r="60" spans="1:40" s="3" customFormat="1" collapsed="1">
      <c r="B60" s="83" t="s">
        <v>526</v>
      </c>
      <c r="E60" s="68">
        <f>ROUND(SUM(E33:E59),1)</f>
        <v>39</v>
      </c>
      <c r="F60" s="13"/>
      <c r="G60" s="68">
        <f>ROUND(SUM(G33:G59),1)</f>
        <v>0</v>
      </c>
      <c r="H60" s="394"/>
      <c r="I60" s="68">
        <f>ROUND(SUM(I33:I59),1)</f>
        <v>0</v>
      </c>
      <c r="J60" s="13"/>
      <c r="K60" s="68">
        <f>ROUND(SUM(K33:K59),1)</f>
        <v>0</v>
      </c>
      <c r="L60" s="264"/>
      <c r="M60" s="68">
        <f>ROUND(SUM(M33:M59),1)</f>
        <v>0</v>
      </c>
      <c r="N60" s="264"/>
      <c r="O60" s="68">
        <f>ROUND(SUM(O33:O59),1)</f>
        <v>0</v>
      </c>
      <c r="P60" s="264"/>
      <c r="Q60" s="68">
        <f>ROUND(SUM(Q33:Q59),1)</f>
        <v>0</v>
      </c>
      <c r="R60" s="264"/>
      <c r="S60" s="68">
        <f>ROUND(SUM(S33:S59),1)</f>
        <v>0</v>
      </c>
      <c r="T60" s="13"/>
      <c r="U60" s="68">
        <f>ROUND(SUM(U33:U59),1)</f>
        <v>0</v>
      </c>
      <c r="V60" s="264"/>
      <c r="W60" s="68">
        <f>ROUND(SUM(W33:W59),1)</f>
        <v>0</v>
      </c>
      <c r="X60" s="264"/>
      <c r="Y60" s="68">
        <f>ROUND(SUM(Y33:Y59),1)</f>
        <v>0</v>
      </c>
      <c r="Z60" s="264"/>
      <c r="AA60" s="68">
        <f>ROUND(SUM(AA33:AA59),1)</f>
        <v>0</v>
      </c>
      <c r="AB60" s="13"/>
      <c r="AC60" s="14"/>
      <c r="AD60" s="68">
        <f>ROUND(SUM(AD33:AD59),1)</f>
        <v>39</v>
      </c>
      <c r="AE60" s="1236"/>
      <c r="AF60" s="13"/>
      <c r="AG60" s="68">
        <f>ROUND(SUM(AG33:AG59),1)</f>
        <v>78</v>
      </c>
      <c r="AH60" s="18"/>
      <c r="AI60" s="97"/>
      <c r="AJ60" s="68">
        <f>ROUND(SUM(AJ33:AJ59),1)</f>
        <v>-39</v>
      </c>
      <c r="AK60" s="40"/>
      <c r="AL60" s="538">
        <f>ROUND(IF(AG60=0,0,AJ60/ABS(AG60)),3)</f>
        <v>-0.5</v>
      </c>
      <c r="AM60" s="1632"/>
      <c r="AN60" s="1632"/>
    </row>
    <row r="61" spans="1:40" s="3" customFormat="1">
      <c r="B61" s="83"/>
      <c r="E61" s="13"/>
      <c r="F61" s="13"/>
      <c r="G61" s="13"/>
      <c r="H61" s="394"/>
      <c r="I61" s="13"/>
      <c r="J61" s="13"/>
      <c r="K61" s="13"/>
      <c r="L61" s="553"/>
      <c r="M61" s="513"/>
      <c r="N61" s="553"/>
      <c r="O61" s="513"/>
      <c r="P61" s="553"/>
      <c r="Q61" s="513"/>
      <c r="R61" s="553"/>
      <c r="S61" s="513"/>
      <c r="T61" s="553"/>
      <c r="U61" s="513"/>
      <c r="V61" s="553"/>
      <c r="W61" s="513"/>
      <c r="X61" s="553"/>
      <c r="Y61" s="513"/>
      <c r="Z61" s="553"/>
      <c r="AA61" s="513"/>
      <c r="AB61" s="13"/>
      <c r="AC61" s="14"/>
      <c r="AD61" s="13"/>
      <c r="AE61" s="1236"/>
      <c r="AF61" s="13"/>
      <c r="AG61" s="13"/>
      <c r="AH61" s="18"/>
      <c r="AI61" s="97"/>
      <c r="AJ61" s="13"/>
      <c r="AK61" s="40"/>
      <c r="AL61" s="74"/>
      <c r="AM61" s="1632"/>
      <c r="AN61" s="1632"/>
    </row>
    <row r="62" spans="1:40">
      <c r="A62" s="291"/>
      <c r="B62" s="291" t="s">
        <v>507</v>
      </c>
      <c r="C62" s="291"/>
      <c r="D62" s="291"/>
      <c r="E62" s="264">
        <f>AD62</f>
        <v>0</v>
      </c>
      <c r="F62" s="264"/>
      <c r="G62" s="264"/>
      <c r="H62" s="264"/>
      <c r="I62" s="264"/>
      <c r="J62" s="264"/>
      <c r="K62" s="264"/>
      <c r="L62" s="253"/>
      <c r="M62" s="264"/>
      <c r="N62" s="253"/>
      <c r="O62" s="264"/>
      <c r="P62" s="253"/>
      <c r="Q62" s="264"/>
      <c r="R62" s="253"/>
      <c r="S62" s="264"/>
      <c r="T62" s="885"/>
      <c r="U62" s="264"/>
      <c r="V62" s="885"/>
      <c r="W62" s="264"/>
      <c r="X62" s="885"/>
      <c r="Y62" s="264"/>
      <c r="Z62" s="885"/>
      <c r="AA62" s="264"/>
      <c r="AB62" s="291"/>
      <c r="AC62" s="524"/>
      <c r="AD62" s="532">
        <v>0</v>
      </c>
      <c r="AE62" s="264"/>
      <c r="AF62" s="525" t="s">
        <v>103</v>
      </c>
      <c r="AG62" s="532">
        <v>0</v>
      </c>
      <c r="AH62" s="287"/>
      <c r="AI62" s="98"/>
      <c r="AJ62" s="383">
        <f>ROUND(AD62-AG62,1)</f>
        <v>0</v>
      </c>
      <c r="AK62" s="41"/>
      <c r="AL62" s="534">
        <f>ROUND(IF(AG62=0,0,AJ62/ABS(AG62)),3)</f>
        <v>0</v>
      </c>
      <c r="AM62" s="1632"/>
      <c r="AN62" s="1632"/>
    </row>
    <row r="63" spans="1:40">
      <c r="A63" s="291"/>
      <c r="B63" s="291"/>
      <c r="C63" s="291"/>
      <c r="D63" s="291"/>
      <c r="E63" s="616"/>
      <c r="F63" s="264"/>
      <c r="G63" s="616"/>
      <c r="H63" s="264"/>
      <c r="I63" s="616"/>
      <c r="J63" s="264"/>
      <c r="K63" s="616"/>
      <c r="L63" s="253"/>
      <c r="M63" s="616"/>
      <c r="N63" s="253"/>
      <c r="O63" s="616"/>
      <c r="P63" s="253"/>
      <c r="Q63" s="616"/>
      <c r="R63" s="253"/>
      <c r="S63" s="616"/>
      <c r="T63" s="253"/>
      <c r="U63" s="616"/>
      <c r="V63" s="253"/>
      <c r="W63" s="616"/>
      <c r="X63" s="253"/>
      <c r="Y63" s="616"/>
      <c r="Z63" s="253"/>
      <c r="AA63" s="616"/>
      <c r="AB63" s="291"/>
      <c r="AC63" s="524"/>
      <c r="AD63" s="616"/>
      <c r="AE63" s="1234"/>
      <c r="AF63" s="264"/>
      <c r="AG63" s="616"/>
      <c r="AH63" s="264"/>
      <c r="AI63" s="98"/>
      <c r="AJ63" s="264"/>
      <c r="AL63" s="266"/>
      <c r="AM63" s="1632"/>
      <c r="AN63" s="1632"/>
    </row>
    <row r="64" spans="1:40">
      <c r="A64" s="291"/>
      <c r="B64" s="3" t="s">
        <v>563</v>
      </c>
      <c r="C64" s="291"/>
      <c r="D64" s="291"/>
      <c r="E64" s="357">
        <f>ROUND(SUM(E31+E60+E62),1)</f>
        <v>125.1</v>
      </c>
      <c r="F64" s="13"/>
      <c r="G64" s="357">
        <f>ROUND(SUM(G31+G60+G62),1)</f>
        <v>0</v>
      </c>
      <c r="H64" s="13"/>
      <c r="I64" s="1136">
        <f>ROUND(SUM(I31+I60+I62),1)</f>
        <v>0</v>
      </c>
      <c r="J64" s="13"/>
      <c r="K64" s="1136">
        <f>ROUND(SUM(K31+K60+K62),1)</f>
        <v>0</v>
      </c>
      <c r="L64" s="13"/>
      <c r="M64" s="357">
        <f>ROUND(SUM(M31+M60+M62),1)</f>
        <v>0</v>
      </c>
      <c r="N64" s="13"/>
      <c r="O64" s="357">
        <f>ROUND(SUM(O31+O60+O62),1)</f>
        <v>0</v>
      </c>
      <c r="P64" s="13"/>
      <c r="Q64" s="357">
        <f>ROUND(SUM(Q31+Q60+Q62),1)</f>
        <v>0</v>
      </c>
      <c r="R64" s="13"/>
      <c r="S64" s="357">
        <f>ROUND(SUM(S31+S60+S62),1)</f>
        <v>0</v>
      </c>
      <c r="T64" s="13"/>
      <c r="U64" s="357">
        <f>ROUND(SUM(U31+U60+U62),1)</f>
        <v>0</v>
      </c>
      <c r="V64" s="13"/>
      <c r="W64" s="357">
        <f>ROUND(SUM(W31+W60+W62),1)</f>
        <v>0</v>
      </c>
      <c r="X64" s="13"/>
      <c r="Y64" s="357">
        <f>ROUND(SUM(Y31+Y60+Y62),1)</f>
        <v>0</v>
      </c>
      <c r="Z64" s="13"/>
      <c r="AA64" s="357">
        <f>ROUND(SUM(AA31+AA60+AA62),1)</f>
        <v>0</v>
      </c>
      <c r="AB64" s="13"/>
      <c r="AC64" s="14"/>
      <c r="AD64" s="357">
        <f>ROUND(SUM(AD31+AD60+AD62),1)</f>
        <v>125.1</v>
      </c>
      <c r="AE64" s="1236"/>
      <c r="AF64" s="13"/>
      <c r="AG64" s="357">
        <f>ROUND(SUM(AG31+AG60+AG62),1)</f>
        <v>172.9</v>
      </c>
      <c r="AH64" s="18"/>
      <c r="AI64" s="98"/>
      <c r="AJ64" s="357">
        <f>ROUND(SUM(AJ31+AJ60+AJ62),1)</f>
        <v>-47.8</v>
      </c>
      <c r="AK64" s="40"/>
      <c r="AL64" s="539">
        <f>ROUND(IF(AG64=0,0,AJ64/ABS(AG64)),3)</f>
        <v>-0.27600000000000002</v>
      </c>
      <c r="AM64" s="1632"/>
      <c r="AN64" s="1632"/>
    </row>
    <row r="65" spans="1:40">
      <c r="A65" s="291"/>
      <c r="B65" s="291"/>
      <c r="C65" s="291"/>
      <c r="D65" s="291"/>
      <c r="E65" s="264"/>
      <c r="F65" s="264"/>
      <c r="G65" s="264"/>
      <c r="H65" s="264"/>
      <c r="I65" s="264"/>
      <c r="J65" s="264"/>
      <c r="K65" s="264"/>
      <c r="L65" s="553"/>
      <c r="M65" s="513"/>
      <c r="N65" s="553"/>
      <c r="O65" s="513"/>
      <c r="P65" s="553"/>
      <c r="Q65" s="513"/>
      <c r="R65" s="553"/>
      <c r="S65" s="513"/>
      <c r="T65" s="553"/>
      <c r="U65" s="513"/>
      <c r="V65" s="553"/>
      <c r="W65" s="513"/>
      <c r="X65" s="553"/>
      <c r="Y65" s="513"/>
      <c r="Z65" s="553"/>
      <c r="AA65" s="513"/>
      <c r="AB65" s="1234"/>
      <c r="AC65" s="264"/>
      <c r="AD65" s="616"/>
      <c r="AE65" s="1234"/>
      <c r="AF65" s="264"/>
      <c r="AG65" s="616"/>
      <c r="AH65" s="264"/>
      <c r="AI65" s="98"/>
      <c r="AJ65" s="12"/>
      <c r="AL65" s="96"/>
      <c r="AM65" s="1632"/>
      <c r="AN65" s="1632"/>
    </row>
    <row r="66" spans="1:40">
      <c r="A66" s="291"/>
      <c r="B66" s="3" t="s">
        <v>122</v>
      </c>
      <c r="C66" s="291"/>
      <c r="D66" s="291"/>
      <c r="E66" s="264"/>
      <c r="F66" s="264"/>
      <c r="G66" s="264"/>
      <c r="H66" s="264"/>
      <c r="I66" s="264"/>
      <c r="J66" s="264"/>
      <c r="K66" s="264"/>
      <c r="L66" s="553"/>
      <c r="M66" s="513"/>
      <c r="N66" s="553"/>
      <c r="O66" s="513"/>
      <c r="P66" s="553"/>
      <c r="Q66" s="513"/>
      <c r="R66" s="553"/>
      <c r="S66" s="513"/>
      <c r="T66" s="553"/>
      <c r="U66" s="513"/>
      <c r="V66" s="553"/>
      <c r="W66" s="513"/>
      <c r="X66" s="553"/>
      <c r="Y66" s="513"/>
      <c r="Z66" s="553"/>
      <c r="AA66" s="513"/>
      <c r="AB66" s="1234"/>
      <c r="AC66" s="264"/>
      <c r="AD66" s="264"/>
      <c r="AE66" s="1234"/>
      <c r="AF66" s="264"/>
      <c r="AG66" s="264"/>
      <c r="AH66" s="264"/>
      <c r="AI66" s="98"/>
      <c r="AJ66" s="12"/>
      <c r="AL66" s="96"/>
      <c r="AM66" s="1632"/>
      <c r="AN66" s="1632"/>
    </row>
    <row r="67" spans="1:40">
      <c r="A67" s="291"/>
      <c r="B67" s="291" t="s">
        <v>451</v>
      </c>
      <c r="C67" s="291"/>
      <c r="D67" s="291"/>
      <c r="E67" s="264"/>
      <c r="F67" s="264"/>
      <c r="G67" s="264"/>
      <c r="H67" s="264"/>
      <c r="I67" s="264"/>
      <c r="J67" s="264"/>
      <c r="K67" s="264"/>
      <c r="L67" s="553"/>
      <c r="M67" s="513"/>
      <c r="N67" s="553"/>
      <c r="O67" s="513"/>
      <c r="P67" s="553"/>
      <c r="Q67" s="513"/>
      <c r="R67" s="553"/>
      <c r="S67" s="513"/>
      <c r="T67" s="553"/>
      <c r="U67" s="513"/>
      <c r="V67" s="553"/>
      <c r="W67" s="513"/>
      <c r="X67" s="553"/>
      <c r="Y67" s="513"/>
      <c r="Z67" s="553"/>
      <c r="AA67" s="513"/>
      <c r="AB67" s="264"/>
      <c r="AC67" s="524"/>
      <c r="AD67" s="264"/>
      <c r="AE67" s="1234"/>
      <c r="AF67" s="264"/>
      <c r="AG67" s="264"/>
      <c r="AH67" s="264"/>
      <c r="AI67" s="98"/>
      <c r="AJ67" s="12"/>
      <c r="AL67" s="96"/>
      <c r="AM67" s="1632"/>
      <c r="AN67" s="1632"/>
    </row>
    <row r="68" spans="1:40">
      <c r="A68" s="291"/>
      <c r="B68" s="291" t="s">
        <v>124</v>
      </c>
      <c r="C68" s="291"/>
      <c r="D68" s="291"/>
      <c r="E68" s="264">
        <f>AD68</f>
        <v>36.1</v>
      </c>
      <c r="F68" s="264"/>
      <c r="G68" s="264"/>
      <c r="H68" s="264"/>
      <c r="I68" s="264"/>
      <c r="J68" s="264"/>
      <c r="K68" s="264"/>
      <c r="L68" s="553"/>
      <c r="M68" s="264"/>
      <c r="N68" s="553"/>
      <c r="O68" s="264"/>
      <c r="P68" s="553"/>
      <c r="Q68" s="264"/>
      <c r="R68" s="553"/>
      <c r="S68" s="264"/>
      <c r="T68" s="553"/>
      <c r="U68" s="264"/>
      <c r="V68" s="553"/>
      <c r="W68" s="264"/>
      <c r="X68" s="553"/>
      <c r="Y68" s="264"/>
      <c r="Z68" s="553"/>
      <c r="AA68" s="264"/>
      <c r="AB68" s="264"/>
      <c r="AC68" s="524"/>
      <c r="AD68" s="532">
        <v>36.1</v>
      </c>
      <c r="AE68" s="264"/>
      <c r="AF68" s="525" t="s">
        <v>103</v>
      </c>
      <c r="AG68" s="532">
        <v>7</v>
      </c>
      <c r="AH68" s="287"/>
      <c r="AI68" s="97"/>
      <c r="AJ68" s="264">
        <f t="shared" ref="AJ68:AJ76" si="5">ROUND(AD68-AG68,1)</f>
        <v>29.1</v>
      </c>
      <c r="AK68" s="41"/>
      <c r="AL68" s="1073">
        <f>ROUND(IF(AG68=0,1,AJ68/ABS(AG68)),3)</f>
        <v>4.157</v>
      </c>
      <c r="AM68" s="1632"/>
      <c r="AN68" s="1632"/>
    </row>
    <row r="69" spans="1:40">
      <c r="A69" s="291"/>
      <c r="B69" s="291" t="s">
        <v>125</v>
      </c>
      <c r="C69" s="291"/>
      <c r="D69" s="291"/>
      <c r="E69" s="264">
        <f t="shared" ref="E69:E76" si="6">AD69</f>
        <v>11.4</v>
      </c>
      <c r="F69" s="264"/>
      <c r="G69" s="264"/>
      <c r="H69" s="264"/>
      <c r="I69" s="264"/>
      <c r="J69" s="264"/>
      <c r="K69" s="264"/>
      <c r="L69" s="553"/>
      <c r="M69" s="264"/>
      <c r="N69" s="553"/>
      <c r="O69" s="264"/>
      <c r="P69" s="553"/>
      <c r="Q69" s="264"/>
      <c r="R69" s="553"/>
      <c r="S69" s="264"/>
      <c r="T69" s="553"/>
      <c r="U69" s="264"/>
      <c r="V69" s="553"/>
      <c r="W69" s="264"/>
      <c r="X69" s="553"/>
      <c r="Y69" s="264"/>
      <c r="Z69" s="553"/>
      <c r="AA69" s="264"/>
      <c r="AB69" s="264"/>
      <c r="AC69" s="524"/>
      <c r="AD69" s="532">
        <v>11.4</v>
      </c>
      <c r="AE69" s="264"/>
      <c r="AF69" s="525" t="s">
        <v>103</v>
      </c>
      <c r="AG69" s="532">
        <v>6.1</v>
      </c>
      <c r="AH69" s="287"/>
      <c r="AI69" s="97"/>
      <c r="AJ69" s="264">
        <f t="shared" si="5"/>
        <v>5.3</v>
      </c>
      <c r="AK69" s="41"/>
      <c r="AL69" s="266">
        <f>ROUND(IF(AG69=0,0,AJ69/ABS(AG69)),3)</f>
        <v>0.86899999999999999</v>
      </c>
      <c r="AM69" s="1632"/>
      <c r="AN69" s="1632"/>
    </row>
    <row r="70" spans="1:40">
      <c r="A70" s="291"/>
      <c r="B70" s="291" t="s">
        <v>126</v>
      </c>
      <c r="C70" s="291"/>
      <c r="D70" s="291"/>
      <c r="E70" s="264">
        <f t="shared" si="6"/>
        <v>35.9</v>
      </c>
      <c r="F70" s="264"/>
      <c r="G70" s="264"/>
      <c r="H70" s="264"/>
      <c r="I70" s="264"/>
      <c r="J70" s="264"/>
      <c r="K70" s="264"/>
      <c r="L70" s="553"/>
      <c r="M70" s="264"/>
      <c r="N70" s="553"/>
      <c r="O70" s="264"/>
      <c r="P70" s="553"/>
      <c r="Q70" s="264"/>
      <c r="R70" s="553"/>
      <c r="S70" s="264"/>
      <c r="T70" s="553"/>
      <c r="U70" s="264"/>
      <c r="V70" s="553"/>
      <c r="W70" s="264"/>
      <c r="X70" s="553"/>
      <c r="Y70" s="264"/>
      <c r="Z70" s="553"/>
      <c r="AA70" s="264"/>
      <c r="AB70" s="264"/>
      <c r="AC70" s="524"/>
      <c r="AD70" s="532">
        <v>35.9</v>
      </c>
      <c r="AE70" s="264"/>
      <c r="AF70" s="525" t="s">
        <v>103</v>
      </c>
      <c r="AG70" s="532">
        <v>34.1</v>
      </c>
      <c r="AH70" s="287"/>
      <c r="AI70" s="97"/>
      <c r="AJ70" s="264">
        <f t="shared" si="5"/>
        <v>1.8</v>
      </c>
      <c r="AK70" s="41"/>
      <c r="AL70" s="266">
        <f>ROUND(IF(AG70=0,0,AJ70/ABS(AG70)),3)</f>
        <v>5.2999999999999999E-2</v>
      </c>
      <c r="AM70" s="1632"/>
      <c r="AN70" s="1632"/>
    </row>
    <row r="71" spans="1:40">
      <c r="A71" s="291"/>
      <c r="B71" s="291" t="s">
        <v>127</v>
      </c>
      <c r="C71" s="291"/>
      <c r="D71" s="291"/>
      <c r="E71" s="264"/>
      <c r="F71" s="264"/>
      <c r="G71" s="264"/>
      <c r="H71" s="264"/>
      <c r="I71" s="264"/>
      <c r="J71" s="264"/>
      <c r="K71" s="264"/>
      <c r="L71" s="553"/>
      <c r="M71" s="264"/>
      <c r="N71" s="553"/>
      <c r="O71" s="264"/>
      <c r="P71" s="553"/>
      <c r="Q71" s="264"/>
      <c r="R71" s="553"/>
      <c r="S71" s="264"/>
      <c r="T71" s="553"/>
      <c r="U71" s="264"/>
      <c r="V71" s="553"/>
      <c r="W71" s="264"/>
      <c r="X71" s="553"/>
      <c r="Y71" s="264"/>
      <c r="Z71" s="553"/>
      <c r="AA71" s="264"/>
      <c r="AB71" s="264"/>
      <c r="AC71" s="524"/>
      <c r="AD71" s="513"/>
      <c r="AE71" s="264"/>
      <c r="AF71" s="525" t="s">
        <v>103</v>
      </c>
      <c r="AG71" s="513"/>
      <c r="AH71" s="264"/>
      <c r="AI71" s="98"/>
      <c r="AJ71" s="264"/>
      <c r="AK71" s="41"/>
      <c r="AL71" s="96"/>
      <c r="AM71" s="1632"/>
      <c r="AN71" s="1632"/>
    </row>
    <row r="72" spans="1:40">
      <c r="A72" s="291"/>
      <c r="B72" s="291" t="s">
        <v>129</v>
      </c>
      <c r="C72" s="291"/>
      <c r="D72" s="291"/>
      <c r="E72" s="264">
        <f t="shared" si="6"/>
        <v>22.2</v>
      </c>
      <c r="F72" s="264"/>
      <c r="G72" s="264"/>
      <c r="H72" s="264"/>
      <c r="I72" s="264"/>
      <c r="J72" s="264"/>
      <c r="K72" s="264"/>
      <c r="L72" s="553"/>
      <c r="M72" s="264"/>
      <c r="N72" s="553"/>
      <c r="O72" s="264"/>
      <c r="P72" s="553"/>
      <c r="Q72" s="264"/>
      <c r="R72" s="553"/>
      <c r="S72" s="264"/>
      <c r="T72" s="553"/>
      <c r="U72" s="264"/>
      <c r="V72" s="553"/>
      <c r="W72" s="264"/>
      <c r="X72" s="553"/>
      <c r="Y72" s="264"/>
      <c r="Z72" s="553"/>
      <c r="AA72" s="264"/>
      <c r="AB72" s="264"/>
      <c r="AC72" s="524"/>
      <c r="AD72" s="532">
        <v>22.2</v>
      </c>
      <c r="AE72" s="264"/>
      <c r="AF72" s="525" t="s">
        <v>103</v>
      </c>
      <c r="AG72" s="532">
        <v>24.7</v>
      </c>
      <c r="AH72" s="287"/>
      <c r="AI72" s="97"/>
      <c r="AJ72" s="264">
        <f t="shared" si="5"/>
        <v>-2.5</v>
      </c>
      <c r="AK72" s="41"/>
      <c r="AL72" s="266">
        <f>ROUND(IF(AG72=0,0,AJ72/ABS(AG72)),3)</f>
        <v>-0.10100000000000001</v>
      </c>
      <c r="AM72" s="1632"/>
      <c r="AN72" s="1632"/>
    </row>
    <row r="73" spans="1:40">
      <c r="A73" s="291"/>
      <c r="B73" s="291" t="s">
        <v>130</v>
      </c>
      <c r="C73" s="291"/>
      <c r="D73" s="291"/>
      <c r="E73" s="264">
        <f t="shared" si="6"/>
        <v>3.2</v>
      </c>
      <c r="F73" s="264"/>
      <c r="G73" s="264"/>
      <c r="H73" s="264"/>
      <c r="I73" s="264"/>
      <c r="J73" s="264"/>
      <c r="K73" s="264"/>
      <c r="L73" s="553"/>
      <c r="M73" s="264"/>
      <c r="N73" s="553"/>
      <c r="O73" s="264"/>
      <c r="P73" s="553"/>
      <c r="Q73" s="264"/>
      <c r="R73" s="553"/>
      <c r="S73" s="264"/>
      <c r="T73" s="553"/>
      <c r="U73" s="264"/>
      <c r="V73" s="553"/>
      <c r="W73" s="264"/>
      <c r="X73" s="553"/>
      <c r="Y73" s="264"/>
      <c r="Z73" s="553"/>
      <c r="AA73" s="264"/>
      <c r="AB73" s="264"/>
      <c r="AC73" s="524"/>
      <c r="AD73" s="532">
        <v>3.2</v>
      </c>
      <c r="AE73" s="264"/>
      <c r="AF73" s="525" t="s">
        <v>103</v>
      </c>
      <c r="AG73" s="532">
        <v>1.5</v>
      </c>
      <c r="AH73" s="287"/>
      <c r="AI73" s="97"/>
      <c r="AJ73" s="264">
        <f t="shared" si="5"/>
        <v>1.7</v>
      </c>
      <c r="AK73" s="41"/>
      <c r="AL73" s="543">
        <f>ROUND(IF(AG73=0,1,AJ73/ABS(AG73)),3)</f>
        <v>1.133</v>
      </c>
      <c r="AM73" s="1632"/>
      <c r="AN73" s="1632"/>
    </row>
    <row r="74" spans="1:40">
      <c r="A74" s="291"/>
      <c r="B74" s="291" t="s">
        <v>131</v>
      </c>
      <c r="C74" s="291"/>
      <c r="D74" s="291"/>
      <c r="E74" s="264">
        <f t="shared" si="6"/>
        <v>91.6</v>
      </c>
      <c r="F74" s="264"/>
      <c r="G74" s="264"/>
      <c r="H74" s="264"/>
      <c r="I74" s="264"/>
      <c r="J74" s="264"/>
      <c r="K74" s="264"/>
      <c r="L74" s="553"/>
      <c r="M74" s="264"/>
      <c r="N74" s="553"/>
      <c r="O74" s="264"/>
      <c r="P74" s="553"/>
      <c r="Q74" s="264"/>
      <c r="R74" s="553"/>
      <c r="S74" s="264"/>
      <c r="T74" s="553"/>
      <c r="U74" s="264"/>
      <c r="V74" s="553"/>
      <c r="W74" s="264"/>
      <c r="X74" s="553"/>
      <c r="Y74" s="264"/>
      <c r="Z74" s="553"/>
      <c r="AA74" s="264"/>
      <c r="AB74" s="264"/>
      <c r="AC74" s="524"/>
      <c r="AD74" s="532">
        <v>91.6</v>
      </c>
      <c r="AE74" s="264"/>
      <c r="AF74" s="525" t="s">
        <v>103</v>
      </c>
      <c r="AG74" s="532">
        <v>50.3</v>
      </c>
      <c r="AH74" s="264"/>
      <c r="AI74" s="98"/>
      <c r="AJ74" s="264">
        <f t="shared" si="5"/>
        <v>41.3</v>
      </c>
      <c r="AK74" s="41"/>
      <c r="AL74" s="562">
        <f>ROUND(IF(AG74=0,1,AJ74/ABS(AG74)),3)</f>
        <v>0.82099999999999995</v>
      </c>
      <c r="AM74" s="1632"/>
      <c r="AN74" s="1632"/>
    </row>
    <row r="75" spans="1:40">
      <c r="A75" s="291"/>
      <c r="B75" s="291" t="s">
        <v>132</v>
      </c>
      <c r="C75" s="3"/>
      <c r="D75" s="291"/>
      <c r="E75" s="264">
        <f t="shared" si="6"/>
        <v>88.4</v>
      </c>
      <c r="F75" s="264"/>
      <c r="G75" s="264"/>
      <c r="H75" s="264"/>
      <c r="I75" s="264"/>
      <c r="J75" s="264"/>
      <c r="K75" s="264"/>
      <c r="L75" s="553"/>
      <c r="M75" s="264"/>
      <c r="N75" s="553"/>
      <c r="O75" s="264"/>
      <c r="P75" s="553"/>
      <c r="Q75" s="264"/>
      <c r="R75" s="553"/>
      <c r="S75" s="264"/>
      <c r="T75" s="553"/>
      <c r="U75" s="264"/>
      <c r="V75" s="553"/>
      <c r="W75" s="264"/>
      <c r="X75" s="553"/>
      <c r="Y75" s="264"/>
      <c r="Z75" s="553"/>
      <c r="AA75" s="264"/>
      <c r="AB75" s="264"/>
      <c r="AC75" s="524"/>
      <c r="AD75" s="532">
        <v>88.4</v>
      </c>
      <c r="AE75" s="264"/>
      <c r="AF75" s="525" t="s">
        <v>103</v>
      </c>
      <c r="AG75" s="532">
        <v>93</v>
      </c>
      <c r="AH75" s="264"/>
      <c r="AI75" s="98"/>
      <c r="AJ75" s="264">
        <f t="shared" si="5"/>
        <v>-4.5999999999999996</v>
      </c>
      <c r="AL75" s="562">
        <f>ROUND(IF(AG75=0,0,AJ75/ABS(AG75)),3)</f>
        <v>-4.9000000000000002E-2</v>
      </c>
      <c r="AM75" s="1632"/>
      <c r="AN75" s="1632"/>
    </row>
    <row r="76" spans="1:40">
      <c r="A76" s="291"/>
      <c r="B76" s="291" t="s">
        <v>133</v>
      </c>
      <c r="C76" s="291"/>
      <c r="D76" s="291"/>
      <c r="E76" s="264">
        <f t="shared" si="6"/>
        <v>37.1</v>
      </c>
      <c r="F76" s="264"/>
      <c r="G76" s="264"/>
      <c r="H76" s="264"/>
      <c r="I76" s="264"/>
      <c r="J76" s="264"/>
      <c r="K76" s="264"/>
      <c r="L76" s="553"/>
      <c r="M76" s="264"/>
      <c r="N76" s="553"/>
      <c r="O76" s="264"/>
      <c r="P76" s="553"/>
      <c r="Q76" s="264"/>
      <c r="R76" s="553"/>
      <c r="S76" s="264"/>
      <c r="T76" s="553"/>
      <c r="U76" s="264"/>
      <c r="V76" s="553"/>
      <c r="W76" s="264"/>
      <c r="X76" s="553"/>
      <c r="Y76" s="264"/>
      <c r="Z76" s="553"/>
      <c r="AA76" s="264"/>
      <c r="AB76" s="264"/>
      <c r="AC76" s="524"/>
      <c r="AD76" s="532">
        <v>37.1</v>
      </c>
      <c r="AE76" s="264"/>
      <c r="AF76" s="525" t="s">
        <v>103</v>
      </c>
      <c r="AG76" s="532">
        <v>0.4</v>
      </c>
      <c r="AH76" s="264"/>
      <c r="AI76" s="98"/>
      <c r="AJ76" s="264">
        <f t="shared" si="5"/>
        <v>36.700000000000003</v>
      </c>
      <c r="AK76" s="41"/>
      <c r="AL76" s="543">
        <f>ROUND(IF(AG76=0,0,AJ76/ABS(AG76)),3)</f>
        <v>91.75</v>
      </c>
      <c r="AM76" s="1632"/>
      <c r="AN76" s="1632"/>
    </row>
    <row r="77" spans="1:40">
      <c r="A77" s="291"/>
      <c r="B77" s="3" t="s">
        <v>564</v>
      </c>
      <c r="C77" s="291"/>
      <c r="D77" s="291"/>
      <c r="E77" s="617">
        <f>ROUND(SUM(E68:E76),1)</f>
        <v>325.89999999999998</v>
      </c>
      <c r="F77" s="13"/>
      <c r="G77" s="617">
        <f>ROUND(SUM(G68:G76),1)</f>
        <v>0</v>
      </c>
      <c r="H77" s="13"/>
      <c r="I77" s="617">
        <f>ROUND(SUM(I68:I76),1)</f>
        <v>0</v>
      </c>
      <c r="J77" s="13"/>
      <c r="K77" s="617">
        <f>ROUND(SUM(K68:K76),1)</f>
        <v>0</v>
      </c>
      <c r="L77" s="13"/>
      <c r="M77" s="617">
        <f>ROUND(SUM(M68:M76),1)</f>
        <v>0</v>
      </c>
      <c r="N77" s="13"/>
      <c r="O77" s="617">
        <f>ROUND(SUM(O68:O76),1)</f>
        <v>0</v>
      </c>
      <c r="P77" s="13"/>
      <c r="Q77" s="617">
        <f>ROUND(SUM(Q68:Q76),1)</f>
        <v>0</v>
      </c>
      <c r="R77" s="13"/>
      <c r="S77" s="617">
        <f>ROUND(SUM(S68:S76),1)</f>
        <v>0</v>
      </c>
      <c r="T77" s="13"/>
      <c r="U77" s="617">
        <f>ROUND(SUM(U68:U76),1)</f>
        <v>0</v>
      </c>
      <c r="V77" s="13"/>
      <c r="W77" s="617">
        <f>ROUND(SUM(W68:W76),1)</f>
        <v>0</v>
      </c>
      <c r="X77" s="13"/>
      <c r="Y77" s="617">
        <f>ROUND(SUM(Y68:Y76),1)</f>
        <v>0</v>
      </c>
      <c r="Z77" s="13"/>
      <c r="AA77" s="617">
        <f>ROUND(SUM(AA68:AA76),1)</f>
        <v>0</v>
      </c>
      <c r="AB77" s="13"/>
      <c r="AC77" s="14"/>
      <c r="AD77" s="617">
        <f>ROUND(SUM(AD68:AD76),1)</f>
        <v>325.89999999999998</v>
      </c>
      <c r="AE77" s="1236"/>
      <c r="AF77" s="13"/>
      <c r="AG77" s="617">
        <f>ROUND(SUM(AG68:AG76),1)</f>
        <v>217.1</v>
      </c>
      <c r="AH77" s="13"/>
      <c r="AI77" s="98"/>
      <c r="AJ77" s="617">
        <f>ROUND(SUM(AJ68:AJ76),1)</f>
        <v>108.8</v>
      </c>
      <c r="AK77" s="3"/>
      <c r="AL77" s="538">
        <f>ROUND(IF(AG77=0,0,AJ77/ABS(AG77)),3)</f>
        <v>0.501</v>
      </c>
      <c r="AM77" s="1632"/>
      <c r="AN77" s="1632"/>
    </row>
    <row r="78" spans="1:40">
      <c r="A78" s="291"/>
      <c r="B78" s="291" t="s">
        <v>565</v>
      </c>
      <c r="C78" s="291"/>
      <c r="D78" s="291"/>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524"/>
      <c r="AD78" s="264"/>
      <c r="AE78" s="1234"/>
      <c r="AF78" s="264"/>
      <c r="AG78" s="264"/>
      <c r="AH78" s="264"/>
      <c r="AI78" s="98"/>
      <c r="AJ78" s="12"/>
      <c r="AL78" s="96"/>
      <c r="AM78" s="1632"/>
      <c r="AN78" s="1632"/>
    </row>
    <row r="79" spans="1:40">
      <c r="A79" s="291"/>
      <c r="B79" s="291" t="s">
        <v>566</v>
      </c>
      <c r="C79" s="291"/>
      <c r="D79" s="291"/>
      <c r="E79" s="264">
        <f>AD79</f>
        <v>0</v>
      </c>
      <c r="F79" s="264"/>
      <c r="G79" s="264"/>
      <c r="H79" s="264"/>
      <c r="I79" s="264"/>
      <c r="J79" s="264"/>
      <c r="K79" s="264"/>
      <c r="L79" s="553"/>
      <c r="M79" s="264"/>
      <c r="N79" s="553"/>
      <c r="O79" s="264"/>
      <c r="P79" s="553"/>
      <c r="Q79" s="264"/>
      <c r="R79" s="553"/>
      <c r="S79" s="264"/>
      <c r="T79" s="553"/>
      <c r="U79" s="264"/>
      <c r="V79" s="553"/>
      <c r="W79" s="264"/>
      <c r="X79" s="553"/>
      <c r="Y79" s="264"/>
      <c r="Z79" s="553"/>
      <c r="AA79" s="264"/>
      <c r="AB79" s="264"/>
      <c r="AC79" s="524"/>
      <c r="AD79" s="264">
        <v>0</v>
      </c>
      <c r="AE79" s="1234"/>
      <c r="AF79" s="264"/>
      <c r="AG79" s="264">
        <v>0</v>
      </c>
      <c r="AH79" s="367"/>
      <c r="AI79" s="100"/>
      <c r="AJ79" s="264">
        <f>ROUND(AD79-AG79,1)</f>
        <v>0</v>
      </c>
      <c r="AL79" s="266">
        <f>ROUND(IF(AG79=0,0,AJ79/ABS(AG79)),3)</f>
        <v>0</v>
      </c>
      <c r="AM79" s="1632"/>
      <c r="AN79" s="1632"/>
    </row>
    <row r="80" spans="1:40">
      <c r="A80" s="291"/>
      <c r="B80" s="291" t="s">
        <v>567</v>
      </c>
      <c r="C80" s="291"/>
      <c r="D80" s="291"/>
      <c r="E80" s="264">
        <f t="shared" ref="E80:E82" si="7">AD80</f>
        <v>0</v>
      </c>
      <c r="F80" s="264"/>
      <c r="G80" s="264"/>
      <c r="H80" s="264"/>
      <c r="I80" s="264"/>
      <c r="J80" s="264"/>
      <c r="K80" s="264"/>
      <c r="L80" s="553"/>
      <c r="M80" s="264"/>
      <c r="N80" s="553"/>
      <c r="O80" s="264"/>
      <c r="P80" s="553"/>
      <c r="Q80" s="264"/>
      <c r="R80" s="553"/>
      <c r="S80" s="264"/>
      <c r="T80" s="553"/>
      <c r="U80" s="264"/>
      <c r="V80" s="553"/>
      <c r="W80" s="264"/>
      <c r="X80" s="553"/>
      <c r="Y80" s="264"/>
      <c r="Z80" s="553"/>
      <c r="AA80" s="264"/>
      <c r="AB80" s="264"/>
      <c r="AC80" s="524"/>
      <c r="AD80" s="883">
        <v>0</v>
      </c>
      <c r="AE80" s="1234"/>
      <c r="AF80" s="264"/>
      <c r="AG80" s="883">
        <v>0</v>
      </c>
      <c r="AH80" s="367"/>
      <c r="AI80" s="100"/>
      <c r="AJ80" s="264">
        <f>ROUND(AD80-AG80,1)</f>
        <v>0</v>
      </c>
      <c r="AL80" s="266">
        <f>ROUND(IF(AG80=0,0,AJ80/ABS(AG80)),3)</f>
        <v>0</v>
      </c>
      <c r="AM80" s="1632"/>
      <c r="AN80" s="1632"/>
    </row>
    <row r="81" spans="1:40">
      <c r="A81" s="291"/>
      <c r="B81" s="291" t="s">
        <v>568</v>
      </c>
      <c r="C81" s="291"/>
      <c r="D81" s="291"/>
      <c r="E81" s="264">
        <f t="shared" si="7"/>
        <v>0</v>
      </c>
      <c r="F81" s="264"/>
      <c r="G81" s="264"/>
      <c r="H81" s="264"/>
      <c r="I81" s="264"/>
      <c r="J81" s="264"/>
      <c r="K81" s="264"/>
      <c r="L81" s="553"/>
      <c r="M81" s="264"/>
      <c r="N81" s="553"/>
      <c r="O81" s="264"/>
      <c r="P81" s="553"/>
      <c r="Q81" s="264"/>
      <c r="R81" s="553"/>
      <c r="S81" s="264"/>
      <c r="T81" s="553"/>
      <c r="U81" s="264"/>
      <c r="V81" s="553"/>
      <c r="W81" s="264"/>
      <c r="X81" s="553"/>
      <c r="Y81" s="264"/>
      <c r="Z81" s="553"/>
      <c r="AA81" s="264"/>
      <c r="AB81" s="1067"/>
      <c r="AC81" s="1068"/>
      <c r="AD81" s="264">
        <v>0</v>
      </c>
      <c r="AE81" s="1234"/>
      <c r="AF81" s="264"/>
      <c r="AG81" s="264">
        <v>0</v>
      </c>
      <c r="AH81" s="367"/>
      <c r="AI81" s="100"/>
      <c r="AJ81" s="264">
        <f>ROUND(AD81-AG81,1)</f>
        <v>0</v>
      </c>
      <c r="AL81" s="266">
        <f>ROUND(IF(AG81=0,0,AJ81/ABS(AG81)),3)</f>
        <v>0</v>
      </c>
      <c r="AM81" s="1632"/>
      <c r="AN81" s="1632"/>
    </row>
    <row r="82" spans="1:40">
      <c r="A82" s="291"/>
      <c r="B82" s="413" t="s">
        <v>513</v>
      </c>
      <c r="C82" s="291"/>
      <c r="D82" s="291"/>
      <c r="E82" s="264">
        <f t="shared" si="7"/>
        <v>363.7</v>
      </c>
      <c r="F82" s="264"/>
      <c r="G82" s="264"/>
      <c r="H82" s="264"/>
      <c r="I82" s="264"/>
      <c r="J82" s="264"/>
      <c r="K82" s="264"/>
      <c r="L82" s="553"/>
      <c r="M82" s="264"/>
      <c r="N82" s="553"/>
      <c r="O82" s="264"/>
      <c r="P82" s="553"/>
      <c r="Q82" s="264"/>
      <c r="R82" s="553"/>
      <c r="S82" s="264"/>
      <c r="T82" s="553"/>
      <c r="U82" s="264"/>
      <c r="V82" s="553"/>
      <c r="W82" s="264"/>
      <c r="X82" s="553"/>
      <c r="Y82" s="264"/>
      <c r="Z82" s="553"/>
      <c r="AA82" s="264"/>
      <c r="AB82" s="264"/>
      <c r="AC82" s="524"/>
      <c r="AD82" s="986">
        <v>363.7</v>
      </c>
      <c r="AE82" s="264"/>
      <c r="AF82" s="525" t="s">
        <v>103</v>
      </c>
      <c r="AG82" s="986">
        <v>430.4</v>
      </c>
      <c r="AH82" s="287"/>
      <c r="AI82" s="97"/>
      <c r="AJ82" s="383">
        <f>ROUND(AD82-AG82,1)</f>
        <v>-66.7</v>
      </c>
      <c r="AL82" s="534">
        <f>ROUND(IF(AG82=0,0,AJ82/ABS(AG82)),3)</f>
        <v>-0.155</v>
      </c>
      <c r="AM82" s="1632"/>
      <c r="AN82" s="1632"/>
    </row>
    <row r="83" spans="1:40">
      <c r="A83" s="291"/>
      <c r="B83" s="291"/>
      <c r="C83" s="291"/>
      <c r="D83" s="291"/>
      <c r="E83" s="616"/>
      <c r="F83" s="264"/>
      <c r="G83" s="616"/>
      <c r="H83" s="264"/>
      <c r="I83" s="616"/>
      <c r="J83" s="264"/>
      <c r="K83" s="616"/>
      <c r="L83" s="264"/>
      <c r="M83" s="616"/>
      <c r="N83" s="264"/>
      <c r="O83" s="616"/>
      <c r="P83" s="264"/>
      <c r="Q83" s="616"/>
      <c r="R83" s="264"/>
      <c r="S83" s="616"/>
      <c r="T83" s="264"/>
      <c r="U83" s="616"/>
      <c r="V83" s="264"/>
      <c r="W83" s="616"/>
      <c r="X83" s="264"/>
      <c r="Y83" s="616"/>
      <c r="Z83" s="264"/>
      <c r="AA83" s="616"/>
      <c r="AB83" s="264"/>
      <c r="AC83" s="524"/>
      <c r="AD83" s="12"/>
      <c r="AE83" s="1234"/>
      <c r="AF83" s="264"/>
      <c r="AG83" s="12"/>
      <c r="AH83" s="12"/>
      <c r="AI83" s="98"/>
      <c r="AJ83" s="12"/>
      <c r="AL83" s="96"/>
      <c r="AM83" s="1632"/>
      <c r="AN83" s="1632"/>
    </row>
    <row r="84" spans="1:40">
      <c r="A84" s="291"/>
      <c r="B84" s="3" t="s">
        <v>569</v>
      </c>
      <c r="C84" s="291"/>
      <c r="D84" s="291"/>
      <c r="E84" s="13">
        <f>ROUND(SUM(E77:E82),1)</f>
        <v>689.6</v>
      </c>
      <c r="F84" s="13"/>
      <c r="G84" s="13">
        <f>ROUND(SUM(G77:G82),1)</f>
        <v>0</v>
      </c>
      <c r="H84" s="13"/>
      <c r="I84" s="13">
        <f>ROUND(SUM(I77:I82),1)</f>
        <v>0</v>
      </c>
      <c r="J84" s="13"/>
      <c r="K84" s="13">
        <f>ROUND(SUM(K77:K82),1)</f>
        <v>0</v>
      </c>
      <c r="L84" s="13"/>
      <c r="M84" s="13">
        <f>ROUND(SUM(M77:M82),1)</f>
        <v>0</v>
      </c>
      <c r="N84" s="13"/>
      <c r="O84" s="13">
        <f>ROUND(SUM(O77:O82),1)</f>
        <v>0</v>
      </c>
      <c r="P84" s="13"/>
      <c r="Q84" s="13">
        <f>ROUND(SUM(Q77:Q82),1)</f>
        <v>0</v>
      </c>
      <c r="R84" s="13"/>
      <c r="S84" s="13">
        <f>ROUND(SUM(S77:S82),1)</f>
        <v>0</v>
      </c>
      <c r="T84" s="13"/>
      <c r="U84" s="13">
        <f>ROUND(SUM(U77:U82),1)</f>
        <v>0</v>
      </c>
      <c r="V84" s="13"/>
      <c r="W84" s="13">
        <f>ROUND(SUM(W77:W82),1)</f>
        <v>0</v>
      </c>
      <c r="X84" s="13"/>
      <c r="Y84" s="13">
        <f>ROUND(SUM(Y77:Y82),1)</f>
        <v>0</v>
      </c>
      <c r="Z84" s="13"/>
      <c r="AA84" s="13">
        <f>ROUND(SUM(AA77:AA82),1)</f>
        <v>0</v>
      </c>
      <c r="AB84" s="13"/>
      <c r="AC84" s="14"/>
      <c r="AD84" s="13">
        <f>ROUND(SUM(AD77:AD82),1)</f>
        <v>689.6</v>
      </c>
      <c r="AE84" s="1236"/>
      <c r="AF84" s="13"/>
      <c r="AG84" s="13">
        <f>ROUND(SUM(AG77:AG82),1)</f>
        <v>647.5</v>
      </c>
      <c r="AH84" s="13"/>
      <c r="AI84" s="98"/>
      <c r="AJ84" s="357">
        <f>ROUND(AD84-AG84,1)</f>
        <v>42.1</v>
      </c>
      <c r="AK84" s="3"/>
      <c r="AL84" s="539">
        <f>ROUND(IF(AG84=0,0,AJ84/ABS(AG84)),3)</f>
        <v>6.5000000000000002E-2</v>
      </c>
      <c r="AM84" s="1632"/>
      <c r="AN84" s="1632"/>
    </row>
    <row r="85" spans="1:40">
      <c r="A85" s="291"/>
      <c r="B85" s="291"/>
      <c r="C85" s="291"/>
      <c r="D85" s="291"/>
      <c r="E85" s="616"/>
      <c r="F85" s="264"/>
      <c r="G85" s="616"/>
      <c r="H85" s="264"/>
      <c r="I85" s="616"/>
      <c r="J85" s="264"/>
      <c r="K85" s="616"/>
      <c r="L85" s="264"/>
      <c r="M85" s="616"/>
      <c r="N85" s="264"/>
      <c r="O85" s="616"/>
      <c r="P85" s="264"/>
      <c r="Q85" s="616"/>
      <c r="R85" s="264"/>
      <c r="S85" s="616"/>
      <c r="T85" s="264"/>
      <c r="U85" s="616"/>
      <c r="V85" s="264"/>
      <c r="W85" s="616"/>
      <c r="X85" s="264"/>
      <c r="Y85" s="616"/>
      <c r="Z85" s="264"/>
      <c r="AA85" s="616"/>
      <c r="AB85" s="264"/>
      <c r="AC85" s="524"/>
      <c r="AD85" s="616"/>
      <c r="AE85" s="1234"/>
      <c r="AF85" s="264"/>
      <c r="AG85" s="616"/>
      <c r="AH85" s="264"/>
      <c r="AI85" s="98"/>
      <c r="AJ85" s="12"/>
      <c r="AL85" s="96"/>
      <c r="AM85" s="1632"/>
      <c r="AN85" s="1632"/>
    </row>
    <row r="86" spans="1:40">
      <c r="A86" s="291"/>
      <c r="B86" s="3" t="s">
        <v>570</v>
      </c>
      <c r="C86" s="291"/>
      <c r="D86" s="291"/>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524"/>
      <c r="AD86" s="12"/>
      <c r="AE86" s="1234"/>
      <c r="AF86" s="264"/>
      <c r="AG86" s="12"/>
      <c r="AH86" s="12"/>
      <c r="AI86" s="98"/>
      <c r="AJ86" s="12"/>
      <c r="AL86" s="96"/>
      <c r="AM86" s="1632"/>
      <c r="AN86" s="1632"/>
    </row>
    <row r="87" spans="1:40">
      <c r="A87" s="291"/>
      <c r="B87" s="3" t="s">
        <v>571</v>
      </c>
      <c r="C87" s="291"/>
      <c r="D87" s="291"/>
      <c r="E87" s="13">
        <f>ROUND(SUM(E64-E84),1)</f>
        <v>-564.5</v>
      </c>
      <c r="F87" s="13"/>
      <c r="G87" s="13">
        <f>ROUND(SUM(G64-G84),1)</f>
        <v>0</v>
      </c>
      <c r="H87" s="13"/>
      <c r="I87" s="13">
        <f>ROUND(SUM(I64-I84),1)</f>
        <v>0</v>
      </c>
      <c r="J87" s="13"/>
      <c r="K87" s="13">
        <f>ROUND(SUM(K64-K84),1)</f>
        <v>0</v>
      </c>
      <c r="L87" s="13"/>
      <c r="M87" s="13">
        <f>ROUND(SUM(M64-M84),1)</f>
        <v>0</v>
      </c>
      <c r="N87" s="13"/>
      <c r="O87" s="13">
        <f>ROUND(SUM(O64-O84),1)</f>
        <v>0</v>
      </c>
      <c r="P87" s="13"/>
      <c r="Q87" s="13">
        <f>ROUND(SUM(Q64-Q84),1)</f>
        <v>0</v>
      </c>
      <c r="R87" s="13"/>
      <c r="S87" s="13">
        <f>ROUND(SUM(S64-S84),1)</f>
        <v>0</v>
      </c>
      <c r="T87" s="13"/>
      <c r="U87" s="13">
        <f>ROUND(SUM(U64-U84),1)</f>
        <v>0</v>
      </c>
      <c r="V87" s="13"/>
      <c r="W87" s="13">
        <f>ROUND(SUM(W64-W84),1)</f>
        <v>0</v>
      </c>
      <c r="X87" s="13"/>
      <c r="Y87" s="13">
        <f>ROUND(SUM(Y64-Y84),1)</f>
        <v>0</v>
      </c>
      <c r="Z87" s="13"/>
      <c r="AA87" s="13">
        <f>ROUND(SUM(AA64-AA84),1)</f>
        <v>0</v>
      </c>
      <c r="AB87" s="13"/>
      <c r="AC87" s="14"/>
      <c r="AD87" s="13">
        <f>ROUND(SUM(AD64-AD84),1)</f>
        <v>-564.5</v>
      </c>
      <c r="AE87" s="1236"/>
      <c r="AF87" s="13"/>
      <c r="AG87" s="13">
        <f>ROUND(SUM(AG64-AG84),1)</f>
        <v>-474.6</v>
      </c>
      <c r="AH87" s="13"/>
      <c r="AI87" s="98"/>
      <c r="AJ87" s="357">
        <f>ROUND(AD87-AG87,1)</f>
        <v>-89.9</v>
      </c>
      <c r="AK87" s="3"/>
      <c r="AL87" s="540">
        <f>ROUND(IF(AG87=0,0,AJ87/ABS(AG87)),3)</f>
        <v>-0.189</v>
      </c>
      <c r="AM87" s="1632"/>
      <c r="AN87" s="1632"/>
    </row>
    <row r="88" spans="1:40">
      <c r="A88" s="291"/>
      <c r="B88" s="291"/>
      <c r="C88" s="291"/>
      <c r="D88" s="291"/>
      <c r="E88" s="616"/>
      <c r="F88" s="264"/>
      <c r="G88" s="616"/>
      <c r="H88" s="264"/>
      <c r="I88" s="616"/>
      <c r="J88" s="264"/>
      <c r="K88" s="616"/>
      <c r="L88" s="264"/>
      <c r="M88" s="616"/>
      <c r="N88" s="264"/>
      <c r="O88" s="616"/>
      <c r="P88" s="264"/>
      <c r="Q88" s="616"/>
      <c r="R88" s="264"/>
      <c r="S88" s="616"/>
      <c r="T88" s="264"/>
      <c r="U88" s="616"/>
      <c r="V88" s="264"/>
      <c r="W88" s="616"/>
      <c r="X88" s="264"/>
      <c r="Y88" s="616"/>
      <c r="Z88" s="264"/>
      <c r="AA88" s="616"/>
      <c r="AB88" s="264"/>
      <c r="AC88" s="524"/>
      <c r="AD88" s="616"/>
      <c r="AE88" s="1234"/>
      <c r="AF88" s="264"/>
      <c r="AG88" s="616"/>
      <c r="AH88" s="264"/>
      <c r="AI88" s="98"/>
      <c r="AJ88" s="12"/>
      <c r="AL88" s="96"/>
      <c r="AM88" s="1632"/>
      <c r="AN88" s="1632"/>
    </row>
    <row r="89" spans="1:40">
      <c r="A89" s="291"/>
      <c r="B89" s="3" t="s">
        <v>572</v>
      </c>
      <c r="C89" s="291"/>
      <c r="D89" s="291"/>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524"/>
      <c r="AD89" s="367"/>
      <c r="AE89" s="1234"/>
      <c r="AF89" s="264"/>
      <c r="AG89" s="367"/>
      <c r="AH89" s="367"/>
      <c r="AI89" s="100"/>
      <c r="AJ89" s="12"/>
      <c r="AL89" s="96"/>
      <c r="AM89" s="1632"/>
      <c r="AN89" s="1632"/>
    </row>
    <row r="90" spans="1:40">
      <c r="A90" s="291"/>
      <c r="B90" s="291" t="s">
        <v>573</v>
      </c>
      <c r="C90" s="291"/>
      <c r="D90" s="291"/>
      <c r="E90" s="264">
        <f>AD90</f>
        <v>0</v>
      </c>
      <c r="F90" s="264"/>
      <c r="G90" s="264"/>
      <c r="H90" s="264"/>
      <c r="I90" s="264"/>
      <c r="J90" s="264"/>
      <c r="K90" s="264"/>
      <c r="L90" s="553"/>
      <c r="M90" s="264"/>
      <c r="N90" s="553"/>
      <c r="O90" s="264"/>
      <c r="P90" s="553"/>
      <c r="Q90" s="264"/>
      <c r="R90" s="553"/>
      <c r="S90" s="264"/>
      <c r="T90" s="553"/>
      <c r="U90" s="264"/>
      <c r="V90" s="553"/>
      <c r="W90" s="264"/>
      <c r="X90" s="553"/>
      <c r="Y90" s="264"/>
      <c r="Z90" s="553"/>
      <c r="AA90" s="264"/>
      <c r="AB90" s="264"/>
      <c r="AC90" s="524"/>
      <c r="AD90" s="532">
        <v>0</v>
      </c>
      <c r="AE90" s="287"/>
      <c r="AF90" s="1769"/>
      <c r="AG90" s="532">
        <v>0</v>
      </c>
      <c r="AH90" s="367"/>
      <c r="AI90" s="100"/>
      <c r="AJ90" s="264">
        <f>ROUND(AD90-AG90,1)</f>
        <v>0</v>
      </c>
      <c r="AK90" s="41"/>
      <c r="AL90" s="543">
        <f>ROUND(IF(AG90=0,0,AJ90/ABS(AG90)),3)</f>
        <v>0</v>
      </c>
      <c r="AM90" s="1632"/>
      <c r="AN90" s="1632"/>
    </row>
    <row r="91" spans="1:40">
      <c r="A91" s="291"/>
      <c r="B91" s="413" t="s">
        <v>515</v>
      </c>
      <c r="C91" s="291"/>
      <c r="D91" s="291"/>
      <c r="E91" s="264">
        <f t="shared" ref="E91:E92" si="8">AD91</f>
        <v>463.8</v>
      </c>
      <c r="F91" s="264"/>
      <c r="G91" s="264"/>
      <c r="H91" s="264"/>
      <c r="I91" s="264"/>
      <c r="J91" s="264"/>
      <c r="K91" s="264"/>
      <c r="L91" s="553"/>
      <c r="M91" s="264"/>
      <c r="N91" s="553"/>
      <c r="O91" s="264"/>
      <c r="P91" s="553"/>
      <c r="Q91" s="264"/>
      <c r="R91" s="553"/>
      <c r="S91" s="264"/>
      <c r="T91" s="553"/>
      <c r="U91" s="264"/>
      <c r="V91" s="553"/>
      <c r="W91" s="264"/>
      <c r="X91" s="553"/>
      <c r="Y91" s="264"/>
      <c r="Z91" s="553"/>
      <c r="AA91" s="264"/>
      <c r="AB91" s="264"/>
      <c r="AC91" s="524"/>
      <c r="AD91" s="532">
        <v>463.8</v>
      </c>
      <c r="AE91" s="287"/>
      <c r="AF91" s="1769"/>
      <c r="AG91" s="532">
        <v>414.4</v>
      </c>
      <c r="AH91" s="287"/>
      <c r="AI91" s="97"/>
      <c r="AJ91" s="264">
        <f>ROUND(AD91-AG91,1)</f>
        <v>49.4</v>
      </c>
      <c r="AL91" s="543">
        <f>ROUND(IF(AG91=0,0,AJ91/ABS(AG91)),3)</f>
        <v>0.11899999999999999</v>
      </c>
      <c r="AM91" s="1632"/>
      <c r="AN91" s="1632"/>
    </row>
    <row r="92" spans="1:40">
      <c r="A92" s="291"/>
      <c r="B92" s="413" t="s">
        <v>574</v>
      </c>
      <c r="C92" s="291"/>
      <c r="D92" s="291"/>
      <c r="E92" s="264">
        <f t="shared" si="8"/>
        <v>-1.3</v>
      </c>
      <c r="F92" s="264"/>
      <c r="G92" s="264"/>
      <c r="H92" s="264"/>
      <c r="I92" s="264"/>
      <c r="J92" s="264"/>
      <c r="K92" s="264"/>
      <c r="L92" s="553"/>
      <c r="M92" s="264"/>
      <c r="N92" s="553"/>
      <c r="O92" s="264"/>
      <c r="P92" s="553"/>
      <c r="Q92" s="264"/>
      <c r="R92" s="553"/>
      <c r="S92" s="264"/>
      <c r="T92" s="553"/>
      <c r="U92" s="264"/>
      <c r="V92" s="553"/>
      <c r="W92" s="264"/>
      <c r="X92" s="553"/>
      <c r="Y92" s="264"/>
      <c r="Z92" s="553"/>
      <c r="AA92" s="264"/>
      <c r="AB92" s="264"/>
      <c r="AC92" s="524"/>
      <c r="AD92" s="986">
        <v>-1.3</v>
      </c>
      <c r="AE92" s="287"/>
      <c r="AF92" s="1769"/>
      <c r="AG92" s="986">
        <v>-0.4</v>
      </c>
      <c r="AH92" s="264"/>
      <c r="AI92" s="98"/>
      <c r="AJ92" s="383">
        <f>ROUND(-AD92+AG92,1)</f>
        <v>0.9</v>
      </c>
      <c r="AL92" s="534">
        <f>ROUND(IF(AG92=0,0,AJ92/ABS(AG92)),3)</f>
        <v>2.25</v>
      </c>
      <c r="AM92" s="1632"/>
      <c r="AN92" s="1632"/>
    </row>
    <row r="93" spans="1:40">
      <c r="A93" s="291"/>
      <c r="B93" s="291"/>
      <c r="C93" s="291"/>
      <c r="D93" s="291"/>
      <c r="E93" s="616"/>
      <c r="F93" s="264"/>
      <c r="G93" s="616"/>
      <c r="H93" s="264"/>
      <c r="I93" s="616"/>
      <c r="J93" s="264"/>
      <c r="K93" s="616"/>
      <c r="L93" s="264"/>
      <c r="M93" s="616"/>
      <c r="N93" s="264"/>
      <c r="O93" s="616"/>
      <c r="P93" s="264"/>
      <c r="Q93" s="616"/>
      <c r="R93" s="264"/>
      <c r="S93" s="616"/>
      <c r="T93" s="264"/>
      <c r="U93" s="616"/>
      <c r="V93" s="264"/>
      <c r="W93" s="616"/>
      <c r="X93" s="264"/>
      <c r="Y93" s="616"/>
      <c r="Z93" s="264"/>
      <c r="AA93" s="616"/>
      <c r="AB93" s="264"/>
      <c r="AC93" s="524"/>
      <c r="AD93" s="12"/>
      <c r="AE93" s="1234"/>
      <c r="AF93" s="264"/>
      <c r="AG93" s="12"/>
      <c r="AH93" s="12"/>
      <c r="AI93" s="98"/>
      <c r="AJ93" s="12"/>
      <c r="AL93" s="96"/>
      <c r="AM93" s="1632"/>
      <c r="AN93" s="1632"/>
    </row>
    <row r="94" spans="1:40">
      <c r="A94" s="291"/>
      <c r="B94" s="3" t="s">
        <v>582</v>
      </c>
      <c r="C94" s="291"/>
      <c r="D94" s="291"/>
      <c r="E94" s="13">
        <f>ROUND(SUM(E90:E92),1)</f>
        <v>462.5</v>
      </c>
      <c r="F94" s="13"/>
      <c r="G94" s="13">
        <f>ROUND(SUM(G90:G92),1)</f>
        <v>0</v>
      </c>
      <c r="H94" s="13"/>
      <c r="I94" s="13">
        <f>ROUND(SUM(I90:I92),1)</f>
        <v>0</v>
      </c>
      <c r="J94" s="13"/>
      <c r="K94" s="13">
        <f>ROUND(SUM(K90:K92),1)</f>
        <v>0</v>
      </c>
      <c r="L94" s="13"/>
      <c r="M94" s="13">
        <f>ROUND(SUM(M90:M92),1)</f>
        <v>0</v>
      </c>
      <c r="N94" s="13"/>
      <c r="O94" s="13">
        <f>ROUND(SUM(O90:O92),1)</f>
        <v>0</v>
      </c>
      <c r="P94" s="13"/>
      <c r="Q94" s="13">
        <f>ROUND(SUM(Q90:Q92),1)</f>
        <v>0</v>
      </c>
      <c r="R94" s="13"/>
      <c r="S94" s="13">
        <f>ROUND(SUM(S90:S92),1)</f>
        <v>0</v>
      </c>
      <c r="T94" s="13"/>
      <c r="U94" s="13">
        <f>ROUND(SUM(U90:U92),1)</f>
        <v>0</v>
      </c>
      <c r="V94" s="13"/>
      <c r="W94" s="13">
        <f>ROUND(SUM(W90:W92),1)</f>
        <v>0</v>
      </c>
      <c r="X94" s="13"/>
      <c r="Y94" s="13">
        <f>ROUND(SUM(Y90:Y92),1)</f>
        <v>0</v>
      </c>
      <c r="Z94" s="13"/>
      <c r="AA94" s="13">
        <f>ROUND(SUM(AA90:AA92),1)</f>
        <v>0</v>
      </c>
      <c r="AB94" s="13"/>
      <c r="AC94" s="14"/>
      <c r="AD94" s="13">
        <f>ROUND(SUM(AD90:AD92),1)</f>
        <v>462.5</v>
      </c>
      <c r="AE94" s="1236"/>
      <c r="AF94" s="13"/>
      <c r="AG94" s="13">
        <f>ROUND(SUM(AG90:AG92),1)</f>
        <v>414</v>
      </c>
      <c r="AH94" s="13"/>
      <c r="AI94" s="98"/>
      <c r="AJ94" s="357">
        <f>ROUND(AD94-AG94,1)</f>
        <v>48.5</v>
      </c>
      <c r="AK94" s="3"/>
      <c r="AL94" s="540">
        <f>ROUND(IF(AG94=0,0,AJ94/ABS(AG94)),3)</f>
        <v>0.11700000000000001</v>
      </c>
      <c r="AM94" s="1632"/>
      <c r="AN94" s="1632"/>
    </row>
    <row r="95" spans="1:40">
      <c r="A95" s="291"/>
      <c r="B95" s="291"/>
      <c r="C95" s="291"/>
      <c r="D95" s="291"/>
      <c r="E95" s="616"/>
      <c r="F95" s="264"/>
      <c r="G95" s="616"/>
      <c r="H95" s="264"/>
      <c r="I95" s="616"/>
      <c r="J95" s="264"/>
      <c r="K95" s="616"/>
      <c r="L95" s="264"/>
      <c r="M95" s="616"/>
      <c r="N95" s="264"/>
      <c r="O95" s="616"/>
      <c r="P95" s="264"/>
      <c r="Q95" s="616"/>
      <c r="R95" s="264"/>
      <c r="S95" s="616"/>
      <c r="T95" s="264"/>
      <c r="U95" s="616"/>
      <c r="V95" s="264"/>
      <c r="W95" s="616"/>
      <c r="X95" s="264"/>
      <c r="Y95" s="616"/>
      <c r="Z95" s="264"/>
      <c r="AA95" s="616"/>
      <c r="AB95" s="264"/>
      <c r="AC95" s="524"/>
      <c r="AD95" s="616"/>
      <c r="AE95" s="1234"/>
      <c r="AF95" s="264"/>
      <c r="AG95" s="616"/>
      <c r="AH95" s="264"/>
      <c r="AI95" s="98"/>
      <c r="AJ95" s="12"/>
      <c r="AL95" s="96"/>
      <c r="AM95" s="1632"/>
      <c r="AN95" s="1632"/>
    </row>
    <row r="96" spans="1:40">
      <c r="A96" s="291"/>
      <c r="B96" s="3" t="s">
        <v>576</v>
      </c>
      <c r="C96" s="291"/>
      <c r="D96" s="291"/>
      <c r="E96" s="264"/>
      <c r="F96" s="264"/>
      <c r="G96" s="264" t="s">
        <v>103</v>
      </c>
      <c r="H96" s="264"/>
      <c r="I96" s="264" t="s">
        <v>103</v>
      </c>
      <c r="J96" s="264"/>
      <c r="K96" s="264" t="s">
        <v>103</v>
      </c>
      <c r="L96" s="264"/>
      <c r="M96" s="264" t="s">
        <v>103</v>
      </c>
      <c r="N96" s="264"/>
      <c r="O96" s="264" t="s">
        <v>103</v>
      </c>
      <c r="P96" s="264"/>
      <c r="Q96" s="264" t="s">
        <v>103</v>
      </c>
      <c r="R96" s="264"/>
      <c r="S96" s="264" t="s">
        <v>103</v>
      </c>
      <c r="T96" s="264"/>
      <c r="U96" s="264" t="s">
        <v>103</v>
      </c>
      <c r="V96" s="264"/>
      <c r="W96" s="264" t="s">
        <v>103</v>
      </c>
      <c r="X96" s="264"/>
      <c r="Y96" s="264" t="s">
        <v>103</v>
      </c>
      <c r="Z96" s="264"/>
      <c r="AA96" s="264" t="s">
        <v>103</v>
      </c>
      <c r="AB96" s="264"/>
      <c r="AC96" s="524"/>
      <c r="AD96" s="264"/>
      <c r="AE96" s="1234"/>
      <c r="AF96" s="264"/>
      <c r="AG96" s="264"/>
      <c r="AH96" s="264"/>
      <c r="AI96" s="98"/>
      <c r="AJ96" s="12"/>
      <c r="AL96" s="96"/>
      <c r="AM96" s="1632"/>
      <c r="AN96" s="1632"/>
    </row>
    <row r="97" spans="1:40">
      <c r="A97" s="291"/>
      <c r="B97" s="3" t="s">
        <v>577</v>
      </c>
      <c r="C97" s="291"/>
      <c r="D97" s="291"/>
      <c r="E97" s="264" t="s">
        <v>103</v>
      </c>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524"/>
      <c r="AD97" s="12"/>
      <c r="AE97" s="1234"/>
      <c r="AF97" s="264"/>
      <c r="AG97" s="12"/>
      <c r="AH97" s="12"/>
      <c r="AI97" s="98"/>
      <c r="AJ97" s="12"/>
      <c r="AL97" s="96"/>
      <c r="AM97" s="1632"/>
      <c r="AN97" s="1632"/>
    </row>
    <row r="98" spans="1:40" s="12" customFormat="1">
      <c r="A98" s="264"/>
      <c r="B98" s="13" t="s">
        <v>1413</v>
      </c>
      <c r="C98" s="264"/>
      <c r="D98" s="264"/>
      <c r="E98" s="719">
        <f>ROUND(SUM(E87+E94),1)</f>
        <v>-102</v>
      </c>
      <c r="F98" s="720"/>
      <c r="G98" s="719">
        <f>ROUND(SUM(G87+G94),1)</f>
        <v>0</v>
      </c>
      <c r="H98" s="720"/>
      <c r="I98" s="719">
        <f>ROUND(SUM(I87+I94),1)</f>
        <v>0</v>
      </c>
      <c r="J98" s="720"/>
      <c r="K98" s="719">
        <f>ROUND(SUM(K87+K94),1)</f>
        <v>0</v>
      </c>
      <c r="L98" s="720"/>
      <c r="M98" s="719">
        <f>ROUND(SUM(M87+M94),1)</f>
        <v>0</v>
      </c>
      <c r="N98" s="720"/>
      <c r="O98" s="719">
        <f>ROUND(SUM(O87+O94),1)</f>
        <v>0</v>
      </c>
      <c r="P98" s="720"/>
      <c r="Q98" s="719">
        <f>ROUND(SUM(Q87+Q94),1)</f>
        <v>0</v>
      </c>
      <c r="R98" s="720"/>
      <c r="S98" s="719">
        <f>ROUND(SUM(S87+S94),1)</f>
        <v>0</v>
      </c>
      <c r="T98" s="720"/>
      <c r="U98" s="719">
        <f>ROUND(SUM(U87+U94),1)</f>
        <v>0</v>
      </c>
      <c r="V98" s="720"/>
      <c r="W98" s="719">
        <f>ROUND(SUM(W87+W94),1)</f>
        <v>0</v>
      </c>
      <c r="X98" s="921"/>
      <c r="Y98" s="719">
        <f>ROUND(SUM(Y87+Y94),1)</f>
        <v>0</v>
      </c>
      <c r="Z98" s="720"/>
      <c r="AA98" s="719">
        <f>ROUND(SUM(AA87+AA94),1)</f>
        <v>0</v>
      </c>
      <c r="AB98" s="720"/>
      <c r="AC98" s="721"/>
      <c r="AD98" s="719">
        <f>ROUND(SUM(AD87+AD94),1)</f>
        <v>-102</v>
      </c>
      <c r="AE98" s="1246"/>
      <c r="AF98" s="13"/>
      <c r="AG98" s="719">
        <f>ROUND(SUM(AG87+AG94),1)</f>
        <v>-60.6</v>
      </c>
      <c r="AH98" s="13"/>
      <c r="AI98" s="98"/>
      <c r="AJ98" s="719">
        <f>ROUND(SUM(AJ87+AJ94),1)</f>
        <v>-41.4</v>
      </c>
      <c r="AK98" s="13"/>
      <c r="AL98" s="540">
        <f>ROUND(IF(AG98=0,0,AJ98/ABS(AG98)),3)</f>
        <v>-0.68300000000000005</v>
      </c>
      <c r="AM98" s="1632"/>
      <c r="AN98" s="1632"/>
    </row>
    <row r="99" spans="1:40">
      <c r="B99" s="926"/>
      <c r="X99" s="1074"/>
      <c r="AC99" s="1781"/>
      <c r="AF99" s="1781"/>
      <c r="AI99" s="1782"/>
      <c r="AM99" s="1632"/>
      <c r="AN99" s="1632"/>
    </row>
    <row r="100" spans="1:40" ht="16" thickBot="1">
      <c r="B100" s="3" t="s">
        <v>532</v>
      </c>
      <c r="C100" s="103"/>
      <c r="D100" s="103"/>
      <c r="E100" s="70">
        <f>ROUND(SUM(E13+E98),1)</f>
        <v>-2308.4</v>
      </c>
      <c r="F100" s="103"/>
      <c r="G100" s="70">
        <f>ROUND(SUM(G13+G98),1)</f>
        <v>0</v>
      </c>
      <c r="I100" s="70">
        <f>ROUND(SUM(I13+I98),1)</f>
        <v>0</v>
      </c>
      <c r="K100" s="70">
        <f>ROUND(SUM(K13+K98),1)</f>
        <v>0</v>
      </c>
      <c r="M100" s="70">
        <f>ROUND(SUM(M13+M98),1)</f>
        <v>0</v>
      </c>
      <c r="O100" s="70">
        <f>ROUND(SUM(O13+O98),1)</f>
        <v>0</v>
      </c>
      <c r="Q100" s="70">
        <f>ROUND(SUM(Q13+Q98),1)</f>
        <v>0</v>
      </c>
      <c r="S100" s="70">
        <f>ROUND(SUM(S13+S98),1)</f>
        <v>0</v>
      </c>
      <c r="U100" s="70">
        <f>ROUND(SUM(U13+U98),1)</f>
        <v>0</v>
      </c>
      <c r="W100" s="70">
        <f>ROUND(SUM(W13+W98),1)</f>
        <v>0</v>
      </c>
      <c r="Y100" s="70">
        <f>ROUND(SUM(Y13+Y98),1)</f>
        <v>0</v>
      </c>
      <c r="AA100" s="70">
        <f>ROUND(SUM(AA13+AA98),1)</f>
        <v>0</v>
      </c>
      <c r="AC100" s="1781"/>
      <c r="AD100" s="70">
        <f>ROUND(SUM(AD13+AD98),1)</f>
        <v>-2308.4</v>
      </c>
      <c r="AF100" s="1781"/>
      <c r="AG100" s="70">
        <f>ROUND(SUM(AG13+AG98),1)</f>
        <v>-1137.9000000000001</v>
      </c>
      <c r="AI100" s="1782"/>
      <c r="AJ100" s="70">
        <f>ROUND(SUM(AJ13+AJ98),1)</f>
        <v>-1170.5</v>
      </c>
      <c r="AL100" s="77">
        <f>ROUND(IF(AG100=0,0,AJ100/ABS(AG100)),3)</f>
        <v>-1.0289999999999999</v>
      </c>
      <c r="AM100" s="1632"/>
      <c r="AN100" s="1632"/>
    </row>
    <row r="101" spans="1:40" ht="16" thickTop="1">
      <c r="B101" s="922"/>
      <c r="C101" s="103"/>
      <c r="D101" s="103"/>
      <c r="E101" s="103"/>
      <c r="F101" s="103"/>
      <c r="G101" s="103"/>
      <c r="AG101" s="426"/>
      <c r="AJ101" s="41"/>
    </row>
    <row r="102" spans="1:40">
      <c r="B102" s="104"/>
    </row>
    <row r="103" spans="1:40">
      <c r="B103" s="104"/>
      <c r="AD103" s="12"/>
    </row>
    <row r="104" spans="1:40">
      <c r="B104" s="102"/>
    </row>
    <row r="105" spans="1:40">
      <c r="B105" s="104"/>
      <c r="AD105" s="426"/>
    </row>
    <row r="106" spans="1:40">
      <c r="B106" s="104"/>
    </row>
    <row r="107" spans="1:40">
      <c r="B107" s="102"/>
    </row>
  </sheetData>
  <mergeCells count="1">
    <mergeCell ref="AC9:AL9"/>
  </mergeCells>
  <printOptions horizontalCentered="1"/>
  <pageMargins left="0.25" right="0.25" top="0.5" bottom="0.25" header="0" footer="0.25"/>
  <pageSetup scale="43" firstPageNumber="31" fitToHeight="0" orientation="landscape" useFirstPageNumber="1" r:id="rId1"/>
  <headerFooter scaleWithDoc="0" alignWithMargins="0">
    <oddFooter>&amp;C&amp;8&amp;P</oddFooter>
  </headerFooter>
  <rowBreaks count="1" manualBreakCount="1">
    <brk id="65" min="1" max="37" man="1"/>
  </rowBreaks>
  <customProperties>
    <customPr name="SheetOptions" r:id="rId2"/>
  </customProperties>
  <ignoredErrors>
    <ignoredError sqref="AL39 AL31:AL34 AL37 AL93 AL95 AL88:AL89 AL85:AL86 AL91:AL92 AL78 AL83 AL84 AL79:AL82 AL75 AL22 AL30 AL27 AL19 AL29 AL23 AL25:AL26 AL21 AL77 AL96:AL98" unlockedFormula="1"/>
    <ignoredError sqref="AL47 AL64 AL72 AL69:AL70 AL71 AL65:AL67 AL61 AL52" formula="1" unlockedFormula="1"/>
    <ignoredError sqref="AL49:AL50 AL51 AL55:AL60 AL2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N89"/>
  <sheetViews>
    <sheetView showGridLines="0" zoomScale="70" zoomScaleNormal="70" workbookViewId="0"/>
  </sheetViews>
  <sheetFormatPr defaultColWidth="8.84375" defaultRowHeight="15.5"/>
  <cols>
    <col min="1" max="1" width="2.53515625" style="23" customWidth="1"/>
    <col min="2" max="2" width="14.07421875" style="23" customWidth="1"/>
    <col min="3" max="3" width="26.53515625" style="23" customWidth="1"/>
    <col min="4" max="4" width="2.07421875" style="23" customWidth="1"/>
    <col min="5" max="5" width="11.84375" style="23" customWidth="1"/>
    <col min="6" max="6" width="1.84375" style="23" customWidth="1"/>
    <col min="7" max="7" width="11.84375" style="23" customWidth="1"/>
    <col min="8" max="8" width="1.84375" style="23" customWidth="1"/>
    <col min="9" max="9" width="11.84375" style="23" customWidth="1"/>
    <col min="10" max="10" width="1.84375" style="23" customWidth="1"/>
    <col min="11" max="11" width="11.84375" style="23" customWidth="1"/>
    <col min="12" max="12" width="1.84375" style="23" customWidth="1"/>
    <col min="13" max="13" width="11.84375" style="23" customWidth="1"/>
    <col min="14" max="14" width="1.84375" style="23" customWidth="1"/>
    <col min="15" max="15" width="12.84375" style="23" customWidth="1"/>
    <col min="16" max="16" width="1.84375" style="23" customWidth="1"/>
    <col min="17" max="17" width="11.84375" style="23" customWidth="1"/>
    <col min="18" max="18" width="1.84375" style="23" customWidth="1"/>
    <col min="19" max="19" width="11.84375" style="23" customWidth="1"/>
    <col min="20" max="20" width="1.84375" style="23" customWidth="1"/>
    <col min="21" max="21" width="11.84375" style="23" customWidth="1"/>
    <col min="22" max="22" width="1.84375" style="23" customWidth="1"/>
    <col min="23" max="23" width="11.84375" style="23" customWidth="1"/>
    <col min="24" max="24" width="1.84375" style="23" customWidth="1"/>
    <col min="25" max="25" width="11.84375" style="23" customWidth="1"/>
    <col min="26" max="26" width="1.84375" style="23" customWidth="1"/>
    <col min="27" max="27" width="11.84375" style="23" customWidth="1"/>
    <col min="28" max="29" width="1.07421875" style="23" customWidth="1"/>
    <col min="30" max="30" width="12.84375" style="23" customWidth="1"/>
    <col min="31" max="32" width="1.07421875" style="23" customWidth="1"/>
    <col min="33" max="33" width="12.84375" style="23" customWidth="1"/>
    <col min="34" max="35" width="1.07421875" style="23" customWidth="1"/>
    <col min="36" max="36" width="12.84375" style="23" customWidth="1"/>
    <col min="37" max="37" width="1.07421875" style="23" customWidth="1"/>
    <col min="38" max="38" width="12.84375" style="23" customWidth="1"/>
    <col min="39" max="39" width="8.84375" style="23" bestFit="1" customWidth="1"/>
    <col min="40" max="40" width="9.4609375" style="23" bestFit="1" customWidth="1"/>
    <col min="41" max="16384" width="8.84375" style="23"/>
  </cols>
  <sheetData>
    <row r="1" spans="1:40">
      <c r="B1" s="265" t="s">
        <v>97</v>
      </c>
    </row>
    <row r="2" spans="1:40">
      <c r="B2" s="354"/>
    </row>
    <row r="3" spans="1:40" ht="19.5" customHeight="1">
      <c r="A3" s="84"/>
      <c r="B3" s="50" t="s">
        <v>98</v>
      </c>
      <c r="C3" s="85"/>
      <c r="D3" s="85"/>
      <c r="E3" s="85"/>
      <c r="F3" s="86"/>
      <c r="G3" s="86"/>
      <c r="H3" s="86"/>
      <c r="I3" s="86"/>
      <c r="J3" s="86"/>
      <c r="K3" s="86"/>
      <c r="L3" s="86"/>
      <c r="M3" s="86"/>
      <c r="N3" s="86"/>
      <c r="O3" s="86"/>
      <c r="P3" s="86"/>
      <c r="Q3" s="86"/>
      <c r="R3" s="86"/>
      <c r="S3" s="1137"/>
      <c r="T3" s="86"/>
      <c r="U3" s="86"/>
      <c r="V3" s="86"/>
      <c r="W3" s="86"/>
      <c r="X3" s="86"/>
      <c r="Y3" s="86"/>
      <c r="Z3" s="86"/>
      <c r="AA3" s="86"/>
      <c r="AB3" s="86"/>
      <c r="AC3" s="86"/>
      <c r="AD3" s="86"/>
      <c r="AE3" s="86"/>
      <c r="AF3" s="86"/>
      <c r="AG3" s="86"/>
      <c r="AH3" s="86"/>
      <c r="AI3" s="86"/>
      <c r="AL3" s="72" t="s">
        <v>553</v>
      </c>
    </row>
    <row r="4" spans="1:40" ht="19.5" customHeight="1">
      <c r="A4" s="84"/>
      <c r="B4" s="50" t="s">
        <v>583</v>
      </c>
      <c r="C4" s="85"/>
      <c r="D4" s="85"/>
      <c r="E4" s="85"/>
      <c r="F4" s="86"/>
      <c r="G4" s="86"/>
      <c r="H4" s="86"/>
      <c r="I4" s="86"/>
      <c r="J4" s="86"/>
      <c r="K4" s="86"/>
      <c r="L4" s="86"/>
      <c r="M4" s="86"/>
      <c r="N4" s="86"/>
      <c r="O4" s="86"/>
      <c r="P4" s="86"/>
      <c r="Q4" s="86"/>
      <c r="R4" s="86"/>
      <c r="S4" s="86"/>
      <c r="T4" s="86"/>
      <c r="U4" s="86"/>
      <c r="V4" s="86"/>
      <c r="W4" s="86"/>
      <c r="X4" s="86"/>
      <c r="Y4" s="86"/>
      <c r="Z4" s="86"/>
      <c r="AA4" s="86"/>
      <c r="AB4" s="86"/>
      <c r="AC4" s="86"/>
      <c r="AE4" s="87"/>
      <c r="AF4" s="87"/>
    </row>
    <row r="5" spans="1:40" ht="19.5" customHeight="1">
      <c r="A5" s="84"/>
      <c r="B5" s="541" t="s">
        <v>444</v>
      </c>
      <c r="C5" s="85"/>
      <c r="D5" s="85"/>
      <c r="E5" s="85"/>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L5" s="72"/>
    </row>
    <row r="6" spans="1:40" ht="19.5" customHeight="1">
      <c r="A6" s="84"/>
      <c r="B6" s="541" t="str">
        <f>'Cashflow Governmental'!A6</f>
        <v>FISCAL YEAR 2026-2027</v>
      </c>
      <c r="C6" s="925"/>
      <c r="D6" s="85"/>
      <c r="E6" s="85"/>
      <c r="F6" s="86"/>
      <c r="G6" s="86"/>
      <c r="H6" s="1133"/>
      <c r="I6" s="86"/>
      <c r="J6" s="86"/>
      <c r="K6" s="86"/>
      <c r="L6" s="86"/>
      <c r="M6" s="86"/>
      <c r="N6" s="86"/>
      <c r="O6" s="86"/>
      <c r="P6" s="86"/>
      <c r="Q6" s="86"/>
      <c r="R6" s="86"/>
      <c r="S6" s="86"/>
      <c r="T6" s="86"/>
      <c r="U6" s="86"/>
      <c r="V6" s="86"/>
      <c r="W6" s="86"/>
      <c r="X6" s="86"/>
      <c r="Y6" s="86"/>
      <c r="Z6" s="86"/>
      <c r="AA6" s="86"/>
      <c r="AB6" s="86"/>
      <c r="AC6" s="86"/>
      <c r="AD6" s="86"/>
      <c r="AE6" s="88"/>
      <c r="AF6" s="88"/>
      <c r="AG6" s="88"/>
      <c r="AH6" s="88"/>
      <c r="AI6" s="88"/>
    </row>
    <row r="7" spans="1:40" ht="19.5" customHeight="1">
      <c r="A7" s="84"/>
      <c r="B7" s="50" t="s">
        <v>226</v>
      </c>
      <c r="C7" s="85"/>
      <c r="D7" s="85"/>
      <c r="E7" s="85"/>
      <c r="F7" s="86"/>
      <c r="G7" s="86"/>
      <c r="H7" s="1133"/>
      <c r="I7" s="86"/>
      <c r="J7" s="86"/>
      <c r="K7" s="86"/>
      <c r="L7" s="86"/>
      <c r="M7" s="86"/>
      <c r="N7" s="86"/>
      <c r="O7" s="86"/>
      <c r="P7" s="86"/>
      <c r="Q7" s="86"/>
      <c r="R7" s="86"/>
      <c r="S7" s="86"/>
      <c r="T7" s="86"/>
      <c r="U7" s="86"/>
      <c r="V7" s="86"/>
      <c r="W7" s="86"/>
      <c r="X7" s="86"/>
      <c r="Y7" s="86"/>
      <c r="Z7" s="86"/>
      <c r="AA7" s="86"/>
      <c r="AB7" s="86"/>
      <c r="AC7" s="86"/>
      <c r="AD7" s="86"/>
      <c r="AE7" s="88"/>
      <c r="AF7" s="88"/>
      <c r="AG7" s="88"/>
      <c r="AH7" s="88"/>
      <c r="AI7" s="88"/>
    </row>
    <row r="8" spans="1:40" ht="19.5" customHeight="1">
      <c r="A8" s="84"/>
      <c r="B8" s="552"/>
      <c r="C8" s="85"/>
      <c r="D8" s="85"/>
      <c r="E8" s="1556"/>
      <c r="F8" s="86"/>
      <c r="G8" s="86"/>
      <c r="H8" s="1133"/>
      <c r="I8" s="86"/>
      <c r="J8" s="86"/>
      <c r="K8" s="86"/>
      <c r="L8" s="86"/>
      <c r="M8" s="86"/>
      <c r="N8" s="86"/>
      <c r="O8" s="86"/>
      <c r="P8" s="86"/>
      <c r="Q8" s="86"/>
      <c r="R8" s="86"/>
      <c r="S8" s="86"/>
      <c r="T8" s="86"/>
      <c r="U8" s="86"/>
      <c r="V8" s="86"/>
      <c r="W8" s="86"/>
      <c r="X8" s="86"/>
      <c r="Y8" s="86"/>
      <c r="Z8" s="86"/>
      <c r="AA8" s="86"/>
      <c r="AB8" s="86"/>
      <c r="AC8" s="86"/>
      <c r="AD8" s="86"/>
      <c r="AE8" s="88"/>
      <c r="AF8" s="88"/>
      <c r="AG8" s="88"/>
      <c r="AH8" s="88"/>
      <c r="AI8" s="88"/>
    </row>
    <row r="9" spans="1:40" ht="15.75" customHeight="1">
      <c r="A9" s="84"/>
      <c r="B9" s="50"/>
      <c r="C9" s="85"/>
      <c r="D9" s="85"/>
      <c r="E9" s="1531"/>
      <c r="F9" s="86"/>
      <c r="G9" s="86"/>
      <c r="H9" s="86"/>
      <c r="I9" s="86"/>
      <c r="J9" s="86"/>
      <c r="K9" s="86"/>
      <c r="L9" s="86"/>
      <c r="M9" s="86"/>
      <c r="N9" s="86"/>
      <c r="O9" s="86"/>
      <c r="P9" s="86"/>
      <c r="Q9" s="86"/>
      <c r="R9" s="86"/>
      <c r="S9" s="86"/>
      <c r="T9" s="86"/>
      <c r="U9" s="86"/>
      <c r="V9" s="86"/>
      <c r="W9" s="86"/>
      <c r="X9" s="86"/>
      <c r="Y9" s="86"/>
      <c r="Z9" s="86"/>
      <c r="AA9" s="86"/>
      <c r="AB9" s="86"/>
      <c r="AC9" s="2066" t="str">
        <f>'Cashflow Governmental'!$AB$12</f>
        <v>1 Month Ended April 30</v>
      </c>
      <c r="AD9" s="2066"/>
      <c r="AE9" s="2066"/>
      <c r="AF9" s="2066"/>
      <c r="AG9" s="2066"/>
      <c r="AH9" s="2066"/>
      <c r="AI9" s="2066"/>
      <c r="AJ9" s="2066"/>
      <c r="AK9" s="2066"/>
      <c r="AL9" s="2066"/>
    </row>
    <row r="10" spans="1:40">
      <c r="A10" s="91"/>
      <c r="B10" s="91"/>
      <c r="C10" s="91"/>
      <c r="D10" s="91"/>
      <c r="E10" s="314" t="str">
        <f>'Cashflow Governmental'!C13</f>
        <v>2026</v>
      </c>
      <c r="F10" s="323"/>
      <c r="G10" s="323"/>
      <c r="H10" s="323"/>
      <c r="I10" s="323"/>
      <c r="J10" s="323"/>
      <c r="K10" s="323"/>
      <c r="L10" s="323"/>
      <c r="M10" s="323"/>
      <c r="N10" s="323"/>
      <c r="O10" s="323"/>
      <c r="P10" s="323"/>
      <c r="Q10" s="323"/>
      <c r="R10" s="323"/>
      <c r="S10" s="323"/>
      <c r="T10" s="323"/>
      <c r="U10" s="323"/>
      <c r="V10" s="323"/>
      <c r="W10" s="314">
        <f>'Cashflow Governmental'!U13</f>
        <v>2027</v>
      </c>
      <c r="X10" s="323"/>
      <c r="Y10" s="323"/>
      <c r="Z10" s="323"/>
      <c r="AA10" s="323"/>
      <c r="AB10" s="323"/>
      <c r="AC10" s="323"/>
      <c r="AD10" s="323"/>
      <c r="AE10" s="323"/>
      <c r="AF10" s="323"/>
      <c r="AG10" s="323"/>
      <c r="AH10" s="323"/>
      <c r="AI10" s="323"/>
      <c r="AJ10" s="320" t="s">
        <v>110</v>
      </c>
      <c r="AK10" s="320"/>
      <c r="AL10" s="318" t="s">
        <v>111</v>
      </c>
      <c r="AM10" s="3"/>
    </row>
    <row r="11" spans="1:40">
      <c r="A11" s="291"/>
      <c r="B11" s="291"/>
      <c r="C11" s="291"/>
      <c r="D11" s="291"/>
      <c r="E11" s="1219" t="s">
        <v>329</v>
      </c>
      <c r="F11" s="3"/>
      <c r="G11" s="1219" t="s">
        <v>330</v>
      </c>
      <c r="H11" s="3"/>
      <c r="I11" s="1219" t="s">
        <v>331</v>
      </c>
      <c r="J11" s="3"/>
      <c r="K11" s="1219" t="s">
        <v>332</v>
      </c>
      <c r="L11" s="3"/>
      <c r="M11" s="1219" t="s">
        <v>333</v>
      </c>
      <c r="N11" s="3"/>
      <c r="O11" s="1219" t="s">
        <v>445</v>
      </c>
      <c r="P11" s="3"/>
      <c r="Q11" s="1219" t="s">
        <v>446</v>
      </c>
      <c r="R11" s="3"/>
      <c r="S11" s="1219" t="s">
        <v>336</v>
      </c>
      <c r="T11" s="3"/>
      <c r="U11" s="1219" t="s">
        <v>337</v>
      </c>
      <c r="V11" s="3"/>
      <c r="W11" s="1219" t="s">
        <v>338</v>
      </c>
      <c r="X11" s="3"/>
      <c r="Y11" s="1219" t="s">
        <v>339</v>
      </c>
      <c r="Z11" s="3"/>
      <c r="AA11" s="1219" t="s">
        <v>447</v>
      </c>
      <c r="AB11" s="3"/>
      <c r="AC11" s="3"/>
      <c r="AD11" s="1219" t="str">
        <f>'Cashflow Governmental'!AB14</f>
        <v>2026</v>
      </c>
      <c r="AE11" s="3" t="s">
        <v>103</v>
      </c>
      <c r="AF11" s="3"/>
      <c r="AG11" s="1219" t="str">
        <f>'Cashflow Governmental'!AE14</f>
        <v>2025</v>
      </c>
      <c r="AH11" s="52"/>
      <c r="AI11" s="52"/>
      <c r="AJ11" s="416" t="s">
        <v>112</v>
      </c>
      <c r="AK11" s="320"/>
      <c r="AL11" s="416" t="s">
        <v>113</v>
      </c>
      <c r="AM11" s="3"/>
    </row>
    <row r="12" spans="1:40" ht="5.25" customHeight="1">
      <c r="A12" s="291"/>
      <c r="B12" s="3"/>
      <c r="C12" s="3"/>
      <c r="D12" s="291"/>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40"/>
    </row>
    <row r="13" spans="1:40">
      <c r="A13" s="291"/>
      <c r="B13" s="1218" t="s">
        <v>556</v>
      </c>
      <c r="C13" s="3"/>
      <c r="E13" s="82">
        <v>-276.7</v>
      </c>
      <c r="F13" s="268"/>
      <c r="G13" s="82"/>
      <c r="H13" s="82"/>
      <c r="I13" s="82"/>
      <c r="J13" s="268"/>
      <c r="K13" s="82"/>
      <c r="L13" s="268"/>
      <c r="M13" s="82"/>
      <c r="N13" s="268"/>
      <c r="O13" s="82"/>
      <c r="P13" s="268"/>
      <c r="Q13" s="82"/>
      <c r="R13" s="274"/>
      <c r="S13" s="82"/>
      <c r="T13" s="20"/>
      <c r="U13" s="82"/>
      <c r="V13" s="20"/>
      <c r="W13" s="82"/>
      <c r="X13" s="20"/>
      <c r="Y13" s="82"/>
      <c r="Z13" s="20"/>
      <c r="AA13" s="82"/>
      <c r="AB13" s="268"/>
      <c r="AC13" s="668"/>
      <c r="AD13" s="1765">
        <f>E13</f>
        <v>-276.7</v>
      </c>
      <c r="AE13" s="268"/>
      <c r="AF13" s="1048"/>
      <c r="AG13" s="1949">
        <v>-378.7</v>
      </c>
      <c r="AH13" s="268"/>
      <c r="AI13" s="92"/>
      <c r="AJ13" s="1765">
        <f>+AD13-AG13</f>
        <v>102</v>
      </c>
      <c r="AL13" s="74">
        <f>-ROUND((+AJ13/AG13),3)</f>
        <v>0.26900000000000002</v>
      </c>
      <c r="AM13" s="1632"/>
      <c r="AN13" s="1632"/>
    </row>
    <row r="14" spans="1:40">
      <c r="A14" s="291"/>
      <c r="B14" s="3"/>
      <c r="C14" s="3"/>
      <c r="D14" s="291"/>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668"/>
      <c r="AD14" s="268"/>
      <c r="AE14" s="268"/>
      <c r="AF14" s="1048"/>
      <c r="AG14" s="268"/>
      <c r="AH14" s="268"/>
      <c r="AI14" s="92"/>
      <c r="AM14" s="1632"/>
      <c r="AN14" s="1632"/>
    </row>
    <row r="15" spans="1:40">
      <c r="A15" s="291"/>
      <c r="B15" s="3" t="s">
        <v>557</v>
      </c>
      <c r="C15" s="291"/>
      <c r="D15" s="291"/>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668"/>
      <c r="AD15" s="268"/>
      <c r="AE15" s="268"/>
      <c r="AF15" s="1048"/>
      <c r="AG15" s="268"/>
      <c r="AH15" s="268"/>
      <c r="AI15" s="92"/>
      <c r="AM15" s="1632"/>
      <c r="AN15" s="1632"/>
    </row>
    <row r="16" spans="1:40">
      <c r="A16" s="291"/>
      <c r="B16" s="350" t="s">
        <v>383</v>
      </c>
      <c r="C16" s="291"/>
      <c r="D16" s="291"/>
      <c r="E16" s="289"/>
      <c r="F16" s="264"/>
      <c r="G16" s="289"/>
      <c r="H16" s="264"/>
      <c r="I16" s="289"/>
      <c r="J16" s="264"/>
      <c r="K16" s="289"/>
      <c r="L16" s="264"/>
      <c r="M16" s="264"/>
      <c r="N16" s="264"/>
      <c r="O16" s="289"/>
      <c r="P16" s="264"/>
      <c r="Q16" s="289"/>
      <c r="R16" s="264"/>
      <c r="S16" s="289"/>
      <c r="T16" s="264"/>
      <c r="U16" s="289"/>
      <c r="V16" s="264"/>
      <c r="W16" s="289"/>
      <c r="X16" s="264"/>
      <c r="Y16" s="289"/>
      <c r="Z16" s="264"/>
      <c r="AA16" s="289"/>
      <c r="AB16" s="264"/>
      <c r="AC16" s="524"/>
      <c r="AD16" s="1821"/>
      <c r="AE16" s="1234"/>
      <c r="AF16" s="264"/>
      <c r="AG16" s="264"/>
      <c r="AH16" s="287"/>
      <c r="AI16" s="97"/>
      <c r="AJ16" s="287"/>
      <c r="AK16" s="41"/>
      <c r="AL16" s="96"/>
      <c r="AM16" s="1632"/>
      <c r="AN16" s="1632"/>
    </row>
    <row r="17" spans="1:40">
      <c r="A17" s="291"/>
      <c r="B17" s="350" t="s">
        <v>384</v>
      </c>
      <c r="C17" s="291"/>
      <c r="D17" s="291"/>
      <c r="E17" s="289"/>
      <c r="F17" s="264"/>
      <c r="G17" s="289"/>
      <c r="H17" s="264"/>
      <c r="I17" s="289"/>
      <c r="J17" s="264"/>
      <c r="K17" s="289"/>
      <c r="L17" s="264"/>
      <c r="M17" s="264"/>
      <c r="N17" s="264"/>
      <c r="O17" s="289"/>
      <c r="P17" s="264"/>
      <c r="Q17" s="289"/>
      <c r="R17" s="264"/>
      <c r="S17" s="289"/>
      <c r="T17" s="264"/>
      <c r="U17" s="289"/>
      <c r="V17" s="264"/>
      <c r="W17" s="289"/>
      <c r="X17" s="264"/>
      <c r="Y17" s="289"/>
      <c r="Z17" s="264"/>
      <c r="AA17" s="289"/>
      <c r="AB17" s="264"/>
      <c r="AC17" s="524"/>
      <c r="AD17" s="1821"/>
      <c r="AE17" s="1234"/>
      <c r="AF17" s="264"/>
      <c r="AG17" s="264"/>
      <c r="AH17" s="287"/>
      <c r="AI17" s="97"/>
      <c r="AJ17" s="287"/>
      <c r="AK17" s="41"/>
      <c r="AL17" s="374"/>
      <c r="AM17" s="1632"/>
      <c r="AN17" s="1632"/>
    </row>
    <row r="18" spans="1:40">
      <c r="A18" s="291"/>
      <c r="B18" s="350" t="s">
        <v>1483</v>
      </c>
      <c r="C18" s="291"/>
      <c r="D18" s="291"/>
      <c r="E18" s="264">
        <f>AD18</f>
        <v>0</v>
      </c>
      <c r="F18" s="289"/>
      <c r="G18" s="264"/>
      <c r="H18" s="289"/>
      <c r="I18" s="264"/>
      <c r="J18" s="264"/>
      <c r="K18" s="264"/>
      <c r="L18" s="264"/>
      <c r="M18" s="264"/>
      <c r="N18" s="264"/>
      <c r="O18" s="264"/>
      <c r="P18" s="264"/>
      <c r="Q18" s="264"/>
      <c r="R18" s="264"/>
      <c r="S18" s="289"/>
      <c r="T18" s="289"/>
      <c r="U18" s="289"/>
      <c r="V18" s="289"/>
      <c r="W18" s="289"/>
      <c r="X18" s="289"/>
      <c r="Y18" s="289"/>
      <c r="Z18" s="289"/>
      <c r="AA18" s="289"/>
      <c r="AB18" s="264"/>
      <c r="AC18" s="524"/>
      <c r="AD18" s="532">
        <v>0</v>
      </c>
      <c r="AE18" s="264"/>
      <c r="AF18" s="525" t="s">
        <v>103</v>
      </c>
      <c r="AG18" s="532">
        <v>0</v>
      </c>
      <c r="AH18" s="287"/>
      <c r="AI18" s="1766"/>
      <c r="AJ18" s="287">
        <f>ROUND(AD18-AG18,1)</f>
        <v>0</v>
      </c>
      <c r="AK18" s="268"/>
      <c r="AL18" s="266">
        <f>ROUND(IF(AG18=0,0,AJ18/ABS(AG18)),3)</f>
        <v>0</v>
      </c>
      <c r="AM18" s="1632"/>
      <c r="AN18" s="1632"/>
    </row>
    <row r="19" spans="1:40" s="291" customFormat="1">
      <c r="B19" s="350" t="s">
        <v>561</v>
      </c>
      <c r="E19" s="264">
        <f t="shared" ref="E19:E41" si="0">AD19</f>
        <v>0</v>
      </c>
      <c r="F19" s="289"/>
      <c r="G19" s="264"/>
      <c r="H19" s="289"/>
      <c r="I19" s="264"/>
      <c r="J19" s="264"/>
      <c r="K19" s="264"/>
      <c r="L19" s="264"/>
      <c r="M19" s="264"/>
      <c r="N19" s="264"/>
      <c r="O19" s="264"/>
      <c r="P19" s="264"/>
      <c r="Q19" s="264"/>
      <c r="R19" s="264"/>
      <c r="S19" s="289"/>
      <c r="T19" s="289"/>
      <c r="U19" s="289"/>
      <c r="V19" s="289"/>
      <c r="W19" s="289"/>
      <c r="X19" s="289"/>
      <c r="Y19" s="289"/>
      <c r="Z19" s="289"/>
      <c r="AA19" s="289"/>
      <c r="AB19" s="264"/>
      <c r="AC19" s="524"/>
      <c r="AD19" s="532">
        <v>0</v>
      </c>
      <c r="AE19" s="264"/>
      <c r="AF19" s="525" t="s">
        <v>103</v>
      </c>
      <c r="AG19" s="532">
        <v>0</v>
      </c>
      <c r="AH19" s="287"/>
      <c r="AI19" s="1766"/>
      <c r="AJ19" s="287">
        <f>ROUND(AD19-AG19,1)</f>
        <v>0</v>
      </c>
      <c r="AK19" s="268"/>
      <c r="AL19" s="266">
        <f>ROUND(IF(AG19=0,0,AJ19/ABS(AG19)),3)</f>
        <v>0</v>
      </c>
      <c r="AM19" s="1632"/>
      <c r="AN19" s="1632"/>
    </row>
    <row r="20" spans="1:40" s="291" customFormat="1">
      <c r="B20" s="350" t="s">
        <v>387</v>
      </c>
      <c r="E20" s="264"/>
      <c r="F20" s="264"/>
      <c r="G20" s="264"/>
      <c r="H20" s="264"/>
      <c r="I20" s="264"/>
      <c r="J20" s="264"/>
      <c r="K20" s="264"/>
      <c r="L20" s="264"/>
      <c r="M20" s="264"/>
      <c r="N20" s="264"/>
      <c r="O20" s="264"/>
      <c r="P20" s="264"/>
      <c r="Q20" s="264"/>
      <c r="R20" s="264"/>
      <c r="S20" s="289"/>
      <c r="T20" s="264"/>
      <c r="U20" s="289"/>
      <c r="V20" s="264"/>
      <c r="W20" s="289"/>
      <c r="X20" s="264"/>
      <c r="Y20" s="289"/>
      <c r="Z20" s="264"/>
      <c r="AA20" s="289"/>
      <c r="AB20" s="264"/>
      <c r="AC20" s="524"/>
      <c r="AD20" s="264" t="s">
        <v>103</v>
      </c>
      <c r="AE20" s="1234"/>
      <c r="AF20" s="264"/>
      <c r="AG20" s="264" t="s">
        <v>103</v>
      </c>
      <c r="AH20" s="287"/>
      <c r="AI20" s="97"/>
      <c r="AJ20" s="287" t="s">
        <v>103</v>
      </c>
      <c r="AK20" s="268"/>
      <c r="AL20" s="374" t="s">
        <v>103</v>
      </c>
      <c r="AM20" s="1632"/>
      <c r="AN20" s="1632"/>
    </row>
    <row r="21" spans="1:40" s="291" customFormat="1">
      <c r="B21" s="350" t="s">
        <v>483</v>
      </c>
      <c r="E21" s="264">
        <f t="shared" si="0"/>
        <v>0</v>
      </c>
      <c r="F21" s="264"/>
      <c r="G21" s="264"/>
      <c r="H21" s="264"/>
      <c r="I21" s="264"/>
      <c r="J21" s="264"/>
      <c r="K21" s="264"/>
      <c r="L21" s="264"/>
      <c r="M21" s="264"/>
      <c r="N21" s="264"/>
      <c r="O21" s="264"/>
      <c r="P21" s="264"/>
      <c r="Q21" s="264"/>
      <c r="R21" s="264"/>
      <c r="S21" s="289"/>
      <c r="T21" s="289"/>
      <c r="U21" s="289"/>
      <c r="V21" s="264"/>
      <c r="W21" s="289"/>
      <c r="X21" s="264"/>
      <c r="Y21" s="289"/>
      <c r="Z21" s="264"/>
      <c r="AA21" s="289"/>
      <c r="AB21" s="264"/>
      <c r="AC21" s="524"/>
      <c r="AD21" s="532">
        <v>0</v>
      </c>
      <c r="AE21" s="264"/>
      <c r="AF21" s="525" t="s">
        <v>103</v>
      </c>
      <c r="AG21" s="532">
        <v>0</v>
      </c>
      <c r="AH21" s="287"/>
      <c r="AI21" s="97"/>
      <c r="AJ21" s="287">
        <f t="shared" ref="AJ21:AJ41" si="1">ROUND(AD21-AG21,1)</f>
        <v>0</v>
      </c>
      <c r="AK21" s="268"/>
      <c r="AL21" s="374">
        <f>ROUND(IF(AG21=0,0,AJ21/ABS(AG21)),3)</f>
        <v>0</v>
      </c>
      <c r="AM21" s="1632"/>
      <c r="AN21" s="1632"/>
    </row>
    <row r="22" spans="1:40" s="291" customFormat="1">
      <c r="B22" s="350" t="s">
        <v>392</v>
      </c>
      <c r="E22" s="264"/>
      <c r="F22" s="264"/>
      <c r="G22" s="264"/>
      <c r="H22" s="264"/>
      <c r="I22" s="264"/>
      <c r="J22" s="264"/>
      <c r="K22" s="264"/>
      <c r="L22" s="264"/>
      <c r="M22" s="264"/>
      <c r="N22" s="264"/>
      <c r="O22" s="264"/>
      <c r="P22" s="264"/>
      <c r="Q22" s="264"/>
      <c r="R22" s="264"/>
      <c r="S22" s="289"/>
      <c r="T22" s="264"/>
      <c r="U22" s="289"/>
      <c r="V22" s="264"/>
      <c r="W22" s="289"/>
      <c r="X22" s="264"/>
      <c r="Y22" s="289"/>
      <c r="Z22" s="264"/>
      <c r="AA22" s="289"/>
      <c r="AB22" s="264"/>
      <c r="AC22" s="524"/>
      <c r="AD22" s="264" t="s">
        <v>103</v>
      </c>
      <c r="AE22" s="1234"/>
      <c r="AF22" s="264"/>
      <c r="AG22" s="264" t="s">
        <v>103</v>
      </c>
      <c r="AH22" s="287"/>
      <c r="AI22" s="97"/>
      <c r="AJ22" s="287" t="s">
        <v>103</v>
      </c>
      <c r="AK22" s="268"/>
      <c r="AL22" s="374" t="s">
        <v>103</v>
      </c>
      <c r="AM22" s="1632"/>
      <c r="AN22" s="1632"/>
    </row>
    <row r="23" spans="1:40" s="291" customFormat="1">
      <c r="B23" s="350" t="s">
        <v>486</v>
      </c>
      <c r="E23" s="264">
        <f t="shared" si="0"/>
        <v>0</v>
      </c>
      <c r="F23" s="264"/>
      <c r="G23" s="264"/>
      <c r="H23" s="264"/>
      <c r="I23" s="264"/>
      <c r="J23" s="264"/>
      <c r="K23" s="264"/>
      <c r="L23" s="264"/>
      <c r="M23" s="264"/>
      <c r="N23" s="264"/>
      <c r="O23" s="264"/>
      <c r="P23" s="264"/>
      <c r="Q23" s="264"/>
      <c r="R23" s="264"/>
      <c r="S23" s="289"/>
      <c r="T23" s="289"/>
      <c r="U23" s="289"/>
      <c r="V23" s="264"/>
      <c r="W23" s="289"/>
      <c r="X23" s="264"/>
      <c r="Y23" s="289"/>
      <c r="Z23" s="264"/>
      <c r="AA23" s="289"/>
      <c r="AB23" s="264"/>
      <c r="AC23" s="524"/>
      <c r="AD23" s="532">
        <v>0</v>
      </c>
      <c r="AE23" s="264"/>
      <c r="AF23" s="525" t="s">
        <v>103</v>
      </c>
      <c r="AG23" s="532">
        <v>0</v>
      </c>
      <c r="AH23" s="287"/>
      <c r="AI23" s="97"/>
      <c r="AJ23" s="287">
        <f t="shared" si="1"/>
        <v>0</v>
      </c>
      <c r="AK23" s="268"/>
      <c r="AL23" s="374">
        <f t="shared" ref="AL23:AL27" si="2">ROUND(IF(AG23=0,0,AJ23/ABS(AG23)),3)</f>
        <v>0</v>
      </c>
      <c r="AM23" s="1632"/>
      <c r="AN23" s="1632"/>
    </row>
    <row r="24" spans="1:40" s="291" customFormat="1">
      <c r="B24" s="350" t="s">
        <v>562</v>
      </c>
      <c r="E24" s="264">
        <f t="shared" si="0"/>
        <v>0</v>
      </c>
      <c r="F24" s="264"/>
      <c r="G24" s="264"/>
      <c r="H24" s="264"/>
      <c r="I24" s="264"/>
      <c r="J24" s="264"/>
      <c r="K24" s="264"/>
      <c r="L24" s="264"/>
      <c r="M24" s="264"/>
      <c r="N24" s="264"/>
      <c r="O24" s="264"/>
      <c r="P24" s="264"/>
      <c r="Q24" s="264"/>
      <c r="R24" s="264"/>
      <c r="S24" s="289"/>
      <c r="T24" s="289"/>
      <c r="U24" s="289"/>
      <c r="V24" s="264"/>
      <c r="W24" s="289"/>
      <c r="X24" s="264"/>
      <c r="Y24" s="289"/>
      <c r="Z24" s="264"/>
      <c r="AA24" s="289"/>
      <c r="AB24" s="264"/>
      <c r="AC24" s="524"/>
      <c r="AD24" s="532">
        <v>0</v>
      </c>
      <c r="AE24" s="264"/>
      <c r="AF24" s="525" t="s">
        <v>103</v>
      </c>
      <c r="AG24" s="532">
        <v>0</v>
      </c>
      <c r="AH24" s="287"/>
      <c r="AI24" s="97"/>
      <c r="AJ24" s="287">
        <f>ROUND(AD24-AG24,1)</f>
        <v>0</v>
      </c>
      <c r="AK24" s="268"/>
      <c r="AL24" s="374">
        <f t="shared" si="2"/>
        <v>0</v>
      </c>
      <c r="AM24" s="1632"/>
      <c r="AN24" s="1632"/>
    </row>
    <row r="25" spans="1:40" s="291" customFormat="1">
      <c r="B25" s="350" t="s">
        <v>489</v>
      </c>
      <c r="E25" s="264">
        <f t="shared" si="0"/>
        <v>0</v>
      </c>
      <c r="F25" s="264"/>
      <c r="G25" s="264"/>
      <c r="H25" s="264"/>
      <c r="I25" s="264"/>
      <c r="J25" s="264"/>
      <c r="K25" s="264"/>
      <c r="L25" s="264"/>
      <c r="M25" s="264"/>
      <c r="N25" s="264"/>
      <c r="O25" s="264"/>
      <c r="P25" s="264"/>
      <c r="Q25" s="264"/>
      <c r="R25" s="264"/>
      <c r="S25" s="289"/>
      <c r="T25" s="289"/>
      <c r="U25" s="289"/>
      <c r="V25" s="264"/>
      <c r="W25" s="289"/>
      <c r="X25" s="264"/>
      <c r="Y25" s="289"/>
      <c r="Z25" s="264"/>
      <c r="AA25" s="289"/>
      <c r="AB25" s="264"/>
      <c r="AC25" s="524"/>
      <c r="AD25" s="532">
        <v>0</v>
      </c>
      <c r="AE25" s="264"/>
      <c r="AF25" s="525" t="s">
        <v>103</v>
      </c>
      <c r="AG25" s="532">
        <v>0</v>
      </c>
      <c r="AH25" s="287"/>
      <c r="AI25" s="97"/>
      <c r="AJ25" s="287">
        <f t="shared" si="1"/>
        <v>0</v>
      </c>
      <c r="AK25" s="268"/>
      <c r="AL25" s="374">
        <f t="shared" si="2"/>
        <v>0</v>
      </c>
      <c r="AM25" s="1632"/>
      <c r="AN25" s="1632"/>
    </row>
    <row r="26" spans="1:40" s="291" customFormat="1">
      <c r="B26" s="350" t="s">
        <v>490</v>
      </c>
      <c r="E26" s="264">
        <f t="shared" si="0"/>
        <v>0</v>
      </c>
      <c r="F26" s="264"/>
      <c r="G26" s="264"/>
      <c r="H26" s="264"/>
      <c r="I26" s="264"/>
      <c r="J26" s="264"/>
      <c r="K26" s="264"/>
      <c r="L26" s="264"/>
      <c r="M26" s="264"/>
      <c r="N26" s="264"/>
      <c r="O26" s="264"/>
      <c r="P26" s="264"/>
      <c r="Q26" s="264"/>
      <c r="R26" s="264"/>
      <c r="S26" s="289"/>
      <c r="T26" s="289"/>
      <c r="U26" s="289"/>
      <c r="V26" s="264"/>
      <c r="W26" s="289"/>
      <c r="X26" s="264"/>
      <c r="Y26" s="289"/>
      <c r="Z26" s="264"/>
      <c r="AA26" s="289"/>
      <c r="AB26" s="264"/>
      <c r="AC26" s="524"/>
      <c r="AD26" s="532">
        <v>0</v>
      </c>
      <c r="AE26" s="264"/>
      <c r="AF26" s="525" t="s">
        <v>103</v>
      </c>
      <c r="AG26" s="532">
        <v>0</v>
      </c>
      <c r="AH26" s="287"/>
      <c r="AI26" s="97"/>
      <c r="AJ26" s="287">
        <f t="shared" si="1"/>
        <v>0</v>
      </c>
      <c r="AK26" s="268"/>
      <c r="AL26" s="374">
        <f t="shared" si="2"/>
        <v>0</v>
      </c>
      <c r="AM26" s="1632"/>
      <c r="AN26" s="1632"/>
    </row>
    <row r="27" spans="1:40" s="291" customFormat="1">
      <c r="B27" s="350" t="s">
        <v>400</v>
      </c>
      <c r="E27" s="264">
        <f t="shared" si="0"/>
        <v>0</v>
      </c>
      <c r="F27" s="264"/>
      <c r="G27" s="264"/>
      <c r="H27" s="264"/>
      <c r="I27" s="264"/>
      <c r="J27" s="264"/>
      <c r="K27" s="264"/>
      <c r="L27" s="264"/>
      <c r="M27" s="264"/>
      <c r="N27" s="264"/>
      <c r="O27" s="264"/>
      <c r="P27" s="264"/>
      <c r="Q27" s="264"/>
      <c r="R27" s="264"/>
      <c r="S27" s="289"/>
      <c r="T27" s="289"/>
      <c r="U27" s="289"/>
      <c r="V27" s="264"/>
      <c r="W27" s="289"/>
      <c r="X27" s="264"/>
      <c r="Y27" s="289"/>
      <c r="Z27" s="264"/>
      <c r="AA27" s="289"/>
      <c r="AB27" s="264"/>
      <c r="AC27" s="524"/>
      <c r="AD27" s="532">
        <v>0</v>
      </c>
      <c r="AE27" s="1234"/>
      <c r="AF27" s="264" t="s">
        <v>103</v>
      </c>
      <c r="AG27" s="532">
        <v>0</v>
      </c>
      <c r="AH27" s="287"/>
      <c r="AI27" s="97"/>
      <c r="AJ27" s="287">
        <f t="shared" si="1"/>
        <v>0</v>
      </c>
      <c r="AK27" s="268"/>
      <c r="AL27" s="374">
        <f t="shared" si="2"/>
        <v>0</v>
      </c>
      <c r="AM27" s="1632"/>
      <c r="AN27" s="1632"/>
    </row>
    <row r="28" spans="1:40" s="291" customFormat="1">
      <c r="B28" s="350" t="s">
        <v>406</v>
      </c>
      <c r="E28" s="264">
        <f t="shared" si="0"/>
        <v>0.1</v>
      </c>
      <c r="F28" s="264"/>
      <c r="G28" s="264"/>
      <c r="H28" s="264"/>
      <c r="I28" s="264"/>
      <c r="J28" s="264"/>
      <c r="K28" s="264"/>
      <c r="L28" s="264"/>
      <c r="M28" s="264"/>
      <c r="N28" s="264"/>
      <c r="O28" s="264"/>
      <c r="P28" s="264"/>
      <c r="Q28" s="264"/>
      <c r="R28" s="264"/>
      <c r="S28" s="289"/>
      <c r="T28" s="289"/>
      <c r="U28" s="289"/>
      <c r="V28" s="264"/>
      <c r="W28" s="289"/>
      <c r="X28" s="264"/>
      <c r="Y28" s="289"/>
      <c r="Z28" s="264"/>
      <c r="AA28" s="289"/>
      <c r="AB28" s="264"/>
      <c r="AC28" s="524"/>
      <c r="AD28" s="532">
        <v>0.1</v>
      </c>
      <c r="AE28" s="1234"/>
      <c r="AF28" s="264" t="s">
        <v>103</v>
      </c>
      <c r="AG28" s="532">
        <v>0.2</v>
      </c>
      <c r="AH28" s="287"/>
      <c r="AI28" s="97"/>
      <c r="AJ28" s="287">
        <f t="shared" si="1"/>
        <v>-0.1</v>
      </c>
      <c r="AK28" s="268"/>
      <c r="AL28" s="2034">
        <f>ROUND(IF(AG28=0,1,AJ28/ABS(AG28)),3)</f>
        <v>-0.5</v>
      </c>
      <c r="AM28" s="1632"/>
      <c r="AN28" s="1632"/>
    </row>
    <row r="29" spans="1:40">
      <c r="A29" s="291"/>
      <c r="B29" s="350" t="s">
        <v>407</v>
      </c>
      <c r="C29" s="291"/>
      <c r="D29" s="291"/>
      <c r="E29" s="264">
        <f t="shared" si="0"/>
        <v>0</v>
      </c>
      <c r="F29" s="264"/>
      <c r="G29" s="264"/>
      <c r="H29" s="264"/>
      <c r="I29" s="264"/>
      <c r="J29" s="264"/>
      <c r="K29" s="264"/>
      <c r="L29" s="264"/>
      <c r="M29" s="264"/>
      <c r="N29" s="264"/>
      <c r="O29" s="264"/>
      <c r="P29" s="264"/>
      <c r="Q29" s="264"/>
      <c r="R29" s="264"/>
      <c r="S29" s="289"/>
      <c r="T29" s="289"/>
      <c r="U29" s="289"/>
      <c r="V29" s="264"/>
      <c r="W29" s="289"/>
      <c r="X29" s="264"/>
      <c r="Y29" s="289"/>
      <c r="Z29" s="264"/>
      <c r="AA29" s="289"/>
      <c r="AB29" s="264"/>
      <c r="AC29" s="524"/>
      <c r="AD29" s="532">
        <v>0</v>
      </c>
      <c r="AE29" s="264"/>
      <c r="AF29" s="525" t="s">
        <v>103</v>
      </c>
      <c r="AG29" s="532">
        <v>0</v>
      </c>
      <c r="AH29" s="287"/>
      <c r="AI29" s="97"/>
      <c r="AJ29" s="287">
        <f>ROUND(AD29-AG29,1)</f>
        <v>0</v>
      </c>
      <c r="AK29" s="41"/>
      <c r="AL29" s="374">
        <f>ROUND(IF(AG29=0,0,AJ29/ABS(AG29)),3)</f>
        <v>0</v>
      </c>
      <c r="AM29" s="1632"/>
      <c r="AN29" s="1632"/>
    </row>
    <row r="30" spans="1:40" s="291" customFormat="1">
      <c r="B30" s="350" t="s">
        <v>408</v>
      </c>
      <c r="E30" s="264"/>
      <c r="F30" s="264"/>
      <c r="G30" s="264"/>
      <c r="H30" s="264"/>
      <c r="I30" s="264"/>
      <c r="J30" s="264"/>
      <c r="K30" s="264"/>
      <c r="L30" s="264"/>
      <c r="M30" s="264"/>
      <c r="N30" s="264"/>
      <c r="O30" s="264"/>
      <c r="P30" s="264"/>
      <c r="Q30" s="264"/>
      <c r="R30" s="264"/>
      <c r="S30" s="289"/>
      <c r="T30" s="264"/>
      <c r="U30" s="289"/>
      <c r="V30" s="264"/>
      <c r="W30" s="289"/>
      <c r="X30" s="264"/>
      <c r="Y30" s="289"/>
      <c r="Z30" s="264"/>
      <c r="AA30" s="289"/>
      <c r="AB30" s="264"/>
      <c r="AC30" s="524"/>
      <c r="AD30" s="289" t="s">
        <v>103</v>
      </c>
      <c r="AE30" s="1234"/>
      <c r="AF30" s="264"/>
      <c r="AG30" s="289" t="s">
        <v>103</v>
      </c>
      <c r="AH30" s="287"/>
      <c r="AI30" s="97"/>
      <c r="AJ30" s="287" t="s">
        <v>103</v>
      </c>
      <c r="AK30" s="268"/>
      <c r="AL30" s="374" t="s">
        <v>103</v>
      </c>
      <c r="AM30" s="1632"/>
      <c r="AN30" s="1632"/>
    </row>
    <row r="31" spans="1:40" s="291" customFormat="1">
      <c r="B31" s="350" t="s">
        <v>494</v>
      </c>
      <c r="E31" s="264">
        <f t="shared" si="0"/>
        <v>0</v>
      </c>
      <c r="F31" s="264"/>
      <c r="G31" s="264"/>
      <c r="H31" s="264"/>
      <c r="I31" s="264"/>
      <c r="J31" s="264"/>
      <c r="K31" s="264"/>
      <c r="L31" s="264"/>
      <c r="M31" s="264"/>
      <c r="N31" s="264"/>
      <c r="O31" s="264"/>
      <c r="P31" s="264"/>
      <c r="Q31" s="264"/>
      <c r="R31" s="264"/>
      <c r="S31" s="289"/>
      <c r="T31" s="289"/>
      <c r="U31" s="289"/>
      <c r="V31" s="264"/>
      <c r="W31" s="289"/>
      <c r="X31" s="264"/>
      <c r="Y31" s="289"/>
      <c r="Z31" s="264"/>
      <c r="AA31" s="289"/>
      <c r="AB31" s="264"/>
      <c r="AC31" s="524"/>
      <c r="AD31" s="532">
        <v>0</v>
      </c>
      <c r="AE31" s="264"/>
      <c r="AF31" s="525"/>
      <c r="AG31" s="532">
        <v>0</v>
      </c>
      <c r="AH31" s="287"/>
      <c r="AI31" s="97"/>
      <c r="AJ31" s="287">
        <f t="shared" si="1"/>
        <v>0</v>
      </c>
      <c r="AK31" s="268"/>
      <c r="AL31" s="374">
        <f>ROUND(IF(AG31=0,0,AJ31/ABS(AG31)),3)</f>
        <v>0</v>
      </c>
      <c r="AM31" s="1632"/>
      <c r="AN31" s="1632"/>
    </row>
    <row r="32" spans="1:40" s="291" customFormat="1">
      <c r="B32" s="350" t="s">
        <v>496</v>
      </c>
      <c r="E32" s="264">
        <f t="shared" si="0"/>
        <v>0</v>
      </c>
      <c r="F32" s="289"/>
      <c r="G32" s="264"/>
      <c r="H32" s="289"/>
      <c r="I32" s="264"/>
      <c r="J32" s="289"/>
      <c r="K32" s="264"/>
      <c r="L32" s="289"/>
      <c r="M32" s="264"/>
      <c r="N32" s="264"/>
      <c r="O32" s="264"/>
      <c r="P32" s="264"/>
      <c r="Q32" s="264"/>
      <c r="R32" s="264"/>
      <c r="S32" s="289"/>
      <c r="T32" s="289"/>
      <c r="U32" s="289"/>
      <c r="V32" s="264"/>
      <c r="W32" s="289"/>
      <c r="X32" s="264"/>
      <c r="Y32" s="289"/>
      <c r="Z32" s="264"/>
      <c r="AA32" s="289"/>
      <c r="AB32" s="264"/>
      <c r="AC32" s="524"/>
      <c r="AD32" s="532">
        <v>0</v>
      </c>
      <c r="AE32" s="264"/>
      <c r="AF32" s="525" t="s">
        <v>103</v>
      </c>
      <c r="AG32" s="532">
        <v>0</v>
      </c>
      <c r="AH32" s="287"/>
      <c r="AI32" s="97"/>
      <c r="AJ32" s="287">
        <f t="shared" si="1"/>
        <v>0</v>
      </c>
      <c r="AK32" s="268"/>
      <c r="AL32" s="374">
        <f>ROUND(IF(AG32=0,0,AJ32/ABS(AG32)),3)</f>
        <v>0</v>
      </c>
      <c r="AM32" s="1632"/>
      <c r="AN32" s="1632"/>
    </row>
    <row r="33" spans="1:40" s="291" customFormat="1">
      <c r="B33" s="350" t="s">
        <v>497</v>
      </c>
      <c r="E33" s="264">
        <f t="shared" si="0"/>
        <v>0</v>
      </c>
      <c r="F33" s="264"/>
      <c r="G33" s="264"/>
      <c r="H33" s="264"/>
      <c r="I33" s="264"/>
      <c r="J33" s="264"/>
      <c r="K33" s="264"/>
      <c r="L33" s="264"/>
      <c r="M33" s="264"/>
      <c r="N33" s="264"/>
      <c r="O33" s="264"/>
      <c r="P33" s="264"/>
      <c r="Q33" s="264"/>
      <c r="R33" s="264"/>
      <c r="S33" s="289"/>
      <c r="T33" s="289"/>
      <c r="U33" s="289"/>
      <c r="V33" s="264"/>
      <c r="W33" s="289"/>
      <c r="X33" s="264"/>
      <c r="Y33" s="289"/>
      <c r="Z33" s="264"/>
      <c r="AA33" s="289"/>
      <c r="AB33" s="264"/>
      <c r="AC33" s="524"/>
      <c r="AD33" s="532">
        <v>0</v>
      </c>
      <c r="AE33" s="264"/>
      <c r="AF33" s="525" t="s">
        <v>103</v>
      </c>
      <c r="AG33" s="532">
        <v>0</v>
      </c>
      <c r="AH33" s="287"/>
      <c r="AI33" s="97"/>
      <c r="AJ33" s="287">
        <f>ROUND(AD33-AG33,1)</f>
        <v>0</v>
      </c>
      <c r="AK33" s="268"/>
      <c r="AL33" s="374">
        <f>ROUND(IF(AG33=0,0,AJ33/ABS(AG33)),3)</f>
        <v>0</v>
      </c>
      <c r="AM33" s="1632"/>
      <c r="AN33" s="1632"/>
    </row>
    <row r="34" spans="1:40">
      <c r="A34" s="291"/>
      <c r="B34" s="350" t="s">
        <v>413</v>
      </c>
      <c r="C34" s="291"/>
      <c r="D34" s="291"/>
      <c r="E34" s="264">
        <f t="shared" si="0"/>
        <v>0</v>
      </c>
      <c r="F34" s="264"/>
      <c r="G34" s="264"/>
      <c r="H34" s="264"/>
      <c r="I34" s="264"/>
      <c r="J34" s="264"/>
      <c r="K34" s="264"/>
      <c r="L34" s="264"/>
      <c r="M34" s="264"/>
      <c r="N34" s="264"/>
      <c r="O34" s="264"/>
      <c r="P34" s="264"/>
      <c r="Q34" s="264"/>
      <c r="R34" s="264"/>
      <c r="S34" s="289"/>
      <c r="T34" s="289"/>
      <c r="U34" s="289"/>
      <c r="V34" s="264"/>
      <c r="W34" s="289"/>
      <c r="X34" s="264"/>
      <c r="Y34" s="289"/>
      <c r="Z34" s="264"/>
      <c r="AA34" s="289"/>
      <c r="AB34" s="264"/>
      <c r="AC34" s="524"/>
      <c r="AD34" s="532">
        <v>0</v>
      </c>
      <c r="AE34" s="264"/>
      <c r="AF34" s="525" t="s">
        <v>103</v>
      </c>
      <c r="AG34" s="532">
        <v>0</v>
      </c>
      <c r="AH34" s="287"/>
      <c r="AI34" s="97"/>
      <c r="AJ34" s="287">
        <f t="shared" si="1"/>
        <v>0</v>
      </c>
      <c r="AK34" s="41"/>
      <c r="AL34" s="266">
        <f>ROUND(IF(AG34=0,0,AJ34/ABS(AG34)),3)</f>
        <v>0</v>
      </c>
      <c r="AM34" s="1632"/>
      <c r="AN34" s="1632"/>
    </row>
    <row r="35" spans="1:40">
      <c r="A35" s="291"/>
      <c r="B35" s="350" t="s">
        <v>414</v>
      </c>
      <c r="C35" s="291"/>
      <c r="D35" s="291"/>
      <c r="E35" s="264"/>
      <c r="F35" s="264"/>
      <c r="G35" s="264"/>
      <c r="H35" s="264"/>
      <c r="I35" s="264"/>
      <c r="J35" s="264"/>
      <c r="K35" s="264"/>
      <c r="L35" s="264"/>
      <c r="M35" s="264"/>
      <c r="N35" s="264"/>
      <c r="O35" s="264"/>
      <c r="P35" s="264"/>
      <c r="Q35" s="264"/>
      <c r="R35" s="264"/>
      <c r="S35" s="289"/>
      <c r="T35" s="264"/>
      <c r="U35" s="289"/>
      <c r="V35" s="264"/>
      <c r="W35" s="289"/>
      <c r="X35" s="264"/>
      <c r="Y35" s="289"/>
      <c r="Z35" s="264"/>
      <c r="AA35" s="289"/>
      <c r="AB35" s="264"/>
      <c r="AC35" s="524"/>
      <c r="AD35" s="264" t="s">
        <v>103</v>
      </c>
      <c r="AE35" s="1234"/>
      <c r="AF35" s="264"/>
      <c r="AG35" s="264" t="s">
        <v>103</v>
      </c>
      <c r="AH35" s="287"/>
      <c r="AI35" s="97"/>
      <c r="AJ35" s="287" t="s">
        <v>103</v>
      </c>
      <c r="AK35" s="41"/>
      <c r="AL35" s="374" t="s">
        <v>103</v>
      </c>
      <c r="AM35" s="1632"/>
      <c r="AN35" s="1632"/>
    </row>
    <row r="36" spans="1:40">
      <c r="A36" s="291"/>
      <c r="B36" s="350" t="s">
        <v>498</v>
      </c>
      <c r="C36" s="291"/>
      <c r="D36" s="291"/>
      <c r="E36" s="264">
        <f t="shared" si="0"/>
        <v>0</v>
      </c>
      <c r="F36" s="264"/>
      <c r="G36" s="264"/>
      <c r="H36" s="264"/>
      <c r="I36" s="264"/>
      <c r="J36" s="264"/>
      <c r="K36" s="264"/>
      <c r="L36" s="264"/>
      <c r="M36" s="264"/>
      <c r="N36" s="264"/>
      <c r="O36" s="264"/>
      <c r="P36" s="264"/>
      <c r="Q36" s="264"/>
      <c r="R36" s="264"/>
      <c r="S36" s="289"/>
      <c r="T36" s="289"/>
      <c r="U36" s="289"/>
      <c r="V36" s="264"/>
      <c r="W36" s="289"/>
      <c r="X36" s="264"/>
      <c r="Y36" s="289"/>
      <c r="Z36" s="264"/>
      <c r="AA36" s="289"/>
      <c r="AB36" s="264"/>
      <c r="AC36" s="524"/>
      <c r="AD36" s="532">
        <v>0</v>
      </c>
      <c r="AE36" s="264"/>
      <c r="AF36" s="525" t="s">
        <v>103</v>
      </c>
      <c r="AG36" s="532">
        <v>0</v>
      </c>
      <c r="AH36" s="287"/>
      <c r="AI36" s="97"/>
      <c r="AJ36" s="287">
        <f t="shared" si="1"/>
        <v>0</v>
      </c>
      <c r="AK36" s="41"/>
      <c r="AL36" s="374">
        <f t="shared" ref="AL36:AL40" si="3">ROUND(IF(AG36=0,0,AJ36/ABS(AG36)),3)</f>
        <v>0</v>
      </c>
      <c r="AM36" s="1632"/>
      <c r="AN36" s="1632"/>
    </row>
    <row r="37" spans="1:40">
      <c r="A37" s="291"/>
      <c r="B37" s="350" t="s">
        <v>500</v>
      </c>
      <c r="C37" s="291"/>
      <c r="D37" s="291"/>
      <c r="E37" s="264">
        <f t="shared" si="0"/>
        <v>0</v>
      </c>
      <c r="F37" s="264"/>
      <c r="G37" s="264"/>
      <c r="H37" s="264"/>
      <c r="I37" s="264"/>
      <c r="J37" s="264"/>
      <c r="K37" s="264"/>
      <c r="L37" s="264"/>
      <c r="M37" s="264"/>
      <c r="N37" s="264"/>
      <c r="O37" s="264"/>
      <c r="P37" s="264"/>
      <c r="Q37" s="264"/>
      <c r="R37" s="264"/>
      <c r="S37" s="289"/>
      <c r="T37" s="289"/>
      <c r="U37" s="289"/>
      <c r="V37" s="264"/>
      <c r="W37" s="289"/>
      <c r="X37" s="264"/>
      <c r="Y37" s="289"/>
      <c r="Z37" s="264"/>
      <c r="AA37" s="289"/>
      <c r="AB37" s="264"/>
      <c r="AC37" s="524"/>
      <c r="AD37" s="532">
        <v>0</v>
      </c>
      <c r="AE37" s="264"/>
      <c r="AF37" s="525" t="s">
        <v>103</v>
      </c>
      <c r="AG37" s="532">
        <v>0</v>
      </c>
      <c r="AH37" s="287"/>
      <c r="AI37" s="97"/>
      <c r="AJ37" s="287">
        <f t="shared" si="1"/>
        <v>0</v>
      </c>
      <c r="AK37" s="41"/>
      <c r="AL37" s="374">
        <f t="shared" si="3"/>
        <v>0</v>
      </c>
      <c r="AM37" s="1632"/>
      <c r="AN37" s="1632"/>
    </row>
    <row r="38" spans="1:40">
      <c r="A38" s="291"/>
      <c r="B38" s="350" t="s">
        <v>501</v>
      </c>
      <c r="C38" s="291"/>
      <c r="D38" s="291"/>
      <c r="E38" s="264">
        <f t="shared" si="0"/>
        <v>0</v>
      </c>
      <c r="F38" s="264"/>
      <c r="G38" s="264"/>
      <c r="H38" s="264"/>
      <c r="I38" s="264"/>
      <c r="J38" s="264"/>
      <c r="K38" s="264"/>
      <c r="L38" s="264"/>
      <c r="M38" s="264"/>
      <c r="N38" s="264"/>
      <c r="O38" s="264"/>
      <c r="P38" s="264"/>
      <c r="Q38" s="264"/>
      <c r="R38" s="264"/>
      <c r="S38" s="289"/>
      <c r="T38" s="289"/>
      <c r="U38" s="289"/>
      <c r="V38" s="264"/>
      <c r="W38" s="289"/>
      <c r="X38" s="264"/>
      <c r="Y38" s="289"/>
      <c r="Z38" s="264"/>
      <c r="AA38" s="289"/>
      <c r="AB38" s="264"/>
      <c r="AC38" s="524"/>
      <c r="AD38" s="532">
        <v>0</v>
      </c>
      <c r="AE38" s="264"/>
      <c r="AF38" s="525" t="s">
        <v>103</v>
      </c>
      <c r="AG38" s="532">
        <v>0</v>
      </c>
      <c r="AH38" s="287"/>
      <c r="AI38" s="97"/>
      <c r="AJ38" s="287">
        <f t="shared" si="1"/>
        <v>0</v>
      </c>
      <c r="AK38" s="41"/>
      <c r="AL38" s="374">
        <f>ROUND(IF(AG38=0,0,AJ38/ABS(AG38)),3)</f>
        <v>0</v>
      </c>
      <c r="AM38" s="1632"/>
      <c r="AN38" s="1632"/>
    </row>
    <row r="39" spans="1:40">
      <c r="A39" s="291"/>
      <c r="B39" s="350" t="s">
        <v>504</v>
      </c>
      <c r="C39" s="291"/>
      <c r="D39" s="291"/>
      <c r="E39" s="264">
        <f t="shared" si="0"/>
        <v>0</v>
      </c>
      <c r="F39" s="264"/>
      <c r="G39" s="264"/>
      <c r="H39" s="264"/>
      <c r="I39" s="264"/>
      <c r="J39" s="264"/>
      <c r="K39" s="264"/>
      <c r="L39" s="264"/>
      <c r="M39" s="264"/>
      <c r="N39" s="264"/>
      <c r="O39" s="264"/>
      <c r="P39" s="264"/>
      <c r="Q39" s="264"/>
      <c r="R39" s="264"/>
      <c r="S39" s="289"/>
      <c r="T39" s="289"/>
      <c r="U39" s="289"/>
      <c r="V39" s="264"/>
      <c r="W39" s="289"/>
      <c r="X39" s="264"/>
      <c r="Y39" s="289"/>
      <c r="Z39" s="264"/>
      <c r="AA39" s="289"/>
      <c r="AB39" s="264"/>
      <c r="AC39" s="524"/>
      <c r="AD39" s="532">
        <v>0</v>
      </c>
      <c r="AE39" s="264"/>
      <c r="AF39" s="525" t="s">
        <v>103</v>
      </c>
      <c r="AG39" s="532">
        <v>0</v>
      </c>
      <c r="AH39" s="287"/>
      <c r="AI39" s="97"/>
      <c r="AJ39" s="287">
        <f t="shared" si="1"/>
        <v>0</v>
      </c>
      <c r="AK39" s="41"/>
      <c r="AL39" s="374">
        <f t="shared" si="3"/>
        <v>0</v>
      </c>
      <c r="AM39" s="1632"/>
      <c r="AN39" s="1632"/>
    </row>
    <row r="40" spans="1:40">
      <c r="A40" s="291"/>
      <c r="B40" s="350" t="s">
        <v>505</v>
      </c>
      <c r="C40" s="291"/>
      <c r="D40" s="291"/>
      <c r="E40" s="264">
        <f t="shared" si="0"/>
        <v>0</v>
      </c>
      <c r="F40" s="264"/>
      <c r="G40" s="264"/>
      <c r="H40" s="264"/>
      <c r="I40" s="264"/>
      <c r="J40" s="264"/>
      <c r="K40" s="264"/>
      <c r="L40" s="264"/>
      <c r="M40" s="264"/>
      <c r="N40" s="264"/>
      <c r="O40" s="264"/>
      <c r="P40" s="264"/>
      <c r="Q40" s="264"/>
      <c r="R40" s="264"/>
      <c r="S40" s="289"/>
      <c r="T40" s="289"/>
      <c r="U40" s="289"/>
      <c r="V40" s="264"/>
      <c r="W40" s="289"/>
      <c r="X40" s="264"/>
      <c r="Y40" s="289"/>
      <c r="Z40" s="264"/>
      <c r="AA40" s="289"/>
      <c r="AB40" s="264"/>
      <c r="AC40" s="524"/>
      <c r="AD40" s="532">
        <v>0</v>
      </c>
      <c r="AE40" s="264"/>
      <c r="AF40" s="525" t="s">
        <v>103</v>
      </c>
      <c r="AG40" s="532">
        <v>0</v>
      </c>
      <c r="AH40" s="287"/>
      <c r="AI40" s="97"/>
      <c r="AJ40" s="287">
        <f t="shared" si="1"/>
        <v>0</v>
      </c>
      <c r="AK40" s="41"/>
      <c r="AL40" s="374">
        <f t="shared" si="3"/>
        <v>0</v>
      </c>
      <c r="AM40" s="1632"/>
      <c r="AN40" s="1632"/>
    </row>
    <row r="41" spans="1:40">
      <c r="A41" s="291"/>
      <c r="B41" s="350" t="s">
        <v>424</v>
      </c>
      <c r="C41" s="291"/>
      <c r="D41" s="291"/>
      <c r="E41" s="264">
        <f t="shared" si="0"/>
        <v>0</v>
      </c>
      <c r="F41" s="264"/>
      <c r="G41" s="264"/>
      <c r="H41" s="264"/>
      <c r="I41" s="264"/>
      <c r="J41" s="264"/>
      <c r="K41" s="264"/>
      <c r="L41" s="264"/>
      <c r="M41" s="264"/>
      <c r="N41" s="553"/>
      <c r="O41" s="264"/>
      <c r="P41" s="553"/>
      <c r="Q41" s="264"/>
      <c r="R41" s="553"/>
      <c r="S41" s="289"/>
      <c r="T41" s="553"/>
      <c r="U41" s="289"/>
      <c r="V41" s="553"/>
      <c r="W41" s="289"/>
      <c r="X41" s="553"/>
      <c r="Y41" s="289"/>
      <c r="Z41" s="553"/>
      <c r="AA41" s="289"/>
      <c r="AB41" s="264"/>
      <c r="AC41" s="524"/>
      <c r="AD41" s="532">
        <v>0</v>
      </c>
      <c r="AE41" s="264"/>
      <c r="AF41" s="525" t="s">
        <v>103</v>
      </c>
      <c r="AG41" s="532">
        <v>0</v>
      </c>
      <c r="AH41" s="287"/>
      <c r="AI41" s="97"/>
      <c r="AJ41" s="287">
        <f t="shared" si="1"/>
        <v>0</v>
      </c>
      <c r="AK41" s="41"/>
      <c r="AL41" s="266">
        <f>ROUND(IF(AG41=0,0,AJ41/ABS(AG41)),3)</f>
        <v>0</v>
      </c>
      <c r="AM41" s="1632"/>
      <c r="AN41" s="1632"/>
    </row>
    <row r="42" spans="1:40" s="3" customFormat="1" collapsed="1">
      <c r="B42" s="83" t="s">
        <v>426</v>
      </c>
      <c r="E42" s="68">
        <f>ROUND(SUM(E19:E41),1)</f>
        <v>0.1</v>
      </c>
      <c r="F42" s="13"/>
      <c r="G42" s="68">
        <f>ROUND(SUM(G19:G41),1)</f>
        <v>0</v>
      </c>
      <c r="H42" s="394"/>
      <c r="I42" s="68">
        <f>ROUND(SUM(I19:I41),1)</f>
        <v>0</v>
      </c>
      <c r="J42" s="13"/>
      <c r="K42" s="68">
        <f>ROUND(SUM(K19:K41),1)</f>
        <v>0</v>
      </c>
      <c r="L42" s="13"/>
      <c r="M42" s="68">
        <f>ROUND(SUM(M19:M41),1)</f>
        <v>0</v>
      </c>
      <c r="N42" s="13"/>
      <c r="O42" s="68">
        <f>ROUND(SUM(O19:O41),1)</f>
        <v>0</v>
      </c>
      <c r="P42" s="13"/>
      <c r="Q42" s="68">
        <f>ROUND(SUM(Q19:Q41),1)</f>
        <v>0</v>
      </c>
      <c r="R42" s="13"/>
      <c r="S42" s="68">
        <f>ROUND(SUM(S19:S41),1)</f>
        <v>0</v>
      </c>
      <c r="T42" s="13"/>
      <c r="U42" s="68">
        <f>ROUND(SUM(U19:U41),1)</f>
        <v>0</v>
      </c>
      <c r="V42" s="13"/>
      <c r="W42" s="68">
        <f>ROUND(SUM(W19:W41),1)</f>
        <v>0</v>
      </c>
      <c r="X42" s="13"/>
      <c r="Y42" s="68">
        <f>ROUND(SUM(Y19:Y41),1)</f>
        <v>0</v>
      </c>
      <c r="Z42" s="13"/>
      <c r="AA42" s="68">
        <f>ROUND(SUM(AA19:AA41),1)</f>
        <v>0</v>
      </c>
      <c r="AB42" s="13"/>
      <c r="AC42" s="14"/>
      <c r="AD42" s="68">
        <f>ROUND(SUM(AD19:AD41),1)</f>
        <v>0.1</v>
      </c>
      <c r="AE42" s="1236"/>
      <c r="AF42" s="13"/>
      <c r="AG42" s="68">
        <f>ROUND(SUM(AG19:AG41),1)</f>
        <v>0.2</v>
      </c>
      <c r="AH42" s="18"/>
      <c r="AI42" s="97"/>
      <c r="AJ42" s="68">
        <f>ROUND(SUM(AJ19:AJ41),1)</f>
        <v>-0.1</v>
      </c>
      <c r="AK42" s="40"/>
      <c r="AL42" s="1994">
        <f>ROUND(IF(AG42=0,1,AJ42/ABS(AG42)),3)</f>
        <v>-0.5</v>
      </c>
      <c r="AM42" s="1722"/>
      <c r="AN42" s="1722"/>
    </row>
    <row r="43" spans="1:40" s="12" customFormat="1">
      <c r="A43" s="264"/>
      <c r="B43" s="1076"/>
      <c r="C43" s="264"/>
      <c r="D43" s="264"/>
      <c r="E43" s="289"/>
      <c r="F43" s="264"/>
      <c r="G43" s="275"/>
      <c r="H43" s="264"/>
      <c r="I43" s="289"/>
      <c r="J43" s="264"/>
      <c r="K43" s="275"/>
      <c r="L43" s="264"/>
      <c r="M43" s="289"/>
      <c r="N43" s="264"/>
      <c r="O43" s="288"/>
      <c r="P43" s="264"/>
      <c r="Q43" s="289"/>
      <c r="R43" s="264"/>
      <c r="S43" s="288"/>
      <c r="T43" s="264"/>
      <c r="U43" s="288"/>
      <c r="V43" s="264"/>
      <c r="W43" s="289"/>
      <c r="X43" s="264"/>
      <c r="Y43" s="289"/>
      <c r="Z43" s="264"/>
      <c r="AA43" s="289"/>
      <c r="AB43" s="264"/>
      <c r="AC43" s="524"/>
      <c r="AD43" s="289"/>
      <c r="AE43" s="1234"/>
      <c r="AF43" s="524"/>
      <c r="AG43" s="289"/>
      <c r="AH43" s="287"/>
      <c r="AI43" s="97"/>
      <c r="AL43" s="96"/>
      <c r="AM43" s="1632"/>
      <c r="AN43" s="1632"/>
    </row>
    <row r="44" spans="1:40">
      <c r="A44" s="291"/>
      <c r="B44" s="291" t="s">
        <v>507</v>
      </c>
      <c r="C44" s="291"/>
      <c r="D44" s="291"/>
      <c r="E44" s="264">
        <f>AD44</f>
        <v>87.6</v>
      </c>
      <c r="F44" s="264"/>
      <c r="G44" s="264"/>
      <c r="H44" s="264"/>
      <c r="I44" s="264"/>
      <c r="J44" s="264"/>
      <c r="K44" s="264"/>
      <c r="L44" s="264"/>
      <c r="M44" s="264"/>
      <c r="N44" s="264"/>
      <c r="O44" s="264"/>
      <c r="P44" s="264"/>
      <c r="Q44" s="264"/>
      <c r="R44" s="264"/>
      <c r="S44" s="289"/>
      <c r="T44" s="289"/>
      <c r="U44" s="289"/>
      <c r="V44" s="264"/>
      <c r="W44" s="289"/>
      <c r="X44" s="264"/>
      <c r="Y44" s="289"/>
      <c r="Z44" s="264"/>
      <c r="AA44" s="289"/>
      <c r="AB44" s="264"/>
      <c r="AC44" s="524"/>
      <c r="AD44" s="532">
        <v>87.6</v>
      </c>
      <c r="AE44" s="264"/>
      <c r="AF44" s="525" t="s">
        <v>103</v>
      </c>
      <c r="AG44" s="532">
        <v>118.8</v>
      </c>
      <c r="AH44" s="287"/>
      <c r="AI44" s="98"/>
      <c r="AJ44" s="1065">
        <f>ROUND(AD44-AG44,1)</f>
        <v>-31.2</v>
      </c>
      <c r="AK44" s="41"/>
      <c r="AL44" s="1767">
        <f>ROUND(IF(AG44=0,0,AJ44/ABS(AG44)),3)</f>
        <v>-0.26300000000000001</v>
      </c>
      <c r="AM44" s="1632"/>
      <c r="AN44" s="1632"/>
    </row>
    <row r="45" spans="1:40">
      <c r="A45" s="291"/>
      <c r="B45" s="291"/>
      <c r="C45" s="291"/>
      <c r="D45" s="291"/>
      <c r="E45" s="616"/>
      <c r="F45" s="264"/>
      <c r="G45" s="616"/>
      <c r="H45" s="264"/>
      <c r="I45" s="616"/>
      <c r="J45" s="264"/>
      <c r="K45" s="616"/>
      <c r="L45" s="264"/>
      <c r="M45" s="616"/>
      <c r="N45" s="264"/>
      <c r="O45" s="616"/>
      <c r="P45" s="264"/>
      <c r="Q45" s="616"/>
      <c r="R45" s="264"/>
      <c r="S45" s="616"/>
      <c r="T45" s="264"/>
      <c r="U45" s="616"/>
      <c r="V45" s="264"/>
      <c r="W45" s="616"/>
      <c r="X45" s="264"/>
      <c r="Y45" s="616"/>
      <c r="Z45" s="264"/>
      <c r="AA45" s="616"/>
      <c r="AB45" s="264"/>
      <c r="AC45" s="524"/>
      <c r="AD45" s="616"/>
      <c r="AE45" s="1234"/>
      <c r="AF45" s="524"/>
      <c r="AG45" s="616"/>
      <c r="AH45" s="264"/>
      <c r="AI45" s="98"/>
      <c r="AJ45" s="12"/>
      <c r="AL45" s="96"/>
      <c r="AM45" s="1632"/>
      <c r="AN45" s="1632"/>
    </row>
    <row r="46" spans="1:40">
      <c r="A46" s="291"/>
      <c r="B46" s="3" t="s">
        <v>563</v>
      </c>
      <c r="C46" s="291"/>
      <c r="D46" s="291"/>
      <c r="E46" s="13">
        <f>ROUND(SUM(E42+E44),1)</f>
        <v>87.7</v>
      </c>
      <c r="F46" s="13"/>
      <c r="G46" s="13">
        <f>ROUND(SUM(G42+G44),1)</f>
        <v>0</v>
      </c>
      <c r="H46" s="13"/>
      <c r="I46" s="13">
        <f>ROUND(SUM(I42+I44),1)</f>
        <v>0</v>
      </c>
      <c r="J46" s="13"/>
      <c r="K46" s="13">
        <f>ROUND(SUM(K42+K44),1)</f>
        <v>0</v>
      </c>
      <c r="L46" s="13"/>
      <c r="M46" s="13">
        <f>ROUND(SUM(M42+M44),1)</f>
        <v>0</v>
      </c>
      <c r="N46" s="13"/>
      <c r="O46" s="13">
        <f>ROUND(SUM(O42+O44),1)</f>
        <v>0</v>
      </c>
      <c r="P46" s="13"/>
      <c r="Q46" s="13">
        <f>ROUND(SUM(Q42+Q44),1)</f>
        <v>0</v>
      </c>
      <c r="R46" s="13"/>
      <c r="S46" s="13">
        <f>ROUND(SUM(S42+S44),1)</f>
        <v>0</v>
      </c>
      <c r="T46" s="13"/>
      <c r="U46" s="13">
        <f>ROUND(SUM(U42+U44),1)</f>
        <v>0</v>
      </c>
      <c r="V46" s="13"/>
      <c r="W46" s="13">
        <f>ROUND(SUM(W42+W44),1)</f>
        <v>0</v>
      </c>
      <c r="X46" s="13"/>
      <c r="Y46" s="13">
        <f>ROUND(SUM(Y42+Y44),1)</f>
        <v>0</v>
      </c>
      <c r="Z46" s="13"/>
      <c r="AA46" s="13">
        <f>ROUND(SUM(AA42+AA44),1)</f>
        <v>0</v>
      </c>
      <c r="AB46" s="13"/>
      <c r="AC46" s="14"/>
      <c r="AD46" s="13">
        <f>ROUND(SUM(AD42+AD44),1)</f>
        <v>87.7</v>
      </c>
      <c r="AE46" s="1236"/>
      <c r="AF46" s="14"/>
      <c r="AG46" s="13">
        <f>ROUND(SUM(AG42+AG44),1)</f>
        <v>119</v>
      </c>
      <c r="AH46" s="18"/>
      <c r="AI46" s="98"/>
      <c r="AJ46" s="357">
        <f>ROUND(SUM(AJ42+AJ44),1)</f>
        <v>-31.3</v>
      </c>
      <c r="AK46" s="40"/>
      <c r="AL46" s="612">
        <f>ROUND(SUM(AD46-AG46)/ABS(AG46),3)</f>
        <v>-0.26300000000000001</v>
      </c>
      <c r="AM46" s="1722"/>
      <c r="AN46" s="1632"/>
    </row>
    <row r="47" spans="1:40">
      <c r="A47" s="291"/>
      <c r="B47" s="291"/>
      <c r="C47" s="291"/>
      <c r="D47" s="291"/>
      <c r="E47" s="616"/>
      <c r="F47" s="264"/>
      <c r="G47" s="616"/>
      <c r="H47" s="264"/>
      <c r="I47" s="616"/>
      <c r="J47" s="264"/>
      <c r="K47" s="616"/>
      <c r="L47" s="264"/>
      <c r="M47" s="616"/>
      <c r="N47" s="264"/>
      <c r="O47" s="616"/>
      <c r="P47" s="264"/>
      <c r="Q47" s="616"/>
      <c r="R47" s="264"/>
      <c r="S47" s="616"/>
      <c r="T47" s="264"/>
      <c r="U47" s="616"/>
      <c r="V47" s="264"/>
      <c r="W47" s="616"/>
      <c r="X47" s="264"/>
      <c r="Y47" s="616"/>
      <c r="Z47" s="264"/>
      <c r="AA47" s="616"/>
      <c r="AB47" s="264"/>
      <c r="AC47" s="524"/>
      <c r="AD47" s="616"/>
      <c r="AE47" s="1234"/>
      <c r="AF47" s="524"/>
      <c r="AG47" s="616"/>
      <c r="AH47" s="264"/>
      <c r="AI47" s="98"/>
      <c r="AJ47" s="12"/>
      <c r="AL47" s="96"/>
      <c r="AM47" s="1632"/>
      <c r="AN47" s="1632"/>
    </row>
    <row r="48" spans="1:40">
      <c r="A48" s="291"/>
      <c r="B48" s="3" t="s">
        <v>122</v>
      </c>
      <c r="C48" s="291"/>
      <c r="D48" s="291"/>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524"/>
      <c r="AD48" s="264"/>
      <c r="AE48" s="1234"/>
      <c r="AF48" s="524"/>
      <c r="AG48" s="264"/>
      <c r="AH48" s="264"/>
      <c r="AI48" s="98"/>
      <c r="AJ48" s="12"/>
      <c r="AL48" s="96"/>
      <c r="AM48" s="1632"/>
      <c r="AN48" s="1632"/>
    </row>
    <row r="49" spans="1:40">
      <c r="A49" s="291"/>
      <c r="B49" s="291" t="s">
        <v>451</v>
      </c>
      <c r="C49" s="291"/>
      <c r="D49" s="291"/>
      <c r="E49" s="289"/>
      <c r="F49" s="264"/>
      <c r="G49" s="264"/>
      <c r="H49" s="264"/>
      <c r="I49" s="264"/>
      <c r="J49" s="264"/>
      <c r="K49" s="264"/>
      <c r="L49" s="264"/>
      <c r="M49" s="264"/>
      <c r="N49" s="264"/>
      <c r="O49" s="264"/>
      <c r="P49" s="264"/>
      <c r="Q49" s="289"/>
      <c r="R49" s="264"/>
      <c r="S49" s="264"/>
      <c r="T49" s="264"/>
      <c r="U49" s="264"/>
      <c r="V49" s="264"/>
      <c r="W49" s="264"/>
      <c r="X49" s="264"/>
      <c r="Y49" s="264"/>
      <c r="Z49" s="264"/>
      <c r="AA49" s="264"/>
      <c r="AB49" s="264"/>
      <c r="AC49" s="524"/>
      <c r="AD49" s="264"/>
      <c r="AE49" s="1234"/>
      <c r="AF49" s="524"/>
      <c r="AG49" s="264"/>
      <c r="AH49" s="264"/>
      <c r="AI49" s="98"/>
      <c r="AJ49" s="12"/>
      <c r="AK49" s="41"/>
      <c r="AL49" s="96"/>
      <c r="AM49" s="1632"/>
      <c r="AN49" s="1632"/>
    </row>
    <row r="50" spans="1:40">
      <c r="A50" s="291"/>
      <c r="B50" s="291" t="s">
        <v>124</v>
      </c>
      <c r="C50" s="291"/>
      <c r="D50" s="291"/>
      <c r="E50" s="264">
        <f>AD50</f>
        <v>0</v>
      </c>
      <c r="F50" s="264"/>
      <c r="G50" s="264"/>
      <c r="H50" s="264"/>
      <c r="I50" s="264"/>
      <c r="J50" s="264"/>
      <c r="K50" s="264"/>
      <c r="L50" s="264"/>
      <c r="M50" s="264"/>
      <c r="N50" s="264"/>
      <c r="O50" s="264"/>
      <c r="P50" s="264"/>
      <c r="Q50" s="264"/>
      <c r="R50" s="264"/>
      <c r="S50" s="289"/>
      <c r="T50" s="289"/>
      <c r="U50" s="289"/>
      <c r="V50" s="264"/>
      <c r="W50" s="289"/>
      <c r="X50" s="289"/>
      <c r="Y50" s="289"/>
      <c r="Z50" s="264"/>
      <c r="AA50" s="289"/>
      <c r="AB50" s="264"/>
      <c r="AC50" s="524"/>
      <c r="AD50" s="532">
        <v>0</v>
      </c>
      <c r="AE50" s="264"/>
      <c r="AF50" s="525" t="s">
        <v>103</v>
      </c>
      <c r="AG50" s="532">
        <v>0</v>
      </c>
      <c r="AH50" s="287"/>
      <c r="AI50" s="97"/>
      <c r="AJ50" s="424">
        <f>ROUND(AD50-AG50,1)</f>
        <v>0</v>
      </c>
      <c r="AK50" s="41"/>
      <c r="AL50" s="374">
        <f>ROUND(IF(AG50=0,0,AJ50/ABS(AG50)),3)</f>
        <v>0</v>
      </c>
      <c r="AM50" s="1632"/>
      <c r="AN50" s="1632"/>
    </row>
    <row r="51" spans="1:40">
      <c r="A51" s="291"/>
      <c r="B51" s="291" t="s">
        <v>125</v>
      </c>
      <c r="C51" s="291"/>
      <c r="D51" s="291"/>
      <c r="E51" s="264">
        <f t="shared" ref="E51:E58" si="4">AD51</f>
        <v>0.2</v>
      </c>
      <c r="F51" s="264"/>
      <c r="G51" s="264"/>
      <c r="H51" s="264"/>
      <c r="I51" s="264"/>
      <c r="J51" s="264"/>
      <c r="K51" s="264"/>
      <c r="L51" s="264"/>
      <c r="M51" s="264"/>
      <c r="N51" s="264"/>
      <c r="O51" s="264"/>
      <c r="P51" s="264"/>
      <c r="Q51" s="264"/>
      <c r="R51" s="264"/>
      <c r="S51" s="289"/>
      <c r="T51" s="289"/>
      <c r="U51" s="289"/>
      <c r="V51" s="264"/>
      <c r="W51" s="289"/>
      <c r="X51" s="289"/>
      <c r="Y51" s="289"/>
      <c r="Z51" s="264"/>
      <c r="AA51" s="289"/>
      <c r="AB51" s="264"/>
      <c r="AC51" s="524"/>
      <c r="AD51" s="532">
        <v>0.2</v>
      </c>
      <c r="AE51" s="264"/>
      <c r="AF51" s="525" t="s">
        <v>103</v>
      </c>
      <c r="AG51" s="532">
        <v>0</v>
      </c>
      <c r="AH51" s="287"/>
      <c r="AI51" s="97"/>
      <c r="AJ51" s="424">
        <f>ROUND(AD51-AG51,1)</f>
        <v>0.2</v>
      </c>
      <c r="AK51" s="41"/>
      <c r="AL51" s="543">
        <f>ROUND(IF(AG51=0,1,AJ51/ABS(AG51)),3)</f>
        <v>1</v>
      </c>
      <c r="AM51" s="1632"/>
      <c r="AN51" s="1632"/>
    </row>
    <row r="52" spans="1:40">
      <c r="A52" s="291"/>
      <c r="B52" s="291" t="s">
        <v>126</v>
      </c>
      <c r="C52" s="291"/>
      <c r="D52" s="291"/>
      <c r="E52" s="264">
        <f t="shared" si="4"/>
        <v>0</v>
      </c>
      <c r="F52" s="264"/>
      <c r="G52" s="264"/>
      <c r="H52" s="264"/>
      <c r="I52" s="264"/>
      <c r="J52" s="264"/>
      <c r="K52" s="264"/>
      <c r="L52" s="264"/>
      <c r="M52" s="264"/>
      <c r="N52" s="264"/>
      <c r="O52" s="264"/>
      <c r="P52" s="264"/>
      <c r="Q52" s="264"/>
      <c r="R52" s="264"/>
      <c r="S52" s="289"/>
      <c r="T52" s="289"/>
      <c r="U52" s="289"/>
      <c r="V52" s="264"/>
      <c r="W52" s="289"/>
      <c r="X52" s="289"/>
      <c r="Y52" s="289"/>
      <c r="Z52" s="264"/>
      <c r="AA52" s="289"/>
      <c r="AB52" s="264"/>
      <c r="AC52" s="524"/>
      <c r="AD52" s="532">
        <v>0</v>
      </c>
      <c r="AE52" s="264"/>
      <c r="AF52" s="525" t="s">
        <v>103</v>
      </c>
      <c r="AG52" s="532">
        <v>0</v>
      </c>
      <c r="AH52" s="287"/>
      <c r="AI52" s="97"/>
      <c r="AJ52" s="424">
        <f>ROUND(AD52-AG52,1)</f>
        <v>0</v>
      </c>
      <c r="AL52" s="374">
        <f>ROUND(IF(AG52=0,0,AJ52/ABS(AG52)),3)</f>
        <v>0</v>
      </c>
      <c r="AM52" s="1632"/>
      <c r="AN52" s="1632"/>
    </row>
    <row r="53" spans="1:40">
      <c r="A53" s="291"/>
      <c r="B53" s="291" t="s">
        <v>127</v>
      </c>
      <c r="C53" s="291"/>
      <c r="D53" s="291"/>
      <c r="E53" s="264"/>
      <c r="F53" s="264"/>
      <c r="G53" s="264"/>
      <c r="H53" s="264"/>
      <c r="I53" s="264"/>
      <c r="J53" s="264"/>
      <c r="K53" s="264"/>
      <c r="L53" s="264"/>
      <c r="M53" s="264"/>
      <c r="N53" s="264"/>
      <c r="O53" s="264"/>
      <c r="P53" s="264"/>
      <c r="Q53" s="264"/>
      <c r="R53" s="264"/>
      <c r="S53" s="289"/>
      <c r="T53" s="289"/>
      <c r="U53" s="289"/>
      <c r="V53" s="264"/>
      <c r="W53" s="289"/>
      <c r="X53" s="289"/>
      <c r="Y53" s="289"/>
      <c r="Z53" s="264"/>
      <c r="AA53" s="289"/>
      <c r="AB53" s="264"/>
      <c r="AC53" s="524"/>
      <c r="AD53" s="513"/>
      <c r="AE53" s="264"/>
      <c r="AF53" s="525" t="s">
        <v>103</v>
      </c>
      <c r="AG53" s="513"/>
      <c r="AH53" s="264"/>
      <c r="AI53" s="98"/>
      <c r="AJ53" s="424"/>
      <c r="AK53" s="41"/>
      <c r="AL53" s="593" t="s">
        <v>103</v>
      </c>
      <c r="AM53" s="1632"/>
      <c r="AN53" s="1632"/>
    </row>
    <row r="54" spans="1:40">
      <c r="A54" s="291"/>
      <c r="B54" s="291" t="s">
        <v>129</v>
      </c>
      <c r="C54" s="291"/>
      <c r="D54" s="291"/>
      <c r="E54" s="264">
        <f t="shared" si="4"/>
        <v>0</v>
      </c>
      <c r="F54" s="264"/>
      <c r="G54" s="264"/>
      <c r="H54" s="264"/>
      <c r="I54" s="264"/>
      <c r="J54" s="264"/>
      <c r="K54" s="264"/>
      <c r="L54" s="264"/>
      <c r="M54" s="264"/>
      <c r="N54" s="264"/>
      <c r="O54" s="264"/>
      <c r="P54" s="264"/>
      <c r="Q54" s="264"/>
      <c r="R54" s="264"/>
      <c r="S54" s="289"/>
      <c r="T54" s="289"/>
      <c r="U54" s="289"/>
      <c r="V54" s="264"/>
      <c r="W54" s="289"/>
      <c r="X54" s="289"/>
      <c r="Y54" s="289"/>
      <c r="Z54" s="264"/>
      <c r="AA54" s="289"/>
      <c r="AB54" s="264"/>
      <c r="AC54" s="524"/>
      <c r="AD54" s="532">
        <v>0</v>
      </c>
      <c r="AE54" s="264"/>
      <c r="AF54" s="525" t="s">
        <v>103</v>
      </c>
      <c r="AG54" s="532">
        <v>2</v>
      </c>
      <c r="AH54" s="287"/>
      <c r="AI54" s="97"/>
      <c r="AJ54" s="424">
        <f t="shared" ref="AJ54:AJ58" si="5">ROUND(AD54-AG54,1)</f>
        <v>-2</v>
      </c>
      <c r="AK54" s="41"/>
      <c r="AL54" s="543">
        <f>ROUND(IF(AG54=0,1,AJ54/ABS(AG54)),3)</f>
        <v>-1</v>
      </c>
      <c r="AM54" s="1632"/>
      <c r="AN54" s="1632"/>
    </row>
    <row r="55" spans="1:40">
      <c r="A55" s="291"/>
      <c r="B55" s="291" t="s">
        <v>130</v>
      </c>
      <c r="C55" s="291"/>
      <c r="D55" s="291"/>
      <c r="E55" s="264">
        <f t="shared" si="4"/>
        <v>0</v>
      </c>
      <c r="F55" s="264"/>
      <c r="G55" s="264"/>
      <c r="H55" s="264"/>
      <c r="I55" s="264"/>
      <c r="J55" s="264"/>
      <c r="K55" s="264"/>
      <c r="L55" s="264"/>
      <c r="M55" s="264"/>
      <c r="N55" s="264"/>
      <c r="O55" s="264"/>
      <c r="P55" s="264"/>
      <c r="Q55" s="264"/>
      <c r="R55" s="264"/>
      <c r="S55" s="289"/>
      <c r="T55" s="289"/>
      <c r="U55" s="289"/>
      <c r="V55" s="264"/>
      <c r="W55" s="289"/>
      <c r="X55" s="289"/>
      <c r="Y55" s="289"/>
      <c r="Z55" s="264"/>
      <c r="AA55" s="289"/>
      <c r="AB55" s="264"/>
      <c r="AC55" s="524"/>
      <c r="AD55" s="532">
        <v>0</v>
      </c>
      <c r="AE55" s="264"/>
      <c r="AF55" s="525" t="s">
        <v>103</v>
      </c>
      <c r="AG55" s="532">
        <v>0</v>
      </c>
      <c r="AH55" s="287"/>
      <c r="AI55" s="97"/>
      <c r="AJ55" s="424">
        <f t="shared" si="5"/>
        <v>0</v>
      </c>
      <c r="AL55" s="543">
        <f>ROUND(IF(AG55=0,0,AJ55/ABS(AG55)),3)</f>
        <v>0</v>
      </c>
      <c r="AM55" s="1632"/>
      <c r="AN55" s="1632"/>
    </row>
    <row r="56" spans="1:40">
      <c r="A56" s="291"/>
      <c r="B56" s="291" t="s">
        <v>131</v>
      </c>
      <c r="C56" s="291"/>
      <c r="D56" s="291"/>
      <c r="E56" s="264">
        <f t="shared" si="4"/>
        <v>0</v>
      </c>
      <c r="F56" s="264"/>
      <c r="G56" s="264"/>
      <c r="H56" s="264"/>
      <c r="I56" s="264"/>
      <c r="J56" s="264"/>
      <c r="K56" s="264"/>
      <c r="L56" s="264"/>
      <c r="M56" s="264"/>
      <c r="N56" s="264"/>
      <c r="O56" s="264"/>
      <c r="P56" s="264"/>
      <c r="Q56" s="264"/>
      <c r="R56" s="264"/>
      <c r="S56" s="289"/>
      <c r="T56" s="289"/>
      <c r="U56" s="289"/>
      <c r="V56" s="264"/>
      <c r="W56" s="289"/>
      <c r="X56" s="289"/>
      <c r="Y56" s="289"/>
      <c r="Z56" s="264"/>
      <c r="AA56" s="289"/>
      <c r="AB56" s="264"/>
      <c r="AC56" s="524"/>
      <c r="AD56" s="532">
        <v>0</v>
      </c>
      <c r="AE56" s="264"/>
      <c r="AF56" s="525" t="s">
        <v>103</v>
      </c>
      <c r="AG56" s="532">
        <v>0</v>
      </c>
      <c r="AH56" s="264"/>
      <c r="AI56" s="98"/>
      <c r="AJ56" s="424">
        <f t="shared" si="5"/>
        <v>0</v>
      </c>
      <c r="AK56" s="41"/>
      <c r="AL56" s="374">
        <f>ROUND(IF(AG56=0,0,AJ56/ABS(AG56)),3)</f>
        <v>0</v>
      </c>
      <c r="AM56" s="1632"/>
      <c r="AN56" s="1632"/>
    </row>
    <row r="57" spans="1:40">
      <c r="A57" s="291"/>
      <c r="B57" s="291" t="s">
        <v>132</v>
      </c>
      <c r="C57" s="3"/>
      <c r="D57" s="291"/>
      <c r="E57" s="264">
        <f t="shared" si="4"/>
        <v>9.8000000000000007</v>
      </c>
      <c r="F57" s="264"/>
      <c r="G57" s="264"/>
      <c r="H57" s="264"/>
      <c r="I57" s="264"/>
      <c r="J57" s="264"/>
      <c r="K57" s="264"/>
      <c r="L57" s="264"/>
      <c r="M57" s="264"/>
      <c r="N57" s="264"/>
      <c r="O57" s="264"/>
      <c r="P57" s="264"/>
      <c r="Q57" s="264"/>
      <c r="R57" s="264"/>
      <c r="S57" s="289"/>
      <c r="T57" s="289"/>
      <c r="U57" s="289"/>
      <c r="V57" s="264"/>
      <c r="W57" s="289"/>
      <c r="X57" s="289"/>
      <c r="Y57" s="289"/>
      <c r="Z57" s="264"/>
      <c r="AA57" s="289"/>
      <c r="AB57" s="264"/>
      <c r="AC57" s="524"/>
      <c r="AD57" s="532">
        <v>9.8000000000000007</v>
      </c>
      <c r="AE57" s="264"/>
      <c r="AF57" s="525" t="s">
        <v>103</v>
      </c>
      <c r="AG57" s="532">
        <v>0.4</v>
      </c>
      <c r="AH57" s="264"/>
      <c r="AI57" s="98"/>
      <c r="AJ57" s="424">
        <f t="shared" si="5"/>
        <v>9.4</v>
      </c>
      <c r="AL57" s="2034">
        <f>ROUND(IF(AG57=0,1,AJ57/ABS(AG57)),3)</f>
        <v>23.5</v>
      </c>
      <c r="AM57" s="1632"/>
      <c r="AN57" s="1632"/>
    </row>
    <row r="58" spans="1:40">
      <c r="A58" s="291"/>
      <c r="B58" s="291" t="s">
        <v>133</v>
      </c>
      <c r="C58" s="291"/>
      <c r="D58" s="291"/>
      <c r="E58" s="264">
        <f t="shared" si="4"/>
        <v>24.8</v>
      </c>
      <c r="F58" s="264"/>
      <c r="G58" s="264"/>
      <c r="H58" s="264"/>
      <c r="I58" s="264"/>
      <c r="J58" s="264"/>
      <c r="K58" s="264"/>
      <c r="L58" s="264"/>
      <c r="M58" s="264"/>
      <c r="N58" s="264"/>
      <c r="O58" s="264"/>
      <c r="P58" s="264"/>
      <c r="Q58" s="264"/>
      <c r="R58" s="264"/>
      <c r="S58" s="289"/>
      <c r="T58" s="289"/>
      <c r="U58" s="289"/>
      <c r="V58" s="264"/>
      <c r="W58" s="289"/>
      <c r="X58" s="289"/>
      <c r="Y58" s="289"/>
      <c r="Z58" s="264"/>
      <c r="AA58" s="289"/>
      <c r="AB58" s="264"/>
      <c r="AC58" s="524"/>
      <c r="AD58" s="532">
        <v>24.8</v>
      </c>
      <c r="AE58" s="264"/>
      <c r="AF58" s="525" t="s">
        <v>103</v>
      </c>
      <c r="AG58" s="532">
        <v>35.799999999999997</v>
      </c>
      <c r="AH58" s="264"/>
      <c r="AI58" s="98"/>
      <c r="AJ58" s="424">
        <f t="shared" si="5"/>
        <v>-11</v>
      </c>
      <c r="AL58" s="1768">
        <f>ROUND((AD58-AG58)/ABS(AG58),3)</f>
        <v>-0.307</v>
      </c>
      <c r="AM58" s="1632"/>
      <c r="AN58" s="1632"/>
    </row>
    <row r="59" spans="1:40">
      <c r="A59" s="291"/>
      <c r="B59" s="3" t="s">
        <v>564</v>
      </c>
      <c r="C59" s="291"/>
      <c r="D59" s="291"/>
      <c r="E59" s="617">
        <f>ROUND(SUM(E50:E58),1)</f>
        <v>34.799999999999997</v>
      </c>
      <c r="F59" s="13"/>
      <c r="G59" s="617">
        <f>ROUND(SUM(G50:G58),1)</f>
        <v>0</v>
      </c>
      <c r="H59" s="13"/>
      <c r="I59" s="617">
        <f>ROUND(SUM(I50:I58),1)</f>
        <v>0</v>
      </c>
      <c r="J59" s="13"/>
      <c r="K59" s="617">
        <f>ROUND(SUM(K50:K58),1)</f>
        <v>0</v>
      </c>
      <c r="L59" s="13"/>
      <c r="M59" s="617">
        <f>ROUND(SUM(M50:M58),1)</f>
        <v>0</v>
      </c>
      <c r="N59" s="13"/>
      <c r="O59" s="617">
        <f>ROUND(SUM(O50:O58),1)</f>
        <v>0</v>
      </c>
      <c r="P59" s="13"/>
      <c r="Q59" s="617">
        <f>ROUND(SUM(Q50:Q58),1)</f>
        <v>0</v>
      </c>
      <c r="R59" s="13"/>
      <c r="S59" s="617">
        <f>ROUND(SUM(S50:S58),1)</f>
        <v>0</v>
      </c>
      <c r="T59" s="13"/>
      <c r="U59" s="617">
        <f>ROUND(SUM(U50:U58),1)</f>
        <v>0</v>
      </c>
      <c r="V59" s="13"/>
      <c r="W59" s="617">
        <f>ROUND(SUM(W50:W58),1)</f>
        <v>0</v>
      </c>
      <c r="X59" s="13"/>
      <c r="Y59" s="617">
        <f>ROUND(SUM(Y50:Y58),1)</f>
        <v>0</v>
      </c>
      <c r="Z59" s="13"/>
      <c r="AA59" s="617">
        <f>ROUND(SUM(AA50:AA58),1)</f>
        <v>0</v>
      </c>
      <c r="AB59" s="13"/>
      <c r="AC59" s="14"/>
      <c r="AD59" s="617">
        <f>ROUND(SUM(AD50:AD58),1)</f>
        <v>34.799999999999997</v>
      </c>
      <c r="AE59" s="1236"/>
      <c r="AF59" s="14"/>
      <c r="AG59" s="617">
        <f>ROUND(SUM(AG50:AG58),1)</f>
        <v>38.200000000000003</v>
      </c>
      <c r="AH59" s="13"/>
      <c r="AI59" s="98"/>
      <c r="AJ59" s="617">
        <f>ROUND(SUM(AJ50:AJ58),1)</f>
        <v>-3.4</v>
      </c>
      <c r="AK59" s="3"/>
      <c r="AL59" s="924">
        <f>ROUND(SUM(AD59-AG59)/ABS(AG59),3)</f>
        <v>-8.8999999999999996E-2</v>
      </c>
      <c r="AM59" s="1722"/>
      <c r="AN59" s="1632"/>
    </row>
    <row r="60" spans="1:40">
      <c r="A60" s="291"/>
      <c r="B60" s="291" t="s">
        <v>565</v>
      </c>
      <c r="C60" s="291"/>
      <c r="D60" s="291"/>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524"/>
      <c r="AD60" s="264"/>
      <c r="AE60" s="1234"/>
      <c r="AF60" s="524"/>
      <c r="AG60" s="264"/>
      <c r="AH60" s="264"/>
      <c r="AI60" s="98"/>
      <c r="AJ60" s="12"/>
      <c r="AL60" s="96"/>
      <c r="AM60" s="1632"/>
      <c r="AN60" s="1632"/>
    </row>
    <row r="61" spans="1:40">
      <c r="A61" s="291"/>
      <c r="B61" s="291" t="s">
        <v>566</v>
      </c>
      <c r="C61" s="291"/>
      <c r="D61" s="291"/>
      <c r="E61" s="264">
        <f>AD61</f>
        <v>0</v>
      </c>
      <c r="F61" s="264"/>
      <c r="G61" s="264"/>
      <c r="H61" s="264"/>
      <c r="I61" s="264"/>
      <c r="J61" s="264"/>
      <c r="K61" s="264"/>
      <c r="L61" s="264"/>
      <c r="M61" s="264"/>
      <c r="N61" s="264"/>
      <c r="O61" s="264"/>
      <c r="P61" s="264"/>
      <c r="Q61" s="264"/>
      <c r="R61" s="264"/>
      <c r="S61" s="289"/>
      <c r="T61" s="289"/>
      <c r="U61" s="289"/>
      <c r="V61" s="264"/>
      <c r="W61" s="289"/>
      <c r="X61" s="264"/>
      <c r="Y61" s="289"/>
      <c r="Z61" s="264"/>
      <c r="AA61" s="289"/>
      <c r="AB61" s="264"/>
      <c r="AC61" s="524"/>
      <c r="AD61" s="264">
        <v>0</v>
      </c>
      <c r="AE61" s="1234"/>
      <c r="AF61" s="264"/>
      <c r="AG61" s="264">
        <v>0</v>
      </c>
      <c r="AH61" s="367"/>
      <c r="AI61" s="100"/>
      <c r="AJ61" s="424">
        <f>ROUND(AD61-AG61,1)</f>
        <v>0</v>
      </c>
      <c r="AL61" s="374">
        <f>ROUND(IF(AG61=0,0,AJ61/ABS(AG61)),3)</f>
        <v>0</v>
      </c>
      <c r="AM61" s="1632"/>
      <c r="AN61" s="1632"/>
    </row>
    <row r="62" spans="1:40">
      <c r="A62" s="291"/>
      <c r="B62" s="291" t="s">
        <v>567</v>
      </c>
      <c r="C62" s="291"/>
      <c r="D62" s="291"/>
      <c r="E62" s="264">
        <f t="shared" ref="E62:E64" si="6">AD62</f>
        <v>0</v>
      </c>
      <c r="F62" s="264"/>
      <c r="G62" s="264"/>
      <c r="H62" s="264"/>
      <c r="I62" s="264"/>
      <c r="J62" s="264"/>
      <c r="K62" s="264"/>
      <c r="L62" s="264"/>
      <c r="M62" s="264"/>
      <c r="N62" s="264"/>
      <c r="O62" s="264"/>
      <c r="P62" s="264"/>
      <c r="Q62" s="264"/>
      <c r="R62" s="264"/>
      <c r="S62" s="289"/>
      <c r="T62" s="289"/>
      <c r="U62" s="289"/>
      <c r="V62" s="264"/>
      <c r="W62" s="289"/>
      <c r="X62" s="264"/>
      <c r="Y62" s="289"/>
      <c r="Z62" s="264"/>
      <c r="AA62" s="289"/>
      <c r="AB62" s="264"/>
      <c r="AC62" s="524"/>
      <c r="AD62" s="264">
        <v>0</v>
      </c>
      <c r="AE62" s="1234"/>
      <c r="AF62" s="264"/>
      <c r="AG62" s="264">
        <v>0</v>
      </c>
      <c r="AH62" s="367"/>
      <c r="AI62" s="100"/>
      <c r="AJ62" s="424">
        <f>ROUND(AD62-AG62,1)</f>
        <v>0</v>
      </c>
      <c r="AL62" s="374">
        <f>ROUND(IF(AG62=0,0,AJ62/ABS(AG62)),3)</f>
        <v>0</v>
      </c>
      <c r="AM62" s="1632"/>
      <c r="AN62" s="1632"/>
    </row>
    <row r="63" spans="1:40">
      <c r="A63" s="291"/>
      <c r="B63" s="291" t="s">
        <v>568</v>
      </c>
      <c r="C63" s="291"/>
      <c r="D63" s="291"/>
      <c r="E63" s="264">
        <f t="shared" si="6"/>
        <v>0</v>
      </c>
      <c r="F63" s="264"/>
      <c r="G63" s="264"/>
      <c r="H63" s="264"/>
      <c r="I63" s="264"/>
      <c r="J63" s="264"/>
      <c r="K63" s="264"/>
      <c r="L63" s="264"/>
      <c r="M63" s="264"/>
      <c r="N63" s="264"/>
      <c r="O63" s="264"/>
      <c r="P63" s="264"/>
      <c r="Q63" s="264"/>
      <c r="R63" s="264"/>
      <c r="S63" s="289"/>
      <c r="T63" s="289"/>
      <c r="U63" s="289"/>
      <c r="V63" s="264"/>
      <c r="W63" s="289"/>
      <c r="X63" s="264"/>
      <c r="Y63" s="289"/>
      <c r="Z63" s="264"/>
      <c r="AA63" s="289"/>
      <c r="AB63" s="264"/>
      <c r="AC63" s="524"/>
      <c r="AD63" s="264">
        <v>0</v>
      </c>
      <c r="AE63" s="1234"/>
      <c r="AF63" s="264"/>
      <c r="AG63" s="264">
        <v>0</v>
      </c>
      <c r="AH63" s="367"/>
      <c r="AI63" s="100"/>
      <c r="AJ63" s="424">
        <f>ROUND(AD63-AG63,1)</f>
        <v>0</v>
      </c>
      <c r="AL63" s="374">
        <f>ROUND(IF(AG63=0,0,AJ63/ABS(AG63)),3)</f>
        <v>0</v>
      </c>
      <c r="AM63" s="1632"/>
      <c r="AN63" s="1632"/>
    </row>
    <row r="64" spans="1:40">
      <c r="A64" s="291"/>
      <c r="B64" s="413" t="s">
        <v>584</v>
      </c>
      <c r="C64" s="291"/>
      <c r="D64" s="291"/>
      <c r="E64" s="264">
        <f t="shared" si="6"/>
        <v>42.3</v>
      </c>
      <c r="F64" s="264"/>
      <c r="G64" s="264"/>
      <c r="H64" s="264"/>
      <c r="I64" s="264"/>
      <c r="J64" s="264"/>
      <c r="K64" s="264"/>
      <c r="L64" s="264"/>
      <c r="M64" s="264"/>
      <c r="N64" s="264"/>
      <c r="O64" s="264"/>
      <c r="P64" s="264"/>
      <c r="Q64" s="264"/>
      <c r="R64" s="264"/>
      <c r="S64" s="289"/>
      <c r="T64" s="289"/>
      <c r="U64" s="289"/>
      <c r="V64" s="264"/>
      <c r="W64" s="289"/>
      <c r="X64" s="264"/>
      <c r="Y64" s="289"/>
      <c r="Z64" s="264"/>
      <c r="AA64" s="289"/>
      <c r="AB64" s="264"/>
      <c r="AC64" s="524"/>
      <c r="AD64" s="986">
        <v>42.3</v>
      </c>
      <c r="AE64" s="264"/>
      <c r="AF64" s="525" t="s">
        <v>103</v>
      </c>
      <c r="AG64" s="986">
        <v>120.5</v>
      </c>
      <c r="AH64" s="287"/>
      <c r="AI64" s="97"/>
      <c r="AJ64" s="1077">
        <f>ROUND(AD64-AG64,1)</f>
        <v>-78.2</v>
      </c>
      <c r="AL64" s="864">
        <f>ROUND(IF(AG64=0,0,AJ64/ABS(AG64)),3)</f>
        <v>-0.64900000000000002</v>
      </c>
      <c r="AM64" s="1632"/>
      <c r="AN64" s="1632"/>
    </row>
    <row r="65" spans="1:40">
      <c r="A65" s="291"/>
      <c r="B65" s="291"/>
      <c r="C65" s="291"/>
      <c r="D65" s="291"/>
      <c r="E65" s="616"/>
      <c r="F65" s="264"/>
      <c r="G65" s="616"/>
      <c r="H65" s="264"/>
      <c r="I65" s="616"/>
      <c r="J65" s="264"/>
      <c r="K65" s="616"/>
      <c r="L65" s="264"/>
      <c r="M65" s="616"/>
      <c r="N65" s="264"/>
      <c r="O65" s="616"/>
      <c r="P65" s="264"/>
      <c r="Q65" s="616"/>
      <c r="R65" s="264"/>
      <c r="S65" s="616"/>
      <c r="T65" s="264"/>
      <c r="U65" s="616"/>
      <c r="V65" s="264"/>
      <c r="W65" s="616"/>
      <c r="X65" s="264"/>
      <c r="Y65" s="616"/>
      <c r="Z65" s="264"/>
      <c r="AA65" s="616"/>
      <c r="AB65" s="264"/>
      <c r="AC65" s="524"/>
      <c r="AD65" s="12"/>
      <c r="AE65" s="1234"/>
      <c r="AF65" s="524"/>
      <c r="AG65" s="12"/>
      <c r="AH65" s="12"/>
      <c r="AI65" s="98"/>
      <c r="AJ65" s="12"/>
      <c r="AL65" s="96"/>
      <c r="AM65" s="1632"/>
      <c r="AN65" s="1632"/>
    </row>
    <row r="66" spans="1:40">
      <c r="A66" s="291"/>
      <c r="B66" s="3" t="s">
        <v>569</v>
      </c>
      <c r="C66" s="291"/>
      <c r="D66" s="291"/>
      <c r="E66" s="13">
        <f>ROUND(SUM(E59:E64),1)</f>
        <v>77.099999999999994</v>
      </c>
      <c r="F66" s="13"/>
      <c r="G66" s="13">
        <f>ROUND(SUM(G59:G64),1)</f>
        <v>0</v>
      </c>
      <c r="H66" s="13"/>
      <c r="I66" s="13">
        <f>ROUND(SUM(I59:I64),1)</f>
        <v>0</v>
      </c>
      <c r="J66" s="13"/>
      <c r="K66" s="13">
        <f>ROUND(SUM(K59:K64),1)</f>
        <v>0</v>
      </c>
      <c r="L66" s="13"/>
      <c r="M66" s="13">
        <f>ROUND(SUM(M59:M64),1)</f>
        <v>0</v>
      </c>
      <c r="N66" s="13"/>
      <c r="O66" s="13">
        <f>ROUND(SUM(O59:O64),1)</f>
        <v>0</v>
      </c>
      <c r="P66" s="13"/>
      <c r="Q66" s="13">
        <f>ROUND(SUM(Q59:Q64),1)</f>
        <v>0</v>
      </c>
      <c r="R66" s="13"/>
      <c r="S66" s="13">
        <f>ROUND(SUM(S59:S64),1)</f>
        <v>0</v>
      </c>
      <c r="T66" s="13"/>
      <c r="U66" s="13">
        <f>ROUND(SUM(U59:U64),1)</f>
        <v>0</v>
      </c>
      <c r="V66" s="13"/>
      <c r="W66" s="13">
        <f>ROUND(SUM(W59:W64),1)</f>
        <v>0</v>
      </c>
      <c r="X66" s="13"/>
      <c r="Y66" s="13">
        <f>ROUND(SUM(Y59:Y64),1)</f>
        <v>0</v>
      </c>
      <c r="Z66" s="13"/>
      <c r="AA66" s="13">
        <f>ROUND(SUM(AA59:AA64),1)</f>
        <v>0</v>
      </c>
      <c r="AB66" s="13"/>
      <c r="AC66" s="14"/>
      <c r="AD66" s="13">
        <f>ROUND(SUM(AD59:AD64),1)</f>
        <v>77.099999999999994</v>
      </c>
      <c r="AE66" s="1236"/>
      <c r="AF66" s="14"/>
      <c r="AG66" s="13">
        <f>ROUND(SUM(AG59:AG64),1)</f>
        <v>158.69999999999999</v>
      </c>
      <c r="AH66" s="13"/>
      <c r="AI66" s="98"/>
      <c r="AJ66" s="357">
        <f>ROUND(AD66-AG66,1)</f>
        <v>-81.599999999999994</v>
      </c>
      <c r="AK66" s="3"/>
      <c r="AL66" s="612">
        <f>ROUND(SUM(AD66-AG66)/ABS(AG66),3)</f>
        <v>-0.51400000000000001</v>
      </c>
      <c r="AM66" s="1632"/>
      <c r="AN66" s="1632"/>
    </row>
    <row r="67" spans="1:40">
      <c r="A67" s="291"/>
      <c r="B67" s="291"/>
      <c r="C67" s="291"/>
      <c r="D67" s="291"/>
      <c r="E67" s="616"/>
      <c r="F67" s="264"/>
      <c r="G67" s="616"/>
      <c r="H67" s="264"/>
      <c r="I67" s="616"/>
      <c r="J67" s="264"/>
      <c r="K67" s="616"/>
      <c r="L67" s="264"/>
      <c r="M67" s="616"/>
      <c r="N67" s="264"/>
      <c r="O67" s="616"/>
      <c r="P67" s="264"/>
      <c r="Q67" s="616"/>
      <c r="R67" s="264"/>
      <c r="S67" s="616"/>
      <c r="T67" s="264"/>
      <c r="U67" s="616"/>
      <c r="V67" s="264"/>
      <c r="W67" s="616"/>
      <c r="X67" s="264"/>
      <c r="Y67" s="616"/>
      <c r="Z67" s="264"/>
      <c r="AA67" s="616"/>
      <c r="AB67" s="264"/>
      <c r="AC67" s="524"/>
      <c r="AD67" s="616"/>
      <c r="AE67" s="1234"/>
      <c r="AF67" s="524"/>
      <c r="AG67" s="616"/>
      <c r="AH67" s="264"/>
      <c r="AI67" s="98"/>
      <c r="AJ67" s="12"/>
      <c r="AL67" s="96"/>
      <c r="AM67" s="1632"/>
      <c r="AN67" s="1632"/>
    </row>
    <row r="68" spans="1:40">
      <c r="A68" s="291"/>
      <c r="B68" s="3" t="s">
        <v>570</v>
      </c>
      <c r="C68" s="291"/>
      <c r="D68" s="291"/>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524"/>
      <c r="AD68" s="12"/>
      <c r="AE68" s="1234"/>
      <c r="AF68" s="264"/>
      <c r="AG68" s="12"/>
      <c r="AH68" s="12"/>
      <c r="AI68" s="98"/>
      <c r="AJ68" s="12"/>
      <c r="AL68" s="96"/>
      <c r="AM68" s="1632"/>
      <c r="AN68" s="1632"/>
    </row>
    <row r="69" spans="1:40">
      <c r="A69" s="291"/>
      <c r="B69" s="3" t="s">
        <v>571</v>
      </c>
      <c r="C69" s="291"/>
      <c r="D69" s="291"/>
      <c r="E69" s="13">
        <f>ROUND(E46-E66,1)</f>
        <v>10.6</v>
      </c>
      <c r="F69" s="13"/>
      <c r="G69" s="13">
        <f>ROUND(G46-G66,1)</f>
        <v>0</v>
      </c>
      <c r="H69" s="13"/>
      <c r="I69" s="13">
        <f>ROUND(I46-I66,1)</f>
        <v>0</v>
      </c>
      <c r="J69" s="13"/>
      <c r="K69" s="13">
        <f>ROUND(K46-K66,1)</f>
        <v>0</v>
      </c>
      <c r="L69" s="13"/>
      <c r="M69" s="13">
        <f>ROUND(M46-M66,1)</f>
        <v>0</v>
      </c>
      <c r="N69" s="13"/>
      <c r="O69" s="13">
        <f>ROUND(O46-O66,1)</f>
        <v>0</v>
      </c>
      <c r="P69" s="13"/>
      <c r="Q69" s="13">
        <f>ROUND(Q46-Q66,1)</f>
        <v>0</v>
      </c>
      <c r="R69" s="13"/>
      <c r="S69" s="13">
        <f>ROUND(S46-S66,1)</f>
        <v>0</v>
      </c>
      <c r="T69" s="13"/>
      <c r="U69" s="13">
        <f>ROUND(U46-U66,1)</f>
        <v>0</v>
      </c>
      <c r="V69" s="13"/>
      <c r="W69" s="13">
        <f>ROUND(W46-W66,1)</f>
        <v>0</v>
      </c>
      <c r="X69" s="13"/>
      <c r="Y69" s="13">
        <f>ROUND(Y46-Y66,1)</f>
        <v>0</v>
      </c>
      <c r="Z69" s="13"/>
      <c r="AA69" s="13">
        <f>ROUND(AA46-AA66,1)</f>
        <v>0</v>
      </c>
      <c r="AB69" s="13"/>
      <c r="AC69" s="14"/>
      <c r="AD69" s="13">
        <f>ROUND(AD46-AD66,1)</f>
        <v>10.6</v>
      </c>
      <c r="AE69" s="1236"/>
      <c r="AF69" s="14"/>
      <c r="AG69" s="13">
        <f>ROUND(AG46-AG66,1)</f>
        <v>-39.700000000000003</v>
      </c>
      <c r="AH69" s="13"/>
      <c r="AI69" s="98"/>
      <c r="AJ69" s="357">
        <f>ROUND(AD69-AG69,1)</f>
        <v>50.3</v>
      </c>
      <c r="AK69" s="3"/>
      <c r="AL69" s="540">
        <f>ROUND(SUM(AD69-AG69)/ABS(AG69),3)</f>
        <v>1.2669999999999999</v>
      </c>
      <c r="AM69" s="1632"/>
      <c r="AN69" s="1632"/>
    </row>
    <row r="70" spans="1:40">
      <c r="A70" s="291"/>
      <c r="B70" s="291"/>
      <c r="C70" s="291"/>
      <c r="D70" s="291"/>
      <c r="E70" s="616"/>
      <c r="F70" s="264"/>
      <c r="G70" s="616"/>
      <c r="H70" s="264"/>
      <c r="I70" s="616"/>
      <c r="J70" s="264"/>
      <c r="K70" s="616"/>
      <c r="L70" s="264"/>
      <c r="M70" s="616"/>
      <c r="N70" s="264"/>
      <c r="O70" s="616"/>
      <c r="P70" s="264"/>
      <c r="Q70" s="616"/>
      <c r="R70" s="264"/>
      <c r="S70" s="616"/>
      <c r="T70" s="264"/>
      <c r="U70" s="616"/>
      <c r="V70" s="264"/>
      <c r="W70" s="616"/>
      <c r="X70" s="264"/>
      <c r="Y70" s="616"/>
      <c r="Z70" s="264"/>
      <c r="AA70" s="616"/>
      <c r="AB70" s="264"/>
      <c r="AC70" s="524"/>
      <c r="AD70" s="616"/>
      <c r="AE70" s="1234"/>
      <c r="AF70" s="524"/>
      <c r="AG70" s="616"/>
      <c r="AH70" s="264"/>
      <c r="AI70" s="98"/>
      <c r="AJ70" s="12"/>
      <c r="AL70" s="96"/>
      <c r="AM70" s="1632"/>
      <c r="AN70" s="1632"/>
    </row>
    <row r="71" spans="1:40">
      <c r="A71" s="291"/>
      <c r="B71" s="3" t="s">
        <v>572</v>
      </c>
      <c r="C71" s="291"/>
      <c r="D71" s="291"/>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524"/>
      <c r="AD71" s="367"/>
      <c r="AE71" s="1234"/>
      <c r="AF71" s="524"/>
      <c r="AG71" s="367"/>
      <c r="AH71" s="367"/>
      <c r="AI71" s="100"/>
      <c r="AJ71" s="12"/>
      <c r="AL71" s="96"/>
      <c r="AM71" s="1632"/>
      <c r="AN71" s="1632"/>
    </row>
    <row r="72" spans="1:40">
      <c r="A72" s="291"/>
      <c r="B72" s="413" t="s">
        <v>585</v>
      </c>
      <c r="C72" s="291"/>
      <c r="D72" s="291"/>
      <c r="E72" s="264">
        <f>AD72</f>
        <v>0</v>
      </c>
      <c r="F72" s="264"/>
      <c r="G72" s="264"/>
      <c r="H72" s="264"/>
      <c r="I72" s="264"/>
      <c r="J72" s="264"/>
      <c r="K72" s="264"/>
      <c r="L72" s="264"/>
      <c r="M72" s="264"/>
      <c r="N72" s="264"/>
      <c r="O72" s="264"/>
      <c r="P72" s="264"/>
      <c r="Q72" s="264"/>
      <c r="R72" s="264"/>
      <c r="S72" s="289"/>
      <c r="T72" s="289"/>
      <c r="U72" s="289"/>
      <c r="V72" s="264"/>
      <c r="W72" s="289"/>
      <c r="X72" s="264"/>
      <c r="Y72" s="289"/>
      <c r="Z72" s="264"/>
      <c r="AA72" s="289"/>
      <c r="AB72" s="264"/>
      <c r="AC72" s="524"/>
      <c r="AD72" s="532">
        <v>0</v>
      </c>
      <c r="AE72" s="287"/>
      <c r="AF72" s="1769"/>
      <c r="AG72" s="532">
        <v>0</v>
      </c>
      <c r="AH72" s="287"/>
      <c r="AI72" s="97"/>
      <c r="AJ72" s="1078">
        <f>ROUND(AD72-AG72,1)</f>
        <v>0</v>
      </c>
      <c r="AL72" s="374">
        <f>ROUND(IF(AG72=0,0,AJ72/ABS(AG72)),3)</f>
        <v>0</v>
      </c>
      <c r="AM72" s="1632"/>
      <c r="AN72" s="1632"/>
    </row>
    <row r="73" spans="1:40">
      <c r="A73" s="291"/>
      <c r="B73" s="413" t="s">
        <v>586</v>
      </c>
      <c r="C73" s="291"/>
      <c r="D73" s="291"/>
      <c r="E73" s="264">
        <f>AD73</f>
        <v>0</v>
      </c>
      <c r="F73" s="264"/>
      <c r="G73" s="264"/>
      <c r="H73" s="264"/>
      <c r="I73" s="264"/>
      <c r="J73" s="264"/>
      <c r="K73" s="264"/>
      <c r="L73" s="264"/>
      <c r="M73" s="264"/>
      <c r="N73" s="264"/>
      <c r="O73" s="264"/>
      <c r="P73" s="264"/>
      <c r="Q73" s="264"/>
      <c r="R73" s="264"/>
      <c r="S73" s="289"/>
      <c r="T73" s="289"/>
      <c r="U73" s="289"/>
      <c r="V73" s="264"/>
      <c r="W73" s="289"/>
      <c r="X73" s="264"/>
      <c r="Y73" s="289"/>
      <c r="Z73" s="289"/>
      <c r="AA73" s="289"/>
      <c r="AB73" s="264"/>
      <c r="AC73" s="524"/>
      <c r="AD73" s="986">
        <v>0</v>
      </c>
      <c r="AE73" s="287"/>
      <c r="AF73" s="1769"/>
      <c r="AG73" s="986">
        <v>0</v>
      </c>
      <c r="AH73" s="264"/>
      <c r="AI73" s="98"/>
      <c r="AJ73" s="1077">
        <f>-ROUND(AD73-AG73,1)</f>
        <v>0</v>
      </c>
      <c r="AL73" s="374">
        <f>ROUND(IF(AG73=0,0,AJ73/ABS(AG73)),3)</f>
        <v>0</v>
      </c>
      <c r="AM73" s="1632"/>
      <c r="AN73" s="1632"/>
    </row>
    <row r="74" spans="1:40">
      <c r="A74" s="291"/>
      <c r="B74" s="291"/>
      <c r="C74" s="291"/>
      <c r="D74" s="291"/>
      <c r="E74" s="616"/>
      <c r="F74" s="264"/>
      <c r="G74" s="616"/>
      <c r="H74" s="264"/>
      <c r="I74" s="616"/>
      <c r="J74" s="264"/>
      <c r="K74" s="616"/>
      <c r="L74" s="264"/>
      <c r="M74" s="616"/>
      <c r="N74" s="264"/>
      <c r="O74" s="616"/>
      <c r="P74" s="264"/>
      <c r="Q74" s="616"/>
      <c r="R74" s="264"/>
      <c r="S74" s="616"/>
      <c r="T74" s="264"/>
      <c r="U74" s="616"/>
      <c r="V74" s="264"/>
      <c r="W74" s="618"/>
      <c r="X74" s="264"/>
      <c r="Y74" s="616"/>
      <c r="Z74" s="264"/>
      <c r="AA74" s="616"/>
      <c r="AB74" s="264"/>
      <c r="AC74" s="524"/>
      <c r="AD74" s="12"/>
      <c r="AE74" s="1234"/>
      <c r="AF74" s="524"/>
      <c r="AG74" s="12"/>
      <c r="AH74" s="12"/>
      <c r="AI74" s="98"/>
      <c r="AJ74" s="1770"/>
      <c r="AK74" s="1771"/>
      <c r="AL74" s="1772"/>
      <c r="AM74" s="1632"/>
      <c r="AN74" s="1632"/>
    </row>
    <row r="75" spans="1:40">
      <c r="A75" s="291"/>
      <c r="B75" s="3" t="s">
        <v>587</v>
      </c>
      <c r="C75" s="291"/>
      <c r="D75" s="291"/>
      <c r="E75" s="16">
        <f>ROUND(SUM(E72:E74),1)</f>
        <v>0</v>
      </c>
      <c r="F75" s="264"/>
      <c r="G75" s="16">
        <v>0</v>
      </c>
      <c r="H75" s="264"/>
      <c r="I75" s="16">
        <f>ROUND(SUM(I72:I74),1)</f>
        <v>0</v>
      </c>
      <c r="J75" s="264"/>
      <c r="K75" s="16">
        <f>ROUND(SUM(K72:K74),1)</f>
        <v>0</v>
      </c>
      <c r="L75" s="264"/>
      <c r="M75" s="16">
        <f>ROUND(SUM(M72:M74),1)</f>
        <v>0</v>
      </c>
      <c r="N75" s="264"/>
      <c r="O75" s="16">
        <f>ROUND(SUM(O72:O74),1)</f>
        <v>0</v>
      </c>
      <c r="P75" s="264"/>
      <c r="Q75" s="16">
        <f>ROUND(SUM(Q72:Q74),1)</f>
        <v>0</v>
      </c>
      <c r="R75" s="367"/>
      <c r="S75" s="16">
        <f>ROUND(SUM(S72:S74),1)</f>
        <v>0</v>
      </c>
      <c r="T75" s="264"/>
      <c r="U75" s="16">
        <f>ROUND(SUM(U72:U74),1)</f>
        <v>0</v>
      </c>
      <c r="V75" s="264"/>
      <c r="W75" s="16">
        <f>ROUND(SUM(W72:W74),1)</f>
        <v>0</v>
      </c>
      <c r="X75" s="264"/>
      <c r="Y75" s="16">
        <f>ROUND(SUM(Y72:Y74),1)</f>
        <v>0</v>
      </c>
      <c r="Z75" s="287"/>
      <c r="AA75" s="16">
        <f>ROUND(SUM(AA72:AA74),1)</f>
        <v>0</v>
      </c>
      <c r="AB75" s="264"/>
      <c r="AC75" s="524"/>
      <c r="AD75" s="16">
        <f>ROUND(SUM(AD72:AD74),1)</f>
        <v>0</v>
      </c>
      <c r="AE75" s="1234"/>
      <c r="AF75" s="524"/>
      <c r="AG75" s="16">
        <f>ROUND(SUM(AG72:AG74),1)</f>
        <v>0</v>
      </c>
      <c r="AH75" s="264"/>
      <c r="AI75" s="98"/>
      <c r="AJ75" s="16">
        <f>ROUND(SUM(AD75-AG75),1)</f>
        <v>0</v>
      </c>
      <c r="AK75" s="1771"/>
      <c r="AL75" s="540">
        <f>ROUND(IF(AG75=0,0,AJ75/ABS(AG75)),3)</f>
        <v>0</v>
      </c>
      <c r="AM75" s="1632"/>
      <c r="AN75" s="1632"/>
    </row>
    <row r="76" spans="1:40">
      <c r="A76" s="291"/>
      <c r="B76" s="291"/>
      <c r="C76" s="291"/>
      <c r="D76" s="291"/>
      <c r="E76" s="616"/>
      <c r="F76" s="264"/>
      <c r="G76" s="616"/>
      <c r="H76" s="264"/>
      <c r="I76" s="616"/>
      <c r="J76" s="264"/>
      <c r="K76" s="616"/>
      <c r="L76" s="264"/>
      <c r="M76" s="616"/>
      <c r="N76" s="264"/>
      <c r="O76" s="616"/>
      <c r="P76" s="264"/>
      <c r="Q76" s="616"/>
      <c r="R76" s="264"/>
      <c r="S76" s="616"/>
      <c r="T76" s="264"/>
      <c r="U76" s="616"/>
      <c r="V76" s="264"/>
      <c r="W76" s="616"/>
      <c r="X76" s="264"/>
      <c r="Y76" s="616"/>
      <c r="Z76" s="264"/>
      <c r="AA76" s="616"/>
      <c r="AB76" s="264"/>
      <c r="AC76" s="524"/>
      <c r="AD76" s="616"/>
      <c r="AE76" s="1234"/>
      <c r="AF76" s="524"/>
      <c r="AG76" s="616"/>
      <c r="AH76" s="264"/>
      <c r="AI76" s="98"/>
      <c r="AJ76" s="616"/>
      <c r="AL76" s="1030"/>
      <c r="AM76" s="1632"/>
      <c r="AN76" s="1632"/>
    </row>
    <row r="77" spans="1:40">
      <c r="A77" s="291"/>
      <c r="B77" s="3" t="s">
        <v>576</v>
      </c>
      <c r="C77" s="291"/>
      <c r="D77" s="291"/>
      <c r="E77" s="264" t="s">
        <v>103</v>
      </c>
      <c r="F77" s="264" t="s">
        <v>103</v>
      </c>
      <c r="G77" s="264" t="s">
        <v>103</v>
      </c>
      <c r="H77" s="264"/>
      <c r="I77" s="264" t="s">
        <v>103</v>
      </c>
      <c r="J77" s="264"/>
      <c r="K77" s="264" t="s">
        <v>103</v>
      </c>
      <c r="L77" s="264"/>
      <c r="M77" s="264" t="s">
        <v>103</v>
      </c>
      <c r="N77" s="264"/>
      <c r="O77" s="264" t="s">
        <v>103</v>
      </c>
      <c r="P77" s="264"/>
      <c r="Q77" s="264" t="s">
        <v>103</v>
      </c>
      <c r="R77" s="264"/>
      <c r="S77" s="264" t="s">
        <v>103</v>
      </c>
      <c r="T77" s="264"/>
      <c r="U77" s="264" t="s">
        <v>103</v>
      </c>
      <c r="V77" s="264"/>
      <c r="W77" s="264" t="s">
        <v>103</v>
      </c>
      <c r="X77" s="264"/>
      <c r="Y77" s="264" t="s">
        <v>103</v>
      </c>
      <c r="Z77" s="264"/>
      <c r="AA77" s="264" t="s">
        <v>103</v>
      </c>
      <c r="AB77" s="264"/>
      <c r="AC77" s="524"/>
      <c r="AD77" s="264"/>
      <c r="AE77" s="1234"/>
      <c r="AF77" s="524"/>
      <c r="AG77" s="264"/>
      <c r="AH77" s="264"/>
      <c r="AI77" s="98"/>
      <c r="AJ77" s="12"/>
      <c r="AL77" s="96"/>
      <c r="AM77" s="1632"/>
      <c r="AN77" s="1632"/>
    </row>
    <row r="78" spans="1:40">
      <c r="A78" s="291"/>
      <c r="B78" s="3" t="s">
        <v>577</v>
      </c>
      <c r="C78" s="291"/>
      <c r="D78" s="291"/>
      <c r="E78" s="264"/>
      <c r="F78" s="264"/>
      <c r="G78" s="264" t="s">
        <v>103</v>
      </c>
      <c r="H78" s="264"/>
      <c r="I78" s="264" t="s">
        <v>103</v>
      </c>
      <c r="J78" s="264"/>
      <c r="K78" s="264" t="s">
        <v>103</v>
      </c>
      <c r="L78" s="264"/>
      <c r="M78" s="264" t="s">
        <v>103</v>
      </c>
      <c r="N78" s="264"/>
      <c r="O78" s="264" t="s">
        <v>103</v>
      </c>
      <c r="P78" s="264"/>
      <c r="Q78" s="264" t="s">
        <v>103</v>
      </c>
      <c r="R78" s="264"/>
      <c r="S78" s="264" t="s">
        <v>103</v>
      </c>
      <c r="T78" s="264"/>
      <c r="U78" s="264" t="s">
        <v>103</v>
      </c>
      <c r="V78" s="264"/>
      <c r="W78" s="264" t="s">
        <v>103</v>
      </c>
      <c r="X78" s="264"/>
      <c r="Y78" s="264" t="s">
        <v>103</v>
      </c>
      <c r="Z78" s="264"/>
      <c r="AA78" s="264" t="s">
        <v>103</v>
      </c>
      <c r="AB78" s="264"/>
      <c r="AC78" s="524"/>
      <c r="AD78" s="264"/>
      <c r="AE78" s="1234"/>
      <c r="AF78" s="524"/>
      <c r="AG78" s="264"/>
      <c r="AH78" s="264"/>
      <c r="AI78" s="98"/>
      <c r="AJ78" s="12"/>
      <c r="AL78" s="96"/>
      <c r="AM78" s="1632"/>
      <c r="AN78" s="1632"/>
    </row>
    <row r="79" spans="1:40">
      <c r="A79" s="291"/>
      <c r="B79" s="3" t="s">
        <v>471</v>
      </c>
      <c r="C79" s="291"/>
      <c r="D79" s="291"/>
      <c r="E79" s="357">
        <f>ROUND(E69+E75,1)</f>
        <v>10.6</v>
      </c>
      <c r="F79" s="264"/>
      <c r="G79" s="357">
        <f>ROUND(G69+G75,1)</f>
        <v>0</v>
      </c>
      <c r="H79" s="264"/>
      <c r="I79" s="357">
        <f>ROUND(I69+I75,1)</f>
        <v>0</v>
      </c>
      <c r="J79" s="264"/>
      <c r="K79" s="357">
        <f>ROUND(K69+K75,1)</f>
        <v>0</v>
      </c>
      <c r="L79" s="264"/>
      <c r="M79" s="357">
        <f>ROUND(M69+M75,1)</f>
        <v>0</v>
      </c>
      <c r="N79" s="264"/>
      <c r="O79" s="357">
        <f>ROUND(O69+O75,1)</f>
        <v>0</v>
      </c>
      <c r="P79" s="264"/>
      <c r="Q79" s="357">
        <f>ROUND(Q69+Q75,1)</f>
        <v>0</v>
      </c>
      <c r="R79" s="264"/>
      <c r="S79" s="357">
        <f>ROUND(S69+S75,1)</f>
        <v>0</v>
      </c>
      <c r="T79" s="264"/>
      <c r="U79" s="357">
        <f>ROUND(U69+U75,1)</f>
        <v>0</v>
      </c>
      <c r="V79" s="264"/>
      <c r="W79" s="357">
        <f>ROUND(W69+W75,1)</f>
        <v>0</v>
      </c>
      <c r="X79" s="264"/>
      <c r="Y79" s="357">
        <f>ROUND(Y69+Y75,1)</f>
        <v>0</v>
      </c>
      <c r="Z79" s="264"/>
      <c r="AA79" s="357">
        <f>ROUND(AA69+AA75,1)</f>
        <v>0</v>
      </c>
      <c r="AB79" s="264"/>
      <c r="AC79" s="525"/>
      <c r="AD79" s="357">
        <f>ROUND(AD69+AD75,1)</f>
        <v>10.6</v>
      </c>
      <c r="AE79" s="1773"/>
      <c r="AF79" s="856"/>
      <c r="AG79" s="357">
        <f>ROUND(AG69+AG75,1)</f>
        <v>-39.700000000000003</v>
      </c>
      <c r="AH79" s="611"/>
      <c r="AI79" s="1774"/>
      <c r="AJ79" s="357">
        <f>ROUND(AD79-AG79,1)</f>
        <v>50.3</v>
      </c>
      <c r="AK79" s="13"/>
      <c r="AL79" s="540">
        <f>ROUND(SUM(AD79-AG79)/ABS(AG79),3)</f>
        <v>1.2669999999999999</v>
      </c>
      <c r="AM79" s="1632"/>
      <c r="AN79" s="1632"/>
    </row>
    <row r="80" spans="1:40">
      <c r="A80" s="291"/>
      <c r="B80" s="3"/>
      <c r="C80" s="291"/>
      <c r="D80" s="291"/>
      <c r="E80" s="20"/>
      <c r="F80" s="264"/>
      <c r="G80" s="20"/>
      <c r="H80" s="264"/>
      <c r="I80" s="20"/>
      <c r="J80" s="264"/>
      <c r="K80" s="20"/>
      <c r="L80" s="264"/>
      <c r="M80" s="20"/>
      <c r="N80" s="264"/>
      <c r="O80" s="20"/>
      <c r="P80" s="264"/>
      <c r="Q80" s="20"/>
      <c r="R80" s="264"/>
      <c r="S80" s="20"/>
      <c r="T80" s="264"/>
      <c r="U80" s="20"/>
      <c r="V80" s="264"/>
      <c r="W80" s="20"/>
      <c r="X80" s="264"/>
      <c r="Y80" s="20"/>
      <c r="Z80" s="264"/>
      <c r="AA80" s="20"/>
      <c r="AB80" s="264"/>
      <c r="AC80" s="525"/>
      <c r="AD80" s="20"/>
      <c r="AE80" s="1775"/>
      <c r="AF80" s="1776"/>
      <c r="AG80" s="20"/>
      <c r="AH80" s="1775"/>
      <c r="AI80" s="1777"/>
      <c r="AJ80" s="20"/>
      <c r="AK80" s="3"/>
      <c r="AL80" s="544"/>
      <c r="AM80" s="1632"/>
      <c r="AN80" s="1632"/>
    </row>
    <row r="81" spans="1:40" ht="16" thickBot="1">
      <c r="A81" s="291"/>
      <c r="B81" s="3" t="s">
        <v>532</v>
      </c>
      <c r="C81" s="291"/>
      <c r="D81" s="291"/>
      <c r="E81" s="70">
        <f>ROUND(SUM(E13+E79),1)</f>
        <v>-266.10000000000002</v>
      </c>
      <c r="F81" s="264"/>
      <c r="G81" s="70">
        <f>ROUND(SUM(G13+G79),1)</f>
        <v>0</v>
      </c>
      <c r="H81" s="264"/>
      <c r="I81" s="70">
        <f>ROUND(SUM(I13+I79),1)</f>
        <v>0</v>
      </c>
      <c r="J81" s="264"/>
      <c r="K81" s="70">
        <f>ROUND(SUM(K13+K79),1)</f>
        <v>0</v>
      </c>
      <c r="L81" s="264"/>
      <c r="M81" s="70">
        <f>ROUND(SUM(M13+M79),1)</f>
        <v>0</v>
      </c>
      <c r="N81" s="264"/>
      <c r="O81" s="70">
        <f>ROUND(SUM(O13+O79),1)</f>
        <v>0</v>
      </c>
      <c r="P81" s="264"/>
      <c r="Q81" s="70">
        <f>ROUND(SUM(Q13+Q79),1)</f>
        <v>0</v>
      </c>
      <c r="R81" s="264"/>
      <c r="S81" s="70">
        <f>ROUND(SUM(S13+S79),1)</f>
        <v>0</v>
      </c>
      <c r="T81" s="264"/>
      <c r="U81" s="70">
        <f>ROUND(SUM(U13+U79),1)</f>
        <v>0</v>
      </c>
      <c r="V81" s="264"/>
      <c r="W81" s="70">
        <f>ROUND(SUM(W13+W79),1)</f>
        <v>0</v>
      </c>
      <c r="X81" s="264"/>
      <c r="Y81" s="70">
        <f>ROUND(SUM(Y13+Y79),1)</f>
        <v>0</v>
      </c>
      <c r="Z81" s="264"/>
      <c r="AA81" s="70">
        <f>ROUND(SUM(AA13+AA79),1)</f>
        <v>0</v>
      </c>
      <c r="AB81" s="264"/>
      <c r="AC81" s="525"/>
      <c r="AD81" s="70">
        <f>ROUND(SUM(AD13+AD79),1)</f>
        <v>-266.10000000000002</v>
      </c>
      <c r="AE81" s="1775"/>
      <c r="AF81" s="1776"/>
      <c r="AG81" s="70">
        <f>ROUND(SUM(AG13+AG79),1)</f>
        <v>-418.4</v>
      </c>
      <c r="AH81" s="1775"/>
      <c r="AI81" s="1777"/>
      <c r="AJ81" s="70">
        <f>ROUND(SUM(AJ13+AJ79),1)</f>
        <v>152.30000000000001</v>
      </c>
      <c r="AK81" s="3"/>
      <c r="AL81" s="975">
        <f>ROUND(SUM(AD81-AG81)/ABS(AG81),3)</f>
        <v>0.36399999999999999</v>
      </c>
      <c r="AM81" s="1632"/>
      <c r="AN81" s="1632"/>
    </row>
    <row r="82" spans="1:40" ht="16" thickTop="1">
      <c r="A82" s="291"/>
      <c r="B82" s="291"/>
      <c r="C82" s="291"/>
      <c r="D82" s="291"/>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68"/>
      <c r="AE82" s="268"/>
      <c r="AF82" s="268"/>
      <c r="AG82" s="268"/>
      <c r="AH82" s="268"/>
      <c r="AI82" s="40"/>
      <c r="AL82" s="1778"/>
    </row>
    <row r="83" spans="1:40">
      <c r="A83" s="291"/>
      <c r="B83" s="926"/>
      <c r="C83" s="291"/>
      <c r="D83" s="291"/>
      <c r="E83" s="291"/>
      <c r="F83" s="291"/>
      <c r="G83" s="291"/>
      <c r="H83" s="291"/>
      <c r="I83" s="291"/>
      <c r="J83" s="291"/>
      <c r="K83" s="291"/>
      <c r="L83" s="291"/>
      <c r="M83" s="291"/>
      <c r="N83" s="291"/>
      <c r="O83" s="291"/>
      <c r="P83" s="291"/>
      <c r="Q83" s="291"/>
      <c r="R83" s="291"/>
      <c r="S83" s="406" t="s">
        <v>103</v>
      </c>
      <c r="T83" s="291"/>
      <c r="U83" s="406" t="s">
        <v>103</v>
      </c>
      <c r="V83" s="291"/>
      <c r="W83" s="291"/>
      <c r="X83" s="291"/>
      <c r="Y83" s="291"/>
      <c r="Z83" s="291"/>
      <c r="AA83" s="291"/>
      <c r="AB83" s="291"/>
      <c r="AC83" s="291"/>
      <c r="AD83" s="291"/>
      <c r="AE83" s="291"/>
      <c r="AF83" s="291"/>
      <c r="AG83" s="291"/>
      <c r="AH83" s="291"/>
      <c r="AI83" s="291"/>
      <c r="AL83" s="96"/>
    </row>
    <row r="84" spans="1:40">
      <c r="B84" s="291"/>
      <c r="Y84" s="887" t="s">
        <v>103</v>
      </c>
      <c r="AJ84" s="23" t="s">
        <v>103</v>
      </c>
      <c r="AL84" s="96"/>
    </row>
    <row r="89" spans="1:40">
      <c r="AD89" s="12"/>
    </row>
  </sheetData>
  <mergeCells count="1">
    <mergeCell ref="AC9:AL9"/>
  </mergeCells>
  <printOptions horizontalCentered="1"/>
  <pageMargins left="0.25" right="0.25" top="0.5" bottom="0.25" header="0" footer="0.25"/>
  <pageSetup scale="42" firstPageNumber="33" fitToHeight="0" orientation="landscape" useFirstPageNumber="1" r:id="rId1"/>
  <headerFooter scaleWithDoc="0" alignWithMargins="0">
    <oddFooter>&amp;C&amp;8&amp;P</oddFooter>
  </headerFooter>
  <customProperties>
    <customPr name="SheetOptions" r:id="rId2"/>
  </customProperties>
  <ignoredErrors>
    <ignoredError sqref="AL29:AL33 AL61:AL64 AL56:AL57 AL35:AL37 AL21:AL27 AL38:AL40 AL52:AL53 AL42 AL44 AL50 AL72:AL73" unlockedFormula="1"/>
    <ignoredError sqref="AL51" formula="1"/>
    <ignoredError sqref="AL28"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5"/>
  <sheetViews>
    <sheetView showGridLines="0" zoomScale="70" zoomScaleNormal="70" workbookViewId="0"/>
  </sheetViews>
  <sheetFormatPr defaultColWidth="8.84375" defaultRowHeight="15.5"/>
  <cols>
    <col min="1" max="1" width="40.07421875" style="58" customWidth="1"/>
    <col min="2" max="2" width="1.84375" style="58" customWidth="1"/>
    <col min="3" max="3" width="11.84375" style="58" customWidth="1"/>
    <col min="4" max="4" width="1.84375" style="58" customWidth="1"/>
    <col min="5" max="5" width="11.84375" style="58" customWidth="1"/>
    <col min="6" max="6" width="1.84375" style="58" customWidth="1"/>
    <col min="7" max="7" width="11.84375" style="58" customWidth="1"/>
    <col min="8" max="8" width="1.84375" style="58" customWidth="1"/>
    <col min="9" max="9" width="11.84375" style="58" customWidth="1"/>
    <col min="10" max="10" width="1.53515625" style="58" customWidth="1"/>
    <col min="11" max="11" width="11.84375" style="58" customWidth="1"/>
    <col min="12" max="12" width="1.53515625" style="58" customWidth="1"/>
    <col min="13" max="13" width="12.84375" style="58" customWidth="1"/>
    <col min="14" max="14" width="1.84375" style="58" customWidth="1"/>
    <col min="15" max="15" width="11.84375" style="58" customWidth="1"/>
    <col min="16" max="16" width="1.84375" style="58" customWidth="1"/>
    <col min="17" max="17" width="11.84375" style="58" customWidth="1"/>
    <col min="18" max="18" width="1.84375" style="58" customWidth="1"/>
    <col min="19" max="19" width="11.84375" style="58" customWidth="1"/>
    <col min="20" max="20" width="1.84375" style="58" customWidth="1"/>
    <col min="21" max="21" width="11.84375" style="58" customWidth="1"/>
    <col min="22" max="22" width="1.84375" style="58" customWidth="1"/>
    <col min="23" max="23" width="11.84375" style="58" customWidth="1"/>
    <col min="24" max="24" width="1.84375" style="58" customWidth="1"/>
    <col min="25" max="25" width="11.84375" style="58" customWidth="1"/>
    <col min="26" max="27" width="1.07421875" style="58" customWidth="1"/>
    <col min="28" max="28" width="11.84375" style="58" customWidth="1"/>
    <col min="29" max="30" width="1.07421875" style="58" customWidth="1"/>
    <col min="31" max="31" width="11.84375" style="58" customWidth="1"/>
    <col min="32" max="32" width="1.07421875" style="107" customWidth="1"/>
    <col min="33" max="33" width="1.07421875" style="291" customWidth="1"/>
    <col min="34" max="34" width="11.84375" style="291" customWidth="1"/>
    <col min="35" max="35" width="1.84375" style="291" customWidth="1"/>
    <col min="36" max="36" width="11.84375" style="291" customWidth="1"/>
    <col min="37" max="38" width="9.07421875" style="58" bestFit="1" customWidth="1"/>
    <col min="39" max="16384" width="8.84375" style="58"/>
  </cols>
  <sheetData>
    <row r="1" spans="1:38">
      <c r="A1" s="265" t="s">
        <v>97</v>
      </c>
    </row>
    <row r="2" spans="1:38">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row>
    <row r="3" spans="1:38">
      <c r="A3" s="187" t="s">
        <v>98</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291"/>
      <c r="AJ3" s="317" t="s">
        <v>588</v>
      </c>
    </row>
    <row r="4" spans="1:38">
      <c r="A4" s="187" t="s">
        <v>589</v>
      </c>
      <c r="B4" s="62"/>
      <c r="C4" s="62"/>
      <c r="D4" s="62"/>
      <c r="E4" s="62"/>
      <c r="F4" s="62"/>
      <c r="G4" s="62"/>
      <c r="H4" s="62"/>
      <c r="I4" s="62" t="s">
        <v>103</v>
      </c>
      <c r="J4" s="62"/>
      <c r="K4" s="62"/>
      <c r="L4" s="62"/>
      <c r="M4" s="62"/>
      <c r="N4" s="62"/>
      <c r="O4" s="62"/>
      <c r="P4" s="62"/>
      <c r="Q4" s="62"/>
      <c r="R4" s="62"/>
      <c r="S4" s="62"/>
      <c r="T4" s="62"/>
      <c r="U4" s="62"/>
      <c r="V4" s="62"/>
      <c r="W4" s="62"/>
      <c r="X4" s="62"/>
      <c r="Y4" s="62" t="s">
        <v>103</v>
      </c>
      <c r="Z4" s="62"/>
      <c r="AA4" s="62"/>
      <c r="AB4" s="62"/>
      <c r="AC4" s="62"/>
      <c r="AD4" s="62"/>
      <c r="AE4" s="62"/>
      <c r="AF4" s="291"/>
    </row>
    <row r="5" spans="1:38">
      <c r="A5" s="188" t="s">
        <v>328</v>
      </c>
      <c r="B5" s="62"/>
      <c r="C5" s="62"/>
      <c r="D5" s="62"/>
      <c r="E5" s="62"/>
      <c r="F5" s="62"/>
      <c r="G5" s="62"/>
      <c r="H5" s="62"/>
      <c r="I5" s="62"/>
      <c r="J5" s="62"/>
      <c r="K5" s="62"/>
      <c r="L5" s="62"/>
      <c r="M5" s="62"/>
      <c r="N5" s="62"/>
      <c r="O5" s="62"/>
      <c r="P5" s="62"/>
      <c r="Q5" s="62"/>
      <c r="R5" s="62"/>
      <c r="S5" s="62"/>
      <c r="T5" s="62"/>
      <c r="U5" s="62"/>
      <c r="V5" s="62"/>
      <c r="W5" s="62"/>
      <c r="X5" s="62"/>
      <c r="Y5" s="62"/>
      <c r="Z5" s="62"/>
      <c r="AA5" s="62"/>
      <c r="AF5" s="1217"/>
      <c r="AK5" s="187"/>
    </row>
    <row r="6" spans="1:38">
      <c r="A6" s="188" t="str">
        <f>'Cashflow Governmental'!A6</f>
        <v>FISCAL YEAR 2026-2027</v>
      </c>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291"/>
    </row>
    <row r="7" spans="1:38">
      <c r="A7" s="187" t="s">
        <v>102</v>
      </c>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291"/>
    </row>
    <row r="8" spans="1:38">
      <c r="A8" s="187"/>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291"/>
    </row>
    <row r="9" spans="1:38">
      <c r="A9" s="62"/>
      <c r="B9" s="62"/>
      <c r="C9" s="113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291"/>
    </row>
    <row r="10" spans="1:38">
      <c r="A10" s="62"/>
      <c r="B10" s="62"/>
      <c r="C10" s="1132"/>
      <c r="D10" s="62"/>
      <c r="E10" s="62"/>
      <c r="F10" s="62"/>
      <c r="G10" s="62"/>
      <c r="H10" s="62"/>
      <c r="I10" s="62"/>
      <c r="J10" s="62"/>
      <c r="K10" s="62"/>
      <c r="L10" s="62"/>
      <c r="M10" s="62"/>
      <c r="N10" s="62"/>
      <c r="O10" s="62"/>
      <c r="P10" s="62"/>
      <c r="Q10" s="62"/>
      <c r="R10" s="62"/>
      <c r="S10" s="62"/>
      <c r="T10" s="62"/>
      <c r="U10" s="62"/>
      <c r="V10" s="62"/>
      <c r="W10" s="62"/>
      <c r="X10" s="62"/>
      <c r="Y10" s="62"/>
      <c r="Z10" s="62"/>
      <c r="AA10" s="2066" t="str">
        <f>'Cashflow Governmental'!$AB$12</f>
        <v>1 Month Ended April 30</v>
      </c>
      <c r="AB10" s="2066"/>
      <c r="AC10" s="2066"/>
      <c r="AD10" s="2066"/>
      <c r="AE10" s="2066"/>
      <c r="AF10" s="2066"/>
      <c r="AG10" s="2066"/>
      <c r="AH10" s="2066"/>
      <c r="AI10" s="2066"/>
      <c r="AJ10" s="2066"/>
    </row>
    <row r="11" spans="1:38">
      <c r="A11" s="62"/>
      <c r="B11" s="62"/>
      <c r="C11" s="559" t="str">
        <f>'Cashflow Governmental'!C13</f>
        <v>2026</v>
      </c>
      <c r="D11" s="187"/>
      <c r="E11" s="187"/>
      <c r="F11" s="187"/>
      <c r="G11" s="187"/>
      <c r="H11" s="187"/>
      <c r="I11" s="187"/>
      <c r="J11" s="187"/>
      <c r="K11" s="187"/>
      <c r="L11" s="187"/>
      <c r="M11" s="187"/>
      <c r="N11" s="187"/>
      <c r="O11" s="187"/>
      <c r="P11" s="187"/>
      <c r="Q11" s="187"/>
      <c r="R11" s="187"/>
      <c r="S11" s="187"/>
      <c r="T11" s="187"/>
      <c r="U11" s="559">
        <f>'Cashflow Governmental'!U13</f>
        <v>2027</v>
      </c>
      <c r="V11" s="187"/>
      <c r="W11" s="187"/>
      <c r="X11" s="187"/>
      <c r="Y11" s="187"/>
      <c r="Z11" s="187"/>
      <c r="AA11" s="187"/>
      <c r="AB11" s="187"/>
      <c r="AC11" s="187"/>
      <c r="AD11" s="187"/>
      <c r="AE11" s="187"/>
      <c r="AF11" s="1557"/>
      <c r="AG11" s="1558"/>
      <c r="AH11" s="320" t="s">
        <v>110</v>
      </c>
      <c r="AI11" s="320"/>
      <c r="AJ11" s="318" t="s">
        <v>111</v>
      </c>
    </row>
    <row r="12" spans="1:38">
      <c r="A12" s="62"/>
      <c r="B12" s="62"/>
      <c r="C12" s="317" t="s">
        <v>329</v>
      </c>
      <c r="D12" s="187"/>
      <c r="E12" s="317" t="s">
        <v>330</v>
      </c>
      <c r="F12" s="187"/>
      <c r="G12" s="317" t="s">
        <v>331</v>
      </c>
      <c r="H12" s="187"/>
      <c r="I12" s="317" t="s">
        <v>332</v>
      </c>
      <c r="J12" s="187"/>
      <c r="K12" s="317" t="s">
        <v>333</v>
      </c>
      <c r="L12" s="187"/>
      <c r="M12" s="317" t="s">
        <v>445</v>
      </c>
      <c r="N12" s="187"/>
      <c r="O12" s="317" t="s">
        <v>446</v>
      </c>
      <c r="P12" s="187"/>
      <c r="Q12" s="317" t="s">
        <v>336</v>
      </c>
      <c r="R12" s="187"/>
      <c r="S12" s="317" t="s">
        <v>337</v>
      </c>
      <c r="T12" s="187"/>
      <c r="U12" s="317" t="s">
        <v>338</v>
      </c>
      <c r="V12" s="187"/>
      <c r="W12" s="317" t="s">
        <v>339</v>
      </c>
      <c r="X12" s="187"/>
      <c r="Y12" s="317" t="s">
        <v>447</v>
      </c>
      <c r="Z12" s="187"/>
      <c r="AA12" s="187"/>
      <c r="AB12" s="559" t="str">
        <f>'Cashflow Governmental'!AB14</f>
        <v>2026</v>
      </c>
      <c r="AC12" s="187" t="s">
        <v>103</v>
      </c>
      <c r="AD12" s="187"/>
      <c r="AE12" s="559" t="str">
        <f>'Cashflow Governmental'!AE14</f>
        <v>2025</v>
      </c>
      <c r="AF12" s="291"/>
      <c r="AG12" s="1559"/>
      <c r="AH12" s="416" t="s">
        <v>112</v>
      </c>
      <c r="AI12" s="320"/>
      <c r="AJ12" s="416" t="s">
        <v>113</v>
      </c>
    </row>
    <row r="13" spans="1:38" ht="8.9" customHeight="1">
      <c r="A13" s="62"/>
      <c r="B13" s="62"/>
      <c r="C13" s="1012"/>
      <c r="D13" s="62"/>
      <c r="E13" s="1012"/>
      <c r="F13" s="62"/>
      <c r="G13" s="1012"/>
      <c r="H13" s="62"/>
      <c r="I13" s="1012"/>
      <c r="J13" s="62"/>
      <c r="K13" s="1012"/>
      <c r="L13" s="62"/>
      <c r="M13" s="1012"/>
      <c r="N13" s="62"/>
      <c r="O13" s="1012"/>
      <c r="P13" s="62"/>
      <c r="Q13" s="1012"/>
      <c r="R13" s="62"/>
      <c r="S13" s="1012"/>
      <c r="T13" s="62"/>
      <c r="U13" s="1012"/>
      <c r="V13" s="62"/>
      <c r="W13" s="1012"/>
      <c r="X13" s="62"/>
      <c r="Y13" s="1012"/>
      <c r="Z13" s="62"/>
      <c r="AA13" s="62"/>
      <c r="AB13" s="1012"/>
      <c r="AC13" s="62"/>
      <c r="AD13" s="62"/>
      <c r="AE13" s="1012"/>
      <c r="AF13" s="291"/>
      <c r="AG13" s="1559"/>
    </row>
    <row r="14" spans="1:38">
      <c r="A14" s="188" t="s">
        <v>341</v>
      </c>
      <c r="B14" s="62"/>
      <c r="C14" s="82">
        <v>1279.9000000000001</v>
      </c>
      <c r="D14" s="190"/>
      <c r="E14" s="190"/>
      <c r="F14" s="190"/>
      <c r="G14" s="190"/>
      <c r="H14" s="1560"/>
      <c r="I14" s="190"/>
      <c r="J14" s="190"/>
      <c r="K14" s="190"/>
      <c r="L14" s="1560"/>
      <c r="M14" s="190"/>
      <c r="N14" s="1560"/>
      <c r="O14" s="190"/>
      <c r="P14" s="1560"/>
      <c r="Q14" s="190"/>
      <c r="R14" s="190"/>
      <c r="S14" s="190"/>
      <c r="T14" s="190"/>
      <c r="U14" s="190"/>
      <c r="V14" s="190"/>
      <c r="W14" s="190"/>
      <c r="X14" s="190"/>
      <c r="Y14" s="190"/>
      <c r="Z14" s="190"/>
      <c r="AA14" s="858"/>
      <c r="AB14" s="190">
        <f>C14</f>
        <v>1279.9000000000001</v>
      </c>
      <c r="AC14" s="190"/>
      <c r="AD14" s="858"/>
      <c r="AE14" s="1949">
        <v>970.3</v>
      </c>
      <c r="AF14" s="288"/>
      <c r="AG14" s="1734"/>
      <c r="AH14" s="20">
        <f>ROUND(SUM(AB14-AE14),1)</f>
        <v>309.60000000000002</v>
      </c>
      <c r="AJ14" s="1761">
        <f>ROUND(IF(AH14=0,0,AH14/(AE14)),3)</f>
        <v>0.31900000000000001</v>
      </c>
      <c r="AK14" s="1531"/>
      <c r="AL14" s="1531"/>
    </row>
    <row r="15" spans="1:38">
      <c r="A15" s="62"/>
      <c r="B15" s="62"/>
      <c r="C15" s="62" t="s">
        <v>103</v>
      </c>
      <c r="D15" s="62"/>
      <c r="E15" s="192"/>
      <c r="F15" s="192"/>
      <c r="G15" s="192"/>
      <c r="H15" s="192"/>
      <c r="I15" s="192"/>
      <c r="J15" s="192"/>
      <c r="K15" s="192"/>
      <c r="L15" s="192"/>
      <c r="M15" s="192"/>
      <c r="N15" s="192"/>
      <c r="O15" s="192"/>
      <c r="P15" s="192"/>
      <c r="Q15" s="192"/>
      <c r="R15" s="192"/>
      <c r="S15" s="192"/>
      <c r="T15" s="192"/>
      <c r="U15" s="192"/>
      <c r="V15" s="192"/>
      <c r="W15" s="192"/>
      <c r="X15" s="192"/>
      <c r="Y15" s="192"/>
      <c r="Z15" s="62"/>
      <c r="AA15" s="859"/>
      <c r="AB15" s="62" t="s">
        <v>103</v>
      </c>
      <c r="AC15" s="62"/>
      <c r="AD15" s="859"/>
      <c r="AE15" s="62" t="s">
        <v>103</v>
      </c>
      <c r="AF15" s="26"/>
      <c r="AG15" s="1734"/>
      <c r="AJ15" s="1762"/>
      <c r="AK15" s="1531"/>
      <c r="AL15" s="1531"/>
    </row>
    <row r="16" spans="1:38">
      <c r="A16" s="187" t="s">
        <v>114</v>
      </c>
      <c r="B16" s="62"/>
      <c r="C16" s="62"/>
      <c r="D16" s="62"/>
      <c r="E16" s="192"/>
      <c r="F16" s="192"/>
      <c r="G16" s="192"/>
      <c r="H16" s="192"/>
      <c r="I16" s="192"/>
      <c r="J16" s="192"/>
      <c r="K16" s="192"/>
      <c r="L16" s="192"/>
      <c r="M16" s="192"/>
      <c r="N16" s="192"/>
      <c r="O16" s="192"/>
      <c r="P16" s="192"/>
      <c r="Q16" s="192"/>
      <c r="R16" s="192"/>
      <c r="S16" s="192"/>
      <c r="T16" s="192"/>
      <c r="U16" s="192"/>
      <c r="V16" s="192"/>
      <c r="W16" s="192"/>
      <c r="X16" s="192"/>
      <c r="Y16" s="192"/>
      <c r="Z16" s="62"/>
      <c r="AA16" s="859"/>
      <c r="AB16" s="62"/>
      <c r="AC16" s="62"/>
      <c r="AD16" s="859"/>
      <c r="AE16" s="62"/>
      <c r="AF16" s="264"/>
      <c r="AG16" s="1734"/>
      <c r="AJ16" s="1762"/>
      <c r="AK16" s="1531"/>
      <c r="AL16" s="1531"/>
    </row>
    <row r="17" spans="1:38">
      <c r="A17" s="62" t="s">
        <v>590</v>
      </c>
      <c r="B17" s="62"/>
      <c r="C17" s="194">
        <f>AB17</f>
        <v>292.2</v>
      </c>
      <c r="D17" s="194"/>
      <c r="E17" s="194"/>
      <c r="F17" s="194"/>
      <c r="G17" s="194"/>
      <c r="H17" s="105"/>
      <c r="I17" s="194"/>
      <c r="J17" s="105"/>
      <c r="K17" s="194"/>
      <c r="L17" s="105"/>
      <c r="M17" s="194"/>
      <c r="N17" s="105"/>
      <c r="O17" s="194"/>
      <c r="P17" s="105"/>
      <c r="Q17" s="194"/>
      <c r="R17" s="194"/>
      <c r="S17" s="194"/>
      <c r="T17" s="194"/>
      <c r="U17" s="194"/>
      <c r="V17" s="194"/>
      <c r="W17" s="194"/>
      <c r="X17" s="194"/>
      <c r="Y17" s="194"/>
      <c r="Z17" s="194"/>
      <c r="AA17" s="862"/>
      <c r="AB17" s="532">
        <v>292.2</v>
      </c>
      <c r="AC17" s="264"/>
      <c r="AD17" s="525" t="s">
        <v>103</v>
      </c>
      <c r="AE17" s="532">
        <v>151.9</v>
      </c>
      <c r="AF17" s="264"/>
      <c r="AG17" s="1734"/>
      <c r="AH17" s="424">
        <f>ROUND(AB17-AE17,1)</f>
        <v>140.30000000000001</v>
      </c>
      <c r="AI17" s="268"/>
      <c r="AJ17" s="543">
        <f>ROUND(IF(AE17=0,0,AH17/ABS(AE17)),3)</f>
        <v>0.92400000000000004</v>
      </c>
      <c r="AK17" s="1531"/>
      <c r="AL17" s="1531"/>
    </row>
    <row r="18" spans="1:38">
      <c r="A18" s="188" t="s">
        <v>1470</v>
      </c>
      <c r="B18" s="62"/>
      <c r="C18" s="194">
        <f t="shared" ref="C18:C19" si="0">AB18</f>
        <v>2.2000000000000002</v>
      </c>
      <c r="D18" s="194"/>
      <c r="E18" s="194"/>
      <c r="F18" s="105"/>
      <c r="G18" s="194"/>
      <c r="H18" s="105"/>
      <c r="I18" s="194"/>
      <c r="J18" s="105"/>
      <c r="K18" s="194"/>
      <c r="L18" s="105"/>
      <c r="M18" s="194"/>
      <c r="N18" s="105"/>
      <c r="O18" s="194"/>
      <c r="P18" s="105"/>
      <c r="Q18" s="194"/>
      <c r="R18" s="105"/>
      <c r="S18" s="194"/>
      <c r="T18" s="105"/>
      <c r="U18" s="194"/>
      <c r="V18" s="105"/>
      <c r="W18" s="194"/>
      <c r="X18" s="105"/>
      <c r="Y18" s="194"/>
      <c r="Z18" s="194"/>
      <c r="AA18" s="862"/>
      <c r="AB18" s="532">
        <v>2.2000000000000002</v>
      </c>
      <c r="AC18" s="264"/>
      <c r="AD18" s="525" t="s">
        <v>103</v>
      </c>
      <c r="AE18" s="532">
        <v>1</v>
      </c>
      <c r="AF18" s="264"/>
      <c r="AG18" s="1734"/>
      <c r="AH18" s="424">
        <f>ROUND(AB18-AE18,1)</f>
        <v>1.2</v>
      </c>
      <c r="AI18" s="268"/>
      <c r="AJ18" s="543">
        <f>ROUND(IF(AE18=0,0,AH18/ABS(AE18)),3)</f>
        <v>1.2</v>
      </c>
      <c r="AK18" s="1531"/>
      <c r="AL18" s="1531"/>
    </row>
    <row r="19" spans="1:38">
      <c r="A19" s="1018" t="s">
        <v>591</v>
      </c>
      <c r="B19" s="62"/>
      <c r="C19" s="194">
        <f t="shared" si="0"/>
        <v>314.8</v>
      </c>
      <c r="D19" s="194"/>
      <c r="E19" s="194"/>
      <c r="F19" s="105"/>
      <c r="G19" s="194"/>
      <c r="H19" s="105"/>
      <c r="I19" s="194"/>
      <c r="J19" s="105"/>
      <c r="K19" s="194"/>
      <c r="L19" s="105"/>
      <c r="M19" s="194"/>
      <c r="N19" s="105"/>
      <c r="O19" s="194"/>
      <c r="P19" s="105"/>
      <c r="Q19" s="194"/>
      <c r="R19" s="105"/>
      <c r="S19" s="194"/>
      <c r="T19" s="105"/>
      <c r="U19" s="194"/>
      <c r="V19" s="105"/>
      <c r="W19" s="194"/>
      <c r="X19" s="105"/>
      <c r="Y19" s="194"/>
      <c r="Z19" s="194"/>
      <c r="AA19" s="862"/>
      <c r="AB19" s="532">
        <v>314.8</v>
      </c>
      <c r="AC19" s="264"/>
      <c r="AD19" s="525" t="s">
        <v>103</v>
      </c>
      <c r="AE19" s="532">
        <v>238.9</v>
      </c>
      <c r="AF19" s="275"/>
      <c r="AG19" s="403"/>
      <c r="AH19" s="1077">
        <f>ROUND(AB19-AE19,1)</f>
        <v>75.900000000000006</v>
      </c>
      <c r="AI19" s="268"/>
      <c r="AJ19" s="1026">
        <f>ROUND(IF(AE19=0,0,AH19/ABS(AE19)),3)</f>
        <v>0.318</v>
      </c>
      <c r="AK19" s="1531"/>
      <c r="AL19" s="1531"/>
    </row>
    <row r="20" spans="1:38">
      <c r="A20" s="62"/>
      <c r="B20" s="62"/>
      <c r="C20" s="1022"/>
      <c r="D20" s="194"/>
      <c r="E20" s="1562"/>
      <c r="F20" s="105"/>
      <c r="G20" s="1562"/>
      <c r="H20" s="105"/>
      <c r="I20" s="1562"/>
      <c r="J20" s="105"/>
      <c r="K20" s="1562"/>
      <c r="L20" s="105"/>
      <c r="M20" s="1562"/>
      <c r="N20" s="105"/>
      <c r="O20" s="1562"/>
      <c r="P20" s="105"/>
      <c r="Q20" s="1562"/>
      <c r="R20" s="105"/>
      <c r="S20" s="1562"/>
      <c r="T20" s="105"/>
      <c r="U20" s="1562"/>
      <c r="V20" s="105"/>
      <c r="W20" s="1563"/>
      <c r="X20" s="105"/>
      <c r="Y20" s="1562"/>
      <c r="Z20" s="194"/>
      <c r="AA20" s="862"/>
      <c r="AB20" s="1022"/>
      <c r="AC20" s="194"/>
      <c r="AD20" s="862"/>
      <c r="AE20" s="1022"/>
      <c r="AF20" s="289"/>
      <c r="AG20" s="403"/>
      <c r="AH20" s="264"/>
      <c r="AJ20" s="1762"/>
      <c r="AK20" s="1531"/>
      <c r="AL20" s="1531"/>
    </row>
    <row r="21" spans="1:38">
      <c r="A21" s="187" t="s">
        <v>427</v>
      </c>
      <c r="B21" s="62"/>
      <c r="C21" s="204">
        <f>ROUND(SUM(C17:C20),1)</f>
        <v>609.20000000000005</v>
      </c>
      <c r="D21" s="197"/>
      <c r="E21" s="204">
        <f>ROUND(SUM(E17:E20),1)</f>
        <v>0</v>
      </c>
      <c r="F21" s="204"/>
      <c r="G21" s="204">
        <f>ROUND(SUM(G17:G20),1)</f>
        <v>0</v>
      </c>
      <c r="H21" s="204"/>
      <c r="I21" s="204">
        <f>ROUND(SUM(I17:I20),1)</f>
        <v>0</v>
      </c>
      <c r="J21" s="204"/>
      <c r="K21" s="204">
        <f>ROUND(SUM(K17:K20),1)</f>
        <v>0</v>
      </c>
      <c r="L21" s="204"/>
      <c r="M21" s="204">
        <f>ROUND(SUM(M17:M20),1)</f>
        <v>0</v>
      </c>
      <c r="N21" s="204"/>
      <c r="O21" s="204">
        <f>ROUND(SUM(O17:O20),1)</f>
        <v>0</v>
      </c>
      <c r="P21" s="204"/>
      <c r="Q21" s="204">
        <f>ROUND(SUM(Q17:Q20),1)</f>
        <v>0</v>
      </c>
      <c r="R21" s="204"/>
      <c r="S21" s="204">
        <f>ROUND(SUM(S17:S20),1)</f>
        <v>0</v>
      </c>
      <c r="T21" s="204"/>
      <c r="U21" s="204">
        <f>ROUND(SUM(U17:U20),1)</f>
        <v>0</v>
      </c>
      <c r="V21" s="204"/>
      <c r="W21" s="204">
        <f>ROUND(SUM(W17:W20),1)</f>
        <v>0</v>
      </c>
      <c r="X21" s="204"/>
      <c r="Y21" s="204">
        <f>ROUND(SUM(Y17:Y20),1)</f>
        <v>0</v>
      </c>
      <c r="Z21" s="197"/>
      <c r="AA21" s="865"/>
      <c r="AB21" s="204">
        <f>ROUND(SUM(AB17:AB20),1)</f>
        <v>609.20000000000005</v>
      </c>
      <c r="AC21" s="1763"/>
      <c r="AD21" s="197"/>
      <c r="AE21" s="204">
        <f>ROUND(SUM(AE17:AE20),1)</f>
        <v>391.8</v>
      </c>
      <c r="AF21" s="275"/>
      <c r="AG21" s="403"/>
      <c r="AH21" s="357">
        <f>ROUND(SUM(AH17:AH19),1)</f>
        <v>217.4</v>
      </c>
      <c r="AI21" s="40"/>
      <c r="AJ21" s="1739">
        <f>ROUND(IF(AH21=0,0,AH21/ABS(AE21)),3)</f>
        <v>0.55500000000000005</v>
      </c>
      <c r="AK21" s="1531"/>
      <c r="AL21" s="1531"/>
    </row>
    <row r="22" spans="1:38">
      <c r="A22" s="62"/>
      <c r="B22" s="62"/>
      <c r="C22" s="1022"/>
      <c r="D22" s="194"/>
      <c r="E22" s="1562"/>
      <c r="F22" s="105"/>
      <c r="G22" s="1562"/>
      <c r="H22" s="105"/>
      <c r="I22" s="1562"/>
      <c r="J22" s="105"/>
      <c r="K22" s="1562"/>
      <c r="L22" s="105"/>
      <c r="M22" s="1562"/>
      <c r="N22" s="105"/>
      <c r="O22" s="1562"/>
      <c r="P22" s="105"/>
      <c r="Q22" s="1562"/>
      <c r="R22" s="105"/>
      <c r="S22" s="1562"/>
      <c r="T22" s="105"/>
      <c r="U22" s="1562"/>
      <c r="V22" s="105"/>
      <c r="W22" s="1562"/>
      <c r="X22" s="105"/>
      <c r="Y22" s="1562"/>
      <c r="Z22" s="194"/>
      <c r="AA22" s="862"/>
      <c r="AB22" s="1022"/>
      <c r="AC22" s="194"/>
      <c r="AD22" s="862"/>
      <c r="AE22" s="1022"/>
      <c r="AF22" s="289"/>
      <c r="AG22" s="403"/>
      <c r="AH22" s="264"/>
      <c r="AJ22" s="1762"/>
      <c r="AK22" s="1531"/>
      <c r="AL22" s="1531"/>
    </row>
    <row r="23" spans="1:38">
      <c r="A23" s="62"/>
      <c r="B23" s="62"/>
      <c r="C23" s="194"/>
      <c r="D23" s="194"/>
      <c r="E23" s="105"/>
      <c r="F23" s="105"/>
      <c r="G23" s="105"/>
      <c r="H23" s="105"/>
      <c r="I23" s="105"/>
      <c r="J23" s="105"/>
      <c r="K23" s="105"/>
      <c r="L23" s="105"/>
      <c r="M23" s="105"/>
      <c r="N23" s="105"/>
      <c r="O23" s="105"/>
      <c r="P23" s="105"/>
      <c r="Q23" s="105"/>
      <c r="R23" s="105"/>
      <c r="S23" s="105"/>
      <c r="T23" s="105"/>
      <c r="U23" s="105"/>
      <c r="V23" s="105"/>
      <c r="W23" s="105"/>
      <c r="X23" s="105"/>
      <c r="Y23" s="105"/>
      <c r="Z23" s="194"/>
      <c r="AA23" s="862"/>
      <c r="AB23" s="194"/>
      <c r="AC23" s="194"/>
      <c r="AD23" s="862"/>
      <c r="AE23" s="194"/>
      <c r="AF23" s="264"/>
      <c r="AG23" s="1734"/>
      <c r="AH23" s="264"/>
      <c r="AJ23" s="1566"/>
      <c r="AK23" s="1531"/>
      <c r="AL23" s="1531"/>
    </row>
    <row r="24" spans="1:38">
      <c r="A24" s="187" t="s">
        <v>122</v>
      </c>
      <c r="B24" s="62"/>
      <c r="C24" s="194"/>
      <c r="D24" s="194"/>
      <c r="E24" s="105"/>
      <c r="F24" s="105"/>
      <c r="G24" s="105"/>
      <c r="H24" s="105"/>
      <c r="I24" s="105"/>
      <c r="J24" s="105"/>
      <c r="K24" s="105"/>
      <c r="L24" s="105"/>
      <c r="M24" s="105"/>
      <c r="N24" s="105"/>
      <c r="O24" s="105"/>
      <c r="P24" s="105"/>
      <c r="Q24" s="105"/>
      <c r="R24" s="105"/>
      <c r="S24" s="105"/>
      <c r="T24" s="105"/>
      <c r="U24" s="105"/>
      <c r="V24" s="105"/>
      <c r="W24" s="105"/>
      <c r="X24" s="105"/>
      <c r="Y24" s="105"/>
      <c r="Z24" s="194"/>
      <c r="AA24" s="862"/>
      <c r="AB24" s="194"/>
      <c r="AC24" s="194"/>
      <c r="AD24" s="862"/>
      <c r="AE24" s="194"/>
      <c r="AF24" s="264"/>
      <c r="AG24" s="1734"/>
      <c r="AH24" s="264"/>
      <c r="AI24" s="1564"/>
      <c r="AJ24" s="1566"/>
      <c r="AK24" s="1531"/>
      <c r="AL24" s="1531"/>
    </row>
    <row r="25" spans="1:38">
      <c r="A25" s="62" t="s">
        <v>453</v>
      </c>
      <c r="B25" s="62"/>
      <c r="C25" s="194"/>
      <c r="D25" s="194"/>
      <c r="E25" s="194"/>
      <c r="F25" s="105"/>
      <c r="G25" s="105"/>
      <c r="H25" s="105"/>
      <c r="I25" s="105"/>
      <c r="J25" s="105"/>
      <c r="K25" s="105"/>
      <c r="L25" s="105"/>
      <c r="M25" s="105"/>
      <c r="N25" s="105"/>
      <c r="O25" s="105"/>
      <c r="P25" s="105"/>
      <c r="Q25" s="105"/>
      <c r="R25" s="105"/>
      <c r="S25" s="1565"/>
      <c r="T25" s="105"/>
      <c r="U25" s="105"/>
      <c r="V25" s="105"/>
      <c r="W25" s="105"/>
      <c r="X25" s="105"/>
      <c r="Y25" s="105"/>
      <c r="Z25" s="194"/>
      <c r="AA25" s="862"/>
      <c r="AB25" s="194"/>
      <c r="AC25" s="194"/>
      <c r="AD25" s="862"/>
      <c r="AE25" s="194"/>
      <c r="AF25" s="26"/>
      <c r="AG25" s="403"/>
      <c r="AH25" s="264"/>
      <c r="AJ25" s="1566"/>
      <c r="AK25" s="1531"/>
      <c r="AL25" s="1531"/>
    </row>
    <row r="26" spans="1:38">
      <c r="A26" s="62" t="s">
        <v>592</v>
      </c>
      <c r="B26" s="62"/>
      <c r="C26" s="194">
        <f>AB26</f>
        <v>240.1</v>
      </c>
      <c r="D26" s="194"/>
      <c r="E26" s="194"/>
      <c r="F26" s="105"/>
      <c r="G26" s="194"/>
      <c r="H26" s="105"/>
      <c r="I26" s="194"/>
      <c r="J26" s="105"/>
      <c r="K26" s="194"/>
      <c r="L26" s="105"/>
      <c r="M26" s="194"/>
      <c r="N26" s="105"/>
      <c r="O26" s="194"/>
      <c r="P26" s="105"/>
      <c r="Q26" s="194"/>
      <c r="R26" s="105"/>
      <c r="S26" s="194"/>
      <c r="T26" s="105"/>
      <c r="U26" s="194"/>
      <c r="V26" s="105"/>
      <c r="W26" s="194"/>
      <c r="X26" s="105"/>
      <c r="Y26" s="194"/>
      <c r="Z26" s="194"/>
      <c r="AA26" s="862"/>
      <c r="AB26" s="532">
        <v>240.1</v>
      </c>
      <c r="AC26" s="264"/>
      <c r="AD26" s="525" t="s">
        <v>103</v>
      </c>
      <c r="AE26" s="532">
        <v>144.80000000000001</v>
      </c>
      <c r="AF26" s="264"/>
      <c r="AG26" s="1743"/>
      <c r="AH26" s="264">
        <f>ROUND(SUM(AB26-AE26),1)</f>
        <v>95.3</v>
      </c>
      <c r="AJ26" s="1590">
        <f>ROUND(IF(AH26=0,0,AH26/ABS(AE26)),3)</f>
        <v>0.65800000000000003</v>
      </c>
      <c r="AK26" s="1531"/>
      <c r="AL26" s="1531"/>
    </row>
    <row r="27" spans="1:38">
      <c r="A27" s="62" t="s">
        <v>535</v>
      </c>
      <c r="B27" s="62"/>
      <c r="C27" s="194">
        <f t="shared" ref="C27:C29" si="1">AB27</f>
        <v>39.6</v>
      </c>
      <c r="D27" s="194"/>
      <c r="E27" s="194"/>
      <c r="F27" s="105"/>
      <c r="G27" s="194"/>
      <c r="H27" s="105"/>
      <c r="I27" s="194"/>
      <c r="J27" s="105"/>
      <c r="K27" s="194"/>
      <c r="L27" s="105"/>
      <c r="M27" s="194"/>
      <c r="N27" s="105"/>
      <c r="O27" s="194"/>
      <c r="P27" s="105"/>
      <c r="Q27" s="194"/>
      <c r="R27" s="105"/>
      <c r="S27" s="194"/>
      <c r="T27" s="105"/>
      <c r="U27" s="194"/>
      <c r="V27" s="105"/>
      <c r="W27" s="194"/>
      <c r="X27" s="105"/>
      <c r="Y27" s="194"/>
      <c r="Z27" s="194"/>
      <c r="AA27" s="862"/>
      <c r="AB27" s="532">
        <v>39.6</v>
      </c>
      <c r="AC27" s="264"/>
      <c r="AD27" s="525" t="s">
        <v>103</v>
      </c>
      <c r="AE27" s="532">
        <v>41.2</v>
      </c>
      <c r="AF27" s="264"/>
      <c r="AG27" s="1743"/>
      <c r="AH27" s="264">
        <f>ROUND(SUM(AB27-AE27),1)</f>
        <v>-1.6</v>
      </c>
      <c r="AJ27" s="1590">
        <f t="shared" ref="AJ27:AJ28" si="2">ROUND(IF(AH27=0,0,AH27/ABS(AE27)),3)</f>
        <v>-3.9E-2</v>
      </c>
      <c r="AK27" s="1531"/>
      <c r="AL27" s="1531"/>
    </row>
    <row r="28" spans="1:38">
      <c r="A28" s="62" t="s">
        <v>456</v>
      </c>
      <c r="B28" s="62"/>
      <c r="C28" s="194">
        <f t="shared" si="1"/>
        <v>71.699999999999989</v>
      </c>
      <c r="D28" s="194"/>
      <c r="E28" s="194"/>
      <c r="F28" s="105"/>
      <c r="G28" s="194"/>
      <c r="H28" s="105"/>
      <c r="I28" s="194"/>
      <c r="J28" s="105"/>
      <c r="K28" s="194"/>
      <c r="L28" s="105"/>
      <c r="M28" s="194"/>
      <c r="N28" s="105"/>
      <c r="O28" s="194"/>
      <c r="P28" s="105"/>
      <c r="Q28" s="194"/>
      <c r="R28" s="105"/>
      <c r="S28" s="194"/>
      <c r="T28" s="105"/>
      <c r="U28" s="194"/>
      <c r="V28" s="105"/>
      <c r="W28" s="194"/>
      <c r="X28" s="105"/>
      <c r="Y28" s="194"/>
      <c r="Z28" s="194"/>
      <c r="AA28" s="862"/>
      <c r="AB28" s="532">
        <v>71.699999999999989</v>
      </c>
      <c r="AC28" s="264"/>
      <c r="AD28" s="525" t="s">
        <v>103</v>
      </c>
      <c r="AE28" s="532">
        <v>71.3</v>
      </c>
      <c r="AF28" s="275"/>
      <c r="AG28" s="1748"/>
      <c r="AH28" s="264">
        <f>ROUND(SUM(AB28-AE28),1)</f>
        <v>0.4</v>
      </c>
      <c r="AJ28" s="1590">
        <f t="shared" si="2"/>
        <v>6.0000000000000001E-3</v>
      </c>
      <c r="AK28" s="1531"/>
      <c r="AL28" s="1531"/>
    </row>
    <row r="29" spans="1:38">
      <c r="A29" s="1018" t="s">
        <v>593</v>
      </c>
      <c r="B29" s="62"/>
      <c r="C29" s="194">
        <f t="shared" si="1"/>
        <v>316.10000000000002</v>
      </c>
      <c r="D29" s="194"/>
      <c r="E29" s="194"/>
      <c r="F29" s="105"/>
      <c r="G29" s="194"/>
      <c r="H29" s="105"/>
      <c r="I29" s="194"/>
      <c r="J29" s="105"/>
      <c r="K29" s="194"/>
      <c r="L29" s="105"/>
      <c r="M29" s="194"/>
      <c r="N29" s="105"/>
      <c r="O29" s="194"/>
      <c r="P29" s="105"/>
      <c r="Q29" s="194"/>
      <c r="R29" s="105"/>
      <c r="S29" s="194"/>
      <c r="T29" s="105"/>
      <c r="U29" s="194"/>
      <c r="V29" s="105"/>
      <c r="W29" s="194"/>
      <c r="X29" s="105"/>
      <c r="Y29" s="194"/>
      <c r="Z29" s="194"/>
      <c r="AA29" s="862"/>
      <c r="AB29" s="532">
        <v>316.10000000000002</v>
      </c>
      <c r="AC29" s="264"/>
      <c r="AD29" s="525" t="s">
        <v>103</v>
      </c>
      <c r="AE29" s="532">
        <v>240</v>
      </c>
      <c r="AF29" s="275"/>
      <c r="AG29" s="1743"/>
      <c r="AH29" s="383">
        <f>ROUND(SUM(AB29-AE29),1)</f>
        <v>76.099999999999994</v>
      </c>
      <c r="AJ29" s="1819">
        <f>ROUND(IF(AH29=0,0,AH29/ABS(AE29)),3)</f>
        <v>0.317</v>
      </c>
      <c r="AK29" s="1531"/>
      <c r="AL29" s="1531"/>
    </row>
    <row r="30" spans="1:38">
      <c r="A30" s="62"/>
      <c r="B30" s="62"/>
      <c r="C30" s="1022"/>
      <c r="D30" s="194"/>
      <c r="E30" s="1562"/>
      <c r="F30" s="105"/>
      <c r="G30" s="1562"/>
      <c r="H30" s="105"/>
      <c r="I30" s="1562"/>
      <c r="J30" s="105"/>
      <c r="K30" s="1562"/>
      <c r="L30" s="105"/>
      <c r="M30" s="1562"/>
      <c r="N30" s="105"/>
      <c r="O30" s="1562"/>
      <c r="P30" s="105"/>
      <c r="Q30" s="1562"/>
      <c r="R30" s="105"/>
      <c r="S30" s="1562"/>
      <c r="T30" s="105"/>
      <c r="U30" s="1562"/>
      <c r="V30" s="105"/>
      <c r="W30" s="1563"/>
      <c r="X30" s="105"/>
      <c r="Y30" s="1562"/>
      <c r="Z30" s="194"/>
      <c r="AA30" s="862"/>
      <c r="AB30" s="1022"/>
      <c r="AC30" s="194"/>
      <c r="AD30" s="862"/>
      <c r="AE30" s="1022"/>
      <c r="AF30" s="16"/>
      <c r="AG30" s="1748"/>
      <c r="AH30" s="264"/>
      <c r="AI30" s="268"/>
      <c r="AJ30" s="1566"/>
      <c r="AK30" s="1531"/>
      <c r="AL30" s="1531"/>
    </row>
    <row r="31" spans="1:38">
      <c r="A31" s="187" t="s">
        <v>457</v>
      </c>
      <c r="B31" s="62"/>
      <c r="C31" s="204">
        <f>ROUND(SUM(C26:C30),1)</f>
        <v>667.5</v>
      </c>
      <c r="D31" s="197"/>
      <c r="E31" s="204">
        <f>ROUND(SUM(E26:E30),1)</f>
        <v>0</v>
      </c>
      <c r="F31" s="204"/>
      <c r="G31" s="204">
        <f>ROUND(SUM(G26:G30),1)</f>
        <v>0</v>
      </c>
      <c r="H31" s="204"/>
      <c r="I31" s="204">
        <f>ROUND(SUM(I26:I30),1)</f>
        <v>0</v>
      </c>
      <c r="J31" s="204"/>
      <c r="K31" s="755">
        <f>ROUND(SUM(K26:K30),1)</f>
        <v>0</v>
      </c>
      <c r="L31" s="204"/>
      <c r="M31" s="755">
        <f>ROUND(SUM(M26:M30),1)</f>
        <v>0</v>
      </c>
      <c r="N31" s="204"/>
      <c r="O31" s="204">
        <f>ROUND(SUM(O26:O30),1)</f>
        <v>0</v>
      </c>
      <c r="P31" s="204"/>
      <c r="Q31" s="204">
        <f>ROUND(SUM(Q26:Q30),1)</f>
        <v>0</v>
      </c>
      <c r="R31" s="204"/>
      <c r="S31" s="204">
        <f>ROUND(SUM(S26:S30),1)</f>
        <v>0</v>
      </c>
      <c r="T31" s="204"/>
      <c r="U31" s="204">
        <f>ROUND(SUM(U26:U30),1)</f>
        <v>0</v>
      </c>
      <c r="V31" s="204"/>
      <c r="W31" s="204">
        <f>ROUND(SUM(W26:W30),1)</f>
        <v>0</v>
      </c>
      <c r="X31" s="204"/>
      <c r="Y31" s="204">
        <f>ROUND(SUM(Y26:Y30),1)</f>
        <v>0</v>
      </c>
      <c r="Z31" s="197"/>
      <c r="AA31" s="865"/>
      <c r="AB31" s="204">
        <f>ROUND(SUM(AB26:AB30),1)</f>
        <v>667.5</v>
      </c>
      <c r="AC31" s="1763"/>
      <c r="AD31" s="197"/>
      <c r="AE31" s="204">
        <f>ROUND(SUM(AE26:AE30),1)</f>
        <v>497.3</v>
      </c>
      <c r="AF31" s="264"/>
      <c r="AG31" s="1734"/>
      <c r="AH31" s="357">
        <f>ROUND(SUM(AH26:AH29),1)</f>
        <v>170.2</v>
      </c>
      <c r="AI31" s="40"/>
      <c r="AJ31" s="612">
        <f>ROUND(IF(AH31=0,0,AH31/ABS(AE31)),3)</f>
        <v>0.34200000000000003</v>
      </c>
      <c r="AK31" s="1531"/>
      <c r="AL31" s="1531"/>
    </row>
    <row r="32" spans="1:38">
      <c r="A32" s="62"/>
      <c r="B32" s="62"/>
      <c r="C32" s="1022"/>
      <c r="D32" s="194"/>
      <c r="E32" s="1562"/>
      <c r="F32" s="105"/>
      <c r="G32" s="1562"/>
      <c r="H32" s="105"/>
      <c r="I32" s="1562"/>
      <c r="J32" s="105"/>
      <c r="K32" s="105"/>
      <c r="L32" s="105"/>
      <c r="M32" s="105"/>
      <c r="N32" s="105"/>
      <c r="O32" s="1562"/>
      <c r="P32" s="105"/>
      <c r="Q32" s="1562"/>
      <c r="R32" s="105"/>
      <c r="S32" s="1562"/>
      <c r="T32" s="105"/>
      <c r="U32" s="1562"/>
      <c r="V32" s="105"/>
      <c r="W32" s="1562"/>
      <c r="X32" s="105"/>
      <c r="Y32" s="1562"/>
      <c r="Z32" s="194"/>
      <c r="AA32" s="862"/>
      <c r="AB32" s="1022"/>
      <c r="AC32" s="1231"/>
      <c r="AD32" s="862"/>
      <c r="AE32" s="1022"/>
      <c r="AF32" s="264"/>
      <c r="AG32" s="1734"/>
      <c r="AH32" s="264"/>
      <c r="AJ32" s="1762"/>
      <c r="AK32" s="1531"/>
      <c r="AL32" s="1531"/>
    </row>
    <row r="33" spans="1:38">
      <c r="A33" s="62"/>
      <c r="B33" s="62"/>
      <c r="C33" s="194"/>
      <c r="D33" s="194"/>
      <c r="E33" s="105"/>
      <c r="F33" s="105"/>
      <c r="G33" s="105"/>
      <c r="H33" s="105"/>
      <c r="I33" s="105"/>
      <c r="J33" s="105"/>
      <c r="K33" s="105"/>
      <c r="L33" s="105"/>
      <c r="M33" s="105"/>
      <c r="N33" s="105"/>
      <c r="O33" s="105"/>
      <c r="P33" s="105"/>
      <c r="Q33" s="105"/>
      <c r="R33" s="105"/>
      <c r="S33" s="105"/>
      <c r="T33" s="105"/>
      <c r="U33" s="105"/>
      <c r="V33" s="105"/>
      <c r="W33" s="105"/>
      <c r="X33" s="105"/>
      <c r="Y33" s="105"/>
      <c r="Z33" s="194"/>
      <c r="AA33" s="862"/>
      <c r="AB33" s="194"/>
      <c r="AC33" s="1231"/>
      <c r="AD33" s="862"/>
      <c r="AE33" s="194"/>
      <c r="AF33" s="26"/>
      <c r="AG33" s="92"/>
      <c r="AH33" s="264"/>
      <c r="AI33" s="1564"/>
      <c r="AJ33" s="1566"/>
      <c r="AK33" s="1531"/>
      <c r="AL33" s="1531"/>
    </row>
    <row r="34" spans="1:38">
      <c r="A34" s="187" t="s">
        <v>458</v>
      </c>
      <c r="B34" s="62"/>
      <c r="C34" s="194"/>
      <c r="D34" s="194"/>
      <c r="E34" s="105"/>
      <c r="F34" s="105"/>
      <c r="G34" s="105"/>
      <c r="H34" s="105"/>
      <c r="I34" s="105"/>
      <c r="J34" s="105"/>
      <c r="K34" s="105"/>
      <c r="L34" s="105"/>
      <c r="M34" s="105"/>
      <c r="N34" s="105"/>
      <c r="O34" s="105"/>
      <c r="P34" s="105"/>
      <c r="Q34" s="105"/>
      <c r="R34" s="105"/>
      <c r="S34" s="105"/>
      <c r="T34" s="105"/>
      <c r="U34" s="105"/>
      <c r="V34" s="105"/>
      <c r="W34" s="105"/>
      <c r="X34" s="105"/>
      <c r="Y34" s="105"/>
      <c r="Z34" s="194"/>
      <c r="AA34" s="862"/>
      <c r="AB34" s="194"/>
      <c r="AC34" s="1231"/>
      <c r="AD34" s="862"/>
      <c r="AE34" s="194"/>
      <c r="AF34" s="20"/>
      <c r="AG34" s="404"/>
      <c r="AH34" s="264"/>
      <c r="AI34" s="1564"/>
      <c r="AJ34" s="1566"/>
      <c r="AK34" s="1531"/>
      <c r="AL34" s="1531"/>
    </row>
    <row r="35" spans="1:38">
      <c r="A35" s="187" t="s">
        <v>144</v>
      </c>
      <c r="B35" s="62"/>
      <c r="C35" s="204">
        <f>ROUND(C21-C31,1)</f>
        <v>-58.3</v>
      </c>
      <c r="D35" s="197"/>
      <c r="E35" s="204">
        <f>ROUND(E21-E31,1)</f>
        <v>0</v>
      </c>
      <c r="F35" s="204"/>
      <c r="G35" s="204">
        <f>ROUND(G21-G31,1)</f>
        <v>0</v>
      </c>
      <c r="H35" s="204"/>
      <c r="I35" s="204">
        <f>ROUND(I21-I31,1)</f>
        <v>0</v>
      </c>
      <c r="J35" s="204"/>
      <c r="K35" s="204">
        <f>ROUND(K21-K31,1)</f>
        <v>0</v>
      </c>
      <c r="L35" s="204"/>
      <c r="M35" s="204">
        <f>ROUND(M21-M31,1)</f>
        <v>0</v>
      </c>
      <c r="N35" s="204"/>
      <c r="O35" s="204">
        <f>ROUND(O21-O31,1)</f>
        <v>0</v>
      </c>
      <c r="P35" s="204"/>
      <c r="Q35" s="204">
        <f>ROUND(Q21-Q31,1)</f>
        <v>0</v>
      </c>
      <c r="R35" s="204"/>
      <c r="S35" s="204">
        <f>ROUND(S21-S31,1)</f>
        <v>0</v>
      </c>
      <c r="T35" s="204"/>
      <c r="U35" s="204">
        <f>ROUND(U21-U31,1)</f>
        <v>0</v>
      </c>
      <c r="V35" s="204"/>
      <c r="W35" s="204">
        <f>ROUND(W21-W31,1)</f>
        <v>0</v>
      </c>
      <c r="X35" s="204"/>
      <c r="Y35" s="204">
        <f>ROUND(Y21-Y31,1)</f>
        <v>0</v>
      </c>
      <c r="Z35" s="197"/>
      <c r="AA35" s="865"/>
      <c r="AB35" s="204">
        <f>ROUND(AB21-AB31,1)</f>
        <v>-58.3</v>
      </c>
      <c r="AC35" s="1763"/>
      <c r="AD35" s="197"/>
      <c r="AE35" s="204">
        <f>ROUND(AE21-AE31,1)</f>
        <v>-105.5</v>
      </c>
      <c r="AF35" s="268"/>
      <c r="AG35" s="407"/>
      <c r="AH35" s="357">
        <f>ROUND(SUM(AH21-AH31),1)</f>
        <v>47.2</v>
      </c>
      <c r="AI35" s="40"/>
      <c r="AJ35" s="1739">
        <f>ROUND(IF(AE35=0,1,AH35/ABS(AE35)),3)</f>
        <v>0.44700000000000001</v>
      </c>
      <c r="AK35" s="1531"/>
      <c r="AL35" s="1531"/>
    </row>
    <row r="36" spans="1:38">
      <c r="A36" s="62"/>
      <c r="B36" s="62"/>
      <c r="C36" s="1022"/>
      <c r="D36" s="194"/>
      <c r="E36" s="1562"/>
      <c r="F36" s="105"/>
      <c r="G36" s="1562"/>
      <c r="H36" s="105"/>
      <c r="I36" s="1562"/>
      <c r="J36" s="105"/>
      <c r="K36" s="1562"/>
      <c r="L36" s="105"/>
      <c r="M36" s="1562"/>
      <c r="N36" s="105"/>
      <c r="O36" s="1562"/>
      <c r="P36" s="105"/>
      <c r="Q36" s="1562"/>
      <c r="R36" s="105"/>
      <c r="S36" s="1562"/>
      <c r="T36" s="105"/>
      <c r="U36" s="1562"/>
      <c r="V36" s="105"/>
      <c r="W36" s="1562"/>
      <c r="X36" s="105"/>
      <c r="Y36" s="1562"/>
      <c r="Z36" s="194"/>
      <c r="AA36" s="862"/>
      <c r="AB36" s="1022"/>
      <c r="AC36" s="1231"/>
      <c r="AD36" s="862"/>
      <c r="AE36" s="1022"/>
      <c r="AF36" s="268"/>
      <c r="AG36" s="407"/>
      <c r="AH36" s="264"/>
      <c r="AJ36" s="1762"/>
      <c r="AK36" s="1531"/>
      <c r="AL36" s="1531"/>
    </row>
    <row r="37" spans="1:38">
      <c r="A37" s="62"/>
      <c r="B37" s="62"/>
      <c r="C37" s="194"/>
      <c r="D37" s="194"/>
      <c r="E37" s="105"/>
      <c r="F37" s="105"/>
      <c r="G37" s="105"/>
      <c r="H37" s="105"/>
      <c r="I37" s="105"/>
      <c r="J37" s="105"/>
      <c r="K37" s="105"/>
      <c r="L37" s="105"/>
      <c r="M37" s="105"/>
      <c r="N37" s="105"/>
      <c r="O37" s="105"/>
      <c r="P37" s="105"/>
      <c r="Q37" s="105"/>
      <c r="R37" s="105"/>
      <c r="S37" s="105"/>
      <c r="T37" s="105"/>
      <c r="U37" s="105"/>
      <c r="V37" s="105"/>
      <c r="W37" s="105"/>
      <c r="X37" s="105"/>
      <c r="Y37" s="105"/>
      <c r="Z37" s="194"/>
      <c r="AA37" s="862"/>
      <c r="AB37" s="194"/>
      <c r="AC37" s="194"/>
      <c r="AD37" s="862"/>
      <c r="AE37" s="194"/>
      <c r="AG37" s="403"/>
      <c r="AH37" s="264"/>
      <c r="AJ37" s="1566"/>
      <c r="AK37" s="1531"/>
      <c r="AL37" s="1531"/>
    </row>
    <row r="38" spans="1:38">
      <c r="A38" s="187" t="s">
        <v>145</v>
      </c>
      <c r="B38" s="62"/>
      <c r="C38" s="194"/>
      <c r="D38" s="194"/>
      <c r="E38" s="105"/>
      <c r="F38" s="105"/>
      <c r="G38" s="105"/>
      <c r="H38" s="105"/>
      <c r="I38" s="105"/>
      <c r="J38" s="105"/>
      <c r="K38" s="1276"/>
      <c r="L38" s="105"/>
      <c r="M38" s="1276"/>
      <c r="N38" s="105"/>
      <c r="O38" s="105"/>
      <c r="P38" s="105"/>
      <c r="Q38" s="105"/>
      <c r="R38" s="105"/>
      <c r="S38" s="105"/>
      <c r="T38" s="105"/>
      <c r="U38" s="105"/>
      <c r="V38" s="105"/>
      <c r="W38" s="105"/>
      <c r="X38" s="105"/>
      <c r="Y38" s="105"/>
      <c r="Z38" s="194"/>
      <c r="AA38" s="862"/>
      <c r="AB38" s="194"/>
      <c r="AC38" s="194"/>
      <c r="AD38" s="862"/>
      <c r="AE38" s="194"/>
      <c r="AF38" s="268"/>
      <c r="AG38" s="407"/>
      <c r="AH38" s="274"/>
      <c r="AI38" s="380"/>
      <c r="AJ38" s="1566"/>
      <c r="AK38" s="1531"/>
      <c r="AL38" s="1531"/>
    </row>
    <row r="39" spans="1:38">
      <c r="A39" s="62" t="s">
        <v>537</v>
      </c>
      <c r="B39" s="62"/>
      <c r="C39" s="194">
        <f>AB39</f>
        <v>0</v>
      </c>
      <c r="D39" s="194"/>
      <c r="E39" s="194"/>
      <c r="F39" s="105"/>
      <c r="G39" s="194"/>
      <c r="H39" s="287"/>
      <c r="I39" s="194"/>
      <c r="J39" s="105"/>
      <c r="K39" s="194"/>
      <c r="L39" s="105"/>
      <c r="M39" s="194"/>
      <c r="N39" s="105"/>
      <c r="O39" s="194"/>
      <c r="P39" s="105"/>
      <c r="Q39" s="194"/>
      <c r="R39" s="105"/>
      <c r="S39" s="194"/>
      <c r="T39" s="105"/>
      <c r="U39" s="194"/>
      <c r="V39" s="105"/>
      <c r="W39" s="194"/>
      <c r="X39" s="105"/>
      <c r="Y39" s="194"/>
      <c r="Z39" s="194"/>
      <c r="AA39" s="862"/>
      <c r="AB39" s="532">
        <v>0</v>
      </c>
      <c r="AC39" s="264"/>
      <c r="AD39" s="525" t="s">
        <v>103</v>
      </c>
      <c r="AE39" s="532">
        <v>0</v>
      </c>
      <c r="AF39" s="268"/>
      <c r="AG39" s="407"/>
      <c r="AH39" s="264">
        <f>ROUND(SUM(AB39-AE39),1)</f>
        <v>0</v>
      </c>
      <c r="AJ39" s="1567">
        <f>ROUND(IF(AE39=0,0,AH39/ABS(AE39)),3)</f>
        <v>0</v>
      </c>
      <c r="AK39" s="1531"/>
      <c r="AL39" s="1531"/>
    </row>
    <row r="40" spans="1:38">
      <c r="A40" s="62" t="s">
        <v>538</v>
      </c>
      <c r="B40" s="62"/>
      <c r="C40" s="194">
        <f>AB40</f>
        <v>0</v>
      </c>
      <c r="D40" s="194"/>
      <c r="E40" s="194"/>
      <c r="F40" s="105"/>
      <c r="G40" s="194"/>
      <c r="H40" s="287"/>
      <c r="I40" s="194"/>
      <c r="J40" s="105"/>
      <c r="K40" s="194"/>
      <c r="L40" s="105"/>
      <c r="M40" s="194"/>
      <c r="N40" s="105"/>
      <c r="O40" s="194"/>
      <c r="P40" s="105"/>
      <c r="Q40" s="194"/>
      <c r="R40" s="105"/>
      <c r="S40" s="194"/>
      <c r="T40" s="105"/>
      <c r="U40" s="194"/>
      <c r="V40" s="105"/>
      <c r="W40" s="194"/>
      <c r="X40" s="105"/>
      <c r="Y40" s="194"/>
      <c r="Z40" s="194"/>
      <c r="AA40" s="862"/>
      <c r="AB40" s="532">
        <v>0</v>
      </c>
      <c r="AC40" s="264"/>
      <c r="AD40" s="525" t="s">
        <v>103</v>
      </c>
      <c r="AE40" s="532">
        <v>0</v>
      </c>
      <c r="AF40" s="268"/>
      <c r="AG40" s="407"/>
      <c r="AH40" s="383">
        <f>-ROUND(SUM(AB40-AE40),1)</f>
        <v>0</v>
      </c>
      <c r="AJ40" s="1583">
        <f>ROUND(IF(AE40=0,0,AH40/ABS(AE40)),3)</f>
        <v>0</v>
      </c>
      <c r="AK40" s="1531"/>
      <c r="AL40" s="1531"/>
    </row>
    <row r="41" spans="1:38">
      <c r="A41" s="62"/>
      <c r="B41" s="62"/>
      <c r="C41" s="1022"/>
      <c r="D41" s="194"/>
      <c r="E41" s="1022"/>
      <c r="F41" s="105"/>
      <c r="G41" s="1022"/>
      <c r="H41" s="105"/>
      <c r="I41" s="1022"/>
      <c r="J41" s="105"/>
      <c r="K41" s="1022"/>
      <c r="L41" s="105"/>
      <c r="M41" s="1022"/>
      <c r="N41" s="105"/>
      <c r="O41" s="1022"/>
      <c r="P41" s="105"/>
      <c r="Q41" s="1022"/>
      <c r="R41" s="105"/>
      <c r="S41" s="1022"/>
      <c r="T41" s="105"/>
      <c r="U41" s="1562"/>
      <c r="V41" s="105"/>
      <c r="W41" s="1562"/>
      <c r="X41" s="105"/>
      <c r="Y41" s="1562"/>
      <c r="Z41" s="194"/>
      <c r="AA41" s="862"/>
      <c r="AB41" s="1022"/>
      <c r="AC41" s="194"/>
      <c r="AD41" s="862"/>
      <c r="AE41" s="1022"/>
      <c r="AF41" s="268"/>
      <c r="AG41" s="407"/>
      <c r="AJ41" s="1762"/>
      <c r="AK41" s="1531"/>
      <c r="AL41" s="1531"/>
    </row>
    <row r="42" spans="1:38">
      <c r="A42" s="187" t="s">
        <v>587</v>
      </c>
      <c r="B42" s="62"/>
      <c r="C42" s="1569">
        <f>ROUND(SUM(C39:C41),1)</f>
        <v>0</v>
      </c>
      <c r="D42" s="197"/>
      <c r="E42" s="1569">
        <f>ROUND(SUM(E39:E41),1)</f>
        <v>0</v>
      </c>
      <c r="F42" s="204"/>
      <c r="G42" s="1569">
        <f>ROUND(SUM(G39:G41),1)</f>
        <v>0</v>
      </c>
      <c r="H42" s="204"/>
      <c r="I42" s="1569">
        <f>ROUND(SUM(I39:I41),1)</f>
        <v>0</v>
      </c>
      <c r="J42" s="204"/>
      <c r="K42" s="1569">
        <f>ROUND(SUM(K39:K41),1)</f>
        <v>0</v>
      </c>
      <c r="L42" s="204"/>
      <c r="M42" s="1569">
        <f>ROUND(SUM(M39:M41),1)</f>
        <v>0</v>
      </c>
      <c r="N42" s="204"/>
      <c r="O42" s="1569">
        <f>ROUND(SUM(O39:O41),1)</f>
        <v>0</v>
      </c>
      <c r="P42" s="204"/>
      <c r="Q42" s="1569">
        <f>ROUND(SUM(Q39:Q41),1)</f>
        <v>0</v>
      </c>
      <c r="R42" s="1569"/>
      <c r="S42" s="1569">
        <f>ROUND(SUM(S39:S41),1)</f>
        <v>0</v>
      </c>
      <c r="T42" s="204"/>
      <c r="U42" s="1569">
        <f>ROUND(SUM(U39:U41),1)</f>
        <v>0</v>
      </c>
      <c r="V42" s="204"/>
      <c r="W42" s="1569">
        <f>ROUND(SUM(W39:W41),1)</f>
        <v>0</v>
      </c>
      <c r="X42" s="204"/>
      <c r="Y42" s="1569">
        <f>ROUND(SUM(Y39:Y41),1)</f>
        <v>0</v>
      </c>
      <c r="Z42" s="197"/>
      <c r="AA42" s="865"/>
      <c r="AB42" s="357">
        <f>ROUND(SUM(AB39+AB40),1)</f>
        <v>0</v>
      </c>
      <c r="AC42" s="1763"/>
      <c r="AD42" s="197"/>
      <c r="AE42" s="357">
        <f>ROUND(SUM(AE39+AE40),1)</f>
        <v>0</v>
      </c>
      <c r="AF42" s="291"/>
      <c r="AG42" s="403"/>
      <c r="AH42" s="357">
        <f>ROUND(SUM(AH39:AH40),1)</f>
        <v>0</v>
      </c>
      <c r="AI42" s="52"/>
      <c r="AJ42" s="1739">
        <f>ROUND(IF(AE42=0,0,AH42/ABS(AE42)),3)</f>
        <v>0</v>
      </c>
      <c r="AK42" s="1531"/>
      <c r="AL42" s="1531"/>
    </row>
    <row r="43" spans="1:38">
      <c r="A43" s="62"/>
      <c r="B43" s="62"/>
      <c r="C43" s="1022"/>
      <c r="D43" s="194"/>
      <c r="E43" s="1562"/>
      <c r="F43" s="105"/>
      <c r="G43" s="1562"/>
      <c r="H43" s="105"/>
      <c r="I43" s="1562"/>
      <c r="J43" s="105"/>
      <c r="K43" s="1562"/>
      <c r="L43" s="105"/>
      <c r="M43" s="1562"/>
      <c r="N43" s="105"/>
      <c r="O43" s="1562"/>
      <c r="P43" s="105"/>
      <c r="Q43" s="1562"/>
      <c r="R43" s="105"/>
      <c r="S43" s="1562"/>
      <c r="T43" s="105"/>
      <c r="U43" s="1562"/>
      <c r="V43" s="105"/>
      <c r="W43" s="1562"/>
      <c r="X43" s="105"/>
      <c r="Y43" s="1562"/>
      <c r="Z43" s="194"/>
      <c r="AA43" s="862"/>
      <c r="AB43" s="1022"/>
      <c r="AC43" s="194"/>
      <c r="AD43" s="862"/>
      <c r="AE43" s="1022"/>
      <c r="AG43" s="403"/>
      <c r="AJ43" s="1762"/>
      <c r="AK43" s="1531"/>
      <c r="AL43" s="1531"/>
    </row>
    <row r="44" spans="1:38">
      <c r="A44" s="62"/>
      <c r="B44" s="62"/>
      <c r="C44" s="194"/>
      <c r="D44" s="194"/>
      <c r="E44" s="105"/>
      <c r="F44" s="105"/>
      <c r="G44" s="105"/>
      <c r="H44" s="105"/>
      <c r="I44" s="105"/>
      <c r="J44" s="105"/>
      <c r="K44" s="105"/>
      <c r="L44" s="105"/>
      <c r="M44" s="105"/>
      <c r="N44" s="105"/>
      <c r="O44" s="105"/>
      <c r="P44" s="105"/>
      <c r="Q44" s="105"/>
      <c r="R44" s="105"/>
      <c r="S44" s="105"/>
      <c r="T44" s="105"/>
      <c r="U44" s="105"/>
      <c r="V44" s="105"/>
      <c r="W44" s="105"/>
      <c r="X44" s="105"/>
      <c r="Y44" s="105"/>
      <c r="Z44" s="194"/>
      <c r="AA44" s="862"/>
      <c r="AB44" s="194"/>
      <c r="AC44" s="194"/>
      <c r="AD44" s="862"/>
      <c r="AE44" s="194"/>
      <c r="AG44" s="403"/>
      <c r="AJ44" s="1762"/>
      <c r="AK44" s="1531"/>
      <c r="AL44" s="1531"/>
    </row>
    <row r="45" spans="1:38">
      <c r="A45" s="187" t="s">
        <v>469</v>
      </c>
      <c r="B45" s="62"/>
      <c r="C45" s="194"/>
      <c r="D45" s="194"/>
      <c r="E45" s="105"/>
      <c r="F45" s="105"/>
      <c r="G45" s="105"/>
      <c r="H45" s="105"/>
      <c r="I45" s="105"/>
      <c r="J45" s="105"/>
      <c r="K45" s="105"/>
      <c r="L45" s="105"/>
      <c r="M45" s="105"/>
      <c r="N45" s="105"/>
      <c r="O45" s="105"/>
      <c r="P45" s="105"/>
      <c r="Q45" s="105"/>
      <c r="R45" s="105"/>
      <c r="S45" s="105"/>
      <c r="T45" s="105"/>
      <c r="U45" s="105"/>
      <c r="V45" s="105"/>
      <c r="W45" s="105"/>
      <c r="X45" s="105"/>
      <c r="Y45" s="105"/>
      <c r="Z45" s="194"/>
      <c r="AA45" s="862"/>
      <c r="AB45" s="194"/>
      <c r="AC45" s="194"/>
      <c r="AD45" s="862"/>
      <c r="AE45" s="194"/>
      <c r="AG45" s="403"/>
      <c r="AJ45" s="1762"/>
      <c r="AK45" s="1531"/>
      <c r="AL45" s="1531"/>
    </row>
    <row r="46" spans="1:38">
      <c r="A46" s="187" t="s">
        <v>594</v>
      </c>
      <c r="B46" s="62"/>
      <c r="C46" s="194"/>
      <c r="D46" s="194"/>
      <c r="E46" s="105"/>
      <c r="F46" s="105"/>
      <c r="G46" s="105"/>
      <c r="H46" s="105"/>
      <c r="I46" s="105"/>
      <c r="J46" s="105"/>
      <c r="K46" s="1276"/>
      <c r="L46" s="105"/>
      <c r="M46" s="105"/>
      <c r="N46" s="105"/>
      <c r="O46" s="105"/>
      <c r="P46" s="105"/>
      <c r="Q46" s="105"/>
      <c r="R46" s="105"/>
      <c r="S46" s="105"/>
      <c r="T46" s="105"/>
      <c r="U46" s="105"/>
      <c r="V46" s="105"/>
      <c r="W46" s="105"/>
      <c r="X46" s="105"/>
      <c r="Y46" s="105"/>
      <c r="Z46" s="194"/>
      <c r="AA46" s="862"/>
      <c r="AB46" s="194"/>
      <c r="AC46" s="194"/>
      <c r="AD46" s="862"/>
      <c r="AE46" s="194"/>
      <c r="AG46" s="403"/>
      <c r="AJ46" s="1762"/>
      <c r="AK46" s="1531"/>
      <c r="AL46" s="1531"/>
    </row>
    <row r="47" spans="1:38">
      <c r="A47" s="187" t="s">
        <v>471</v>
      </c>
      <c r="B47" s="62"/>
      <c r="C47" s="204">
        <f>ROUND(C35+C42,1)</f>
        <v>-58.3</v>
      </c>
      <c r="D47" s="197"/>
      <c r="E47" s="204">
        <f>ROUND(E35+E42,1)</f>
        <v>0</v>
      </c>
      <c r="F47" s="204"/>
      <c r="G47" s="204">
        <f>ROUND(G35+G42,1)</f>
        <v>0</v>
      </c>
      <c r="H47" s="204"/>
      <c r="I47" s="204">
        <f>ROUND(I35+I42,1)</f>
        <v>0</v>
      </c>
      <c r="J47" s="204"/>
      <c r="K47" s="755">
        <f>ROUND(K35+K42,1)</f>
        <v>0</v>
      </c>
      <c r="L47" s="204"/>
      <c r="M47" s="204">
        <f>ROUND(M35+M42,1)</f>
        <v>0</v>
      </c>
      <c r="N47" s="204"/>
      <c r="O47" s="204">
        <f>ROUND(O35+O42,1)</f>
        <v>0</v>
      </c>
      <c r="P47" s="204"/>
      <c r="Q47" s="204">
        <f>ROUND(Q35+Q42,1)</f>
        <v>0</v>
      </c>
      <c r="R47" s="204"/>
      <c r="S47" s="204">
        <f>ROUND(S35+S42,1)</f>
        <v>0</v>
      </c>
      <c r="T47" s="204"/>
      <c r="U47" s="204">
        <f>ROUND(U35+U42,1)</f>
        <v>0</v>
      </c>
      <c r="V47" s="204"/>
      <c r="W47" s="204">
        <f>ROUND(W35+W42,1)</f>
        <v>0</v>
      </c>
      <c r="X47" s="204"/>
      <c r="Y47" s="204">
        <f>ROUND(Y35+Y42,1)</f>
        <v>0</v>
      </c>
      <c r="Z47" s="197"/>
      <c r="AA47" s="865"/>
      <c r="AB47" s="204">
        <f>ROUND(AB35+AB42,1)</f>
        <v>-58.3</v>
      </c>
      <c r="AC47" s="1763"/>
      <c r="AD47" s="197"/>
      <c r="AE47" s="204">
        <f>ROUND(AE35+AE42,1)</f>
        <v>-105.5</v>
      </c>
      <c r="AG47" s="403"/>
      <c r="AH47" s="357">
        <f>ROUND(SUM(AH35+AH42),1)</f>
        <v>47.2</v>
      </c>
      <c r="AI47" s="3"/>
      <c r="AJ47" s="1739">
        <f>ROUND(IF(AE47=0,1,AH47/ABS(AE47)),3)</f>
        <v>0.44700000000000001</v>
      </c>
      <c r="AK47" s="1531"/>
      <c r="AL47" s="1531"/>
    </row>
    <row r="48" spans="1:38">
      <c r="A48" s="62"/>
      <c r="B48" s="62"/>
      <c r="C48" s="1571"/>
      <c r="D48" s="187"/>
      <c r="E48" s="1572"/>
      <c r="F48" s="1573"/>
      <c r="G48" s="1572"/>
      <c r="H48" s="1573"/>
      <c r="I48" s="1572"/>
      <c r="J48" s="1573"/>
      <c r="K48" s="1574"/>
      <c r="L48" s="1573"/>
      <c r="M48" s="1572"/>
      <c r="N48" s="1573"/>
      <c r="O48" s="1572"/>
      <c r="P48" s="1573"/>
      <c r="Q48" s="1572"/>
      <c r="R48" s="1573"/>
      <c r="S48" s="1572"/>
      <c r="T48" s="1573"/>
      <c r="U48" s="1572"/>
      <c r="V48" s="1573"/>
      <c r="W48" s="1572"/>
      <c r="X48" s="1573"/>
      <c r="Y48" s="1572"/>
      <c r="Z48" s="187"/>
      <c r="AA48" s="1575"/>
      <c r="AB48" s="1571"/>
      <c r="AC48" s="187"/>
      <c r="AD48" s="1575"/>
      <c r="AE48" s="1571"/>
      <c r="AG48" s="403"/>
      <c r="AJ48" s="1762"/>
      <c r="AK48" s="1531"/>
      <c r="AL48" s="1531"/>
    </row>
    <row r="49" spans="1:38" ht="16" thickBot="1">
      <c r="A49" s="187" t="s">
        <v>433</v>
      </c>
      <c r="B49" s="62"/>
      <c r="C49" s="190">
        <f>ROUND(C14+C47,1)</f>
        <v>1221.5999999999999</v>
      </c>
      <c r="D49" s="190"/>
      <c r="E49" s="190">
        <f>ROUND(E14+E47,1)</f>
        <v>0</v>
      </c>
      <c r="F49" s="1560"/>
      <c r="G49" s="190">
        <f>ROUND(G14+G47,1)</f>
        <v>0</v>
      </c>
      <c r="H49" s="1560"/>
      <c r="I49" s="1576">
        <f>ROUND(I14+I47,1)</f>
        <v>0</v>
      </c>
      <c r="J49" s="1560"/>
      <c r="K49" s="190">
        <f>ROUND(K14+K47,1)</f>
        <v>0</v>
      </c>
      <c r="L49" s="1560"/>
      <c r="M49" s="190">
        <f>ROUND(M14+M47,1)</f>
        <v>0</v>
      </c>
      <c r="N49" s="1560"/>
      <c r="O49" s="190">
        <f>ROUND(O14+O47,1)</f>
        <v>0</v>
      </c>
      <c r="P49" s="1560"/>
      <c r="Q49" s="190">
        <f>ROUND(Q14+Q47,1)</f>
        <v>0</v>
      </c>
      <c r="R49" s="1560"/>
      <c r="S49" s="190">
        <f>ROUND(S14+S47,1)</f>
        <v>0</v>
      </c>
      <c r="T49" s="1560"/>
      <c r="U49" s="190">
        <f>ROUND(U14+U47,1)</f>
        <v>0</v>
      </c>
      <c r="V49" s="1560"/>
      <c r="W49" s="190">
        <f>ROUND(W14+W47,1)</f>
        <v>0</v>
      </c>
      <c r="X49" s="1560"/>
      <c r="Y49" s="190">
        <f>ROUND(Y14+Y47,1)</f>
        <v>0</v>
      </c>
      <c r="Z49" s="190"/>
      <c r="AA49" s="858"/>
      <c r="AB49" s="190">
        <f>ROUND(AB14+AB47,1)</f>
        <v>1221.5999999999999</v>
      </c>
      <c r="AC49" s="190"/>
      <c r="AD49" s="858"/>
      <c r="AE49" s="190">
        <f>ROUND(AE14+AE47,1)</f>
        <v>864.8</v>
      </c>
      <c r="AG49" s="403"/>
      <c r="AH49" s="70">
        <f>ROUND(SUM(AB49-AE49),1)</f>
        <v>356.8</v>
      </c>
      <c r="AI49" s="380"/>
      <c r="AJ49" s="1764">
        <f>ROUND(IF(AH49=0,0,AH49/ABS(AE49)),3)</f>
        <v>0.41299999999999998</v>
      </c>
      <c r="AK49" s="1531"/>
      <c r="AL49" s="1531"/>
    </row>
    <row r="50" spans="1:38" ht="16" thickTop="1">
      <c r="C50" s="1578"/>
      <c r="E50" s="1578"/>
      <c r="G50" s="1578"/>
      <c r="K50" s="1578"/>
      <c r="M50" s="1578"/>
      <c r="O50" s="1578"/>
      <c r="Q50" s="1578"/>
      <c r="S50" s="1578"/>
      <c r="U50" s="1578"/>
      <c r="W50" s="1578"/>
      <c r="Y50" s="1578"/>
      <c r="AB50" s="1578"/>
      <c r="AE50" s="1578"/>
    </row>
    <row r="51" spans="1:38">
      <c r="A51" s="1018"/>
    </row>
    <row r="52" spans="1:38">
      <c r="A52" s="1018"/>
    </row>
    <row r="53" spans="1:38">
      <c r="A53" s="1018"/>
    </row>
    <row r="54" spans="1:38">
      <c r="A54" s="1018"/>
    </row>
    <row r="55" spans="1:38">
      <c r="A55" s="1018"/>
    </row>
  </sheetData>
  <mergeCells count="1">
    <mergeCell ref="AA10:AJ10"/>
  </mergeCells>
  <printOptions horizontalCentered="1"/>
  <pageMargins left="0.25" right="0.25" top="0.5" bottom="0.25" header="0" footer="0.25"/>
  <pageSetup scale="43" firstPageNumber="34"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70" zoomScaleNormal="70" workbookViewId="0"/>
  </sheetViews>
  <sheetFormatPr defaultColWidth="8.84375" defaultRowHeight="15.5"/>
  <cols>
    <col min="1" max="1" width="41.07421875" style="10" customWidth="1"/>
    <col min="2" max="2" width="11.84375" style="10" customWidth="1"/>
    <col min="3" max="3" width="1.84375" style="10" customWidth="1"/>
    <col min="4" max="4" width="11.84375" style="10" customWidth="1"/>
    <col min="5" max="5" width="1.84375" style="10" customWidth="1"/>
    <col min="6" max="6" width="11.84375" style="10" customWidth="1"/>
    <col min="7" max="7" width="1.84375" style="10" customWidth="1"/>
    <col min="8" max="8" width="11.84375" style="10" customWidth="1"/>
    <col min="9" max="9" width="1.84375" style="10" customWidth="1"/>
    <col min="10" max="10" width="11.84375" style="10" customWidth="1"/>
    <col min="11" max="11" width="1.84375" style="10" customWidth="1"/>
    <col min="12" max="12" width="12.07421875" style="10" customWidth="1"/>
    <col min="13" max="13" width="1.84375" style="10" customWidth="1"/>
    <col min="14" max="14" width="11.84375" style="10" customWidth="1"/>
    <col min="15" max="15" width="1.84375" style="10" customWidth="1"/>
    <col min="16" max="16" width="11.84375" style="10" customWidth="1"/>
    <col min="17" max="17" width="1.84375" style="10" customWidth="1"/>
    <col min="18" max="18" width="11.84375" style="10" customWidth="1"/>
    <col min="19" max="19" width="1.84375" style="10" customWidth="1"/>
    <col min="20" max="20" width="11.84375" style="10" customWidth="1"/>
    <col min="21" max="21" width="1.84375" style="10" customWidth="1"/>
    <col min="22" max="22" width="11.84375" style="10" customWidth="1"/>
    <col min="23" max="23" width="1.84375" style="10" customWidth="1"/>
    <col min="24" max="24" width="11.84375" style="10" customWidth="1"/>
    <col min="25" max="26" width="0.84375" style="10" customWidth="1"/>
    <col min="27" max="27" width="11.84375" style="10" customWidth="1"/>
    <col min="28" max="29" width="0.84375" style="10" customWidth="1"/>
    <col min="30" max="30" width="11.84375" style="10" customWidth="1"/>
    <col min="31" max="31" width="0.84375" style="107" customWidth="1"/>
    <col min="32" max="32" width="0.84375" style="291" customWidth="1"/>
    <col min="33" max="33" width="11.84375" style="291" customWidth="1"/>
    <col min="34" max="34" width="1.84375" style="291" customWidth="1"/>
    <col min="35" max="35" width="11.84375" style="291" customWidth="1"/>
    <col min="36" max="36" width="9.07421875" style="10" bestFit="1" customWidth="1"/>
    <col min="37" max="37" width="8.84375" style="10" bestFit="1" customWidth="1"/>
    <col min="38" max="16384" width="8.84375" style="10"/>
  </cols>
  <sheetData>
    <row r="1" spans="1:37">
      <c r="A1" s="265" t="s">
        <v>97</v>
      </c>
    </row>
    <row r="2" spans="1:37">
      <c r="A2" s="354"/>
    </row>
    <row r="3" spans="1:37">
      <c r="A3" s="1579" t="s">
        <v>98</v>
      </c>
      <c r="B3" s="1580"/>
      <c r="AE3" s="291"/>
      <c r="AI3" s="1217" t="s">
        <v>595</v>
      </c>
    </row>
    <row r="4" spans="1:37">
      <c r="A4" s="1579" t="s">
        <v>596</v>
      </c>
      <c r="B4" s="1580"/>
      <c r="H4" s="1580" t="s">
        <v>103</v>
      </c>
      <c r="X4" s="10" t="s">
        <v>103</v>
      </c>
      <c r="AE4" s="291"/>
    </row>
    <row r="5" spans="1:37">
      <c r="A5" s="1579" t="s">
        <v>597</v>
      </c>
      <c r="B5" s="1580"/>
      <c r="AB5" s="1217"/>
      <c r="AC5" s="1217"/>
      <c r="AD5" s="1217"/>
      <c r="AE5" s="1217"/>
    </row>
    <row r="6" spans="1:37">
      <c r="A6" s="1581" t="str">
        <f>'Cashflow Governmental'!A6</f>
        <v>FISCAL YEAR 2026-2027</v>
      </c>
      <c r="B6" s="1580"/>
      <c r="AE6" s="291"/>
    </row>
    <row r="7" spans="1:37">
      <c r="A7" s="1579" t="s">
        <v>102</v>
      </c>
      <c r="B7" s="1580"/>
      <c r="AE7" s="291"/>
    </row>
    <row r="8" spans="1:37">
      <c r="A8" s="1579"/>
      <c r="B8" s="1580"/>
      <c r="AE8" s="291"/>
    </row>
    <row r="9" spans="1:37">
      <c r="B9" s="1630"/>
      <c r="AA9" s="2071"/>
      <c r="AB9" s="2071"/>
      <c r="AC9" s="2071"/>
      <c r="AD9" s="2071"/>
      <c r="AE9" s="2071"/>
      <c r="AF9" s="2071"/>
      <c r="AG9" s="2071"/>
      <c r="AH9" s="2071"/>
      <c r="AI9" s="2071"/>
    </row>
    <row r="10" spans="1:37">
      <c r="A10" s="1582"/>
      <c r="B10" s="1118"/>
      <c r="C10" s="15"/>
      <c r="D10" s="15"/>
      <c r="E10" s="15"/>
      <c r="F10" s="15"/>
      <c r="G10" s="15"/>
      <c r="H10" s="1580"/>
      <c r="I10" s="1580"/>
      <c r="J10" s="1580"/>
      <c r="K10" s="15"/>
      <c r="L10" s="15"/>
      <c r="M10" s="15"/>
      <c r="N10" s="15"/>
      <c r="O10" s="15"/>
      <c r="P10" s="15"/>
      <c r="Q10" s="15"/>
      <c r="R10" s="15"/>
      <c r="S10" s="15"/>
      <c r="T10" s="15"/>
      <c r="U10" s="15"/>
      <c r="V10" s="15"/>
      <c r="W10" s="15"/>
      <c r="X10" s="15"/>
      <c r="Y10" s="15"/>
      <c r="Z10" s="2006" t="str">
        <f>'Cashflow Governmental'!$AB$12</f>
        <v>1 Month Ended April 30</v>
      </c>
      <c r="AA10" s="2006"/>
      <c r="AB10" s="2006"/>
      <c r="AC10" s="2006"/>
      <c r="AD10" s="2006"/>
      <c r="AE10" s="2006"/>
      <c r="AF10" s="2006"/>
      <c r="AG10" s="2006"/>
      <c r="AH10" s="2006"/>
      <c r="AI10" s="2006"/>
    </row>
    <row r="11" spans="1:37">
      <c r="A11" s="364"/>
      <c r="B11" s="314" t="str">
        <f>'Cashflow Governmental'!C13</f>
        <v>2026</v>
      </c>
      <c r="C11" s="3"/>
      <c r="D11" s="3"/>
      <c r="E11" s="3"/>
      <c r="F11" s="3"/>
      <c r="G11" s="3"/>
      <c r="H11" s="3"/>
      <c r="I11" s="3"/>
      <c r="J11" s="3"/>
      <c r="K11" s="3"/>
      <c r="L11" s="3"/>
      <c r="M11" s="3"/>
      <c r="N11" s="3"/>
      <c r="O11" s="3"/>
      <c r="P11" s="3"/>
      <c r="Q11" s="3"/>
      <c r="R11" s="3"/>
      <c r="S11" s="3"/>
      <c r="T11" s="314">
        <f>'Cashflow Governmental'!U13</f>
        <v>2027</v>
      </c>
      <c r="U11" s="3"/>
      <c r="V11" s="3"/>
      <c r="W11" s="3"/>
      <c r="X11" s="3"/>
      <c r="Y11" s="3"/>
      <c r="Z11" s="3"/>
      <c r="AA11" s="3"/>
      <c r="AB11" s="3"/>
      <c r="AC11" s="3"/>
      <c r="AD11" s="3"/>
      <c r="AE11" s="6"/>
      <c r="AF11" s="3"/>
      <c r="AG11" s="320" t="s">
        <v>110</v>
      </c>
      <c r="AH11" s="320"/>
      <c r="AI11" s="318" t="s">
        <v>111</v>
      </c>
    </row>
    <row r="12" spans="1:37">
      <c r="A12" s="364"/>
      <c r="B12" s="52" t="s">
        <v>329</v>
      </c>
      <c r="C12" s="3"/>
      <c r="D12" s="52" t="s">
        <v>330</v>
      </c>
      <c r="E12" s="3"/>
      <c r="F12" s="52" t="s">
        <v>331</v>
      </c>
      <c r="G12" s="3"/>
      <c r="H12" s="52" t="s">
        <v>332</v>
      </c>
      <c r="I12" s="3"/>
      <c r="J12" s="52" t="s">
        <v>333</v>
      </c>
      <c r="K12" s="3"/>
      <c r="L12" s="314" t="s">
        <v>445</v>
      </c>
      <c r="M12" s="3"/>
      <c r="N12" s="314" t="s">
        <v>446</v>
      </c>
      <c r="O12" s="3"/>
      <c r="P12" s="52" t="s">
        <v>336</v>
      </c>
      <c r="Q12" s="3"/>
      <c r="R12" s="52" t="s">
        <v>337</v>
      </c>
      <c r="S12" s="3"/>
      <c r="T12" s="52" t="s">
        <v>338</v>
      </c>
      <c r="U12" s="3"/>
      <c r="V12" s="52" t="s">
        <v>339</v>
      </c>
      <c r="W12" s="3"/>
      <c r="X12" s="314" t="s">
        <v>447</v>
      </c>
      <c r="Y12" s="3"/>
      <c r="Z12" s="3"/>
      <c r="AA12" s="52" t="str">
        <f>'Cashflow Governmental'!AB14</f>
        <v>2026</v>
      </c>
      <c r="AB12" s="3" t="s">
        <v>103</v>
      </c>
      <c r="AC12" s="3"/>
      <c r="AD12" s="52" t="str">
        <f>'Cashflow Governmental'!AE14</f>
        <v>2025</v>
      </c>
      <c r="AE12" s="52"/>
      <c r="AF12" s="52"/>
      <c r="AG12" s="416" t="s">
        <v>112</v>
      </c>
      <c r="AH12" s="320"/>
      <c r="AI12" s="416" t="s">
        <v>113</v>
      </c>
    </row>
    <row r="13" spans="1:37" ht="8.9" customHeight="1">
      <c r="A13" s="364"/>
      <c r="B13" s="989"/>
      <c r="C13" s="364"/>
      <c r="D13" s="989"/>
      <c r="E13" s="364"/>
      <c r="F13" s="989"/>
      <c r="G13" s="364"/>
      <c r="H13" s="989"/>
      <c r="I13" s="364"/>
      <c r="J13" s="989"/>
      <c r="K13" s="364"/>
      <c r="L13" s="989"/>
      <c r="M13" s="364"/>
      <c r="N13" s="989"/>
      <c r="O13" s="364"/>
      <c r="P13" s="989"/>
      <c r="Q13" s="364"/>
      <c r="R13" s="989"/>
      <c r="S13" s="364"/>
      <c r="T13" s="989"/>
      <c r="U13" s="364"/>
      <c r="V13" s="989"/>
      <c r="W13" s="364"/>
      <c r="X13" s="989"/>
      <c r="Y13" s="364"/>
      <c r="Z13" s="364"/>
      <c r="AA13" s="989"/>
      <c r="AB13" s="364"/>
      <c r="AC13" s="364"/>
      <c r="AD13" s="989"/>
      <c r="AE13" s="1557"/>
      <c r="AF13" s="1558"/>
    </row>
    <row r="14" spans="1:37">
      <c r="A14" s="1218" t="s">
        <v>341</v>
      </c>
      <c r="B14" s="82">
        <v>108.2</v>
      </c>
      <c r="C14" s="20"/>
      <c r="D14" s="20"/>
      <c r="E14" s="20"/>
      <c r="F14" s="20"/>
      <c r="G14" s="20"/>
      <c r="H14" s="20"/>
      <c r="I14" s="20"/>
      <c r="J14" s="20"/>
      <c r="K14" s="20"/>
      <c r="L14" s="20"/>
      <c r="M14" s="20"/>
      <c r="N14" s="20"/>
      <c r="O14" s="20"/>
      <c r="P14" s="20"/>
      <c r="Q14" s="20"/>
      <c r="R14" s="20"/>
      <c r="S14" s="20"/>
      <c r="T14" s="20"/>
      <c r="U14" s="20"/>
      <c r="V14" s="20"/>
      <c r="W14" s="20"/>
      <c r="X14" s="20"/>
      <c r="Y14" s="20"/>
      <c r="Z14" s="21"/>
      <c r="AA14" s="20">
        <f>B14</f>
        <v>108.2</v>
      </c>
      <c r="AB14" s="1243"/>
      <c r="AC14" s="20"/>
      <c r="AD14" s="1949">
        <v>108</v>
      </c>
      <c r="AE14" s="291"/>
      <c r="AF14" s="1729"/>
      <c r="AG14" s="20">
        <f>ROUND(SUM(AA14-AD14),1)</f>
        <v>0.2</v>
      </c>
      <c r="AI14" s="1561">
        <f>ROUND(IF(AG14=0,0,AG14/(AD14)),3)</f>
        <v>2E-3</v>
      </c>
      <c r="AJ14" s="1497"/>
      <c r="AK14" s="1497"/>
    </row>
    <row r="15" spans="1:37">
      <c r="A15" s="291"/>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855"/>
      <c r="AA15" s="291"/>
      <c r="AB15" s="1758"/>
      <c r="AC15" s="291"/>
      <c r="AD15" s="291"/>
      <c r="AE15" s="291"/>
      <c r="AF15" s="1729"/>
      <c r="AJ15" s="1497"/>
      <c r="AK15" s="1497"/>
    </row>
    <row r="16" spans="1:37">
      <c r="A16" s="3" t="s">
        <v>114</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855"/>
      <c r="AA16" s="291"/>
      <c r="AB16" s="1758"/>
      <c r="AC16" s="291"/>
      <c r="AD16" s="291"/>
      <c r="AE16" s="288"/>
      <c r="AF16" s="1734"/>
      <c r="AG16" s="264"/>
      <c r="AI16" s="923"/>
      <c r="AJ16" s="1497"/>
      <c r="AK16" s="1497"/>
    </row>
    <row r="17" spans="1:37">
      <c r="A17" s="291" t="s">
        <v>590</v>
      </c>
      <c r="B17" s="264">
        <f>AA17</f>
        <v>37.6</v>
      </c>
      <c r="C17" s="264"/>
      <c r="D17" s="264"/>
      <c r="E17" s="264"/>
      <c r="F17" s="264"/>
      <c r="G17" s="264"/>
      <c r="H17" s="264"/>
      <c r="I17" s="264"/>
      <c r="J17" s="264"/>
      <c r="K17" s="264"/>
      <c r="L17" s="264"/>
      <c r="M17" s="264"/>
      <c r="N17" s="264"/>
      <c r="O17" s="264"/>
      <c r="P17" s="264"/>
      <c r="Q17" s="264"/>
      <c r="R17" s="264"/>
      <c r="S17" s="264"/>
      <c r="T17" s="264"/>
      <c r="U17" s="264"/>
      <c r="V17" s="264"/>
      <c r="W17" s="264"/>
      <c r="X17" s="264"/>
      <c r="Y17" s="264"/>
      <c r="Z17" s="524"/>
      <c r="AA17" s="986">
        <v>37.6</v>
      </c>
      <c r="AB17" s="264"/>
      <c r="AC17" s="525" t="s">
        <v>103</v>
      </c>
      <c r="AD17" s="986">
        <v>26</v>
      </c>
      <c r="AE17" s="26"/>
      <c r="AF17" s="1734"/>
      <c r="AG17" s="383">
        <f>ROUND(SUM(AA17-AD17),1)</f>
        <v>11.6</v>
      </c>
      <c r="AI17" s="1583">
        <f>ROUND(IF(AG17=0,0,AG17/ABS(AD17)),3)</f>
        <v>0.44600000000000001</v>
      </c>
      <c r="AJ17" s="1497"/>
      <c r="AK17" s="1497"/>
    </row>
    <row r="18" spans="1:37">
      <c r="A18" s="291"/>
      <c r="B18" s="616"/>
      <c r="C18" s="264"/>
      <c r="D18" s="616"/>
      <c r="E18" s="264"/>
      <c r="F18" s="616"/>
      <c r="G18" s="264"/>
      <c r="H18" s="616"/>
      <c r="I18" s="264"/>
      <c r="J18" s="616"/>
      <c r="K18" s="264"/>
      <c r="L18" s="616"/>
      <c r="M18" s="264"/>
      <c r="N18" s="616"/>
      <c r="O18" s="264"/>
      <c r="P18" s="616"/>
      <c r="Q18" s="264"/>
      <c r="R18" s="616"/>
      <c r="S18" s="264"/>
      <c r="T18" s="616"/>
      <c r="U18" s="264"/>
      <c r="V18" s="616"/>
      <c r="W18" s="264"/>
      <c r="X18" s="616"/>
      <c r="Y18" s="264"/>
      <c r="Z18" s="524"/>
      <c r="AA18" s="264"/>
      <c r="AB18" s="1234"/>
      <c r="AC18" s="264"/>
      <c r="AD18" s="264"/>
      <c r="AE18" s="264"/>
      <c r="AF18" s="1734"/>
      <c r="AG18" s="264"/>
      <c r="AJ18" s="1497"/>
      <c r="AK18" s="1497"/>
    </row>
    <row r="19" spans="1:37">
      <c r="A19" s="3" t="s">
        <v>427</v>
      </c>
      <c r="B19" s="13">
        <f>ROUND(SUM(B17),1)</f>
        <v>37.6</v>
      </c>
      <c r="C19" s="13"/>
      <c r="D19" s="13">
        <f>ROUND(SUM(D17),1)</f>
        <v>0</v>
      </c>
      <c r="E19" s="13"/>
      <c r="F19" s="13">
        <f>ROUND(SUM(F17),1)</f>
        <v>0</v>
      </c>
      <c r="G19" s="13"/>
      <c r="H19" s="13">
        <f>ROUND(SUM(H17),1)</f>
        <v>0</v>
      </c>
      <c r="I19" s="13"/>
      <c r="J19" s="13">
        <f>ROUND(SUM(J17),1)</f>
        <v>0</v>
      </c>
      <c r="K19" s="13"/>
      <c r="L19" s="13">
        <f>ROUND(SUM(L17),1)</f>
        <v>0</v>
      </c>
      <c r="M19" s="13"/>
      <c r="N19" s="13">
        <f>ROUND(SUM(N17),1)</f>
        <v>0</v>
      </c>
      <c r="O19" s="13"/>
      <c r="P19" s="13">
        <f>ROUND(SUM(P17),1)</f>
        <v>0</v>
      </c>
      <c r="Q19" s="13"/>
      <c r="R19" s="13">
        <f>ROUND(SUM(R17),1)</f>
        <v>0</v>
      </c>
      <c r="S19" s="13"/>
      <c r="T19" s="13">
        <f>ROUND(SUM(T17),1)</f>
        <v>0</v>
      </c>
      <c r="U19" s="13"/>
      <c r="V19" s="13">
        <f>ROUND(SUM(V17),1)</f>
        <v>0</v>
      </c>
      <c r="W19" s="13"/>
      <c r="X19" s="13">
        <f>ROUND(SUM(X17),1)</f>
        <v>0</v>
      </c>
      <c r="Y19" s="13"/>
      <c r="Z19" s="14"/>
      <c r="AA19" s="13">
        <f>ROUND(SUM(AA17),1)</f>
        <v>37.6</v>
      </c>
      <c r="AB19" s="1236"/>
      <c r="AC19" s="13"/>
      <c r="AD19" s="13">
        <f>ROUND(SUM(AD17),1)</f>
        <v>26</v>
      </c>
      <c r="AE19" s="264"/>
      <c r="AF19" s="1734"/>
      <c r="AG19" s="357">
        <f>ROUND(SUM(AG17),1)</f>
        <v>11.6</v>
      </c>
      <c r="AH19" s="40"/>
      <c r="AI19" s="522">
        <f>ROUND(IF(AG19=0,0,AG19/ABS(AD19)),3)</f>
        <v>0.44600000000000001</v>
      </c>
      <c r="AJ19" s="1497"/>
      <c r="AK19" s="1497"/>
    </row>
    <row r="20" spans="1:37">
      <c r="A20" s="291"/>
      <c r="B20" s="616"/>
      <c r="C20" s="264"/>
      <c r="D20" s="616"/>
      <c r="E20" s="264"/>
      <c r="F20" s="616"/>
      <c r="G20" s="264"/>
      <c r="H20" s="616"/>
      <c r="I20" s="264"/>
      <c r="J20" s="616"/>
      <c r="K20" s="264"/>
      <c r="L20" s="616"/>
      <c r="M20" s="264"/>
      <c r="N20" s="616"/>
      <c r="O20" s="264"/>
      <c r="P20" s="616"/>
      <c r="Q20" s="264"/>
      <c r="R20" s="616"/>
      <c r="S20" s="264"/>
      <c r="T20" s="616"/>
      <c r="U20" s="264"/>
      <c r="V20" s="616"/>
      <c r="W20" s="264"/>
      <c r="X20" s="616"/>
      <c r="Y20" s="264"/>
      <c r="Z20" s="524"/>
      <c r="AA20" s="616"/>
      <c r="AB20" s="1234"/>
      <c r="AC20" s="264"/>
      <c r="AD20" s="616"/>
      <c r="AE20" s="264"/>
      <c r="AF20" s="1734"/>
      <c r="AG20" s="264"/>
      <c r="AJ20" s="1497"/>
      <c r="AK20" s="1497"/>
    </row>
    <row r="21" spans="1:37">
      <c r="A21" s="291"/>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524"/>
      <c r="AA21" s="264"/>
      <c r="AB21" s="1234"/>
      <c r="AC21" s="264"/>
      <c r="AD21" s="264"/>
      <c r="AE21" s="289"/>
      <c r="AF21" s="403"/>
      <c r="AG21" s="264"/>
      <c r="AI21" s="923"/>
      <c r="AJ21" s="1497"/>
      <c r="AK21" s="1497"/>
    </row>
    <row r="22" spans="1:37">
      <c r="A22" s="3" t="s">
        <v>122</v>
      </c>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524"/>
      <c r="AA22" s="264"/>
      <c r="AB22" s="1234"/>
      <c r="AC22" s="264"/>
      <c r="AD22" s="264"/>
      <c r="AE22" s="275"/>
      <c r="AF22" s="403"/>
      <c r="AG22" s="264"/>
      <c r="AH22" s="1564"/>
      <c r="AI22" s="923"/>
      <c r="AJ22" s="1497"/>
      <c r="AK22" s="1497"/>
    </row>
    <row r="23" spans="1:37">
      <c r="A23" s="291" t="s">
        <v>453</v>
      </c>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524"/>
      <c r="AA23" s="275"/>
      <c r="AB23" s="1234"/>
      <c r="AC23" s="264"/>
      <c r="AD23" s="275"/>
      <c r="AE23" s="289"/>
      <c r="AF23" s="403"/>
      <c r="AG23" s="264"/>
      <c r="AI23" s="923"/>
      <c r="AJ23" s="1497"/>
      <c r="AK23" s="1497"/>
    </row>
    <row r="24" spans="1:37">
      <c r="A24" s="291" t="s">
        <v>592</v>
      </c>
      <c r="B24" s="264">
        <f>AA24</f>
        <v>14.6</v>
      </c>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524"/>
      <c r="AA24" s="532">
        <v>14.6</v>
      </c>
      <c r="AB24" s="264"/>
      <c r="AC24" s="525" t="s">
        <v>103</v>
      </c>
      <c r="AD24" s="532">
        <v>13.4</v>
      </c>
      <c r="AE24" s="16"/>
      <c r="AF24" s="403"/>
      <c r="AG24" s="264">
        <f>ROUND(SUM(AA24-AD24),1)</f>
        <v>1.2</v>
      </c>
      <c r="AI24" s="521">
        <f>ROUND(IF(AG24=0,0,AG24/ABS(AD24)),3)</f>
        <v>0.09</v>
      </c>
      <c r="AJ24" s="1497"/>
      <c r="AK24" s="1497"/>
    </row>
    <row r="25" spans="1:37">
      <c r="A25" s="291" t="s">
        <v>535</v>
      </c>
      <c r="B25" s="264">
        <f t="shared" ref="B25:B26" si="0">AA25</f>
        <v>67.3</v>
      </c>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524"/>
      <c r="AA25" s="532">
        <v>67.3</v>
      </c>
      <c r="AB25" s="264"/>
      <c r="AC25" s="525" t="s">
        <v>103</v>
      </c>
      <c r="AD25" s="532">
        <v>99.7</v>
      </c>
      <c r="AE25" s="264"/>
      <c r="AF25" s="1734"/>
      <c r="AG25" s="264">
        <f>ROUND(SUM(AA25-AD25),1)</f>
        <v>-32.4</v>
      </c>
      <c r="AI25" s="521">
        <f>ROUND(IF(AG25=0,0,AG25/ABS(AD25)),3)</f>
        <v>-0.32500000000000001</v>
      </c>
      <c r="AJ25" s="1497"/>
      <c r="AK25" s="1497"/>
    </row>
    <row r="26" spans="1:37">
      <c r="A26" s="291" t="s">
        <v>456</v>
      </c>
      <c r="B26" s="264">
        <f t="shared" si="0"/>
        <v>0</v>
      </c>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524"/>
      <c r="AA26" s="532">
        <v>0</v>
      </c>
      <c r="AB26" s="264"/>
      <c r="AC26" s="525" t="s">
        <v>103</v>
      </c>
      <c r="AD26" s="532">
        <v>0</v>
      </c>
      <c r="AE26" s="264"/>
      <c r="AF26" s="1734"/>
      <c r="AG26" s="383">
        <f>ROUND(SUM(AA26-AD26),1)</f>
        <v>0</v>
      </c>
      <c r="AI26" s="1568">
        <f>ROUND(IF(AG26=0,0,AG26/ABS(AD26)),3)</f>
        <v>0</v>
      </c>
      <c r="AJ26" s="1497"/>
      <c r="AK26" s="1497"/>
    </row>
    <row r="27" spans="1:37">
      <c r="A27" s="291"/>
      <c r="B27" s="616"/>
      <c r="C27" s="264"/>
      <c r="D27" s="616"/>
      <c r="E27" s="264"/>
      <c r="F27" s="616"/>
      <c r="G27" s="264"/>
      <c r="H27" s="616"/>
      <c r="I27" s="264"/>
      <c r="J27" s="616"/>
      <c r="K27" s="264"/>
      <c r="L27" s="616"/>
      <c r="M27" s="264"/>
      <c r="N27" s="616"/>
      <c r="O27" s="264"/>
      <c r="P27" s="616"/>
      <c r="Q27" s="264"/>
      <c r="R27" s="616"/>
      <c r="S27" s="264"/>
      <c r="T27" s="616"/>
      <c r="U27" s="264"/>
      <c r="V27" s="616"/>
      <c r="W27" s="264"/>
      <c r="X27" s="616"/>
      <c r="Y27" s="264"/>
      <c r="Z27" s="524"/>
      <c r="AA27" s="616"/>
      <c r="AB27" s="1234"/>
      <c r="AC27" s="264"/>
      <c r="AD27" s="616"/>
      <c r="AE27" s="26"/>
      <c r="AF27" s="403"/>
      <c r="AG27" s="264"/>
      <c r="AH27" s="268"/>
      <c r="AI27" s="923"/>
      <c r="AJ27" s="1497"/>
      <c r="AK27" s="1497"/>
    </row>
    <row r="28" spans="1:37">
      <c r="A28" s="3" t="s">
        <v>457</v>
      </c>
      <c r="B28" s="13">
        <f>ROUND(SUM(B24:B27),1)</f>
        <v>81.900000000000006</v>
      </c>
      <c r="C28" s="13"/>
      <c r="D28" s="13">
        <f>ROUND(SUM(D24:D27),1)</f>
        <v>0</v>
      </c>
      <c r="E28" s="13"/>
      <c r="F28" s="13">
        <f>ROUND(SUM(F24:F27),1)</f>
        <v>0</v>
      </c>
      <c r="G28" s="13"/>
      <c r="H28" s="13">
        <f>ROUND(SUM(H24:H27),1)</f>
        <v>0</v>
      </c>
      <c r="I28" s="13"/>
      <c r="J28" s="13">
        <f>ROUND(SUM(J24:J27),1)</f>
        <v>0</v>
      </c>
      <c r="K28" s="13"/>
      <c r="L28" s="13">
        <f>ROUND(SUM(L24:L27),1)</f>
        <v>0</v>
      </c>
      <c r="M28" s="13"/>
      <c r="N28" s="13">
        <f>ROUND(SUM(N24:N27),1)</f>
        <v>0</v>
      </c>
      <c r="O28" s="13"/>
      <c r="P28" s="13">
        <f>ROUND(SUM(P24:P27),1)</f>
        <v>0</v>
      </c>
      <c r="Q28" s="13"/>
      <c r="R28" s="13">
        <f>ROUND(SUM(R24:R27),1)</f>
        <v>0</v>
      </c>
      <c r="S28" s="13"/>
      <c r="T28" s="13">
        <f>ROUND(SUM(T24:T27),1)</f>
        <v>0</v>
      </c>
      <c r="U28" s="13"/>
      <c r="V28" s="13">
        <f>ROUND(SUM(V24:V27),1)</f>
        <v>0</v>
      </c>
      <c r="W28" s="13">
        <f>SUM(W24:W27)</f>
        <v>0</v>
      </c>
      <c r="X28" s="13">
        <f>ROUND(SUM(X24:X27),1)</f>
        <v>0</v>
      </c>
      <c r="Y28" s="13"/>
      <c r="Z28" s="14"/>
      <c r="AA28" s="13">
        <f>ROUND(SUM(AA24:AA27),1)</f>
        <v>81.900000000000006</v>
      </c>
      <c r="AB28" s="1236"/>
      <c r="AC28" s="13"/>
      <c r="AD28" s="13">
        <f>ROUND(SUM(AD24:AD27),1)</f>
        <v>113.1</v>
      </c>
      <c r="AE28" s="264"/>
      <c r="AF28" s="1743"/>
      <c r="AG28" s="357">
        <f>ROUND(SUM(AG24:AG26),1)</f>
        <v>-31.2</v>
      </c>
      <c r="AH28" s="40"/>
      <c r="AI28" s="522">
        <f>ROUND(IF(AG28=0,0,AG28/ABS(AD28)),3)</f>
        <v>-0.27600000000000002</v>
      </c>
      <c r="AJ28" s="1497"/>
      <c r="AK28" s="1497"/>
    </row>
    <row r="29" spans="1:37">
      <c r="A29" s="291"/>
      <c r="B29" s="616"/>
      <c r="C29" s="264"/>
      <c r="D29" s="616"/>
      <c r="E29" s="264"/>
      <c r="F29" s="616"/>
      <c r="G29" s="264"/>
      <c r="H29" s="616"/>
      <c r="I29" s="264"/>
      <c r="J29" s="616"/>
      <c r="K29" s="264"/>
      <c r="L29" s="616"/>
      <c r="M29" s="264"/>
      <c r="N29" s="616"/>
      <c r="O29" s="264"/>
      <c r="P29" s="616"/>
      <c r="Q29" s="264"/>
      <c r="R29" s="616"/>
      <c r="S29" s="264"/>
      <c r="T29" s="616"/>
      <c r="U29" s="264"/>
      <c r="V29" s="616"/>
      <c r="W29" s="264"/>
      <c r="X29" s="616"/>
      <c r="Y29" s="264"/>
      <c r="Z29" s="524"/>
      <c r="AA29" s="616"/>
      <c r="AB29" s="1234"/>
      <c r="AC29" s="264"/>
      <c r="AD29" s="616"/>
      <c r="AE29" s="264"/>
      <c r="AF29" s="1743"/>
      <c r="AG29" s="264"/>
      <c r="AJ29" s="1497"/>
      <c r="AK29" s="1497"/>
    </row>
    <row r="30" spans="1:37">
      <c r="A30" s="291"/>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524"/>
      <c r="AA30" s="264"/>
      <c r="AB30" s="1234"/>
      <c r="AC30" s="264"/>
      <c r="AD30" s="264"/>
      <c r="AE30" s="275"/>
      <c r="AF30" s="1743"/>
      <c r="AG30" s="264"/>
      <c r="AH30" s="1564"/>
      <c r="AI30" s="923"/>
      <c r="AJ30" s="1497"/>
      <c r="AK30" s="1497"/>
    </row>
    <row r="31" spans="1:37">
      <c r="A31" s="3" t="s">
        <v>458</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524"/>
      <c r="AA31" s="264"/>
      <c r="AB31" s="1234"/>
      <c r="AC31" s="264"/>
      <c r="AD31" s="264"/>
      <c r="AE31" s="16"/>
      <c r="AF31" s="1748"/>
      <c r="AG31" s="264"/>
      <c r="AH31" s="1564"/>
      <c r="AI31" s="923"/>
      <c r="AJ31" s="1497"/>
      <c r="AK31" s="1497"/>
    </row>
    <row r="32" spans="1:37">
      <c r="A32" s="3" t="s">
        <v>144</v>
      </c>
      <c r="B32" s="13">
        <f>ROUND(B19-B28,1)</f>
        <v>-44.3</v>
      </c>
      <c r="C32" s="13"/>
      <c r="D32" s="13">
        <f>ROUND(D19-D28,1)</f>
        <v>0</v>
      </c>
      <c r="E32" s="13"/>
      <c r="F32" s="13">
        <f>ROUND(F19-F28,1)</f>
        <v>0</v>
      </c>
      <c r="G32" s="13"/>
      <c r="H32" s="13">
        <f>ROUND(H19-H28,1)</f>
        <v>0</v>
      </c>
      <c r="I32" s="13"/>
      <c r="J32" s="13">
        <f>ROUND(J19-J28,1)</f>
        <v>0</v>
      </c>
      <c r="K32" s="13"/>
      <c r="L32" s="13">
        <f>ROUND(L19-L28,1)</f>
        <v>0</v>
      </c>
      <c r="M32" s="13"/>
      <c r="N32" s="13">
        <f>ROUND(N19-N28,1)</f>
        <v>0</v>
      </c>
      <c r="O32" s="13"/>
      <c r="P32" s="13">
        <f>ROUND(P19-P28,1)</f>
        <v>0</v>
      </c>
      <c r="Q32" s="13"/>
      <c r="R32" s="13">
        <f>ROUND(R19-R28,1)</f>
        <v>0</v>
      </c>
      <c r="S32" s="13"/>
      <c r="T32" s="13">
        <f>ROUND(T19-T28,1)</f>
        <v>0</v>
      </c>
      <c r="U32" s="13"/>
      <c r="V32" s="13">
        <f>ROUND(V19-V28,1)</f>
        <v>0</v>
      </c>
      <c r="W32" s="13"/>
      <c r="X32" s="13">
        <f>ROUND(X19-X28,1)</f>
        <v>0</v>
      </c>
      <c r="Y32" s="13"/>
      <c r="Z32" s="14"/>
      <c r="AA32" s="13">
        <f>ROUND(AA19-AA28,1)</f>
        <v>-44.3</v>
      </c>
      <c r="AB32" s="1236"/>
      <c r="AC32" s="13"/>
      <c r="AD32" s="13">
        <f>ROUND(AD19-AD28,1)</f>
        <v>-87.1</v>
      </c>
      <c r="AE32" s="264"/>
      <c r="AF32" s="1734"/>
      <c r="AG32" s="357">
        <f>ROUND(SUM(AG19-AG28),1)</f>
        <v>42.8</v>
      </c>
      <c r="AH32" s="40"/>
      <c r="AI32" s="677">
        <f>ROUND(IF(AG32=0,0,AG32/ABS(AD32)),3)</f>
        <v>0.49099999999999999</v>
      </c>
      <c r="AJ32" s="1497"/>
      <c r="AK32" s="1497"/>
    </row>
    <row r="33" spans="1:37">
      <c r="A33" s="291"/>
      <c r="B33" s="616"/>
      <c r="C33" s="264"/>
      <c r="D33" s="616"/>
      <c r="E33" s="264"/>
      <c r="F33" s="616"/>
      <c r="G33" s="264"/>
      <c r="H33" s="616"/>
      <c r="I33" s="264"/>
      <c r="J33" s="616"/>
      <c r="K33" s="264"/>
      <c r="L33" s="616"/>
      <c r="M33" s="264"/>
      <c r="N33" s="616"/>
      <c r="O33" s="264"/>
      <c r="P33" s="616"/>
      <c r="Q33" s="264"/>
      <c r="R33" s="616"/>
      <c r="S33" s="264"/>
      <c r="T33" s="616"/>
      <c r="U33" s="264"/>
      <c r="V33" s="616"/>
      <c r="W33" s="264"/>
      <c r="X33" s="616"/>
      <c r="Y33" s="264"/>
      <c r="Z33" s="524"/>
      <c r="AA33" s="616"/>
      <c r="AB33" s="1234"/>
      <c r="AC33" s="264"/>
      <c r="AD33" s="616"/>
      <c r="AE33" s="264"/>
      <c r="AF33" s="1734"/>
      <c r="AG33" s="264"/>
      <c r="AJ33" s="1497"/>
      <c r="AK33" s="1497"/>
    </row>
    <row r="34" spans="1:37">
      <c r="A34" s="291"/>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524"/>
      <c r="AA34" s="264"/>
      <c r="AB34" s="1234"/>
      <c r="AC34" s="264"/>
      <c r="AD34" s="264"/>
      <c r="AE34" s="26"/>
      <c r="AF34" s="92"/>
      <c r="AG34" s="264"/>
      <c r="AI34" s="923"/>
      <c r="AJ34" s="1497"/>
      <c r="AK34" s="1497"/>
    </row>
    <row r="35" spans="1:37">
      <c r="A35" s="3" t="s">
        <v>145</v>
      </c>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524"/>
      <c r="AA35" s="264"/>
      <c r="AB35" s="1234"/>
      <c r="AC35" s="264"/>
      <c r="AD35" s="264"/>
      <c r="AE35" s="20"/>
      <c r="AF35" s="404"/>
      <c r="AG35" s="274"/>
      <c r="AH35" s="380"/>
      <c r="AI35" s="923"/>
      <c r="AJ35" s="1497"/>
      <c r="AK35" s="1497"/>
    </row>
    <row r="36" spans="1:37">
      <c r="A36" s="291" t="s">
        <v>537</v>
      </c>
      <c r="B36" s="264">
        <f>AA36</f>
        <v>1.6</v>
      </c>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524"/>
      <c r="AA36" s="532">
        <v>1.6</v>
      </c>
      <c r="AB36" s="264"/>
      <c r="AC36" s="525" t="s">
        <v>103</v>
      </c>
      <c r="AD36" s="532">
        <v>1</v>
      </c>
      <c r="AE36" s="268"/>
      <c r="AF36" s="407"/>
      <c r="AG36" s="264">
        <f>ROUND(SUM(AA36-AD36),1)</f>
        <v>0.6</v>
      </c>
      <c r="AH36" s="1564"/>
      <c r="AI36" s="521">
        <f>ROUND(IF(AG36=0,0,AG36/ABS(AD36)),3)</f>
        <v>0.6</v>
      </c>
      <c r="AJ36" s="1497"/>
      <c r="AK36" s="1497"/>
    </row>
    <row r="37" spans="1:37">
      <c r="A37" s="291" t="s">
        <v>538</v>
      </c>
      <c r="B37" s="264">
        <v>0</v>
      </c>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524"/>
      <c r="AA37" s="532">
        <v>0</v>
      </c>
      <c r="AB37" s="264"/>
      <c r="AC37" s="525" t="s">
        <v>103</v>
      </c>
      <c r="AD37" s="532">
        <v>0</v>
      </c>
      <c r="AE37" s="268"/>
      <c r="AF37" s="407"/>
      <c r="AG37" s="1759">
        <f>-ROUND(SUM(AA37-AD37),1)</f>
        <v>0</v>
      </c>
      <c r="AH37" s="1564"/>
      <c r="AI37" s="1025">
        <f>ROUND(IF(AG37=0,0,AG37/ABS(AD37)),3)</f>
        <v>0</v>
      </c>
      <c r="AJ37" s="1497"/>
      <c r="AK37" s="1497"/>
    </row>
    <row r="38" spans="1:37">
      <c r="A38" s="291"/>
      <c r="B38" s="616"/>
      <c r="C38" s="264"/>
      <c r="D38" s="616"/>
      <c r="E38" s="264"/>
      <c r="F38" s="616"/>
      <c r="G38" s="264"/>
      <c r="H38" s="616"/>
      <c r="I38" s="264"/>
      <c r="J38" s="616"/>
      <c r="K38" s="264"/>
      <c r="L38" s="616"/>
      <c r="M38" s="264"/>
      <c r="N38" s="616"/>
      <c r="O38" s="264"/>
      <c r="P38" s="616"/>
      <c r="Q38" s="264"/>
      <c r="R38" s="616"/>
      <c r="S38" s="264"/>
      <c r="T38" s="616"/>
      <c r="U38" s="264"/>
      <c r="V38" s="616"/>
      <c r="W38" s="264"/>
      <c r="X38" s="616"/>
      <c r="Y38" s="264"/>
      <c r="Z38" s="524"/>
      <c r="AA38" s="1750"/>
      <c r="AB38" s="1234"/>
      <c r="AC38" s="264"/>
      <c r="AD38" s="1750"/>
      <c r="AE38" s="268"/>
      <c r="AF38" s="407"/>
      <c r="AJ38" s="1497"/>
      <c r="AK38" s="1497"/>
    </row>
    <row r="39" spans="1:37">
      <c r="A39" s="3" t="s">
        <v>587</v>
      </c>
      <c r="B39" s="13">
        <f>ROUND(SUM(B36:B38),1)</f>
        <v>1.6</v>
      </c>
      <c r="C39" s="13"/>
      <c r="D39" s="13">
        <f>ROUND(SUM(D36:D38),1)</f>
        <v>0</v>
      </c>
      <c r="E39" s="13"/>
      <c r="F39" s="13">
        <f>ROUND(SUM(F36:F38),1)</f>
        <v>0</v>
      </c>
      <c r="G39" s="13"/>
      <c r="H39" s="13">
        <f>ROUND(SUM(H36:H38),1)</f>
        <v>0</v>
      </c>
      <c r="I39" s="13"/>
      <c r="J39" s="13">
        <f>ROUND(SUM(J36:J38),1)</f>
        <v>0</v>
      </c>
      <c r="K39" s="13"/>
      <c r="L39" s="13">
        <f>ROUND(SUM(L36:L38),1)</f>
        <v>0</v>
      </c>
      <c r="M39" s="13"/>
      <c r="N39" s="13">
        <f>ROUND(SUM(N36:N38),1)</f>
        <v>0</v>
      </c>
      <c r="O39" s="13"/>
      <c r="P39" s="13">
        <f>ROUND(SUM(P36:P38),1)</f>
        <v>0</v>
      </c>
      <c r="Q39" s="13"/>
      <c r="R39" s="13">
        <f t="shared" ref="R39" si="1">ROUND(SUM(R36:R38),1)</f>
        <v>0</v>
      </c>
      <c r="S39" s="13"/>
      <c r="T39" s="13">
        <f>ROUND(SUM(T36:T38),1)</f>
        <v>0</v>
      </c>
      <c r="U39" s="13"/>
      <c r="V39" s="13">
        <f>ROUND(SUM(V36:V38),1)</f>
        <v>0</v>
      </c>
      <c r="W39" s="13"/>
      <c r="X39" s="13">
        <f>ROUND(SUM(X36:X38),1)</f>
        <v>0</v>
      </c>
      <c r="Y39" s="13"/>
      <c r="Z39" s="14"/>
      <c r="AA39" s="13">
        <f>ROUND(SUM(AA36:AA38),1)</f>
        <v>1.6</v>
      </c>
      <c r="AB39" s="1236"/>
      <c r="AC39" s="13"/>
      <c r="AD39" s="13">
        <f>ROUND(SUM(AD36:AD38),1)</f>
        <v>1</v>
      </c>
      <c r="AF39" s="403"/>
      <c r="AG39" s="357">
        <f>AA39-AD39</f>
        <v>0.60000000000000009</v>
      </c>
      <c r="AH39" s="52"/>
      <c r="AI39" s="522">
        <f>ROUND(IF(AG39=0,0,AG39/ABS(AD39)),3)</f>
        <v>0.6</v>
      </c>
      <c r="AJ39" s="1497"/>
      <c r="AK39" s="1497"/>
    </row>
    <row r="40" spans="1:37">
      <c r="A40" s="291"/>
      <c r="B40" s="616"/>
      <c r="C40" s="264"/>
      <c r="D40" s="616"/>
      <c r="E40" s="264"/>
      <c r="F40" s="616"/>
      <c r="G40" s="264"/>
      <c r="H40" s="616"/>
      <c r="I40" s="264"/>
      <c r="J40" s="616"/>
      <c r="K40" s="264"/>
      <c r="L40" s="616"/>
      <c r="M40" s="264"/>
      <c r="N40" s="616"/>
      <c r="O40" s="264"/>
      <c r="P40" s="616"/>
      <c r="Q40" s="264"/>
      <c r="R40" s="616"/>
      <c r="S40" s="264"/>
      <c r="T40" s="616"/>
      <c r="U40" s="264"/>
      <c r="V40" s="616"/>
      <c r="W40" s="264"/>
      <c r="X40" s="616"/>
      <c r="Y40" s="264"/>
      <c r="Z40" s="524"/>
      <c r="AA40" s="616"/>
      <c r="AB40" s="1234"/>
      <c r="AC40" s="264"/>
      <c r="AD40" s="616"/>
      <c r="AE40" s="268"/>
      <c r="AF40" s="407"/>
      <c r="AJ40" s="1497"/>
      <c r="AK40" s="1497"/>
    </row>
    <row r="41" spans="1:37">
      <c r="A41" s="291"/>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524"/>
      <c r="AA41" s="264"/>
      <c r="AB41" s="1234"/>
      <c r="AC41" s="264"/>
      <c r="AD41" s="264"/>
      <c r="AE41" s="268"/>
      <c r="AF41" s="407"/>
      <c r="AJ41" s="1497"/>
      <c r="AK41" s="1497"/>
    </row>
    <row r="42" spans="1:37">
      <c r="A42" s="3" t="s">
        <v>469</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524"/>
      <c r="AA42" s="264"/>
      <c r="AB42" s="1234"/>
      <c r="AC42" s="264"/>
      <c r="AD42" s="264"/>
      <c r="AE42" s="268"/>
      <c r="AF42" s="407"/>
      <c r="AJ42" s="1497"/>
      <c r="AK42" s="1497"/>
    </row>
    <row r="43" spans="1:37">
      <c r="A43" s="3" t="s">
        <v>594</v>
      </c>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524"/>
      <c r="AA43" s="264"/>
      <c r="AB43" s="1234"/>
      <c r="AC43" s="264"/>
      <c r="AD43" s="264"/>
      <c r="AE43" s="291"/>
      <c r="AF43" s="403"/>
      <c r="AJ43" s="1497"/>
      <c r="AK43" s="1497"/>
    </row>
    <row r="44" spans="1:37" s="15" customFormat="1">
      <c r="A44" s="3" t="s">
        <v>471</v>
      </c>
      <c r="B44" s="13">
        <f>ROUND(SUM(B32,B39),1)</f>
        <v>-42.7</v>
      </c>
      <c r="C44" s="13"/>
      <c r="D44" s="13">
        <f>ROUND(SUM(D32,D39),1)</f>
        <v>0</v>
      </c>
      <c r="E44" s="13"/>
      <c r="F44" s="13">
        <f>ROUND(SUM(F32,F39),1)</f>
        <v>0</v>
      </c>
      <c r="G44" s="13"/>
      <c r="H44" s="13">
        <f>ROUND(SUM(H32,H39),1)</f>
        <v>0</v>
      </c>
      <c r="I44" s="13"/>
      <c r="J44" s="13">
        <f>ROUND(SUM(J32,J39),1)</f>
        <v>0</v>
      </c>
      <c r="K44" s="13"/>
      <c r="L44" s="13">
        <f>ROUND(SUM(L32,L39),1)</f>
        <v>0</v>
      </c>
      <c r="M44" s="13"/>
      <c r="N44" s="13">
        <f>ROUND(SUM(N32,N39),1)</f>
        <v>0</v>
      </c>
      <c r="O44" s="13"/>
      <c r="P44" s="13">
        <f>ROUND(SUM(P32,P39),1)</f>
        <v>0</v>
      </c>
      <c r="Q44" s="13"/>
      <c r="R44" s="13">
        <f>ROUND(SUM(R32,R39),1)</f>
        <v>0</v>
      </c>
      <c r="S44" s="13"/>
      <c r="T44" s="13">
        <f>ROUND(SUM(T32,T39),1)</f>
        <v>0</v>
      </c>
      <c r="U44" s="13"/>
      <c r="V44" s="13">
        <f>ROUND(SUM(V32,V39),1)</f>
        <v>0</v>
      </c>
      <c r="W44" s="13"/>
      <c r="X44" s="13">
        <f>ROUND(SUM(X32,X39),1)</f>
        <v>0</v>
      </c>
      <c r="Y44" s="13"/>
      <c r="Z44" s="14"/>
      <c r="AA44" s="18">
        <f>ROUND(AA32+AA39,1)</f>
        <v>-42.7</v>
      </c>
      <c r="AB44" s="1236"/>
      <c r="AC44" s="13"/>
      <c r="AD44" s="18">
        <f>ROUND(AD32+AD39,1)</f>
        <v>-86.1</v>
      </c>
      <c r="AE44" s="107"/>
      <c r="AF44" s="403"/>
      <c r="AG44" s="357">
        <f>ROUND(SUM(AG32+AG39),1)</f>
        <v>43.4</v>
      </c>
      <c r="AH44" s="3"/>
      <c r="AI44" s="677">
        <f>ROUND(IF(AG44=0,0,AG44/ABS(AD44)),3)</f>
        <v>0.504</v>
      </c>
      <c r="AJ44" s="1497"/>
      <c r="AK44" s="1497"/>
    </row>
    <row r="45" spans="1:37">
      <c r="A45" s="291"/>
      <c r="B45" s="988"/>
      <c r="C45" s="291"/>
      <c r="D45" s="988"/>
      <c r="E45" s="291"/>
      <c r="F45" s="988"/>
      <c r="G45" s="291"/>
      <c r="H45" s="988"/>
      <c r="I45" s="291"/>
      <c r="J45" s="988"/>
      <c r="K45" s="291"/>
      <c r="L45" s="988"/>
      <c r="M45" s="291"/>
      <c r="N45" s="988"/>
      <c r="O45" s="291"/>
      <c r="P45" s="988"/>
      <c r="Q45" s="291"/>
      <c r="R45" s="988"/>
      <c r="S45" s="291"/>
      <c r="T45" s="988"/>
      <c r="U45" s="291"/>
      <c r="V45" s="988"/>
      <c r="W45" s="291"/>
      <c r="X45" s="988"/>
      <c r="Y45" s="291"/>
      <c r="Z45" s="855"/>
      <c r="AA45" s="988"/>
      <c r="AB45" s="1758"/>
      <c r="AC45" s="291"/>
      <c r="AD45" s="988"/>
      <c r="AF45" s="403"/>
      <c r="AJ45" s="1497"/>
      <c r="AK45" s="1497"/>
    </row>
    <row r="46" spans="1:37" ht="16" thickBot="1">
      <c r="A46" s="1218" t="s">
        <v>433</v>
      </c>
      <c r="B46" s="20">
        <f>ROUND(SUM(B14,B44),1)</f>
        <v>65.5</v>
      </c>
      <c r="C46" s="20"/>
      <c r="D46" s="20">
        <f>ROUND(SUM(D14,D44),1)</f>
        <v>0</v>
      </c>
      <c r="E46" s="20"/>
      <c r="F46" s="20">
        <f>ROUND(SUM(F14,F44),1)</f>
        <v>0</v>
      </c>
      <c r="G46" s="20"/>
      <c r="H46" s="20">
        <f>ROUND(SUM(H14,H44),1)</f>
        <v>0</v>
      </c>
      <c r="I46" s="20"/>
      <c r="J46" s="20">
        <f>ROUND(SUM(J14,J44),1)</f>
        <v>0</v>
      </c>
      <c r="K46" s="20"/>
      <c r="L46" s="20">
        <f>ROUND(SUM(L14,L44),1)</f>
        <v>0</v>
      </c>
      <c r="M46" s="20"/>
      <c r="N46" s="20">
        <f>ROUND(SUM(N14,N44),1)</f>
        <v>0</v>
      </c>
      <c r="O46" s="20"/>
      <c r="P46" s="20">
        <f>ROUND(SUM(P14,P44),1)</f>
        <v>0</v>
      </c>
      <c r="Q46" s="20"/>
      <c r="R46" s="70">
        <f>ROUND(SUM(R14,R44),1)</f>
        <v>0</v>
      </c>
      <c r="S46" s="20"/>
      <c r="T46" s="20">
        <f>ROUND(SUM(T14,T44),1)</f>
        <v>0</v>
      </c>
      <c r="U46" s="20"/>
      <c r="V46" s="20">
        <f>ROUND(SUM(V14,V44),1)</f>
        <v>0</v>
      </c>
      <c r="W46" s="20"/>
      <c r="X46" s="20">
        <f>ROUND(SUM(X14,X44),1)</f>
        <v>0</v>
      </c>
      <c r="Y46" s="20"/>
      <c r="Z46" s="21"/>
      <c r="AA46" s="20">
        <f>ROUND(SUM(AA14,AA44),1)</f>
        <v>65.5</v>
      </c>
      <c r="AB46" s="1243"/>
      <c r="AC46" s="20"/>
      <c r="AD46" s="20">
        <f>ROUND(SUM(AD14,AD44),1)</f>
        <v>21.9</v>
      </c>
      <c r="AF46" s="403"/>
      <c r="AG46" s="70">
        <f>ROUND(SUM(AA46-AD46),1)</f>
        <v>43.6</v>
      </c>
      <c r="AH46" s="380"/>
      <c r="AI46" s="1577">
        <f>ROUND(IF(AG46=0,0,AG46/ABS(AD46)),3)</f>
        <v>1.9910000000000001</v>
      </c>
      <c r="AJ46" s="1497"/>
      <c r="AK46" s="1497"/>
    </row>
    <row r="47" spans="1:37" ht="16" thickTop="1">
      <c r="A47" s="291"/>
      <c r="B47" s="1760"/>
      <c r="C47" s="291"/>
      <c r="D47" s="1760"/>
      <c r="E47" s="291"/>
      <c r="F47" s="1760"/>
      <c r="G47" s="291"/>
      <c r="H47" s="1760"/>
      <c r="I47" s="291"/>
      <c r="J47" s="1760"/>
      <c r="K47" s="291"/>
      <c r="L47" s="1760"/>
      <c r="M47" s="291"/>
      <c r="N47" s="1760"/>
      <c r="O47" s="291"/>
      <c r="P47" s="1760"/>
      <c r="Q47" s="291"/>
      <c r="R47" s="291"/>
      <c r="S47" s="291"/>
      <c r="T47" s="1760"/>
      <c r="U47" s="291"/>
      <c r="V47" s="1760"/>
      <c r="W47" s="291"/>
      <c r="X47" s="1760"/>
      <c r="Y47" s="291"/>
      <c r="Z47" s="291"/>
      <c r="AA47" s="1760"/>
      <c r="AB47" s="291"/>
      <c r="AC47" s="291"/>
      <c r="AD47" s="1760"/>
    </row>
    <row r="49" spans="1:1">
      <c r="A49" s="1584"/>
    </row>
    <row r="50" spans="1:1">
      <c r="A50" s="364"/>
    </row>
  </sheetData>
  <mergeCells count="1">
    <mergeCell ref="AA9:AI9"/>
  </mergeCells>
  <printOptions horizontalCentered="1"/>
  <pageMargins left="0.25" right="0.25" top="0.5" bottom="0.25" header="0" footer="0.25"/>
  <pageSetup scale="43" firstPageNumber="35" orientation="landscape" useFirstPageNumber="1" r:id="rId1"/>
  <headerFooter scaleWithDoc="0" alignWithMargins="0">
    <oddFooter>&amp;C&amp;8&amp;P</oddFooter>
  </headerFooter>
  <customProperties>
    <customPr name="SheetOptions" r:id="rId2"/>
  </customProperties>
  <ignoredErrors>
    <ignoredError sqref="W28"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K54"/>
  <sheetViews>
    <sheetView showGridLines="0" zoomScale="70" zoomScaleNormal="70" workbookViewId="0"/>
  </sheetViews>
  <sheetFormatPr defaultColWidth="8.84375" defaultRowHeight="15.5"/>
  <cols>
    <col min="1" max="1" width="41.07421875" style="291" customWidth="1"/>
    <col min="2" max="2" width="11.84375" style="291" customWidth="1"/>
    <col min="3" max="3" width="1.84375" style="291" customWidth="1"/>
    <col min="4" max="4" width="11.84375" style="291" customWidth="1"/>
    <col min="5" max="5" width="1.84375" style="291" customWidth="1"/>
    <col min="6" max="6" width="11.84375" style="291" customWidth="1"/>
    <col min="7" max="7" width="1.84375" style="291" customWidth="1"/>
    <col min="8" max="8" width="11.84375" style="291" customWidth="1"/>
    <col min="9" max="9" width="1.84375" style="291" customWidth="1"/>
    <col min="10" max="10" width="11.84375" style="291" customWidth="1"/>
    <col min="11" max="11" width="1.84375" style="291" customWidth="1"/>
    <col min="12" max="12" width="12.84375" style="291" customWidth="1"/>
    <col min="13" max="13" width="1.84375" style="291" customWidth="1"/>
    <col min="14" max="14" width="11.84375" style="291" customWidth="1"/>
    <col min="15" max="15" width="1.84375" style="291" customWidth="1"/>
    <col min="16" max="16" width="11.84375" style="291" customWidth="1"/>
    <col min="17" max="17" width="1.84375" style="291" customWidth="1"/>
    <col min="18" max="18" width="11.84375" style="291" customWidth="1"/>
    <col min="19" max="19" width="1.84375" style="291" customWidth="1"/>
    <col min="20" max="20" width="11.84375" style="291" customWidth="1"/>
    <col min="21" max="21" width="1.84375" style="291" customWidth="1"/>
    <col min="22" max="22" width="11.84375" style="291" customWidth="1"/>
    <col min="23" max="23" width="1.84375" style="291" customWidth="1"/>
    <col min="24" max="24" width="11.84375" style="291" customWidth="1"/>
    <col min="25" max="26" width="1.4609375" style="291" customWidth="1"/>
    <col min="27" max="27" width="12.07421875" style="291" customWidth="1"/>
    <col min="28" max="29" width="1.4609375" style="291" customWidth="1"/>
    <col min="30" max="30" width="12.07421875" style="291" customWidth="1"/>
    <col min="31" max="32" width="1.4609375" style="291" customWidth="1"/>
    <col min="33" max="33" width="11.84375" style="291" customWidth="1"/>
    <col min="34" max="34" width="1.84375" style="291" customWidth="1"/>
    <col min="35" max="35" width="11.84375" style="291" customWidth="1"/>
    <col min="36" max="37" width="9.07421875" style="291" bestFit="1" customWidth="1"/>
    <col min="38" max="16384" width="8.84375" style="291"/>
  </cols>
  <sheetData>
    <row r="1" spans="1:37">
      <c r="A1" s="265" t="s">
        <v>97</v>
      </c>
    </row>
    <row r="2" spans="1:37">
      <c r="A2" s="354"/>
    </row>
    <row r="3" spans="1:37">
      <c r="A3" s="3" t="s">
        <v>98</v>
      </c>
      <c r="K3" s="3"/>
      <c r="L3" s="3"/>
      <c r="AI3" s="1217" t="s">
        <v>598</v>
      </c>
    </row>
    <row r="4" spans="1:37">
      <c r="A4" s="1218" t="s">
        <v>219</v>
      </c>
      <c r="H4" s="3" t="s">
        <v>103</v>
      </c>
      <c r="K4" s="3"/>
      <c r="L4" s="3"/>
      <c r="X4" s="291" t="s">
        <v>103</v>
      </c>
    </row>
    <row r="5" spans="1:37">
      <c r="A5" s="6" t="s">
        <v>328</v>
      </c>
      <c r="K5" s="3"/>
      <c r="L5" s="3"/>
      <c r="AB5" s="1217"/>
      <c r="AC5" s="1217"/>
      <c r="AE5" s="1217"/>
    </row>
    <row r="6" spans="1:37">
      <c r="A6" s="6" t="str">
        <f>'Cashflow Governmental'!A6</f>
        <v>FISCAL YEAR 2026-2027</v>
      </c>
      <c r="K6" s="3"/>
      <c r="L6" s="3"/>
    </row>
    <row r="7" spans="1:37">
      <c r="A7" s="3" t="s">
        <v>102</v>
      </c>
      <c r="K7" s="3"/>
    </row>
    <row r="8" spans="1:37">
      <c r="A8" s="3"/>
      <c r="K8" s="3"/>
    </row>
    <row r="9" spans="1:37">
      <c r="A9" s="1218"/>
    </row>
    <row r="10" spans="1:37">
      <c r="B10" s="1497"/>
      <c r="H10" s="3"/>
      <c r="I10" s="3"/>
      <c r="J10" s="3"/>
      <c r="Z10" s="2066" t="str">
        <f>'Cashflow Governmental'!$AB$12</f>
        <v>1 Month Ended April 30</v>
      </c>
      <c r="AA10" s="2066"/>
      <c r="AB10" s="2066"/>
      <c r="AC10" s="2066"/>
      <c r="AD10" s="2066"/>
      <c r="AE10" s="2066"/>
      <c r="AF10" s="2066"/>
      <c r="AG10" s="2066"/>
      <c r="AH10" s="2066"/>
      <c r="AI10" s="2066"/>
    </row>
    <row r="11" spans="1:37">
      <c r="B11" s="314" t="str">
        <f>'Cashflow Governmental'!C13</f>
        <v>2026</v>
      </c>
      <c r="C11" s="3"/>
      <c r="D11" s="3"/>
      <c r="E11" s="3"/>
      <c r="F11" s="3"/>
      <c r="G11" s="3"/>
      <c r="H11" s="3"/>
      <c r="I11" s="3"/>
      <c r="J11" s="3"/>
      <c r="K11" s="3"/>
      <c r="L11" s="3"/>
      <c r="M11" s="3"/>
      <c r="N11" s="3"/>
      <c r="O11" s="3"/>
      <c r="P11" s="3"/>
      <c r="Q11" s="3"/>
      <c r="R11" s="3"/>
      <c r="S11" s="3"/>
      <c r="T11" s="314">
        <f>'Cashflow Governmental'!U13</f>
        <v>2027</v>
      </c>
      <c r="U11" s="3"/>
      <c r="V11" s="52"/>
      <c r="W11" s="3"/>
      <c r="X11" s="3"/>
      <c r="Y11" s="3"/>
      <c r="Z11" s="3"/>
      <c r="AA11" s="3"/>
      <c r="AB11" s="3"/>
      <c r="AC11" s="3"/>
      <c r="AD11" s="6"/>
      <c r="AE11" s="6"/>
      <c r="AF11" s="3"/>
      <c r="AG11" s="320" t="s">
        <v>110</v>
      </c>
      <c r="AH11" s="320"/>
      <c r="AI11" s="318" t="s">
        <v>111</v>
      </c>
    </row>
    <row r="12" spans="1:37">
      <c r="B12" s="1219" t="s">
        <v>329</v>
      </c>
      <c r="C12" s="3"/>
      <c r="D12" s="1219" t="s">
        <v>330</v>
      </c>
      <c r="E12" s="3"/>
      <c r="F12" s="1219" t="s">
        <v>331</v>
      </c>
      <c r="G12" s="3"/>
      <c r="H12" s="1219" t="s">
        <v>332</v>
      </c>
      <c r="I12" s="3"/>
      <c r="J12" s="1222" t="s">
        <v>599</v>
      </c>
      <c r="K12" s="3"/>
      <c r="L12" s="1222" t="s">
        <v>445</v>
      </c>
      <c r="M12" s="3"/>
      <c r="N12" s="1222" t="s">
        <v>446</v>
      </c>
      <c r="O12" s="3"/>
      <c r="P12" s="1219" t="s">
        <v>336</v>
      </c>
      <c r="Q12" s="3"/>
      <c r="R12" s="1219" t="s">
        <v>337</v>
      </c>
      <c r="S12" s="3"/>
      <c r="T12" s="1222" t="s">
        <v>338</v>
      </c>
      <c r="U12" s="3"/>
      <c r="V12" s="1219" t="s">
        <v>339</v>
      </c>
      <c r="W12" s="3"/>
      <c r="X12" s="1222" t="s">
        <v>447</v>
      </c>
      <c r="Y12" s="3"/>
      <c r="Z12" s="3"/>
      <c r="AA12" s="1219" t="str">
        <f>'Cashflow Governmental'!AB14</f>
        <v>2026</v>
      </c>
      <c r="AB12" s="52"/>
      <c r="AC12" s="52"/>
      <c r="AD12" s="1219" t="str">
        <f>'Cashflow Governmental'!AE14</f>
        <v>2025</v>
      </c>
      <c r="AE12" s="52"/>
      <c r="AF12" s="52"/>
      <c r="AG12" s="416" t="s">
        <v>112</v>
      </c>
      <c r="AH12" s="320"/>
      <c r="AI12" s="416" t="s">
        <v>113</v>
      </c>
    </row>
    <row r="13" spans="1:37" ht="7.4" customHeight="1">
      <c r="B13" s="52"/>
      <c r="C13" s="3"/>
      <c r="D13" s="52"/>
      <c r="E13" s="3"/>
      <c r="F13" s="52"/>
      <c r="G13" s="3"/>
      <c r="H13" s="52"/>
      <c r="I13" s="3"/>
      <c r="J13" s="314"/>
      <c r="K13" s="3"/>
      <c r="L13" s="314"/>
      <c r="M13" s="3"/>
      <c r="N13" s="314"/>
      <c r="O13" s="3"/>
      <c r="P13" s="52"/>
      <c r="Q13" s="3"/>
      <c r="R13" s="52"/>
      <c r="S13" s="3"/>
      <c r="T13" s="314"/>
      <c r="U13" s="3"/>
      <c r="V13" s="52"/>
      <c r="W13" s="3"/>
      <c r="X13" s="314"/>
      <c r="Y13" s="3"/>
      <c r="Z13" s="3"/>
      <c r="AA13" s="52"/>
      <c r="AB13" s="52"/>
      <c r="AC13" s="52"/>
      <c r="AD13" s="52"/>
      <c r="AE13" s="52"/>
      <c r="AF13" s="52"/>
      <c r="AG13" s="320"/>
      <c r="AH13" s="320"/>
      <c r="AI13" s="320"/>
    </row>
    <row r="14" spans="1:37">
      <c r="A14" s="3" t="s">
        <v>341</v>
      </c>
      <c r="B14" s="82">
        <v>2222.5</v>
      </c>
      <c r="C14" s="20"/>
      <c r="D14" s="93"/>
      <c r="E14" s="93"/>
      <c r="F14" s="93"/>
      <c r="G14" s="44"/>
      <c r="H14" s="93"/>
      <c r="I14" s="44"/>
      <c r="J14" s="93"/>
      <c r="K14" s="44"/>
      <c r="L14" s="93"/>
      <c r="M14" s="44"/>
      <c r="N14" s="93"/>
      <c r="O14" s="44"/>
      <c r="P14" s="93"/>
      <c r="Q14" s="93"/>
      <c r="R14" s="93"/>
      <c r="S14" s="93"/>
      <c r="T14" s="93"/>
      <c r="U14" s="93"/>
      <c r="V14" s="93"/>
      <c r="W14" s="93"/>
      <c r="X14" s="93"/>
      <c r="Y14" s="1724"/>
      <c r="Z14" s="1725"/>
      <c r="AA14" s="93">
        <f>B14</f>
        <v>2222.5</v>
      </c>
      <c r="AB14" s="1724"/>
      <c r="AC14" s="1723"/>
      <c r="AD14" s="1949">
        <v>1892.3</v>
      </c>
      <c r="AE14" s="1557"/>
      <c r="AF14" s="1726"/>
      <c r="AG14" s="20">
        <f>ROUND(SUM(AA14-AD14),1)</f>
        <v>330.2</v>
      </c>
      <c r="AI14" s="281">
        <f>ROUND(IF(AD14=0,1,AG14/ABS(AD14)),3)</f>
        <v>0.17399999999999999</v>
      </c>
      <c r="AJ14" s="1497"/>
      <c r="AK14" s="1497"/>
    </row>
    <row r="15" spans="1:37">
      <c r="F15" s="274"/>
      <c r="G15" s="274"/>
      <c r="H15" s="274"/>
      <c r="I15" s="425"/>
      <c r="J15" s="425"/>
      <c r="K15" s="274"/>
      <c r="L15" s="425"/>
      <c r="M15" s="425"/>
      <c r="N15" s="425"/>
      <c r="O15" s="425"/>
      <c r="P15" s="425"/>
      <c r="Q15" s="425"/>
      <c r="R15" s="425"/>
      <c r="S15" s="425"/>
      <c r="T15" s="425"/>
      <c r="U15" s="425"/>
      <c r="V15" s="425"/>
      <c r="W15" s="425"/>
      <c r="X15" s="425"/>
      <c r="Y15" s="1727"/>
      <c r="Z15" s="1728"/>
      <c r="AB15" s="1727"/>
      <c r="AC15" s="1559"/>
      <c r="AF15" s="1729"/>
      <c r="AJ15" s="1497"/>
      <c r="AK15" s="1497"/>
    </row>
    <row r="16" spans="1:37">
      <c r="A16" s="3" t="s">
        <v>114</v>
      </c>
      <c r="F16" s="274"/>
      <c r="G16" s="274"/>
      <c r="H16" s="274"/>
      <c r="I16" s="425"/>
      <c r="J16" s="425"/>
      <c r="K16" s="274"/>
      <c r="L16" s="425"/>
      <c r="M16" s="425"/>
      <c r="N16" s="425"/>
      <c r="O16" s="425"/>
      <c r="P16" s="425"/>
      <c r="Q16" s="425"/>
      <c r="R16" s="425"/>
      <c r="S16" s="425"/>
      <c r="T16" s="425"/>
      <c r="U16" s="425"/>
      <c r="V16" s="425"/>
      <c r="W16" s="425"/>
      <c r="X16" s="425"/>
      <c r="Y16" s="1727"/>
      <c r="Z16" s="1728"/>
      <c r="AB16" s="1727"/>
      <c r="AC16" s="1559"/>
      <c r="AF16" s="1729"/>
      <c r="AJ16" s="1497"/>
      <c r="AK16" s="1497"/>
    </row>
    <row r="17" spans="1:37" s="10" customFormat="1">
      <c r="A17" s="291" t="s">
        <v>590</v>
      </c>
      <c r="B17" s="264">
        <f>AA17</f>
        <v>16.3</v>
      </c>
      <c r="C17" s="264"/>
      <c r="D17" s="264"/>
      <c r="E17" s="264"/>
      <c r="F17" s="264"/>
      <c r="G17" s="264"/>
      <c r="H17" s="264"/>
      <c r="I17" s="264"/>
      <c r="J17" s="264"/>
      <c r="K17" s="264"/>
      <c r="L17" s="264"/>
      <c r="M17" s="264"/>
      <c r="N17" s="264"/>
      <c r="O17" s="264"/>
      <c r="P17" s="264"/>
      <c r="Q17" s="264"/>
      <c r="R17" s="264"/>
      <c r="S17" s="264"/>
      <c r="T17" s="264"/>
      <c r="U17" s="264"/>
      <c r="V17" s="264"/>
      <c r="W17" s="264"/>
      <c r="X17" s="264"/>
      <c r="Y17" s="264"/>
      <c r="Z17" s="524"/>
      <c r="AA17" s="986">
        <v>16.3</v>
      </c>
      <c r="AB17" s="264"/>
      <c r="AC17" s="525" t="s">
        <v>103</v>
      </c>
      <c r="AD17" s="986">
        <v>14.5</v>
      </c>
      <c r="AE17" s="26"/>
      <c r="AF17" s="1734"/>
      <c r="AG17" s="383">
        <f>ROUND(SUM(AA17-AD17),1)</f>
        <v>1.8</v>
      </c>
      <c r="AH17" s="291"/>
      <c r="AI17" s="1583">
        <f>ROUND(IF(AG17=0,0,AG17/ABS(AD17)),3)</f>
        <v>0.124</v>
      </c>
      <c r="AJ17" s="1632"/>
      <c r="AK17" s="1633"/>
    </row>
    <row r="18" spans="1:37" s="10" customFormat="1">
      <c r="A18" s="291"/>
      <c r="B18" s="616"/>
      <c r="C18" s="264"/>
      <c r="D18" s="616"/>
      <c r="E18" s="264"/>
      <c r="F18" s="616"/>
      <c r="G18" s="264"/>
      <c r="H18" s="616"/>
      <c r="I18" s="264"/>
      <c r="J18" s="616"/>
      <c r="K18" s="264"/>
      <c r="L18" s="616"/>
      <c r="M18" s="264"/>
      <c r="N18" s="616"/>
      <c r="O18" s="264"/>
      <c r="P18" s="616"/>
      <c r="Q18" s="264"/>
      <c r="R18" s="616"/>
      <c r="S18" s="264"/>
      <c r="T18" s="616"/>
      <c r="U18" s="264"/>
      <c r="V18" s="616"/>
      <c r="W18" s="264"/>
      <c r="X18" s="616"/>
      <c r="Y18" s="264"/>
      <c r="Z18" s="524"/>
      <c r="AA18" s="264"/>
      <c r="AB18" s="1234"/>
      <c r="AC18" s="264"/>
      <c r="AD18" s="264"/>
      <c r="AE18" s="264"/>
      <c r="AF18" s="1734"/>
      <c r="AG18" s="264"/>
      <c r="AH18" s="291"/>
      <c r="AI18" s="291"/>
      <c r="AJ18" s="1632"/>
      <c r="AK18" s="1633"/>
    </row>
    <row r="19" spans="1:37" s="10" customFormat="1">
      <c r="A19" s="3" t="s">
        <v>427</v>
      </c>
      <c r="B19" s="13">
        <f>ROUND(SUM(B17),1)</f>
        <v>16.3</v>
      </c>
      <c r="C19" s="13"/>
      <c r="D19" s="13">
        <f>ROUND(SUM(D17),1)</f>
        <v>0</v>
      </c>
      <c r="E19" s="13"/>
      <c r="F19" s="13">
        <f>ROUND(SUM(F17),1)</f>
        <v>0</v>
      </c>
      <c r="G19" s="13"/>
      <c r="H19" s="13">
        <f>ROUND(SUM(H17),1)</f>
        <v>0</v>
      </c>
      <c r="I19" s="13"/>
      <c r="J19" s="13">
        <f>ROUND(SUM(J17),1)</f>
        <v>0</v>
      </c>
      <c r="K19" s="13"/>
      <c r="L19" s="13">
        <f>ROUND(SUM(L17),1)</f>
        <v>0</v>
      </c>
      <c r="M19" s="13"/>
      <c r="N19" s="13">
        <f>ROUND(SUM(N17),1)</f>
        <v>0</v>
      </c>
      <c r="O19" s="13"/>
      <c r="P19" s="13">
        <f>ROUND(SUM(P17),1)</f>
        <v>0</v>
      </c>
      <c r="Q19" s="13"/>
      <c r="R19" s="13">
        <f>ROUND(SUM(R17),1)</f>
        <v>0</v>
      </c>
      <c r="S19" s="13"/>
      <c r="T19" s="13">
        <f>ROUND(SUM(T17),1)</f>
        <v>0</v>
      </c>
      <c r="U19" s="13"/>
      <c r="V19" s="13">
        <f>ROUND(SUM(V17),1)</f>
        <v>0</v>
      </c>
      <c r="W19" s="13"/>
      <c r="X19" s="13">
        <f>ROUND(SUM(X17),1)</f>
        <v>0</v>
      </c>
      <c r="Y19" s="13"/>
      <c r="Z19" s="14"/>
      <c r="AA19" s="13">
        <f>ROUND(SUM(AA17),1)</f>
        <v>16.3</v>
      </c>
      <c r="AB19" s="1236"/>
      <c r="AC19" s="13"/>
      <c r="AD19" s="13">
        <f>ROUND(SUM(AD17),1)</f>
        <v>14.5</v>
      </c>
      <c r="AE19" s="264"/>
      <c r="AF19" s="1734"/>
      <c r="AG19" s="357">
        <f>ROUND(SUM(AG17),1)</f>
        <v>1.8</v>
      </c>
      <c r="AH19" s="40"/>
      <c r="AI19" s="1570">
        <f>ROUND(IF(AG19=0,0,AG19/ABS(AD19)),3)</f>
        <v>0.124</v>
      </c>
      <c r="AJ19" s="1632"/>
      <c r="AK19" s="1633"/>
    </row>
    <row r="20" spans="1:37" s="10" customFormat="1">
      <c r="A20" s="291"/>
      <c r="B20" s="616"/>
      <c r="C20" s="264"/>
      <c r="D20" s="616"/>
      <c r="E20" s="264"/>
      <c r="F20" s="616"/>
      <c r="G20" s="264"/>
      <c r="H20" s="616"/>
      <c r="I20" s="264"/>
      <c r="J20" s="616"/>
      <c r="K20" s="264"/>
      <c r="L20" s="616"/>
      <c r="M20" s="264"/>
      <c r="N20" s="616"/>
      <c r="O20" s="264"/>
      <c r="P20" s="616"/>
      <c r="Q20" s="264"/>
      <c r="R20" s="616"/>
      <c r="S20" s="264"/>
      <c r="T20" s="616"/>
      <c r="U20" s="264"/>
      <c r="V20" s="616"/>
      <c r="W20" s="264"/>
      <c r="X20" s="616"/>
      <c r="Y20" s="264"/>
      <c r="Z20" s="524"/>
      <c r="AA20" s="616"/>
      <c r="AB20" s="1234"/>
      <c r="AC20" s="264"/>
      <c r="AD20" s="616"/>
      <c r="AE20" s="264"/>
      <c r="AF20" s="1734"/>
      <c r="AG20" s="264"/>
      <c r="AH20" s="291"/>
      <c r="AI20" s="291"/>
      <c r="AJ20" s="1632"/>
      <c r="AK20" s="1633"/>
    </row>
    <row r="21" spans="1:37">
      <c r="B21" s="264"/>
      <c r="C21" s="264"/>
      <c r="D21" s="264"/>
      <c r="E21" s="264"/>
      <c r="F21" s="264"/>
      <c r="G21" s="264"/>
      <c r="H21" s="412"/>
      <c r="I21" s="412"/>
      <c r="J21" s="412"/>
      <c r="K21" s="264"/>
      <c r="L21" s="412"/>
      <c r="M21" s="412"/>
      <c r="N21" s="412"/>
      <c r="O21" s="412"/>
      <c r="P21" s="412"/>
      <c r="Q21" s="412"/>
      <c r="R21" s="412"/>
      <c r="S21" s="412"/>
      <c r="T21" s="412"/>
      <c r="U21" s="412"/>
      <c r="V21" s="412"/>
      <c r="W21" s="412"/>
      <c r="X21" s="412"/>
      <c r="Y21" s="1732"/>
      <c r="Z21" s="1733"/>
      <c r="AA21" s="264"/>
      <c r="AB21" s="1732"/>
      <c r="AC21" s="412"/>
      <c r="AD21" s="264"/>
      <c r="AE21" s="264"/>
      <c r="AF21" s="1734"/>
      <c r="AG21" s="264"/>
      <c r="AJ21" s="1497"/>
      <c r="AK21" s="1497"/>
    </row>
    <row r="22" spans="1:37">
      <c r="A22" s="3" t="s">
        <v>122</v>
      </c>
      <c r="B22" s="264"/>
      <c r="C22" s="264"/>
      <c r="D22" s="264"/>
      <c r="E22" s="264"/>
      <c r="F22" s="264"/>
      <c r="G22" s="264"/>
      <c r="H22" s="412"/>
      <c r="I22" s="412"/>
      <c r="J22" s="412"/>
      <c r="K22" s="264"/>
      <c r="L22" s="412"/>
      <c r="M22" s="412"/>
      <c r="N22" s="412"/>
      <c r="O22" s="412"/>
      <c r="P22" s="412"/>
      <c r="Q22" s="412"/>
      <c r="R22" s="412"/>
      <c r="S22" s="412"/>
      <c r="T22" s="412"/>
      <c r="U22" s="412"/>
      <c r="V22" s="412"/>
      <c r="W22" s="412"/>
      <c r="X22" s="412"/>
      <c r="Y22" s="1732"/>
      <c r="Z22" s="1733"/>
      <c r="AA22" s="264"/>
      <c r="AB22" s="1732"/>
      <c r="AC22" s="412"/>
      <c r="AD22" s="264"/>
      <c r="AE22" s="264"/>
      <c r="AF22" s="1734"/>
      <c r="AG22" s="264"/>
      <c r="AJ22" s="1497"/>
      <c r="AK22" s="1497"/>
    </row>
    <row r="23" spans="1:37">
      <c r="A23" s="291" t="s">
        <v>453</v>
      </c>
      <c r="B23" s="275"/>
      <c r="C23" s="264"/>
      <c r="D23" s="264"/>
      <c r="E23" s="264"/>
      <c r="F23" s="264"/>
      <c r="G23" s="264"/>
      <c r="H23" s="412"/>
      <c r="I23" s="412"/>
      <c r="J23" s="412"/>
      <c r="K23" s="264"/>
      <c r="L23" s="412"/>
      <c r="M23" s="412"/>
      <c r="N23" s="412"/>
      <c r="O23" s="412"/>
      <c r="P23" s="412"/>
      <c r="Q23" s="412"/>
      <c r="R23" s="412"/>
      <c r="S23" s="412"/>
      <c r="T23" s="412"/>
      <c r="U23" s="412"/>
      <c r="V23" s="412"/>
      <c r="W23" s="412"/>
      <c r="X23" s="412"/>
      <c r="Y23" s="1732"/>
      <c r="Z23" s="1733"/>
      <c r="AA23" s="275"/>
      <c r="AB23" s="1741"/>
      <c r="AC23" s="1742"/>
      <c r="AD23" s="275"/>
      <c r="AE23" s="275"/>
      <c r="AF23" s="403"/>
      <c r="AG23" s="264"/>
      <c r="AJ23" s="1497"/>
      <c r="AK23" s="1497"/>
    </row>
    <row r="24" spans="1:37">
      <c r="A24" s="291" t="s">
        <v>592</v>
      </c>
      <c r="B24" s="287">
        <f>AA24</f>
        <v>8</v>
      </c>
      <c r="C24" s="264"/>
      <c r="D24" s="287"/>
      <c r="E24" s="264"/>
      <c r="F24" s="287"/>
      <c r="G24" s="264"/>
      <c r="H24" s="287"/>
      <c r="I24" s="412"/>
      <c r="J24" s="264"/>
      <c r="K24" s="264"/>
      <c r="L24" s="264"/>
      <c r="M24" s="412"/>
      <c r="N24" s="264"/>
      <c r="O24" s="412"/>
      <c r="P24" s="288"/>
      <c r="Q24" s="288"/>
      <c r="R24" s="288"/>
      <c r="S24" s="288"/>
      <c r="T24" s="288"/>
      <c r="U24" s="288"/>
      <c r="V24" s="288"/>
      <c r="W24" s="288"/>
      <c r="X24" s="288"/>
      <c r="Y24" s="1732"/>
      <c r="Z24" s="1733"/>
      <c r="AA24" s="532">
        <v>8</v>
      </c>
      <c r="AB24" s="264"/>
      <c r="AC24" s="525" t="s">
        <v>103</v>
      </c>
      <c r="AD24" s="532">
        <v>7.6</v>
      </c>
      <c r="AE24" s="289"/>
      <c r="AF24" s="403"/>
      <c r="AG24" s="264">
        <f>ROUND(SUM(AA24-AD24),1)</f>
        <v>0.4</v>
      </c>
      <c r="AI24" s="1585">
        <f>ROUND(IF(AG24=0,0,AG24/ABS(AD24)),3)</f>
        <v>5.2999999999999999E-2</v>
      </c>
      <c r="AJ24" s="1497"/>
      <c r="AK24" s="1497"/>
    </row>
    <row r="25" spans="1:37">
      <c r="A25" s="413" t="s">
        <v>510</v>
      </c>
      <c r="B25" s="287">
        <f t="shared" ref="B25:B26" si="0">AA25</f>
        <v>1.5</v>
      </c>
      <c r="C25" s="264"/>
      <c r="D25" s="287"/>
      <c r="E25" s="264"/>
      <c r="F25" s="287"/>
      <c r="G25" s="264"/>
      <c r="H25" s="287"/>
      <c r="I25" s="412"/>
      <c r="J25" s="264"/>
      <c r="K25" s="264"/>
      <c r="L25" s="264"/>
      <c r="M25" s="412"/>
      <c r="N25" s="264"/>
      <c r="O25" s="412"/>
      <c r="P25" s="288"/>
      <c r="Q25" s="412"/>
      <c r="R25" s="288"/>
      <c r="S25" s="412"/>
      <c r="T25" s="288"/>
      <c r="U25" s="412"/>
      <c r="V25" s="288"/>
      <c r="W25" s="412"/>
      <c r="X25" s="288"/>
      <c r="Y25" s="1732"/>
      <c r="Z25" s="1733"/>
      <c r="AA25" s="532">
        <v>1.5</v>
      </c>
      <c r="AB25" s="264"/>
      <c r="AC25" s="525" t="s">
        <v>103</v>
      </c>
      <c r="AD25" s="532">
        <v>0.6</v>
      </c>
      <c r="AE25" s="275"/>
      <c r="AF25" s="403"/>
      <c r="AG25" s="264">
        <f>ROUND(SUM(AA25-AD25),1)</f>
        <v>0.9</v>
      </c>
      <c r="AH25" s="1564"/>
      <c r="AI25" s="1585">
        <f>ROUND(IF(AG25=0,0,AG25/ABS(AD25)),3)</f>
        <v>1.5</v>
      </c>
      <c r="AJ25" s="1497"/>
      <c r="AK25" s="1497"/>
    </row>
    <row r="26" spans="1:37" s="10" customFormat="1">
      <c r="A26" s="291" t="s">
        <v>456</v>
      </c>
      <c r="B26" s="287">
        <f t="shared" si="0"/>
        <v>0</v>
      </c>
      <c r="C26" s="264"/>
      <c r="D26" s="287"/>
      <c r="E26" s="264"/>
      <c r="F26" s="287"/>
      <c r="G26" s="264"/>
      <c r="H26" s="287"/>
      <c r="I26" s="264"/>
      <c r="J26" s="264"/>
      <c r="K26" s="264"/>
      <c r="L26" s="264"/>
      <c r="M26" s="264"/>
      <c r="N26" s="264"/>
      <c r="O26" s="264"/>
      <c r="P26" s="288"/>
      <c r="Q26" s="264"/>
      <c r="R26" s="288"/>
      <c r="S26" s="264"/>
      <c r="T26" s="288"/>
      <c r="U26" s="264"/>
      <c r="V26" s="288"/>
      <c r="W26" s="264"/>
      <c r="X26" s="288"/>
      <c r="Y26" s="264"/>
      <c r="Z26" s="524"/>
      <c r="AA26" s="532">
        <v>0</v>
      </c>
      <c r="AB26" s="264"/>
      <c r="AC26" s="525" t="s">
        <v>103</v>
      </c>
      <c r="AD26" s="532">
        <v>0</v>
      </c>
      <c r="AE26" s="264"/>
      <c r="AF26" s="1734"/>
      <c r="AG26" s="383">
        <f>ROUND(SUM(AA26-AD26),1)</f>
        <v>0</v>
      </c>
      <c r="AH26" s="291"/>
      <c r="AI26" s="1583">
        <f>ROUND(IF(AG26=0,0,AG26/ABS(AD26)),3)</f>
        <v>0</v>
      </c>
      <c r="AJ26" s="1497"/>
      <c r="AK26" s="1491"/>
    </row>
    <row r="27" spans="1:37" s="10" customFormat="1">
      <c r="A27" s="291"/>
      <c r="B27" s="616"/>
      <c r="C27" s="264"/>
      <c r="D27" s="616"/>
      <c r="E27" s="264"/>
      <c r="F27" s="616"/>
      <c r="G27" s="264"/>
      <c r="H27" s="616"/>
      <c r="I27" s="264"/>
      <c r="J27" s="616"/>
      <c r="K27" s="264"/>
      <c r="L27" s="616"/>
      <c r="M27" s="264"/>
      <c r="N27" s="616"/>
      <c r="O27" s="264"/>
      <c r="P27" s="616"/>
      <c r="Q27" s="264"/>
      <c r="R27" s="616"/>
      <c r="S27" s="264"/>
      <c r="T27" s="616"/>
      <c r="U27" s="264"/>
      <c r="V27" s="616"/>
      <c r="W27" s="264"/>
      <c r="X27" s="616"/>
      <c r="Y27" s="264"/>
      <c r="Z27" s="524"/>
      <c r="AA27" s="616"/>
      <c r="AB27" s="1234"/>
      <c r="AC27" s="264"/>
      <c r="AD27" s="616"/>
      <c r="AE27" s="26"/>
      <c r="AF27" s="403"/>
      <c r="AG27" s="264"/>
      <c r="AH27" s="268"/>
      <c r="AI27" s="1567"/>
      <c r="AJ27" s="1497"/>
      <c r="AK27" s="1491"/>
    </row>
    <row r="28" spans="1:37" s="10" customFormat="1">
      <c r="A28" s="3" t="s">
        <v>457</v>
      </c>
      <c r="B28" s="13">
        <f>ROUND(SUM(B24)+SUM(B25)+SUM(B26),1)</f>
        <v>9.5</v>
      </c>
      <c r="C28" s="13"/>
      <c r="D28" s="13">
        <f>ROUND(SUM(D24)+SUM(D25)+SUM(D26),1)</f>
        <v>0</v>
      </c>
      <c r="E28" s="13"/>
      <c r="F28" s="13">
        <f>ROUND(SUM(F24)+SUM(F25)+SUM(F26),1)</f>
        <v>0</v>
      </c>
      <c r="G28" s="13"/>
      <c r="H28" s="13">
        <f>ROUND(SUM(H24)+SUM(H25)+SUM(H26),1)</f>
        <v>0</v>
      </c>
      <c r="I28" s="13"/>
      <c r="J28" s="13">
        <f>ROUND(SUM(J24)+SUM(J25)+SUM(J26),1)</f>
        <v>0</v>
      </c>
      <c r="K28" s="13"/>
      <c r="L28" s="13">
        <f>ROUND(SUM(L24)+SUM(L25)+SUM(L26),1)</f>
        <v>0</v>
      </c>
      <c r="M28" s="13"/>
      <c r="N28" s="13">
        <f>ROUND(SUM(N24)+SUM(N25)+SUM(N26),1)</f>
        <v>0</v>
      </c>
      <c r="O28" s="13"/>
      <c r="P28" s="13">
        <f>ROUND(SUM(P24)+SUM(P25)+SUM(P26),1)</f>
        <v>0</v>
      </c>
      <c r="Q28" s="13"/>
      <c r="R28" s="13">
        <f>ROUND(SUM(R24)+SUM(R25)+SUM(R26),1)</f>
        <v>0</v>
      </c>
      <c r="S28" s="13"/>
      <c r="T28" s="13">
        <f>ROUND(SUM(T24)+SUM(T25)+SUM(T26),1)</f>
        <v>0</v>
      </c>
      <c r="U28" s="13"/>
      <c r="V28" s="13">
        <f>ROUND(SUM(V24)+SUM(V25)+SUM(V26),1)</f>
        <v>0</v>
      </c>
      <c r="W28" s="13"/>
      <c r="X28" s="13">
        <f>ROUND(SUM(X24)+SUM(X25)+SUM(X26),1)</f>
        <v>0</v>
      </c>
      <c r="Y28" s="13"/>
      <c r="Z28" s="14"/>
      <c r="AA28" s="13">
        <f>ROUND(SUM(AA24)+SUM(AA25)+SUM(AA26),1)</f>
        <v>9.5</v>
      </c>
      <c r="AB28" s="1236"/>
      <c r="AC28" s="13"/>
      <c r="AD28" s="13">
        <f>ROUND(SUM(AD24)+SUM(AD25)+SUM(AD26),1)</f>
        <v>8.1999999999999993</v>
      </c>
      <c r="AE28" s="264"/>
      <c r="AF28" s="1743"/>
      <c r="AG28" s="357">
        <f>ROUND(SUM(AG24:AG26),1)</f>
        <v>1.3</v>
      </c>
      <c r="AH28" s="40"/>
      <c r="AI28" s="1570">
        <f>ROUND(IF(AG28=0,0,AG28/ABS(AD28)),3)</f>
        <v>0.159</v>
      </c>
      <c r="AJ28" s="1497"/>
      <c r="AK28" s="1491"/>
    </row>
    <row r="29" spans="1:37" s="10" customFormat="1">
      <c r="A29" s="291"/>
      <c r="B29" s="616"/>
      <c r="C29" s="264"/>
      <c r="D29" s="616"/>
      <c r="E29" s="264"/>
      <c r="F29" s="616"/>
      <c r="G29" s="264"/>
      <c r="H29" s="616"/>
      <c r="I29" s="264"/>
      <c r="J29" s="616"/>
      <c r="K29" s="264"/>
      <c r="L29" s="616"/>
      <c r="M29" s="264"/>
      <c r="N29" s="616"/>
      <c r="O29" s="264"/>
      <c r="P29" s="616"/>
      <c r="Q29" s="264"/>
      <c r="R29" s="616"/>
      <c r="S29" s="264"/>
      <c r="T29" s="616"/>
      <c r="U29" s="264"/>
      <c r="V29" s="616"/>
      <c r="W29" s="264"/>
      <c r="X29" s="616"/>
      <c r="Y29" s="264"/>
      <c r="Z29" s="524"/>
      <c r="AA29" s="616"/>
      <c r="AB29" s="1234"/>
      <c r="AC29" s="264"/>
      <c r="AD29" s="616"/>
      <c r="AE29" s="264"/>
      <c r="AF29" s="1743"/>
      <c r="AG29" s="264"/>
      <c r="AH29" s="291"/>
      <c r="AI29" s="291"/>
      <c r="AJ29" s="1497"/>
      <c r="AK29" s="1491"/>
    </row>
    <row r="30" spans="1:37">
      <c r="B30" s="264"/>
      <c r="C30" s="264"/>
      <c r="D30" s="264"/>
      <c r="E30" s="264"/>
      <c r="F30" s="264"/>
      <c r="G30" s="264"/>
      <c r="H30" s="412"/>
      <c r="I30" s="412"/>
      <c r="J30" s="412"/>
      <c r="K30" s="264"/>
      <c r="L30" s="412"/>
      <c r="M30" s="412"/>
      <c r="N30" s="412"/>
      <c r="O30" s="412"/>
      <c r="P30" s="412"/>
      <c r="Q30" s="412"/>
      <c r="R30" s="412"/>
      <c r="S30" s="412"/>
      <c r="T30" s="412"/>
      <c r="U30" s="412"/>
      <c r="V30" s="412"/>
      <c r="W30" s="412"/>
      <c r="X30" s="412"/>
      <c r="Y30" s="1732"/>
      <c r="Z30" s="1733"/>
      <c r="AA30" s="264"/>
      <c r="AB30" s="1732"/>
      <c r="AC30" s="412"/>
      <c r="AD30" s="264"/>
      <c r="AE30" s="264"/>
      <c r="AF30" s="1734"/>
      <c r="AG30" s="264"/>
      <c r="AJ30" s="1634"/>
      <c r="AK30" s="1634"/>
    </row>
    <row r="31" spans="1:37">
      <c r="A31" s="3" t="s">
        <v>458</v>
      </c>
      <c r="B31" s="264"/>
      <c r="C31" s="264"/>
      <c r="D31" s="264"/>
      <c r="E31" s="264"/>
      <c r="F31" s="264"/>
      <c r="G31" s="264"/>
      <c r="H31" s="412"/>
      <c r="I31" s="412"/>
      <c r="J31" s="412"/>
      <c r="K31" s="264"/>
      <c r="L31" s="412"/>
      <c r="M31" s="412"/>
      <c r="N31" s="412"/>
      <c r="O31" s="412"/>
      <c r="P31" s="412"/>
      <c r="Q31" s="412"/>
      <c r="R31" s="412"/>
      <c r="S31" s="412"/>
      <c r="T31" s="412"/>
      <c r="U31" s="412"/>
      <c r="V31" s="412"/>
      <c r="W31" s="412"/>
      <c r="X31" s="412"/>
      <c r="Y31" s="1732"/>
      <c r="Z31" s="1733"/>
      <c r="AA31" s="264"/>
      <c r="AB31" s="1732"/>
      <c r="AC31" s="412"/>
      <c r="AD31" s="264"/>
      <c r="AE31" s="264"/>
      <c r="AF31" s="1734"/>
      <c r="AG31" s="264"/>
      <c r="AJ31" s="1497"/>
      <c r="AK31" s="1497"/>
    </row>
    <row r="32" spans="1:37">
      <c r="A32" s="3" t="s">
        <v>144</v>
      </c>
      <c r="B32" s="1757">
        <f>ROUND(B19-B28,1)</f>
        <v>6.8</v>
      </c>
      <c r="C32" s="13"/>
      <c r="D32" s="1757">
        <f>ROUND(D19-D28,1)</f>
        <v>0</v>
      </c>
      <c r="E32" s="13"/>
      <c r="F32" s="1757">
        <f>ROUND(F19-F28,1)</f>
        <v>0</v>
      </c>
      <c r="G32" s="13"/>
      <c r="H32" s="1757">
        <f>ROUND(H19-H28,1)</f>
        <v>0</v>
      </c>
      <c r="I32" s="13"/>
      <c r="J32" s="1757">
        <f>ROUND(J19-J28,1)</f>
        <v>0</v>
      </c>
      <c r="K32" s="13"/>
      <c r="L32" s="1757">
        <f>ROUND(L19-L28,1)</f>
        <v>0</v>
      </c>
      <c r="M32" s="1736"/>
      <c r="N32" s="1757">
        <f>ROUND(N19-N28,1)</f>
        <v>0</v>
      </c>
      <c r="O32" s="1736"/>
      <c r="P32" s="1757">
        <f>ROUND(P19-P28,1)</f>
        <v>0</v>
      </c>
      <c r="Q32" s="394"/>
      <c r="R32" s="1757">
        <f>ROUND(R19-R28,1)</f>
        <v>0</v>
      </c>
      <c r="S32" s="1736"/>
      <c r="T32" s="1757">
        <f>ROUND(T19-T28,1)</f>
        <v>0</v>
      </c>
      <c r="U32" s="1736"/>
      <c r="V32" s="1757">
        <f>ROUND(V19-V28,1)</f>
        <v>0</v>
      </c>
      <c r="W32" s="1736"/>
      <c r="X32" s="1757">
        <f>ROUND(X19-X28,1)</f>
        <v>0</v>
      </c>
      <c r="Y32" s="1737"/>
      <c r="Z32" s="1738"/>
      <c r="AA32" s="1744">
        <f>ROUND(AA19-AA28,1)</f>
        <v>6.8</v>
      </c>
      <c r="AB32" s="1737"/>
      <c r="AC32" s="1736"/>
      <c r="AD32" s="1744">
        <f>ROUND(AD19-AD28,1)</f>
        <v>6.3</v>
      </c>
      <c r="AE32" s="26"/>
      <c r="AF32" s="403"/>
      <c r="AG32" s="1746">
        <f>ROUND(SUM(AA32-AD32),1)</f>
        <v>0.5</v>
      </c>
      <c r="AI32" s="1752">
        <f>ROUND(IF(AD32=0,1,AG32/ABS(AD32)),3)</f>
        <v>7.9000000000000001E-2</v>
      </c>
      <c r="AJ32" s="1497"/>
      <c r="AK32" s="1497"/>
    </row>
    <row r="33" spans="1:37">
      <c r="A33" s="3"/>
      <c r="B33" s="394"/>
      <c r="C33" s="13"/>
      <c r="D33" s="394"/>
      <c r="E33" s="13"/>
      <c r="F33" s="394"/>
      <c r="G33" s="13"/>
      <c r="H33" s="394"/>
      <c r="I33" s="13"/>
      <c r="J33" s="394"/>
      <c r="K33" s="13"/>
      <c r="L33" s="394"/>
      <c r="M33" s="1736"/>
      <c r="N33" s="394"/>
      <c r="O33" s="1736"/>
      <c r="P33" s="394"/>
      <c r="Q33" s="394"/>
      <c r="R33" s="394"/>
      <c r="S33" s="1736"/>
      <c r="T33" s="394"/>
      <c r="U33" s="1736"/>
      <c r="V33" s="394"/>
      <c r="W33" s="1736"/>
      <c r="X33" s="394"/>
      <c r="Y33" s="1737"/>
      <c r="Z33" s="1738"/>
      <c r="AA33" s="26"/>
      <c r="AB33" s="1737"/>
      <c r="AC33" s="1736"/>
      <c r="AD33" s="26"/>
      <c r="AE33" s="26"/>
      <c r="AF33" s="403"/>
      <c r="AG33" s="13"/>
      <c r="AI33" s="544"/>
      <c r="AJ33" s="1497"/>
      <c r="AK33" s="1497"/>
    </row>
    <row r="34" spans="1:37">
      <c r="B34" s="264"/>
      <c r="C34" s="264"/>
      <c r="D34" s="264"/>
      <c r="E34" s="264"/>
      <c r="F34" s="264"/>
      <c r="G34" s="264"/>
      <c r="H34" s="412"/>
      <c r="I34" s="412"/>
      <c r="J34" s="412"/>
      <c r="K34" s="264"/>
      <c r="L34" s="412"/>
      <c r="M34" s="412"/>
      <c r="N34" s="412"/>
      <c r="O34" s="412"/>
      <c r="P34" s="412"/>
      <c r="Q34" s="412"/>
      <c r="R34" s="412"/>
      <c r="S34" s="412"/>
      <c r="T34" s="412"/>
      <c r="U34" s="412"/>
      <c r="V34" s="412"/>
      <c r="W34" s="412"/>
      <c r="X34" s="412"/>
      <c r="Y34" s="1732"/>
      <c r="Z34" s="1733"/>
      <c r="AA34" s="264"/>
      <c r="AB34" s="1732"/>
      <c r="AC34" s="412"/>
      <c r="AD34" s="264"/>
      <c r="AE34" s="264"/>
      <c r="AF34" s="1743"/>
      <c r="AG34" s="264"/>
      <c r="AJ34" s="1497"/>
      <c r="AK34" s="1497"/>
    </row>
    <row r="35" spans="1:37">
      <c r="A35" s="3" t="s">
        <v>145</v>
      </c>
      <c r="B35" s="264"/>
      <c r="C35" s="264"/>
      <c r="D35" s="264"/>
      <c r="E35" s="264"/>
      <c r="F35" s="264"/>
      <c r="G35" s="264"/>
      <c r="H35" s="412"/>
      <c r="I35" s="412"/>
      <c r="J35" s="412"/>
      <c r="K35" s="264"/>
      <c r="L35" s="412"/>
      <c r="M35" s="412"/>
      <c r="N35" s="412"/>
      <c r="O35" s="412"/>
      <c r="P35" s="412"/>
      <c r="Q35" s="412"/>
      <c r="R35" s="412"/>
      <c r="S35" s="412"/>
      <c r="T35" s="412"/>
      <c r="U35" s="412"/>
      <c r="V35" s="412"/>
      <c r="W35" s="412"/>
      <c r="X35" s="412"/>
      <c r="Y35" s="1732"/>
      <c r="Z35" s="1733"/>
      <c r="AA35" s="264"/>
      <c r="AB35" s="1732"/>
      <c r="AC35" s="412"/>
      <c r="AD35" s="264"/>
      <c r="AE35" s="264"/>
      <c r="AF35" s="1743"/>
      <c r="AG35" s="264"/>
      <c r="AJ35" s="1497"/>
      <c r="AK35" s="1497"/>
    </row>
    <row r="36" spans="1:37">
      <c r="A36" s="291" t="s">
        <v>537</v>
      </c>
      <c r="B36" s="287">
        <f>AA36</f>
        <v>0</v>
      </c>
      <c r="C36" s="264"/>
      <c r="D36" s="287"/>
      <c r="E36" s="264"/>
      <c r="F36" s="287"/>
      <c r="G36" s="264"/>
      <c r="H36" s="287"/>
      <c r="I36" s="412"/>
      <c r="J36" s="264"/>
      <c r="K36" s="264"/>
      <c r="L36" s="264"/>
      <c r="M36" s="412"/>
      <c r="N36" s="264"/>
      <c r="O36" s="412"/>
      <c r="P36" s="288"/>
      <c r="Q36" s="412"/>
      <c r="R36" s="288"/>
      <c r="S36" s="412"/>
      <c r="T36" s="288"/>
      <c r="U36" s="412"/>
      <c r="V36" s="288"/>
      <c r="W36" s="412"/>
      <c r="X36" s="288"/>
      <c r="Y36" s="1732"/>
      <c r="Z36" s="1733"/>
      <c r="AA36" s="532">
        <v>0</v>
      </c>
      <c r="AB36" s="264"/>
      <c r="AC36" s="525" t="s">
        <v>103</v>
      </c>
      <c r="AD36" s="532">
        <v>0</v>
      </c>
      <c r="AE36" s="275"/>
      <c r="AF36" s="1748"/>
      <c r="AG36" s="264">
        <f>ROUND(SUM(AA36-AD36),1)</f>
        <v>0</v>
      </c>
      <c r="AH36" s="1564"/>
      <c r="AI36" s="1585">
        <f>ROUND(IF(AG36=0,0,AG36/ABS(AD36)),3)</f>
        <v>0</v>
      </c>
      <c r="AJ36" s="1497"/>
      <c r="AK36" s="1497"/>
    </row>
    <row r="37" spans="1:37" s="10" customFormat="1">
      <c r="A37" s="291" t="s">
        <v>538</v>
      </c>
      <c r="B37" s="287">
        <f>AA37</f>
        <v>0</v>
      </c>
      <c r="C37" s="264"/>
      <c r="D37" s="287"/>
      <c r="E37" s="264"/>
      <c r="F37" s="287"/>
      <c r="G37" s="264"/>
      <c r="H37" s="287"/>
      <c r="I37" s="264"/>
      <c r="J37" s="264"/>
      <c r="K37" s="264"/>
      <c r="L37" s="264"/>
      <c r="M37" s="264"/>
      <c r="N37" s="264"/>
      <c r="O37" s="264"/>
      <c r="P37" s="288"/>
      <c r="Q37" s="264"/>
      <c r="R37" s="288"/>
      <c r="S37" s="264"/>
      <c r="T37" s="288"/>
      <c r="U37" s="264"/>
      <c r="V37" s="288"/>
      <c r="W37" s="264"/>
      <c r="X37" s="288"/>
      <c r="Y37" s="264"/>
      <c r="Z37" s="524"/>
      <c r="AA37" s="532">
        <v>0</v>
      </c>
      <c r="AB37" s="264"/>
      <c r="AC37" s="525" t="s">
        <v>103</v>
      </c>
      <c r="AD37" s="532">
        <v>0</v>
      </c>
      <c r="AE37" s="268"/>
      <c r="AF37" s="407"/>
      <c r="AG37" s="1749">
        <f>ROUND(SUM(AA37-AD37),1)</f>
        <v>0</v>
      </c>
      <c r="AH37" s="1564"/>
      <c r="AI37" s="1025">
        <f>ROUND(IF(AG37=0,0,AG37/ABS(AD37)),3)</f>
        <v>0</v>
      </c>
      <c r="AJ37" s="1497"/>
      <c r="AK37" s="1491"/>
    </row>
    <row r="38" spans="1:37" s="10" customFormat="1">
      <c r="A38" s="291"/>
      <c r="B38" s="616"/>
      <c r="C38" s="264"/>
      <c r="D38" s="616"/>
      <c r="E38" s="264"/>
      <c r="F38" s="616"/>
      <c r="G38" s="264"/>
      <c r="H38" s="616"/>
      <c r="I38" s="264"/>
      <c r="J38" s="616"/>
      <c r="K38" s="264"/>
      <c r="L38" s="616"/>
      <c r="M38" s="264"/>
      <c r="N38" s="616"/>
      <c r="O38" s="264"/>
      <c r="P38" s="616"/>
      <c r="Q38" s="264"/>
      <c r="R38" s="616"/>
      <c r="S38" s="264"/>
      <c r="T38" s="616"/>
      <c r="U38" s="264"/>
      <c r="V38" s="616"/>
      <c r="W38" s="264"/>
      <c r="X38" s="616"/>
      <c r="Y38" s="264"/>
      <c r="Z38" s="524"/>
      <c r="AA38" s="1750"/>
      <c r="AB38" s="1234"/>
      <c r="AC38" s="264"/>
      <c r="AD38" s="1750"/>
      <c r="AE38" s="268"/>
      <c r="AF38" s="407"/>
      <c r="AG38" s="291"/>
      <c r="AH38" s="291"/>
      <c r="AI38" s="291"/>
      <c r="AJ38" s="1497"/>
      <c r="AK38" s="1491"/>
    </row>
    <row r="39" spans="1:37" s="10" customFormat="1">
      <c r="A39" s="3" t="s">
        <v>587</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36"/>
      <c r="AC39" s="13"/>
      <c r="AD39" s="13">
        <f>ROUND(SUM(AD36:AD37),1)</f>
        <v>0</v>
      </c>
      <c r="AE39" s="107"/>
      <c r="AF39" s="403"/>
      <c r="AG39" s="357">
        <f>ROUND(SUM(AG36-AG37),1)</f>
        <v>0</v>
      </c>
      <c r="AH39" s="52"/>
      <c r="AI39" s="1570">
        <f>ROUND(IF(AG39=0,0,AG39/ABS(AD39)),3)</f>
        <v>0</v>
      </c>
      <c r="AJ39" s="1497"/>
      <c r="AK39" s="1491"/>
    </row>
    <row r="40" spans="1:37" s="10" customFormat="1">
      <c r="A40" s="291"/>
      <c r="B40" s="616"/>
      <c r="C40" s="264"/>
      <c r="D40" s="616"/>
      <c r="E40" s="264"/>
      <c r="F40" s="616"/>
      <c r="G40" s="264"/>
      <c r="H40" s="616"/>
      <c r="I40" s="264"/>
      <c r="J40" s="616"/>
      <c r="K40" s="264"/>
      <c r="L40" s="616"/>
      <c r="M40" s="264"/>
      <c r="N40" s="616"/>
      <c r="O40" s="264"/>
      <c r="P40" s="616"/>
      <c r="Q40" s="264"/>
      <c r="R40" s="616"/>
      <c r="S40" s="264"/>
      <c r="T40" s="616"/>
      <c r="U40" s="264"/>
      <c r="V40" s="616"/>
      <c r="W40" s="264"/>
      <c r="X40" s="616"/>
      <c r="Y40" s="264"/>
      <c r="Z40" s="524"/>
      <c r="AA40" s="616"/>
      <c r="AB40" s="1234"/>
      <c r="AC40" s="264"/>
      <c r="AD40" s="616"/>
      <c r="AE40" s="268"/>
      <c r="AF40" s="407"/>
      <c r="AG40" s="291"/>
      <c r="AH40" s="291"/>
      <c r="AI40" s="291"/>
      <c r="AJ40" s="1497"/>
      <c r="AK40" s="1491"/>
    </row>
    <row r="41" spans="1:37" s="10" customFormat="1">
      <c r="A41" s="291"/>
      <c r="B41" s="264"/>
      <c r="C41" s="264"/>
      <c r="D41" s="264" t="s">
        <v>103</v>
      </c>
      <c r="E41" s="264"/>
      <c r="F41" s="264"/>
      <c r="G41" s="264"/>
      <c r="H41" s="264"/>
      <c r="I41" s="264"/>
      <c r="J41" s="264"/>
      <c r="K41" s="264"/>
      <c r="L41" s="264"/>
      <c r="M41" s="264"/>
      <c r="N41" s="264"/>
      <c r="O41" s="264"/>
      <c r="P41" s="264"/>
      <c r="Q41" s="264"/>
      <c r="R41" s="264"/>
      <c r="S41" s="264"/>
      <c r="T41" s="264"/>
      <c r="U41" s="264"/>
      <c r="V41" s="264"/>
      <c r="W41" s="264"/>
      <c r="X41" s="264"/>
      <c r="Y41" s="264"/>
      <c r="Z41" s="524"/>
      <c r="AA41" s="264"/>
      <c r="AB41" s="1234"/>
      <c r="AC41" s="264"/>
      <c r="AD41" s="264"/>
      <c r="AE41" s="268"/>
      <c r="AF41" s="407"/>
      <c r="AG41" s="291"/>
      <c r="AH41" s="291"/>
      <c r="AI41" s="291"/>
      <c r="AJ41" s="1497"/>
      <c r="AK41" s="1491"/>
    </row>
    <row r="42" spans="1:37">
      <c r="A42" s="3" t="s">
        <v>469</v>
      </c>
      <c r="B42" s="264"/>
      <c r="C42" s="264"/>
      <c r="D42" s="264" t="s">
        <v>103</v>
      </c>
      <c r="E42" s="264"/>
      <c r="F42" s="264"/>
      <c r="G42" s="264"/>
      <c r="H42" s="412"/>
      <c r="I42" s="412"/>
      <c r="J42" s="412"/>
      <c r="K42" s="264"/>
      <c r="L42" s="412"/>
      <c r="M42" s="412"/>
      <c r="N42" s="412"/>
      <c r="O42" s="412"/>
      <c r="P42" s="412"/>
      <c r="Q42" s="412"/>
      <c r="R42" s="412"/>
      <c r="S42" s="412"/>
      <c r="T42" s="412"/>
      <c r="U42" s="412"/>
      <c r="V42" s="412"/>
      <c r="W42" s="412"/>
      <c r="X42" s="412"/>
      <c r="Y42" s="1732"/>
      <c r="Z42" s="1733"/>
      <c r="AA42" s="264"/>
      <c r="AB42" s="1732"/>
      <c r="AC42" s="412"/>
      <c r="AD42" s="264"/>
      <c r="AE42" s="264"/>
      <c r="AF42" s="1734"/>
      <c r="AG42" s="264"/>
      <c r="AJ42" s="1497"/>
      <c r="AK42" s="1497"/>
    </row>
    <row r="43" spans="1:37">
      <c r="A43" s="3" t="s">
        <v>594</v>
      </c>
      <c r="B43" s="264"/>
      <c r="C43" s="264"/>
      <c r="D43" s="264"/>
      <c r="E43" s="264"/>
      <c r="F43" s="264"/>
      <c r="G43" s="264"/>
      <c r="H43" s="412"/>
      <c r="I43" s="412"/>
      <c r="J43" s="412"/>
      <c r="K43" s="264"/>
      <c r="L43" s="412"/>
      <c r="M43" s="412"/>
      <c r="N43" s="412"/>
      <c r="O43" s="412"/>
      <c r="P43" s="412"/>
      <c r="Q43" s="412"/>
      <c r="R43" s="412"/>
      <c r="S43" s="412"/>
      <c r="T43" s="18"/>
      <c r="U43" s="412"/>
      <c r="V43" s="18"/>
      <c r="W43" s="412"/>
      <c r="X43" s="412"/>
      <c r="Y43" s="1732"/>
      <c r="Z43" s="1733"/>
      <c r="AA43" s="264"/>
      <c r="AB43" s="1732"/>
      <c r="AC43" s="412"/>
      <c r="AD43" s="18"/>
      <c r="AE43" s="18"/>
      <c r="AF43" s="407"/>
      <c r="AG43" s="264"/>
      <c r="AJ43" s="1497"/>
      <c r="AK43" s="1497"/>
    </row>
    <row r="44" spans="1:37" s="3" customFormat="1">
      <c r="A44" s="3" t="s">
        <v>600</v>
      </c>
      <c r="B44" s="1744">
        <f>ROUND(+B32+B39,1)</f>
        <v>6.8</v>
      </c>
      <c r="C44" s="13"/>
      <c r="D44" s="1744">
        <f>ROUND(+D32+D39,1)</f>
        <v>0</v>
      </c>
      <c r="E44" s="18"/>
      <c r="F44" s="1744">
        <f>ROUND(+F32+F39,1)</f>
        <v>0</v>
      </c>
      <c r="G44" s="18"/>
      <c r="H44" s="1744">
        <f>ROUND(+H32+H39,1)</f>
        <v>0</v>
      </c>
      <c r="I44" s="1751"/>
      <c r="J44" s="1744">
        <f>ROUND(+J32+J39,1)</f>
        <v>0</v>
      </c>
      <c r="K44" s="18"/>
      <c r="L44" s="1744">
        <f>ROUND(+L32+L39,1)</f>
        <v>0</v>
      </c>
      <c r="M44" s="26"/>
      <c r="N44" s="1744">
        <f>ROUND(+N32+N39,1)</f>
        <v>0</v>
      </c>
      <c r="O44" s="26"/>
      <c r="P44" s="1744">
        <f>ROUND(+P32+P39,1)</f>
        <v>0</v>
      </c>
      <c r="Q44" s="26"/>
      <c r="R44" s="1744">
        <f>ROUND(+R32+R39,1)</f>
        <v>0</v>
      </c>
      <c r="S44" s="1751"/>
      <c r="T44" s="1744">
        <f>ROUND(+T32+T39,1)</f>
        <v>0</v>
      </c>
      <c r="U44" s="1751"/>
      <c r="V44" s="1744">
        <f>ROUND(+V32+V39,1)</f>
        <v>0</v>
      </c>
      <c r="W44" s="1751"/>
      <c r="X44" s="1744">
        <f>ROUND(+X32+X39,1)</f>
        <v>0</v>
      </c>
      <c r="Y44" s="1737"/>
      <c r="Z44" s="1738"/>
      <c r="AA44" s="1744">
        <f>ROUND(AA32+AA39,1)</f>
        <v>6.8</v>
      </c>
      <c r="AB44" s="13"/>
      <c r="AC44" s="670"/>
      <c r="AD44" s="1744">
        <f>ROUND(AD32+AD39,1)</f>
        <v>6.3</v>
      </c>
      <c r="AE44" s="26"/>
      <c r="AF44" s="92"/>
      <c r="AG44" s="1746">
        <f>ROUND(SUM(AA44-AD44),1)</f>
        <v>0.5</v>
      </c>
      <c r="AH44" s="291"/>
      <c r="AI44" s="1752">
        <f>ROUND(IF(AD44=0,1,AG44/ABS(AD44)),3)</f>
        <v>7.9000000000000001E-2</v>
      </c>
      <c r="AJ44" s="1497"/>
      <c r="AK44" s="1497"/>
    </row>
    <row r="45" spans="1:37" s="3" customFormat="1">
      <c r="B45" s="26"/>
      <c r="C45" s="13"/>
      <c r="D45" s="26"/>
      <c r="E45" s="18"/>
      <c r="F45" s="26"/>
      <c r="G45" s="18"/>
      <c r="H45" s="26"/>
      <c r="I45" s="1751"/>
      <c r="J45" s="26"/>
      <c r="K45" s="18"/>
      <c r="L45" s="26"/>
      <c r="M45" s="26"/>
      <c r="N45" s="26"/>
      <c r="O45" s="26"/>
      <c r="P45" s="26"/>
      <c r="Q45" s="26"/>
      <c r="R45" s="26"/>
      <c r="S45" s="1751"/>
      <c r="T45" s="26"/>
      <c r="U45" s="1751"/>
      <c r="V45" s="26"/>
      <c r="W45" s="1751"/>
      <c r="X45" s="26"/>
      <c r="Y45" s="1737"/>
      <c r="Z45" s="1738"/>
      <c r="AA45" s="26"/>
      <c r="AB45" s="13"/>
      <c r="AC45" s="670"/>
      <c r="AD45" s="26"/>
      <c r="AE45" s="26"/>
      <c r="AF45" s="92"/>
      <c r="AG45" s="13"/>
      <c r="AH45" s="291"/>
      <c r="AI45" s="544"/>
      <c r="AJ45" s="1497"/>
      <c r="AK45" s="1497"/>
    </row>
    <row r="46" spans="1:37">
      <c r="A46" s="3" t="s">
        <v>433</v>
      </c>
      <c r="B46" s="1753">
        <f>ROUND(B14+B44,1)</f>
        <v>2229.3000000000002</v>
      </c>
      <c r="C46" s="20"/>
      <c r="D46" s="1753">
        <f>ROUND(D14+D44,1)</f>
        <v>0</v>
      </c>
      <c r="E46" s="20"/>
      <c r="F46" s="1753">
        <f>ROUND(F14+F44,1)</f>
        <v>0</v>
      </c>
      <c r="G46" s="20"/>
      <c r="H46" s="20">
        <f>ROUND(H14+H44,1)</f>
        <v>0</v>
      </c>
      <c r="I46" s="1723"/>
      <c r="J46" s="20">
        <f>ROUND(J14+J44,1)</f>
        <v>0</v>
      </c>
      <c r="K46" s="20"/>
      <c r="L46" s="20">
        <f>ROUND(L14+L44,1)</f>
        <v>0</v>
      </c>
      <c r="M46" s="20"/>
      <c r="N46" s="20">
        <f>ROUND(N14+N44,1)</f>
        <v>0</v>
      </c>
      <c r="O46" s="20"/>
      <c r="P46" s="20">
        <f>ROUND(P14+P44,1)</f>
        <v>0</v>
      </c>
      <c r="Q46" s="20"/>
      <c r="R46" s="20">
        <f>ROUND(R14+R44,1)</f>
        <v>0</v>
      </c>
      <c r="S46" s="1723"/>
      <c r="T46" s="20">
        <f>ROUND(T14+T44,1)</f>
        <v>0</v>
      </c>
      <c r="U46" s="1723"/>
      <c r="V46" s="20">
        <f>ROUND(V14+V44,1)</f>
        <v>0</v>
      </c>
      <c r="W46" s="1723"/>
      <c r="X46" s="20">
        <f>ROUND(X14+X44,1)</f>
        <v>0</v>
      </c>
      <c r="Y46" s="1724"/>
      <c r="Z46" s="1725"/>
      <c r="AA46" s="20">
        <f>ROUND(SUM(AA14,AA44),1)</f>
        <v>2229.3000000000002</v>
      </c>
      <c r="AB46" s="20"/>
      <c r="AC46" s="1110"/>
      <c r="AD46" s="1536">
        <f>ROUND(SUM(AD14,AD44),1)</f>
        <v>1898.6</v>
      </c>
      <c r="AE46" s="20"/>
      <c r="AF46" s="404"/>
      <c r="AG46" s="1536">
        <f>ROUND(SUM(AA46-AD46),1)</f>
        <v>330.7</v>
      </c>
      <c r="AH46" s="380"/>
      <c r="AI46" s="1754">
        <f>ROUND(IF(AD46=0,1,AG46/ABS(AD46)),3)</f>
        <v>0.17399999999999999</v>
      </c>
      <c r="AJ46" s="1497"/>
      <c r="AK46" s="1497"/>
    </row>
    <row r="47" spans="1:37">
      <c r="A47" s="291" t="s">
        <v>103</v>
      </c>
      <c r="B47" s="1755"/>
      <c r="C47" s="268"/>
      <c r="D47" s="1755"/>
      <c r="E47" s="268"/>
      <c r="F47" s="1755"/>
      <c r="G47" s="268"/>
      <c r="H47" s="1755"/>
      <c r="I47" s="268"/>
      <c r="J47" s="1755"/>
      <c r="K47" s="268"/>
      <c r="L47" s="1755"/>
      <c r="M47" s="268"/>
      <c r="N47" s="1755"/>
      <c r="O47" s="268"/>
      <c r="P47" s="1755"/>
      <c r="Q47" s="268"/>
      <c r="R47" s="1755"/>
      <c r="S47" s="268"/>
      <c r="T47" s="1755"/>
      <c r="U47" s="268"/>
      <c r="V47" s="1755"/>
      <c r="W47" s="268"/>
      <c r="X47" s="1755"/>
      <c r="Y47" s="268"/>
      <c r="Z47" s="268"/>
      <c r="AA47" s="1755"/>
      <c r="AB47" s="268"/>
      <c r="AC47" s="268"/>
      <c r="AD47" s="268"/>
      <c r="AE47" s="268"/>
      <c r="AF47" s="268"/>
    </row>
    <row r="48" spans="1:37">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row>
    <row r="49" spans="1:32">
      <c r="A49" s="350"/>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row>
    <row r="51" spans="1:32">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row>
    <row r="52" spans="1:32">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row>
    <row r="53" spans="1:32">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row>
    <row r="54" spans="1:32">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row>
  </sheetData>
  <mergeCells count="1">
    <mergeCell ref="Z10:AI10"/>
  </mergeCells>
  <printOptions horizontalCentered="1"/>
  <pageMargins left="0.25" right="0.25" top="0.5" bottom="0.25" header="0" footer="0.25"/>
  <pageSetup scale="42" firstPageNumber="36" fitToHeight="0" orientation="landscape" useFirstPageNumber="1" r:id="rId1"/>
  <headerFooter scaleWithDoc="0" alignWithMargins="0">
    <oddFooter>&amp;C&amp;8&amp;P</oddFooter>
  </headerFooter>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K54"/>
  <sheetViews>
    <sheetView showGridLines="0" zoomScale="85" zoomScaleNormal="85" workbookViewId="0"/>
  </sheetViews>
  <sheetFormatPr defaultColWidth="8.84375" defaultRowHeight="15.5"/>
  <cols>
    <col min="1" max="1" width="41.07421875" style="291" customWidth="1"/>
    <col min="2" max="2" width="11.84375" style="291" customWidth="1"/>
    <col min="3" max="3" width="1.07421875" style="291" customWidth="1"/>
    <col min="4" max="4" width="11.84375" style="291" customWidth="1"/>
    <col min="5" max="5" width="1.07421875" style="291" customWidth="1"/>
    <col min="6" max="6" width="11.84375" style="291" customWidth="1"/>
    <col min="7" max="7" width="1.07421875" style="291" customWidth="1"/>
    <col min="8" max="8" width="11.84375" style="291" customWidth="1"/>
    <col min="9" max="9" width="1.07421875" style="291" customWidth="1"/>
    <col min="10" max="10" width="11.84375" style="291" customWidth="1"/>
    <col min="11" max="11" width="1.07421875" style="291" customWidth="1"/>
    <col min="12" max="12" width="12.84375" style="291" customWidth="1"/>
    <col min="13" max="13" width="1.07421875" style="291" customWidth="1"/>
    <col min="14" max="14" width="11.84375" style="291" customWidth="1"/>
    <col min="15" max="15" width="1.07421875" style="291" customWidth="1"/>
    <col min="16" max="16" width="11.84375" style="291" customWidth="1"/>
    <col min="17" max="17" width="1.07421875" style="291" customWidth="1"/>
    <col min="18" max="18" width="11.84375" style="291" customWidth="1"/>
    <col min="19" max="19" width="1.07421875" style="291" customWidth="1"/>
    <col min="20" max="20" width="11.84375" style="291" customWidth="1"/>
    <col min="21" max="21" width="1.07421875" style="291" customWidth="1"/>
    <col min="22" max="22" width="11.84375" style="291" customWidth="1"/>
    <col min="23" max="23" width="1.07421875" style="291" customWidth="1"/>
    <col min="24" max="24" width="11.84375" style="291" customWidth="1"/>
    <col min="25" max="26" width="1.07421875" style="291" customWidth="1"/>
    <col min="27" max="27" width="10.84375" style="291" customWidth="1"/>
    <col min="28" max="29" width="1.07421875" style="291" customWidth="1"/>
    <col min="30" max="30" width="10.84375" style="291" customWidth="1"/>
    <col min="31" max="32" width="1.07421875" style="291" customWidth="1"/>
    <col min="33" max="33" width="10.84375" style="291" customWidth="1"/>
    <col min="34" max="34" width="1.84375" style="291" customWidth="1"/>
    <col min="35" max="35" width="10.84375" style="291" customWidth="1"/>
    <col min="36" max="37" width="8.84375" style="291"/>
    <col min="38" max="38" width="4.84375" style="291" customWidth="1"/>
    <col min="39" max="39" width="4.53515625" style="291" bestFit="1" customWidth="1"/>
    <col min="40" max="16384" width="8.84375" style="291"/>
  </cols>
  <sheetData>
    <row r="1" spans="1:37">
      <c r="A1" s="265" t="s">
        <v>97</v>
      </c>
    </row>
    <row r="2" spans="1:37">
      <c r="A2" s="354"/>
    </row>
    <row r="3" spans="1:37">
      <c r="A3" s="3" t="s">
        <v>98</v>
      </c>
      <c r="K3" s="3"/>
      <c r="L3" s="3"/>
      <c r="AI3" s="1217" t="s">
        <v>601</v>
      </c>
    </row>
    <row r="4" spans="1:37">
      <c r="A4" s="6" t="s">
        <v>602</v>
      </c>
      <c r="H4" s="3" t="s">
        <v>103</v>
      </c>
      <c r="K4" s="3"/>
      <c r="L4" s="3"/>
      <c r="X4" s="291" t="s">
        <v>103</v>
      </c>
    </row>
    <row r="5" spans="1:37">
      <c r="A5" s="6" t="s">
        <v>328</v>
      </c>
      <c r="K5" s="3"/>
      <c r="L5" s="3"/>
      <c r="AB5" s="1217"/>
      <c r="AC5" s="1217"/>
      <c r="AE5" s="1217"/>
    </row>
    <row r="6" spans="1:37">
      <c r="A6" s="6" t="str">
        <f>'Cashflow Governmental'!A6</f>
        <v>FISCAL YEAR 2026-2027</v>
      </c>
      <c r="K6" s="3"/>
      <c r="L6" s="3"/>
    </row>
    <row r="7" spans="1:37">
      <c r="A7" s="3" t="s">
        <v>102</v>
      </c>
      <c r="K7" s="3"/>
    </row>
    <row r="8" spans="1:37">
      <c r="A8" s="3"/>
      <c r="K8" s="3"/>
    </row>
    <row r="9" spans="1:37">
      <c r="A9" s="1218"/>
    </row>
    <row r="10" spans="1:37">
      <c r="B10" s="1497"/>
      <c r="H10" s="3"/>
      <c r="I10" s="3"/>
      <c r="J10" s="3"/>
      <c r="Z10" s="2066" t="str">
        <f>'Cashflow Governmental'!$AB$12</f>
        <v>1 Month Ended April 30</v>
      </c>
      <c r="AA10" s="2066"/>
      <c r="AB10" s="2066"/>
      <c r="AC10" s="2066"/>
      <c r="AD10" s="2066"/>
      <c r="AE10" s="2066"/>
      <c r="AF10" s="2066"/>
      <c r="AG10" s="2066"/>
      <c r="AH10" s="2066"/>
      <c r="AI10" s="2066"/>
    </row>
    <row r="11" spans="1:37">
      <c r="B11" s="314" t="str">
        <f>'Cashflow Governmental'!C13</f>
        <v>2026</v>
      </c>
      <c r="C11" s="3"/>
      <c r="D11" s="3"/>
      <c r="E11" s="3"/>
      <c r="F11" s="3"/>
      <c r="G11" s="3"/>
      <c r="H11" s="3"/>
      <c r="I11" s="3"/>
      <c r="J11" s="3"/>
      <c r="K11" s="3"/>
      <c r="L11" s="3"/>
      <c r="M11" s="3"/>
      <c r="N11" s="3"/>
      <c r="O11" s="3"/>
      <c r="P11" s="3"/>
      <c r="Q11" s="3"/>
      <c r="R11" s="3"/>
      <c r="S11" s="3"/>
      <c r="T11" s="314">
        <f>'Cashflow Governmental'!U13</f>
        <v>2027</v>
      </c>
      <c r="U11" s="3"/>
      <c r="V11" s="52"/>
      <c r="W11" s="3"/>
      <c r="X11" s="3"/>
      <c r="Y11" s="3"/>
      <c r="Z11" s="3"/>
      <c r="AA11" s="3"/>
      <c r="AB11" s="3"/>
      <c r="AC11" s="3"/>
      <c r="AD11" s="6"/>
      <c r="AE11" s="6"/>
      <c r="AF11" s="3"/>
      <c r="AG11" s="320" t="s">
        <v>110</v>
      </c>
      <c r="AH11" s="320"/>
      <c r="AI11" s="318" t="s">
        <v>111</v>
      </c>
    </row>
    <row r="12" spans="1:37">
      <c r="B12" s="1219" t="s">
        <v>329</v>
      </c>
      <c r="C12" s="3"/>
      <c r="D12" s="1586" t="s">
        <v>330</v>
      </c>
      <c r="E12" s="3"/>
      <c r="F12" s="1586" t="s">
        <v>331</v>
      </c>
      <c r="G12" s="3"/>
      <c r="H12" s="1586" t="s">
        <v>332</v>
      </c>
      <c r="I12" s="3"/>
      <c r="J12" s="1587" t="s">
        <v>599</v>
      </c>
      <c r="K12" s="3"/>
      <c r="L12" s="1587" t="s">
        <v>445</v>
      </c>
      <c r="M12" s="3"/>
      <c r="N12" s="1587" t="s">
        <v>446</v>
      </c>
      <c r="O12" s="3"/>
      <c r="P12" s="1586" t="s">
        <v>336</v>
      </c>
      <c r="Q12" s="3"/>
      <c r="R12" s="1586" t="s">
        <v>337</v>
      </c>
      <c r="S12" s="3"/>
      <c r="T12" s="1587" t="s">
        <v>338</v>
      </c>
      <c r="U12" s="3"/>
      <c r="V12" s="1586" t="s">
        <v>339</v>
      </c>
      <c r="W12" s="3"/>
      <c r="X12" s="1587" t="s">
        <v>447</v>
      </c>
      <c r="Y12" s="3"/>
      <c r="Z12" s="3"/>
      <c r="AA12" s="1219" t="str">
        <f>'Cashflow Governmental'!AB14</f>
        <v>2026</v>
      </c>
      <c r="AB12" s="52"/>
      <c r="AC12" s="52"/>
      <c r="AD12" s="1586" t="str">
        <f>'Cashflow Governmental'!AE14</f>
        <v>2025</v>
      </c>
      <c r="AE12" s="52"/>
      <c r="AF12" s="52"/>
      <c r="AG12" s="1588" t="s">
        <v>112</v>
      </c>
      <c r="AH12" s="320"/>
      <c r="AI12" s="1588" t="s">
        <v>113</v>
      </c>
    </row>
    <row r="13" spans="1:37" ht="6" customHeight="1">
      <c r="B13" s="52"/>
      <c r="C13" s="3"/>
      <c r="D13" s="52"/>
      <c r="E13" s="3"/>
      <c r="F13" s="52"/>
      <c r="G13" s="3"/>
      <c r="H13" s="52"/>
      <c r="I13" s="3"/>
      <c r="J13" s="314"/>
      <c r="K13" s="3"/>
      <c r="L13" s="314"/>
      <c r="M13" s="3"/>
      <c r="N13" s="314"/>
      <c r="O13" s="3"/>
      <c r="P13" s="52"/>
      <c r="Q13" s="3"/>
      <c r="R13" s="52"/>
      <c r="S13" s="3"/>
      <c r="T13" s="314"/>
      <c r="U13" s="3"/>
      <c r="V13" s="52"/>
      <c r="W13" s="3"/>
      <c r="X13" s="314"/>
      <c r="Y13" s="3"/>
      <c r="Z13" s="3"/>
      <c r="AA13" s="52"/>
      <c r="AB13" s="52"/>
      <c r="AC13" s="52"/>
      <c r="AD13" s="52"/>
      <c r="AE13" s="52"/>
      <c r="AF13" s="52"/>
      <c r="AG13" s="320"/>
      <c r="AH13" s="320"/>
      <c r="AI13" s="320"/>
    </row>
    <row r="14" spans="1:37">
      <c r="A14" s="3" t="s">
        <v>341</v>
      </c>
      <c r="B14" s="82">
        <v>46.6</v>
      </c>
      <c r="C14" s="20"/>
      <c r="D14" s="1557"/>
      <c r="E14" s="1557"/>
      <c r="F14" s="1557"/>
      <c r="G14" s="20"/>
      <c r="H14" s="1557"/>
      <c r="I14" s="1723"/>
      <c r="J14" s="1557"/>
      <c r="K14" s="20"/>
      <c r="L14" s="1557"/>
      <c r="M14" s="1723"/>
      <c r="N14" s="1557"/>
      <c r="O14" s="1723"/>
      <c r="P14" s="1557"/>
      <c r="Q14" s="1557"/>
      <c r="R14" s="1557"/>
      <c r="S14" s="1557"/>
      <c r="T14" s="1557"/>
      <c r="U14" s="1557"/>
      <c r="V14" s="1557"/>
      <c r="W14" s="1557"/>
      <c r="X14" s="1557"/>
      <c r="Y14" s="1724"/>
      <c r="Z14" s="1725"/>
      <c r="AA14" s="1557">
        <f>+B14</f>
        <v>46.6</v>
      </c>
      <c r="AB14" s="1724"/>
      <c r="AC14" s="1723"/>
      <c r="AD14" s="1949">
        <v>44.7</v>
      </c>
      <c r="AE14" s="1557"/>
      <c r="AF14" s="1726"/>
      <c r="AG14" s="20">
        <f>ROUND(SUM(AA14-AD14),1)</f>
        <v>1.9</v>
      </c>
      <c r="AI14" s="1589">
        <f>ROUND(IF(AG14=0,0,AG14/(AD14)),3)</f>
        <v>4.2999999999999997E-2</v>
      </c>
      <c r="AJ14" s="1632"/>
      <c r="AK14" s="1632"/>
    </row>
    <row r="15" spans="1:37">
      <c r="I15" s="1559"/>
      <c r="J15" s="1559"/>
      <c r="L15" s="1559"/>
      <c r="M15" s="1559"/>
      <c r="N15" s="1559"/>
      <c r="O15" s="1559"/>
      <c r="P15" s="1559"/>
      <c r="Q15" s="1559"/>
      <c r="R15" s="1559"/>
      <c r="S15" s="1559"/>
      <c r="T15" s="1559"/>
      <c r="U15" s="1559"/>
      <c r="V15" s="1559"/>
      <c r="W15" s="1559"/>
      <c r="X15" s="1559"/>
      <c r="Y15" s="1727"/>
      <c r="Z15" s="1728"/>
      <c r="AB15" s="1727"/>
      <c r="AC15" s="1559"/>
      <c r="AF15" s="1729"/>
      <c r="AJ15" s="1632"/>
      <c r="AK15" s="1632"/>
    </row>
    <row r="16" spans="1:37">
      <c r="A16" s="3" t="s">
        <v>114</v>
      </c>
      <c r="I16" s="1559"/>
      <c r="J16" s="1559"/>
      <c r="L16" s="1559"/>
      <c r="M16" s="1559"/>
      <c r="N16" s="1559"/>
      <c r="O16" s="1559"/>
      <c r="P16" s="1559"/>
      <c r="Q16" s="1559"/>
      <c r="R16" s="1559"/>
      <c r="S16" s="1559"/>
      <c r="T16" s="1559"/>
      <c r="U16" s="1559"/>
      <c r="V16" s="1559"/>
      <c r="W16" s="1559"/>
      <c r="X16" s="1559"/>
      <c r="Y16" s="1727"/>
      <c r="Z16" s="1728"/>
      <c r="AB16" s="1727"/>
      <c r="AC16" s="1559"/>
      <c r="AF16" s="1729"/>
      <c r="AJ16" s="1632"/>
      <c r="AK16" s="1632"/>
    </row>
    <row r="17" spans="1:37">
      <c r="A17" s="413" t="s">
        <v>590</v>
      </c>
      <c r="B17" s="1730">
        <f>AA17</f>
        <v>0.3</v>
      </c>
      <c r="C17" s="264"/>
      <c r="D17" s="1730"/>
      <c r="E17" s="264"/>
      <c r="F17" s="1730"/>
      <c r="G17" s="288"/>
      <c r="H17" s="1730"/>
      <c r="I17" s="412"/>
      <c r="J17" s="1730"/>
      <c r="K17" s="264"/>
      <c r="L17" s="1730"/>
      <c r="M17" s="412"/>
      <c r="N17" s="1730"/>
      <c r="O17" s="412"/>
      <c r="P17" s="1731"/>
      <c r="Q17" s="288"/>
      <c r="R17" s="1731"/>
      <c r="S17" s="288"/>
      <c r="T17" s="1731"/>
      <c r="U17" s="288"/>
      <c r="V17" s="1731"/>
      <c r="W17" s="288"/>
      <c r="X17" s="1731"/>
      <c r="Y17" s="1732"/>
      <c r="Z17" s="1733"/>
      <c r="AA17" s="986">
        <v>0.3</v>
      </c>
      <c r="AB17" s="264"/>
      <c r="AC17" s="525" t="s">
        <v>103</v>
      </c>
      <c r="AD17" s="986">
        <v>0.4</v>
      </c>
      <c r="AE17" s="288"/>
      <c r="AF17" s="1734"/>
      <c r="AG17" s="264">
        <f>ROUND(SUM(AA17-AD17),1)</f>
        <v>-0.1</v>
      </c>
      <c r="AI17" s="1590">
        <f>ROUND(IF(AD17=0,1,AG17/ABS(AD17)),3)</f>
        <v>-0.25</v>
      </c>
      <c r="AJ17" s="1632"/>
      <c r="AK17" s="1632"/>
    </row>
    <row r="18" spans="1:37">
      <c r="A18" s="413"/>
      <c r="B18" s="287"/>
      <c r="C18" s="264"/>
      <c r="D18" s="287"/>
      <c r="E18" s="264"/>
      <c r="F18" s="287"/>
      <c r="G18" s="288"/>
      <c r="H18" s="287"/>
      <c r="I18" s="412"/>
      <c r="J18" s="287"/>
      <c r="K18" s="264"/>
      <c r="L18" s="288"/>
      <c r="M18" s="412"/>
      <c r="N18" s="288"/>
      <c r="O18" s="412"/>
      <c r="P18" s="288"/>
      <c r="Q18" s="288"/>
      <c r="R18" s="288"/>
      <c r="S18" s="288"/>
      <c r="T18" s="288"/>
      <c r="U18" s="288"/>
      <c r="V18" s="288"/>
      <c r="W18" s="288"/>
      <c r="X18" s="288"/>
      <c r="Y18" s="1732"/>
      <c r="Z18" s="1733"/>
      <c r="AA18" s="287"/>
      <c r="AB18" s="1732"/>
      <c r="AC18" s="412"/>
      <c r="AD18" s="287"/>
      <c r="AE18" s="288"/>
      <c r="AF18" s="1734"/>
      <c r="AG18" s="1037"/>
      <c r="AI18" s="1631"/>
      <c r="AJ18" s="1632"/>
      <c r="AK18" s="1632"/>
    </row>
    <row r="19" spans="1:37">
      <c r="A19" s="3" t="s">
        <v>427</v>
      </c>
      <c r="B19" s="26">
        <f>ROUND(SUM(B17),1)</f>
        <v>0.3</v>
      </c>
      <c r="C19" s="13"/>
      <c r="D19" s="26">
        <f>ROUND(SUM(D17),1)</f>
        <v>0</v>
      </c>
      <c r="E19" s="13"/>
      <c r="F19" s="26">
        <f>ROUND(SUM(F17),1)</f>
        <v>0</v>
      </c>
      <c r="G19" s="13"/>
      <c r="H19" s="26">
        <f>ROUND(SUM(H17),1)</f>
        <v>0</v>
      </c>
      <c r="I19" s="18"/>
      <c r="J19" s="26">
        <f>ROUND(SUM(J17),1)</f>
        <v>0</v>
      </c>
      <c r="K19" s="13"/>
      <c r="L19" s="26">
        <f>ROUND(SUM(L17),1)</f>
        <v>0</v>
      </c>
      <c r="M19" s="1736"/>
      <c r="N19" s="26">
        <f>ROUND(SUM(N17),1)</f>
        <v>0</v>
      </c>
      <c r="O19" s="1736"/>
      <c r="P19" s="26">
        <f>ROUND(SUM(P17),1)</f>
        <v>0</v>
      </c>
      <c r="Q19" s="26">
        <f t="shared" ref="Q19" si="0">ROUND(SUM(Q17),1)</f>
        <v>0</v>
      </c>
      <c r="R19" s="26">
        <f>ROUND(SUM(R17),1)</f>
        <v>0</v>
      </c>
      <c r="S19" s="1736"/>
      <c r="T19" s="26">
        <f>ROUND(SUM(T17),1)</f>
        <v>0</v>
      </c>
      <c r="U19" s="1736"/>
      <c r="V19" s="1735">
        <f>ROUND(SUM(V17),1)</f>
        <v>0</v>
      </c>
      <c r="W19" s="1736"/>
      <c r="X19" s="1735">
        <f>ROUND(SUM(X17),1)</f>
        <v>0</v>
      </c>
      <c r="Y19" s="1737"/>
      <c r="Z19" s="1738"/>
      <c r="AA19" s="26">
        <f>ROUND(SUM(AA17),1)</f>
        <v>0.3</v>
      </c>
      <c r="AB19" s="1737"/>
      <c r="AC19" s="1738"/>
      <c r="AD19" s="26">
        <f>ROUND(SUM(AD17),1)</f>
        <v>0.4</v>
      </c>
      <c r="AE19" s="26"/>
      <c r="AF19" s="1734"/>
      <c r="AG19" s="357">
        <f>ROUND(SUM(AG17),1)</f>
        <v>-0.1</v>
      </c>
      <c r="AH19" s="76"/>
      <c r="AI19" s="1739">
        <f>ROUND(IF(AD19=0,1,AG19/ABS(AD19)),3)</f>
        <v>-0.25</v>
      </c>
      <c r="AJ19" s="1632"/>
      <c r="AK19" s="1632"/>
    </row>
    <row r="20" spans="1:37">
      <c r="B20" s="616"/>
      <c r="C20" s="264"/>
      <c r="D20" s="616"/>
      <c r="E20" s="264"/>
      <c r="F20" s="616"/>
      <c r="G20" s="264"/>
      <c r="H20" s="1740"/>
      <c r="I20" s="412"/>
      <c r="J20" s="1740"/>
      <c r="K20" s="264"/>
      <c r="L20" s="1740"/>
      <c r="M20" s="412"/>
      <c r="N20" s="1740"/>
      <c r="O20" s="412"/>
      <c r="P20" s="1740"/>
      <c r="Q20" s="412"/>
      <c r="R20" s="1740"/>
      <c r="S20" s="412"/>
      <c r="T20" s="1740"/>
      <c r="U20" s="412"/>
      <c r="V20" s="1740"/>
      <c r="W20" s="412"/>
      <c r="X20" s="1740"/>
      <c r="Y20" s="1732"/>
      <c r="Z20" s="1733"/>
      <c r="AA20" s="616"/>
      <c r="AB20" s="1732"/>
      <c r="AC20" s="412"/>
      <c r="AD20" s="1740"/>
      <c r="AE20" s="264"/>
      <c r="AF20" s="1734"/>
      <c r="AG20" s="264"/>
      <c r="AJ20" s="1632"/>
      <c r="AK20" s="1632"/>
    </row>
    <row r="21" spans="1:37">
      <c r="B21" s="264"/>
      <c r="C21" s="264"/>
      <c r="D21" s="264"/>
      <c r="E21" s="264"/>
      <c r="F21" s="264"/>
      <c r="G21" s="264"/>
      <c r="H21" s="412"/>
      <c r="I21" s="412"/>
      <c r="J21" s="412"/>
      <c r="K21" s="264"/>
      <c r="L21" s="412"/>
      <c r="M21" s="412"/>
      <c r="N21" s="412"/>
      <c r="O21" s="412"/>
      <c r="P21" s="412"/>
      <c r="Q21" s="412"/>
      <c r="R21" s="412"/>
      <c r="S21" s="412"/>
      <c r="T21" s="412"/>
      <c r="U21" s="412"/>
      <c r="V21" s="412"/>
      <c r="W21" s="412"/>
      <c r="X21" s="412"/>
      <c r="Y21" s="1732"/>
      <c r="Z21" s="1733"/>
      <c r="AA21" s="264"/>
      <c r="AB21" s="1732"/>
      <c r="AC21" s="412"/>
      <c r="AD21" s="412"/>
      <c r="AE21" s="264"/>
      <c r="AF21" s="1734"/>
      <c r="AG21" s="264"/>
      <c r="AJ21" s="1632"/>
      <c r="AK21" s="1632"/>
    </row>
    <row r="22" spans="1:37">
      <c r="A22" s="3" t="s">
        <v>122</v>
      </c>
      <c r="B22" s="264"/>
      <c r="C22" s="264"/>
      <c r="D22" s="264"/>
      <c r="E22" s="264"/>
      <c r="F22" s="264"/>
      <c r="G22" s="264"/>
      <c r="H22" s="412"/>
      <c r="I22" s="412"/>
      <c r="J22" s="412"/>
      <c r="K22" s="264"/>
      <c r="L22" s="412"/>
      <c r="M22" s="412"/>
      <c r="N22" s="412"/>
      <c r="O22" s="412"/>
      <c r="P22" s="412"/>
      <c r="Q22" s="412"/>
      <c r="R22" s="412"/>
      <c r="S22" s="412"/>
      <c r="T22" s="412"/>
      <c r="U22" s="412"/>
      <c r="V22" s="412"/>
      <c r="W22" s="412"/>
      <c r="X22" s="412"/>
      <c r="Y22" s="1732"/>
      <c r="Z22" s="1733"/>
      <c r="AA22" s="264"/>
      <c r="AB22" s="1732"/>
      <c r="AC22" s="412"/>
      <c r="AD22" s="412"/>
      <c r="AE22" s="264"/>
      <c r="AF22" s="1734"/>
      <c r="AG22" s="264"/>
      <c r="AJ22" s="1632"/>
      <c r="AK22" s="1632"/>
    </row>
    <row r="23" spans="1:37">
      <c r="A23" s="291" t="s">
        <v>453</v>
      </c>
      <c r="B23" s="275"/>
      <c r="C23" s="264"/>
      <c r="D23" s="264"/>
      <c r="E23" s="264"/>
      <c r="F23" s="264"/>
      <c r="G23" s="264"/>
      <c r="H23" s="412"/>
      <c r="I23" s="412"/>
      <c r="J23" s="412"/>
      <c r="K23" s="264"/>
      <c r="L23" s="412"/>
      <c r="M23" s="412"/>
      <c r="N23" s="412"/>
      <c r="O23" s="412"/>
      <c r="P23" s="412"/>
      <c r="Q23" s="412"/>
      <c r="R23" s="412"/>
      <c r="S23" s="412"/>
      <c r="T23" s="412"/>
      <c r="U23" s="412"/>
      <c r="V23" s="412"/>
      <c r="W23" s="412"/>
      <c r="X23" s="412"/>
      <c r="Y23" s="1732"/>
      <c r="Z23" s="1733"/>
      <c r="AA23" s="275"/>
      <c r="AB23" s="1741"/>
      <c r="AC23" s="1742"/>
      <c r="AD23" s="412"/>
      <c r="AE23" s="275"/>
      <c r="AF23" s="403"/>
      <c r="AG23" s="264"/>
      <c r="AJ23" s="1632"/>
      <c r="AK23" s="1632"/>
    </row>
    <row r="24" spans="1:37">
      <c r="A24" s="291" t="s">
        <v>592</v>
      </c>
      <c r="B24" s="287">
        <f>AA24</f>
        <v>0.1</v>
      </c>
      <c r="C24" s="264"/>
      <c r="D24" s="287"/>
      <c r="E24" s="264"/>
      <c r="F24" s="287"/>
      <c r="G24" s="264"/>
      <c r="H24" s="287"/>
      <c r="I24" s="412"/>
      <c r="J24" s="287"/>
      <c r="K24" s="264"/>
      <c r="L24" s="287"/>
      <c r="M24" s="412"/>
      <c r="N24" s="287"/>
      <c r="O24" s="412"/>
      <c r="P24" s="288"/>
      <c r="Q24" s="288"/>
      <c r="R24" s="288"/>
      <c r="S24" s="288"/>
      <c r="T24" s="288"/>
      <c r="U24" s="288"/>
      <c r="V24" s="288"/>
      <c r="W24" s="288"/>
      <c r="X24" s="288"/>
      <c r="Y24" s="1732"/>
      <c r="Z24" s="1733"/>
      <c r="AA24" s="532">
        <v>0.1</v>
      </c>
      <c r="AB24" s="264"/>
      <c r="AC24" s="525" t="s">
        <v>103</v>
      </c>
      <c r="AD24" s="532">
        <v>0.1</v>
      </c>
      <c r="AE24" s="289"/>
      <c r="AF24" s="403"/>
      <c r="AG24" s="264">
        <f>ROUND(SUM(AA24-AD24),1)</f>
        <v>0</v>
      </c>
      <c r="AI24" s="1585">
        <f>ROUND(IF(AD24=0,1,AG24/ABS(AD24)),3)</f>
        <v>0</v>
      </c>
      <c r="AJ24" s="1632"/>
      <c r="AK24" s="1632"/>
    </row>
    <row r="25" spans="1:37">
      <c r="A25" s="413" t="s">
        <v>510</v>
      </c>
      <c r="B25" s="287">
        <f t="shared" ref="B25:B26" si="1">AA25</f>
        <v>0</v>
      </c>
      <c r="C25" s="264"/>
      <c r="D25" s="287"/>
      <c r="E25" s="264"/>
      <c r="F25" s="287"/>
      <c r="G25" s="264"/>
      <c r="H25" s="287"/>
      <c r="I25" s="412"/>
      <c r="J25" s="287"/>
      <c r="K25" s="264"/>
      <c r="L25" s="287"/>
      <c r="M25" s="412"/>
      <c r="N25" s="287"/>
      <c r="O25" s="412"/>
      <c r="P25" s="288"/>
      <c r="Q25" s="412"/>
      <c r="R25" s="288"/>
      <c r="S25" s="412"/>
      <c r="T25" s="288"/>
      <c r="U25" s="412"/>
      <c r="V25" s="288"/>
      <c r="W25" s="412"/>
      <c r="X25" s="288"/>
      <c r="Y25" s="1732"/>
      <c r="Z25" s="1733"/>
      <c r="AA25" s="532">
        <v>0</v>
      </c>
      <c r="AB25" s="264"/>
      <c r="AC25" s="525" t="s">
        <v>103</v>
      </c>
      <c r="AD25" s="532">
        <v>0</v>
      </c>
      <c r="AE25" s="275"/>
      <c r="AF25" s="403"/>
      <c r="AG25" s="264">
        <f>ROUND(SUM(AA25-AD25),1)</f>
        <v>0</v>
      </c>
      <c r="AH25" s="1564"/>
      <c r="AI25" s="1585">
        <f>ROUND(IF(AD25=0,0,AG25/ABS(AD25)),3)</f>
        <v>0</v>
      </c>
      <c r="AJ25" s="1632"/>
      <c r="AK25" s="1632"/>
    </row>
    <row r="26" spans="1:37" s="10" customFormat="1">
      <c r="A26" s="291" t="s">
        <v>456</v>
      </c>
      <c r="B26" s="287">
        <f t="shared" si="1"/>
        <v>0</v>
      </c>
      <c r="C26" s="264"/>
      <c r="D26" s="287"/>
      <c r="E26" s="264"/>
      <c r="F26" s="287"/>
      <c r="G26" s="264"/>
      <c r="H26" s="264"/>
      <c r="I26" s="264"/>
      <c r="J26" s="287"/>
      <c r="K26" s="264"/>
      <c r="L26" s="287"/>
      <c r="M26" s="264"/>
      <c r="N26" s="287"/>
      <c r="O26" s="264"/>
      <c r="P26" s="288"/>
      <c r="Q26" s="264"/>
      <c r="R26" s="288"/>
      <c r="S26" s="264"/>
      <c r="T26" s="288"/>
      <c r="U26" s="264"/>
      <c r="V26" s="288"/>
      <c r="W26" s="264"/>
      <c r="X26" s="288"/>
      <c r="Y26" s="264"/>
      <c r="Z26" s="524"/>
      <c r="AA26" s="532">
        <v>0</v>
      </c>
      <c r="AB26" s="264"/>
      <c r="AC26" s="525" t="s">
        <v>103</v>
      </c>
      <c r="AD26" s="532">
        <v>0</v>
      </c>
      <c r="AE26" s="264"/>
      <c r="AF26" s="1734"/>
      <c r="AG26" s="383">
        <f>ROUND(SUM(AA26-AD26),1)</f>
        <v>0</v>
      </c>
      <c r="AH26" s="291"/>
      <c r="AI26" s="1583">
        <f>ROUND(IF(AD26=0,0,AG26/ABS(AD26)),3)</f>
        <v>0</v>
      </c>
      <c r="AJ26" s="1632"/>
      <c r="AK26" s="1633"/>
    </row>
    <row r="27" spans="1:37" s="10" customFormat="1">
      <c r="A27" s="291"/>
      <c r="B27" s="616"/>
      <c r="C27" s="264"/>
      <c r="D27" s="616"/>
      <c r="E27" s="264"/>
      <c r="F27" s="616"/>
      <c r="G27" s="264"/>
      <c r="H27" s="616"/>
      <c r="I27" s="264"/>
      <c r="J27" s="616"/>
      <c r="K27" s="264"/>
      <c r="L27" s="616"/>
      <c r="M27" s="264"/>
      <c r="N27" s="616"/>
      <c r="O27" s="264"/>
      <c r="P27" s="616"/>
      <c r="Q27" s="264"/>
      <c r="R27" s="616"/>
      <c r="S27" s="264"/>
      <c r="T27" s="616"/>
      <c r="U27" s="264"/>
      <c r="V27" s="616"/>
      <c r="W27" s="264"/>
      <c r="X27" s="616"/>
      <c r="Y27" s="264"/>
      <c r="Z27" s="524"/>
      <c r="AA27" s="616"/>
      <c r="AB27" s="1234"/>
      <c r="AC27" s="264"/>
      <c r="AD27" s="616"/>
      <c r="AE27" s="26"/>
      <c r="AF27" s="403"/>
      <c r="AG27" s="264"/>
      <c r="AH27" s="268"/>
      <c r="AI27" s="1567"/>
      <c r="AJ27" s="1632"/>
      <c r="AK27" s="1633"/>
    </row>
    <row r="28" spans="1:37" s="10" customFormat="1">
      <c r="A28" s="3" t="s">
        <v>457</v>
      </c>
      <c r="B28" s="13">
        <f>ROUND(SUM(B24:B26),1)</f>
        <v>0.1</v>
      </c>
      <c r="C28" s="13"/>
      <c r="D28" s="13">
        <f>ROUND(SUM(D24:D26),1)</f>
        <v>0</v>
      </c>
      <c r="E28" s="13"/>
      <c r="F28" s="13">
        <f>ROUND(SUM(F24:F26),1)</f>
        <v>0</v>
      </c>
      <c r="G28" s="13"/>
      <c r="H28" s="13">
        <f>ROUND(SUM(H24:H26),1)</f>
        <v>0</v>
      </c>
      <c r="I28" s="13"/>
      <c r="J28" s="13">
        <f>ROUND(SUM(J24:J26),1)</f>
        <v>0</v>
      </c>
      <c r="K28" s="13"/>
      <c r="L28" s="13">
        <f>ROUND(SUM(L24:L26),1)</f>
        <v>0</v>
      </c>
      <c r="M28" s="13"/>
      <c r="N28" s="13">
        <f>ROUND(SUM(N24:N26),1)</f>
        <v>0</v>
      </c>
      <c r="O28" s="13"/>
      <c r="P28" s="13">
        <f>ROUND(SUM(P24:P26),1)</f>
        <v>0</v>
      </c>
      <c r="Q28" s="13"/>
      <c r="R28" s="13">
        <f>ROUND(SUM(R24:R26),1)</f>
        <v>0</v>
      </c>
      <c r="S28" s="13"/>
      <c r="T28" s="13">
        <f>ROUND(SUM(T24:T26),1)</f>
        <v>0</v>
      </c>
      <c r="U28" s="13"/>
      <c r="V28" s="13">
        <f>ROUND(SUM(V24:V26),1)</f>
        <v>0</v>
      </c>
      <c r="W28" s="13"/>
      <c r="X28" s="13">
        <f>ROUND(SUM(X24:X26),1)</f>
        <v>0</v>
      </c>
      <c r="Y28" s="13"/>
      <c r="Z28" s="14"/>
      <c r="AA28" s="13">
        <f>ROUND(SUM(AA24:AA26),1)</f>
        <v>0.1</v>
      </c>
      <c r="AB28" s="1236"/>
      <c r="AC28" s="13"/>
      <c r="AD28" s="13">
        <f>ROUND(SUM(AD24:AD26),1)</f>
        <v>0.1</v>
      </c>
      <c r="AE28" s="264"/>
      <c r="AF28" s="1743"/>
      <c r="AG28" s="357">
        <f>ROUND(SUM(AG24:AG26),1)</f>
        <v>0</v>
      </c>
      <c r="AH28" s="40"/>
      <c r="AI28" s="1570">
        <f>ROUND(IF(AD28=0,1,AG28/ABS(AD28)),3)</f>
        <v>0</v>
      </c>
      <c r="AJ28" s="1632"/>
      <c r="AK28" s="1633"/>
    </row>
    <row r="29" spans="1:37" s="10" customFormat="1">
      <c r="A29" s="291"/>
      <c r="B29" s="616"/>
      <c r="C29" s="264"/>
      <c r="D29" s="616"/>
      <c r="E29" s="264"/>
      <c r="F29" s="616"/>
      <c r="G29" s="264"/>
      <c r="H29" s="616"/>
      <c r="I29" s="264"/>
      <c r="J29" s="616"/>
      <c r="K29" s="264"/>
      <c r="L29" s="616"/>
      <c r="M29" s="264"/>
      <c r="N29" s="616"/>
      <c r="O29" s="264"/>
      <c r="P29" s="616"/>
      <c r="Q29" s="264"/>
      <c r="R29" s="616"/>
      <c r="S29" s="264"/>
      <c r="T29" s="616"/>
      <c r="U29" s="264"/>
      <c r="V29" s="616"/>
      <c r="W29" s="264"/>
      <c r="X29" s="616"/>
      <c r="Y29" s="264"/>
      <c r="Z29" s="524"/>
      <c r="AA29" s="616"/>
      <c r="AB29" s="1234"/>
      <c r="AC29" s="264"/>
      <c r="AD29" s="616"/>
      <c r="AE29" s="264"/>
      <c r="AF29" s="1743"/>
      <c r="AG29" s="264"/>
      <c r="AH29" s="291"/>
      <c r="AI29" s="291"/>
      <c r="AJ29" s="1632"/>
      <c r="AK29" s="1633"/>
    </row>
    <row r="30" spans="1:37">
      <c r="B30" s="264"/>
      <c r="C30" s="264"/>
      <c r="D30" s="264"/>
      <c r="E30" s="264"/>
      <c r="F30" s="264"/>
      <c r="G30" s="264"/>
      <c r="H30" s="412"/>
      <c r="I30" s="412"/>
      <c r="J30" s="412"/>
      <c r="K30" s="264"/>
      <c r="L30" s="412"/>
      <c r="M30" s="412"/>
      <c r="N30" s="412"/>
      <c r="O30" s="412"/>
      <c r="P30" s="412"/>
      <c r="Q30" s="412"/>
      <c r="R30" s="412"/>
      <c r="S30" s="412"/>
      <c r="T30" s="412"/>
      <c r="U30" s="412"/>
      <c r="V30" s="412"/>
      <c r="W30" s="412"/>
      <c r="X30" s="412"/>
      <c r="Y30" s="1732"/>
      <c r="Z30" s="1733"/>
      <c r="AA30" s="264"/>
      <c r="AB30" s="1732"/>
      <c r="AC30" s="412"/>
      <c r="AD30" s="264"/>
      <c r="AE30" s="264"/>
      <c r="AF30" s="1734"/>
      <c r="AG30" s="264"/>
      <c r="AJ30" s="1721"/>
      <c r="AK30" s="1721"/>
    </row>
    <row r="31" spans="1:37">
      <c r="A31" s="3" t="s">
        <v>458</v>
      </c>
      <c r="B31" s="264"/>
      <c r="C31" s="264"/>
      <c r="D31" s="264"/>
      <c r="E31" s="264"/>
      <c r="F31" s="264"/>
      <c r="G31" s="264"/>
      <c r="H31" s="412"/>
      <c r="I31" s="412"/>
      <c r="J31" s="412"/>
      <c r="K31" s="264"/>
      <c r="L31" s="412"/>
      <c r="M31" s="412"/>
      <c r="N31" s="412"/>
      <c r="O31" s="412"/>
      <c r="P31" s="412"/>
      <c r="Q31" s="412"/>
      <c r="R31" s="412"/>
      <c r="S31" s="412"/>
      <c r="T31" s="412"/>
      <c r="U31" s="412"/>
      <c r="V31" s="412"/>
      <c r="W31" s="412"/>
      <c r="X31" s="412"/>
      <c r="Y31" s="1732"/>
      <c r="Z31" s="1733"/>
      <c r="AA31" s="264"/>
      <c r="AB31" s="1732"/>
      <c r="AC31" s="412"/>
      <c r="AD31" s="412"/>
      <c r="AE31" s="264"/>
      <c r="AF31" s="1734"/>
      <c r="AG31" s="264"/>
      <c r="AJ31" s="1632"/>
      <c r="AK31" s="1632"/>
    </row>
    <row r="32" spans="1:37">
      <c r="A32" s="3" t="s">
        <v>144</v>
      </c>
      <c r="B32" s="1744">
        <f>ROUND(B19-B28,1)</f>
        <v>0.2</v>
      </c>
      <c r="C32" s="13"/>
      <c r="D32" s="1744">
        <f>ROUND(D19-D28,1)</f>
        <v>0</v>
      </c>
      <c r="E32" s="17"/>
      <c r="F32" s="1744">
        <f>ROUND(F19-F28,1)</f>
        <v>0</v>
      </c>
      <c r="G32" s="17"/>
      <c r="H32" s="1744">
        <f>ROUND(H19-H28,1)</f>
        <v>0</v>
      </c>
      <c r="I32" s="17"/>
      <c r="J32" s="1744">
        <f>ROUND(J19-J28,1)</f>
        <v>0</v>
      </c>
      <c r="K32" s="17"/>
      <c r="L32" s="1744">
        <f>ROUND(L19-L28,1)</f>
        <v>0</v>
      </c>
      <c r="M32" s="1745"/>
      <c r="N32" s="1744">
        <f>ROUND(N19-N28,1)</f>
        <v>0</v>
      </c>
      <c r="O32" s="1745"/>
      <c r="P32" s="1744">
        <f>ROUND(P19-P28,1)</f>
        <v>0</v>
      </c>
      <c r="Q32" s="26"/>
      <c r="R32" s="1744">
        <f>ROUND(R19-R28,1)</f>
        <v>0</v>
      </c>
      <c r="S32" s="1745"/>
      <c r="T32" s="1744">
        <f>ROUND(T19-T28,1)</f>
        <v>0</v>
      </c>
      <c r="U32" s="1745"/>
      <c r="V32" s="1744">
        <f>ROUND(V19-V28,1)</f>
        <v>0</v>
      </c>
      <c r="W32" s="1745"/>
      <c r="X32" s="1744">
        <f>ROUND(X19-X28,1)</f>
        <v>0</v>
      </c>
      <c r="Y32" s="1737"/>
      <c r="Z32" s="1738"/>
      <c r="AA32" s="1744">
        <f>ROUND(AA19-AA28,1)</f>
        <v>0.2</v>
      </c>
      <c r="AB32" s="1737"/>
      <c r="AC32" s="1736"/>
      <c r="AD32" s="1744">
        <f>ROUND(AD19-AD28,1)</f>
        <v>0.3</v>
      </c>
      <c r="AE32" s="26"/>
      <c r="AF32" s="403"/>
      <c r="AG32" s="1746">
        <f>ROUND(SUM(AG19-AG28),1)</f>
        <v>-0.1</v>
      </c>
      <c r="AH32" s="40"/>
      <c r="AI32" s="1747">
        <f>ROUND(IF(AD32=0,1,AG32/ABS(AD32)),3)</f>
        <v>-0.33300000000000002</v>
      </c>
      <c r="AJ32" s="1632"/>
      <c r="AK32" s="1632"/>
    </row>
    <row r="33" spans="1:37">
      <c r="B33" s="264"/>
      <c r="C33" s="264"/>
      <c r="D33" s="264"/>
      <c r="E33" s="264"/>
      <c r="F33" s="264"/>
      <c r="G33" s="264"/>
      <c r="H33" s="412"/>
      <c r="I33" s="412"/>
      <c r="J33" s="412"/>
      <c r="K33" s="264"/>
      <c r="L33" s="412"/>
      <c r="M33" s="412"/>
      <c r="N33" s="412"/>
      <c r="O33" s="412"/>
      <c r="P33" s="412"/>
      <c r="Q33" s="412"/>
      <c r="R33" s="412"/>
      <c r="S33" s="412"/>
      <c r="T33" s="412"/>
      <c r="U33" s="412"/>
      <c r="V33" s="412"/>
      <c r="W33" s="412"/>
      <c r="X33" s="1740"/>
      <c r="Y33" s="1732"/>
      <c r="Z33" s="1733"/>
      <c r="AA33" s="264"/>
      <c r="AB33" s="1732"/>
      <c r="AC33" s="412"/>
      <c r="AD33" s="412"/>
      <c r="AE33" s="264"/>
      <c r="AF33" s="1743"/>
      <c r="AG33" s="264"/>
      <c r="AJ33" s="1632"/>
      <c r="AK33" s="1632"/>
    </row>
    <row r="34" spans="1:37">
      <c r="B34" s="264"/>
      <c r="C34" s="264"/>
      <c r="D34" s="264"/>
      <c r="E34" s="264"/>
      <c r="F34" s="264"/>
      <c r="G34" s="264"/>
      <c r="H34" s="412"/>
      <c r="I34" s="412"/>
      <c r="J34" s="412"/>
      <c r="K34" s="264"/>
      <c r="L34" s="412"/>
      <c r="M34" s="412"/>
      <c r="N34" s="412"/>
      <c r="O34" s="412"/>
      <c r="P34" s="412"/>
      <c r="Q34" s="412"/>
      <c r="R34" s="412"/>
      <c r="S34" s="412"/>
      <c r="T34" s="412"/>
      <c r="U34" s="412"/>
      <c r="V34" s="412"/>
      <c r="W34" s="412"/>
      <c r="X34" s="412"/>
      <c r="Y34" s="1732"/>
      <c r="Z34" s="1733"/>
      <c r="AA34" s="264"/>
      <c r="AB34" s="1732"/>
      <c r="AC34" s="412"/>
      <c r="AD34" s="412"/>
      <c r="AE34" s="264"/>
      <c r="AF34" s="1743"/>
      <c r="AG34" s="264"/>
      <c r="AJ34" s="1632"/>
      <c r="AK34" s="1632"/>
    </row>
    <row r="35" spans="1:37">
      <c r="A35" s="3" t="s">
        <v>145</v>
      </c>
      <c r="B35" s="264"/>
      <c r="C35" s="264"/>
      <c r="D35" s="264"/>
      <c r="E35" s="264"/>
      <c r="F35" s="264"/>
      <c r="G35" s="264"/>
      <c r="H35" s="412"/>
      <c r="I35" s="412"/>
      <c r="J35" s="412"/>
      <c r="K35" s="264"/>
      <c r="L35" s="412"/>
      <c r="M35" s="412"/>
      <c r="N35" s="412"/>
      <c r="O35" s="412"/>
      <c r="P35" s="412"/>
      <c r="Q35" s="412"/>
      <c r="R35" s="412"/>
      <c r="S35" s="412"/>
      <c r="T35" s="412"/>
      <c r="U35" s="412"/>
      <c r="V35" s="412"/>
      <c r="W35" s="412"/>
      <c r="X35" s="412"/>
      <c r="Y35" s="1732"/>
      <c r="Z35" s="1733"/>
      <c r="AA35" s="264"/>
      <c r="AB35" s="1732"/>
      <c r="AC35" s="412"/>
      <c r="AD35" s="412"/>
      <c r="AE35" s="264"/>
      <c r="AF35" s="1743"/>
      <c r="AG35" s="264"/>
      <c r="AJ35" s="1632"/>
      <c r="AK35" s="1632"/>
    </row>
    <row r="36" spans="1:37">
      <c r="A36" s="291" t="s">
        <v>537</v>
      </c>
      <c r="B36" s="287">
        <f>AA36</f>
        <v>0</v>
      </c>
      <c r="C36" s="264"/>
      <c r="D36" s="287"/>
      <c r="E36" s="264"/>
      <c r="F36" s="287"/>
      <c r="G36" s="264"/>
      <c r="H36" s="287"/>
      <c r="I36" s="412"/>
      <c r="J36" s="287"/>
      <c r="K36" s="264"/>
      <c r="L36" s="287"/>
      <c r="M36" s="412"/>
      <c r="N36" s="287"/>
      <c r="O36" s="412"/>
      <c r="P36" s="288"/>
      <c r="Q36" s="412"/>
      <c r="R36" s="288"/>
      <c r="S36" s="412"/>
      <c r="T36" s="288"/>
      <c r="U36" s="412"/>
      <c r="V36" s="288"/>
      <c r="W36" s="412"/>
      <c r="X36" s="288"/>
      <c r="Y36" s="1732"/>
      <c r="Z36" s="1733"/>
      <c r="AA36" s="532">
        <v>0</v>
      </c>
      <c r="AB36" s="264"/>
      <c r="AC36" s="525" t="s">
        <v>103</v>
      </c>
      <c r="AD36" s="532">
        <v>0</v>
      </c>
      <c r="AE36" s="275"/>
      <c r="AF36" s="1748"/>
      <c r="AG36" s="264">
        <f>ROUND(SUM(AA36-AD36),1)</f>
        <v>0</v>
      </c>
      <c r="AH36" s="1564"/>
      <c r="AI36" s="1585">
        <f>ROUND(IF(AG36=0,0,AG36/ABS(AD36)),3)</f>
        <v>0</v>
      </c>
      <c r="AJ36" s="1632"/>
      <c r="AK36" s="1632"/>
    </row>
    <row r="37" spans="1:37" s="10" customFormat="1">
      <c r="A37" s="291" t="s">
        <v>538</v>
      </c>
      <c r="B37" s="287">
        <f>AA37</f>
        <v>0</v>
      </c>
      <c r="C37" s="264"/>
      <c r="D37" s="287"/>
      <c r="E37" s="264"/>
      <c r="F37" s="287"/>
      <c r="G37" s="264"/>
      <c r="H37" s="264"/>
      <c r="I37" s="264"/>
      <c r="J37" s="287"/>
      <c r="K37" s="264"/>
      <c r="L37" s="287"/>
      <c r="M37" s="264"/>
      <c r="N37" s="287"/>
      <c r="O37" s="264"/>
      <c r="P37" s="288"/>
      <c r="Q37" s="264"/>
      <c r="R37" s="288"/>
      <c r="S37" s="264"/>
      <c r="T37" s="288"/>
      <c r="U37" s="264"/>
      <c r="V37" s="288"/>
      <c r="W37" s="264"/>
      <c r="X37" s="288"/>
      <c r="Y37" s="264"/>
      <c r="Z37" s="524"/>
      <c r="AA37" s="532">
        <v>0</v>
      </c>
      <c r="AB37" s="264"/>
      <c r="AC37" s="525" t="s">
        <v>103</v>
      </c>
      <c r="AD37" s="532">
        <v>0</v>
      </c>
      <c r="AE37" s="268"/>
      <c r="AF37" s="407"/>
      <c r="AG37" s="1749">
        <f>ROUND(SUM(AA37-AD37),1)</f>
        <v>0</v>
      </c>
      <c r="AH37" s="1564"/>
      <c r="AI37" s="1025">
        <f>ROUND(IF(AG37=0,0,AG37/ABS(AD37)),3)</f>
        <v>0</v>
      </c>
      <c r="AJ37" s="1632"/>
      <c r="AK37" s="1633"/>
    </row>
    <row r="38" spans="1:37" s="10" customFormat="1">
      <c r="A38" s="291"/>
      <c r="B38" s="616"/>
      <c r="C38" s="264"/>
      <c r="D38" s="616"/>
      <c r="E38" s="264"/>
      <c r="F38" s="616"/>
      <c r="G38" s="264"/>
      <c r="H38" s="616"/>
      <c r="I38" s="264"/>
      <c r="J38" s="616"/>
      <c r="K38" s="264"/>
      <c r="L38" s="616"/>
      <c r="M38" s="264"/>
      <c r="N38" s="616"/>
      <c r="O38" s="264"/>
      <c r="P38" s="616"/>
      <c r="Q38" s="264"/>
      <c r="R38" s="616"/>
      <c r="S38" s="264"/>
      <c r="T38" s="616"/>
      <c r="U38" s="264"/>
      <c r="V38" s="616"/>
      <c r="W38" s="264"/>
      <c r="X38" s="616"/>
      <c r="Y38" s="264"/>
      <c r="Z38" s="524"/>
      <c r="AA38" s="1750"/>
      <c r="AB38" s="1234"/>
      <c r="AC38" s="264"/>
      <c r="AD38" s="1750"/>
      <c r="AE38" s="268"/>
      <c r="AF38" s="407"/>
      <c r="AG38" s="291"/>
      <c r="AH38" s="291"/>
      <c r="AI38" s="291"/>
      <c r="AJ38" s="1632"/>
      <c r="AK38" s="1633"/>
    </row>
    <row r="39" spans="1:37" s="10" customFormat="1">
      <c r="A39" s="3" t="s">
        <v>587</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36"/>
      <c r="AC39" s="13"/>
      <c r="AD39" s="13">
        <f>ROUND(SUM(AD36:AD37),1)</f>
        <v>0</v>
      </c>
      <c r="AE39" s="107"/>
      <c r="AF39" s="403"/>
      <c r="AG39" s="357">
        <f>ROUND(SUM(AG36-AG37),1)</f>
        <v>0</v>
      </c>
      <c r="AH39" s="52"/>
      <c r="AI39" s="1570">
        <f>ROUND(IF(AG39=0,0,AG39/ABS(AD39)),3)</f>
        <v>0</v>
      </c>
      <c r="AJ39" s="1632"/>
      <c r="AK39" s="1633"/>
    </row>
    <row r="40" spans="1:37" s="10" customFormat="1">
      <c r="A40" s="291"/>
      <c r="B40" s="616"/>
      <c r="C40" s="264"/>
      <c r="D40" s="616" t="s">
        <v>103</v>
      </c>
      <c r="E40" s="264"/>
      <c r="F40" s="616"/>
      <c r="G40" s="264"/>
      <c r="H40" s="616"/>
      <c r="I40" s="264"/>
      <c r="J40" s="616"/>
      <c r="K40" s="264"/>
      <c r="L40" s="616"/>
      <c r="M40" s="264"/>
      <c r="N40" s="616"/>
      <c r="O40" s="264"/>
      <c r="P40" s="616"/>
      <c r="Q40" s="264"/>
      <c r="R40" s="616"/>
      <c r="S40" s="264"/>
      <c r="T40" s="616"/>
      <c r="U40" s="264"/>
      <c r="V40" s="616"/>
      <c r="W40" s="264"/>
      <c r="X40" s="616"/>
      <c r="Y40" s="264"/>
      <c r="Z40" s="524"/>
      <c r="AA40" s="616"/>
      <c r="AB40" s="1234"/>
      <c r="AC40" s="264"/>
      <c r="AD40" s="616"/>
      <c r="AE40" s="268"/>
      <c r="AF40" s="407"/>
      <c r="AG40" s="291"/>
      <c r="AH40" s="291"/>
      <c r="AI40" s="291"/>
      <c r="AJ40" s="1632"/>
      <c r="AK40" s="1633"/>
    </row>
    <row r="41" spans="1:37" s="10" customFormat="1">
      <c r="A41" s="291"/>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524"/>
      <c r="AA41" s="264"/>
      <c r="AB41" s="1234"/>
      <c r="AC41" s="264"/>
      <c r="AD41" s="264"/>
      <c r="AE41" s="268"/>
      <c r="AF41" s="407"/>
      <c r="AG41" s="291"/>
      <c r="AH41" s="291"/>
      <c r="AI41" s="291"/>
      <c r="AJ41" s="1632"/>
      <c r="AK41" s="1633"/>
    </row>
    <row r="42" spans="1:37">
      <c r="A42" s="3" t="s">
        <v>469</v>
      </c>
      <c r="B42" s="264"/>
      <c r="C42" s="264"/>
      <c r="D42" s="264" t="s">
        <v>103</v>
      </c>
      <c r="E42" s="264"/>
      <c r="F42" s="264"/>
      <c r="G42" s="264"/>
      <c r="H42" s="412"/>
      <c r="I42" s="412"/>
      <c r="J42" s="412"/>
      <c r="K42" s="264"/>
      <c r="L42" s="412"/>
      <c r="M42" s="412"/>
      <c r="N42" s="412"/>
      <c r="O42" s="412"/>
      <c r="P42" s="412"/>
      <c r="Q42" s="412"/>
      <c r="R42" s="412"/>
      <c r="S42" s="412"/>
      <c r="T42" s="412"/>
      <c r="U42" s="412"/>
      <c r="V42" s="412"/>
      <c r="W42" s="412"/>
      <c r="X42" s="412"/>
      <c r="Y42" s="1732"/>
      <c r="Z42" s="1733"/>
      <c r="AA42" s="264"/>
      <c r="AB42" s="1732"/>
      <c r="AC42" s="412"/>
      <c r="AD42" s="264"/>
      <c r="AE42" s="264"/>
      <c r="AF42" s="1734"/>
      <c r="AG42" s="264"/>
      <c r="AJ42" s="1632"/>
      <c r="AK42" s="1632"/>
    </row>
    <row r="43" spans="1:37">
      <c r="A43" s="3" t="s">
        <v>594</v>
      </c>
      <c r="B43" s="264"/>
      <c r="C43" s="264"/>
      <c r="D43" s="264"/>
      <c r="E43" s="264"/>
      <c r="F43" s="264"/>
      <c r="G43" s="264"/>
      <c r="H43" s="412"/>
      <c r="I43" s="412"/>
      <c r="J43" s="412"/>
      <c r="K43" s="264"/>
      <c r="L43" s="412"/>
      <c r="M43" s="412"/>
      <c r="N43" s="412"/>
      <c r="O43" s="412"/>
      <c r="P43" s="412"/>
      <c r="Q43" s="412"/>
      <c r="R43" s="412"/>
      <c r="S43" s="412"/>
      <c r="T43" s="18"/>
      <c r="U43" s="412"/>
      <c r="V43" s="18"/>
      <c r="W43" s="412"/>
      <c r="X43" s="412"/>
      <c r="Y43" s="1732"/>
      <c r="Z43" s="1733"/>
      <c r="AA43" s="264"/>
      <c r="AB43" s="1732"/>
      <c r="AC43" s="412"/>
      <c r="AD43" s="18"/>
      <c r="AE43" s="18"/>
      <c r="AF43" s="407"/>
      <c r="AG43" s="264"/>
      <c r="AJ43" s="1632"/>
      <c r="AK43" s="1632"/>
    </row>
    <row r="44" spans="1:37" s="3" customFormat="1">
      <c r="A44" s="3" t="s">
        <v>471</v>
      </c>
      <c r="B44" s="1744">
        <f>ROUND(B32+B39,1)</f>
        <v>0.2</v>
      </c>
      <c r="C44" s="13"/>
      <c r="D44" s="1744">
        <f>ROUND(D32+D39,1)</f>
        <v>0</v>
      </c>
      <c r="E44" s="18"/>
      <c r="F44" s="1744">
        <f>ROUND(F32+F39,1)</f>
        <v>0</v>
      </c>
      <c r="G44" s="18"/>
      <c r="H44" s="1744">
        <f>ROUND(H32+H39,1)</f>
        <v>0</v>
      </c>
      <c r="I44" s="1751"/>
      <c r="J44" s="1744">
        <f>ROUND(J32+J39,1)</f>
        <v>0</v>
      </c>
      <c r="K44" s="18"/>
      <c r="L44" s="1744">
        <f>ROUND(L32+L39,1)</f>
        <v>0</v>
      </c>
      <c r="M44" s="26"/>
      <c r="N44" s="1744">
        <f>ROUND(N32+N39,1)</f>
        <v>0</v>
      </c>
      <c r="O44" s="26"/>
      <c r="P44" s="1744">
        <f>ROUND(P32+P39,1)</f>
        <v>0</v>
      </c>
      <c r="Q44" s="26"/>
      <c r="R44" s="1744">
        <f>ROUND(R32+R39,1)</f>
        <v>0</v>
      </c>
      <c r="S44" s="1751"/>
      <c r="T44" s="1744">
        <f>ROUND(T32+T39,1)</f>
        <v>0</v>
      </c>
      <c r="U44" s="1751"/>
      <c r="V44" s="1744">
        <f>ROUND(V32+V39,1)</f>
        <v>0</v>
      </c>
      <c r="W44" s="1751"/>
      <c r="X44" s="1744">
        <f>ROUND(X32+X39,1)</f>
        <v>0</v>
      </c>
      <c r="Y44" s="1737"/>
      <c r="Z44" s="1738"/>
      <c r="AA44" s="1744">
        <f>ROUND(AA32+AA39,1)</f>
        <v>0.2</v>
      </c>
      <c r="AB44" s="13"/>
      <c r="AC44" s="670"/>
      <c r="AD44" s="1744">
        <f>ROUND(AD32+AD39,1)</f>
        <v>0.3</v>
      </c>
      <c r="AE44" s="26"/>
      <c r="AF44" s="92"/>
      <c r="AG44" s="1746">
        <f>ROUND(SUM(AG32+AG39),1)</f>
        <v>-0.1</v>
      </c>
      <c r="AH44" s="291"/>
      <c r="AI44" s="1752">
        <f>ROUND(IF(AD44=0,1,AG44/ABS(AD44)),3)</f>
        <v>-0.33300000000000002</v>
      </c>
      <c r="AJ44" s="1722"/>
      <c r="AK44" s="1722"/>
    </row>
    <row r="45" spans="1:37" s="3" customFormat="1">
      <c r="B45" s="26"/>
      <c r="C45" s="13"/>
      <c r="D45" s="26"/>
      <c r="E45" s="18"/>
      <c r="F45" s="26"/>
      <c r="G45" s="18"/>
      <c r="H45" s="26"/>
      <c r="I45" s="1751"/>
      <c r="J45" s="26"/>
      <c r="K45" s="18"/>
      <c r="L45" s="26"/>
      <c r="M45" s="26"/>
      <c r="N45" s="26"/>
      <c r="O45" s="26"/>
      <c r="P45" s="26"/>
      <c r="Q45" s="26"/>
      <c r="R45" s="26"/>
      <c r="S45" s="1751"/>
      <c r="T45" s="26"/>
      <c r="U45" s="1751"/>
      <c r="V45" s="26"/>
      <c r="W45" s="1751"/>
      <c r="X45" s="26"/>
      <c r="Y45" s="1737"/>
      <c r="Z45" s="1738"/>
      <c r="AA45" s="26"/>
      <c r="AB45" s="13"/>
      <c r="AC45" s="670"/>
      <c r="AD45" s="26"/>
      <c r="AE45" s="26"/>
      <c r="AF45" s="92"/>
      <c r="AG45" s="13"/>
      <c r="AH45" s="291"/>
      <c r="AI45" s="544"/>
      <c r="AJ45" s="1722"/>
      <c r="AK45" s="1722"/>
    </row>
    <row r="46" spans="1:37" ht="16" thickBot="1">
      <c r="A46" s="3" t="s">
        <v>433</v>
      </c>
      <c r="B46" s="1753">
        <f>ROUND(SUM(B14,B44),1)</f>
        <v>46.8</v>
      </c>
      <c r="C46" s="20"/>
      <c r="D46" s="1753">
        <f>ROUND(SUM(D14,D44),1)</f>
        <v>0</v>
      </c>
      <c r="E46" s="20"/>
      <c r="F46" s="1753">
        <f>ROUND(SUM(F14,F44),1)</f>
        <v>0</v>
      </c>
      <c r="G46" s="20"/>
      <c r="H46" s="20">
        <f>ROUND(SUM(H14,H44),1)</f>
        <v>0</v>
      </c>
      <c r="I46" s="1723"/>
      <c r="J46" s="20">
        <f>ROUND(SUM(J14,J44),1)</f>
        <v>0</v>
      </c>
      <c r="K46" s="20"/>
      <c r="L46" s="20">
        <f>ROUND(SUM(L14,L44),1)</f>
        <v>0</v>
      </c>
      <c r="M46" s="20"/>
      <c r="N46" s="20">
        <f>ROUND(SUM(N14,N44),1)</f>
        <v>0</v>
      </c>
      <c r="O46" s="20"/>
      <c r="P46" s="20">
        <f>ROUND(SUM(P14,P44),1)</f>
        <v>0</v>
      </c>
      <c r="Q46" s="20"/>
      <c r="R46" s="20">
        <f>ROUND(SUM(R14,R44),1)</f>
        <v>0</v>
      </c>
      <c r="S46" s="1723"/>
      <c r="T46" s="20">
        <f>ROUND(SUM(T14,T44),1)</f>
        <v>0</v>
      </c>
      <c r="U46" s="1723"/>
      <c r="V46" s="20">
        <f>ROUND(SUM(V14,V44),1)</f>
        <v>0</v>
      </c>
      <c r="W46" s="1723"/>
      <c r="X46" s="20">
        <f>ROUND(SUM(X14,X44),1)</f>
        <v>0</v>
      </c>
      <c r="Y46" s="1724"/>
      <c r="Z46" s="1725"/>
      <c r="AA46" s="20">
        <f>ROUND(SUM(AA14,AA44),1)</f>
        <v>46.8</v>
      </c>
      <c r="AB46" s="20"/>
      <c r="AC46" s="1110"/>
      <c r="AD46" s="1536">
        <f>ROUND(SUM(AD14,AD44),1)</f>
        <v>45</v>
      </c>
      <c r="AE46" s="20"/>
      <c r="AF46" s="404"/>
      <c r="AG46" s="1536">
        <f>ROUND(SUM(AA46-AD46),1)</f>
        <v>1.8</v>
      </c>
      <c r="AH46" s="380"/>
      <c r="AI46" s="1754">
        <f>ROUND(IF(AG46=0,0,AG46/ABS(AD46)),3)</f>
        <v>0.04</v>
      </c>
      <c r="AJ46" s="1632"/>
      <c r="AK46" s="1632"/>
    </row>
    <row r="47" spans="1:37" ht="16" thickTop="1">
      <c r="A47" s="291" t="s">
        <v>103</v>
      </c>
      <c r="B47" s="1755"/>
      <c r="C47" s="268"/>
      <c r="D47" s="1755"/>
      <c r="E47" s="268"/>
      <c r="F47" s="1755"/>
      <c r="G47" s="268"/>
      <c r="H47" s="1755"/>
      <c r="I47" s="268"/>
      <c r="J47" s="1755"/>
      <c r="K47" s="268"/>
      <c r="L47" s="1755"/>
      <c r="M47" s="268"/>
      <c r="N47" s="1755"/>
      <c r="O47" s="268"/>
      <c r="P47" s="1755"/>
      <c r="Q47" s="268"/>
      <c r="R47" s="1755"/>
      <c r="S47" s="268"/>
      <c r="T47" s="1755"/>
      <c r="U47" s="268"/>
      <c r="V47" s="1755"/>
      <c r="W47" s="268"/>
      <c r="X47" s="1755"/>
      <c r="Y47" s="268"/>
      <c r="Z47" s="268"/>
      <c r="AA47" s="1756"/>
      <c r="AB47" s="268"/>
      <c r="AC47" s="268"/>
      <c r="AD47" s="268"/>
      <c r="AE47" s="268"/>
      <c r="AF47" s="268"/>
    </row>
    <row r="48" spans="1:37">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4"/>
      <c r="AB48" s="268"/>
      <c r="AC48" s="268"/>
      <c r="AD48" s="268"/>
      <c r="AE48" s="268"/>
      <c r="AF48" s="268"/>
    </row>
    <row r="49" spans="1:32">
      <c r="A49" s="350"/>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4"/>
      <c r="AB49" s="268"/>
      <c r="AC49" s="268"/>
      <c r="AD49" s="268"/>
      <c r="AE49" s="268"/>
      <c r="AF49" s="268"/>
    </row>
    <row r="51" spans="1:32">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row>
    <row r="52" spans="1:32">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row>
    <row r="53" spans="1:32">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row>
    <row r="54" spans="1:32">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row>
  </sheetData>
  <mergeCells count="1">
    <mergeCell ref="Z10:AI10"/>
  </mergeCells>
  <printOptions horizontalCentered="1"/>
  <pageMargins left="0.25" right="0.25" top="0.5" bottom="0.25" header="0" footer="0.25"/>
  <pageSetup firstPageNumber="37" fitToHeight="0" orientation="landscape" useFirstPageNumber="1" r:id="rId1"/>
  <headerFooter scaleWithDoc="0" alignWithMargins="0">
    <oddFooter>&amp;C&amp;8&amp;P</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H73"/>
  <sheetViews>
    <sheetView showGridLines="0" zoomScale="80" zoomScaleNormal="80" workbookViewId="0"/>
  </sheetViews>
  <sheetFormatPr defaultColWidth="8.84375" defaultRowHeight="12.5"/>
  <cols>
    <col min="1" max="1" width="38.4609375" style="1345" customWidth="1"/>
    <col min="2" max="2" width="6.84375" style="1345" customWidth="1"/>
    <col min="3" max="3" width="4.07421875" style="1345" customWidth="1"/>
    <col min="4" max="4" width="13.4609375" style="1345" customWidth="1"/>
    <col min="5" max="5" width="1.07421875" style="1345" customWidth="1"/>
    <col min="6" max="6" width="13.4609375" style="1345" customWidth="1"/>
    <col min="7" max="7" width="1.07421875" style="1345" customWidth="1"/>
    <col min="8" max="8" width="13.4609375" style="1429" customWidth="1"/>
    <col min="9" max="9" width="1.07421875" style="1345" customWidth="1"/>
    <col min="10" max="10" width="13.4609375" style="1345" customWidth="1"/>
    <col min="11" max="11" width="1.07421875" style="1345" customWidth="1"/>
    <col min="12" max="12" width="13.4609375" style="1345" customWidth="1"/>
    <col min="13" max="13" width="1.07421875" style="1345" customWidth="1"/>
    <col min="14" max="14" width="13.4609375" style="1345" customWidth="1"/>
    <col min="15" max="17" width="1.07421875" style="1345" customWidth="1"/>
    <col min="18" max="18" width="13.4609375" style="1345" customWidth="1"/>
    <col min="19" max="19" width="1.07421875" style="1345" customWidth="1"/>
    <col min="20" max="20" width="13.4609375" style="1345" customWidth="1"/>
    <col min="21" max="21" width="1.07421875" style="1345" customWidth="1"/>
    <col min="22" max="22" width="0.84375" style="1345" customWidth="1"/>
    <col min="23" max="24" width="1.07421875" style="1345" customWidth="1"/>
    <col min="25" max="25" width="13.4609375" style="1345" customWidth="1"/>
    <col min="26" max="26" width="1.07421875" style="1345" customWidth="1"/>
    <col min="27" max="27" width="13.4609375" style="1345" customWidth="1"/>
    <col min="28" max="28" width="1.84375" style="1345" customWidth="1"/>
    <col min="29" max="29" width="1.07421875" style="1345" customWidth="1"/>
    <col min="30" max="30" width="13.4609375" style="1345" customWidth="1"/>
    <col min="31" max="31" width="1.07421875" style="1345" customWidth="1"/>
    <col min="32" max="32" width="13.4609375" style="1345" customWidth="1"/>
    <col min="33" max="33" width="8.84375" style="1345"/>
    <col min="34" max="34" width="8.84375" style="1488"/>
    <col min="35" max="16384" width="8.84375" style="1345"/>
  </cols>
  <sheetData>
    <row r="1" spans="1:33" ht="15.5">
      <c r="A1" s="284" t="s">
        <v>97</v>
      </c>
    </row>
    <row r="2" spans="1:33" ht="15" customHeight="1">
      <c r="A2" s="284"/>
    </row>
    <row r="3" spans="1:33" ht="21" customHeight="1">
      <c r="A3" s="2057" t="s">
        <v>98</v>
      </c>
      <c r="B3" s="2058"/>
      <c r="C3" s="2058"/>
      <c r="D3" s="2058"/>
      <c r="E3" s="2058"/>
      <c r="F3" s="2058"/>
      <c r="G3" s="2058"/>
      <c r="H3" s="2058"/>
      <c r="I3" s="2058"/>
      <c r="J3" s="2058"/>
      <c r="K3" s="2058"/>
      <c r="L3" s="2058"/>
      <c r="M3" s="2058"/>
      <c r="N3" s="2058"/>
      <c r="O3" s="2058"/>
      <c r="P3" s="2058"/>
      <c r="Q3" s="2058"/>
      <c r="R3" s="2058"/>
      <c r="S3" s="2058"/>
      <c r="T3" s="2058"/>
      <c r="U3" s="2058"/>
      <c r="V3" s="2058"/>
      <c r="W3" s="2058"/>
      <c r="X3" s="2058"/>
      <c r="Y3" s="2058"/>
      <c r="Z3" s="2058"/>
      <c r="AA3" s="2058"/>
      <c r="AB3" s="2058"/>
      <c r="AC3" s="266"/>
      <c r="AF3" s="1431" t="s">
        <v>155</v>
      </c>
    </row>
    <row r="4" spans="1:33" ht="20">
      <c r="A4" s="2059" t="s">
        <v>156</v>
      </c>
      <c r="B4" s="2058"/>
      <c r="C4" s="2058"/>
      <c r="D4" s="2058"/>
      <c r="E4" s="2058"/>
      <c r="F4" s="2058"/>
      <c r="G4" s="2058"/>
      <c r="H4" s="2058"/>
      <c r="I4" s="2058"/>
      <c r="J4" s="2058"/>
      <c r="K4" s="2058"/>
      <c r="L4" s="2058"/>
      <c r="M4" s="2058"/>
      <c r="N4" s="2058"/>
      <c r="O4" s="2058"/>
      <c r="P4" s="2058"/>
      <c r="Q4" s="2058"/>
      <c r="R4" s="2058"/>
      <c r="S4" s="2058"/>
      <c r="T4" s="2058"/>
      <c r="U4" s="2058"/>
      <c r="V4" s="2058"/>
      <c r="W4" s="2058"/>
      <c r="X4" s="2058"/>
      <c r="Y4" s="2058"/>
      <c r="Z4" s="2058"/>
      <c r="AA4" s="2058"/>
      <c r="AB4" s="2058"/>
      <c r="AC4" s="266"/>
      <c r="AF4" s="1431" t="s">
        <v>157</v>
      </c>
    </row>
    <row r="5" spans="1:33" ht="21" customHeight="1">
      <c r="A5" s="2059" t="s">
        <v>158</v>
      </c>
      <c r="B5" s="2058"/>
      <c r="C5" s="2058"/>
      <c r="D5" s="2058"/>
      <c r="E5" s="2058"/>
      <c r="F5" s="2058"/>
      <c r="G5" s="2058"/>
      <c r="H5" s="2058"/>
      <c r="I5" s="2058"/>
      <c r="J5" s="2058"/>
      <c r="K5" s="2058"/>
      <c r="L5" s="2058"/>
      <c r="M5" s="2058"/>
      <c r="N5" s="2058"/>
      <c r="O5" s="2058"/>
      <c r="P5" s="2058"/>
      <c r="Q5" s="2058"/>
      <c r="R5" s="2058"/>
      <c r="S5" s="2058"/>
      <c r="T5" s="2058"/>
      <c r="U5" s="2058"/>
      <c r="V5" s="2058"/>
      <c r="W5" s="2058"/>
      <c r="X5" s="2058"/>
      <c r="Y5" s="2058"/>
      <c r="Z5" s="2058"/>
      <c r="AA5" s="2058"/>
      <c r="AB5" s="2058"/>
      <c r="AC5" s="266"/>
    </row>
    <row r="6" spans="1:33" ht="21" customHeight="1">
      <c r="A6" s="1432" t="s">
        <v>102</v>
      </c>
      <c r="B6" s="1430"/>
      <c r="C6" s="1430"/>
      <c r="D6" s="1430"/>
      <c r="E6" s="1430"/>
      <c r="F6" s="1430"/>
      <c r="G6" s="1430"/>
      <c r="H6" s="1430"/>
      <c r="I6" s="1430"/>
      <c r="J6" s="1430"/>
      <c r="K6" s="1430"/>
      <c r="L6" s="1430"/>
      <c r="M6" s="1430"/>
      <c r="N6" s="1430"/>
      <c r="O6" s="1430"/>
      <c r="P6" s="1430"/>
      <c r="Q6" s="1430"/>
      <c r="R6" s="1430"/>
      <c r="S6" s="1430"/>
      <c r="T6" s="1430"/>
      <c r="U6" s="1430"/>
      <c r="V6" s="1430"/>
      <c r="W6" s="1430"/>
      <c r="X6" s="1430"/>
      <c r="Y6" s="1430"/>
      <c r="Z6" s="1430"/>
      <c r="AA6" s="1430"/>
      <c r="AB6" s="1430"/>
      <c r="AC6" s="266"/>
    </row>
    <row r="7" spans="1:33" ht="15.75" customHeight="1">
      <c r="A7" s="2003"/>
      <c r="B7" s="2004"/>
      <c r="C7" s="2004"/>
      <c r="D7" s="2004"/>
      <c r="E7" s="2004"/>
      <c r="F7" s="2004"/>
      <c r="G7" s="2004"/>
      <c r="H7" s="2004"/>
      <c r="I7" s="2004"/>
      <c r="J7" s="2004"/>
      <c r="K7" s="2004"/>
      <c r="L7" s="2004"/>
      <c r="M7" s="2004"/>
      <c r="N7" s="2004"/>
      <c r="O7" s="2004"/>
      <c r="P7" s="2004"/>
      <c r="Q7" s="2004"/>
      <c r="R7" s="2004"/>
      <c r="S7" s="2004"/>
      <c r="T7" s="2004"/>
      <c r="U7" s="2004"/>
      <c r="V7" s="2004"/>
      <c r="W7" s="2004"/>
      <c r="X7" s="2004"/>
      <c r="Y7" s="2004"/>
      <c r="Z7" s="2004"/>
      <c r="AA7" s="2004"/>
      <c r="AB7" s="2004"/>
      <c r="AC7" s="266"/>
    </row>
    <row r="8" spans="1:33" ht="15.75" customHeight="1">
      <c r="A8" s="1433"/>
      <c r="B8" s="1433"/>
      <c r="C8" s="1433"/>
      <c r="D8" s="1433"/>
      <c r="E8" s="1433"/>
      <c r="F8" s="1433"/>
      <c r="G8" s="1433"/>
      <c r="H8" s="1434"/>
      <c r="I8" s="1435"/>
      <c r="J8" s="1435"/>
      <c r="K8" s="1435"/>
      <c r="L8" s="1435"/>
      <c r="M8" s="1433"/>
      <c r="N8" s="1435"/>
      <c r="O8" s="1435"/>
      <c r="P8" s="1435"/>
      <c r="Q8" s="1435"/>
      <c r="R8" s="1435"/>
      <c r="S8" s="1435"/>
      <c r="T8" s="1435"/>
      <c r="U8" s="1435"/>
      <c r="V8" s="1435"/>
      <c r="W8" s="1435"/>
      <c r="X8" s="1435"/>
      <c r="Y8" s="1436"/>
      <c r="Z8" s="1436"/>
      <c r="AA8" s="1431"/>
      <c r="AB8" s="1436"/>
      <c r="AC8" s="1437"/>
    </row>
    <row r="9" spans="1:33" ht="15.75" customHeight="1">
      <c r="A9" s="1433"/>
      <c r="B9" s="1433"/>
      <c r="C9" s="1433"/>
      <c r="D9" s="1433"/>
      <c r="E9" s="1433"/>
      <c r="F9" s="1433"/>
      <c r="G9" s="1433"/>
      <c r="H9" s="1434"/>
      <c r="I9" s="1435"/>
      <c r="J9" s="1435"/>
      <c r="K9" s="1435"/>
      <c r="L9" s="1435"/>
      <c r="M9" s="1433"/>
      <c r="N9" s="1435"/>
      <c r="O9" s="1435"/>
      <c r="P9" s="1435"/>
      <c r="Q9" s="1435"/>
      <c r="R9" s="1435"/>
      <c r="X9" s="1435"/>
      <c r="Y9" s="1436"/>
      <c r="Z9" s="1436"/>
      <c r="AA9" s="1431"/>
      <c r="AB9" s="1436"/>
      <c r="AC9" s="1437"/>
    </row>
    <row r="10" spans="1:33" ht="16.399999999999999" customHeight="1">
      <c r="A10" s="1433"/>
      <c r="B10" s="1433"/>
      <c r="C10" s="1433"/>
      <c r="D10" s="2054"/>
      <c r="E10" s="2055"/>
      <c r="F10" s="2055"/>
      <c r="G10" s="2055"/>
      <c r="H10" s="2055"/>
      <c r="I10" s="2055"/>
      <c r="J10" s="2055"/>
      <c r="K10" s="2055"/>
      <c r="L10" s="2055"/>
      <c r="M10" s="2055"/>
      <c r="N10" s="2055"/>
      <c r="O10" s="1435"/>
      <c r="P10" s="1439"/>
      <c r="Q10" s="1435"/>
      <c r="R10" s="2054"/>
      <c r="S10" s="2054"/>
      <c r="T10" s="2054"/>
      <c r="U10" s="2054"/>
      <c r="V10" s="2054"/>
      <c r="W10" s="2054"/>
      <c r="X10" s="2054"/>
      <c r="Y10" s="2054"/>
      <c r="Z10" s="2054"/>
      <c r="AA10" s="2054"/>
      <c r="AB10" s="2054"/>
      <c r="AC10" s="1440"/>
    </row>
    <row r="11" spans="1:33" ht="16.399999999999999" customHeight="1">
      <c r="A11" s="1307"/>
      <c r="B11" s="1307"/>
      <c r="C11" s="1307"/>
      <c r="D11" s="1441" t="s">
        <v>104</v>
      </c>
      <c r="E11" s="1441"/>
      <c r="F11" s="1441"/>
      <c r="G11" s="1308"/>
      <c r="H11" s="1442" t="s">
        <v>159</v>
      </c>
      <c r="I11" s="1441"/>
      <c r="J11" s="1441"/>
      <c r="L11" s="2056" t="s">
        <v>106</v>
      </c>
      <c r="M11" s="2056"/>
      <c r="N11" s="2056"/>
      <c r="O11" s="1438"/>
      <c r="P11" s="1438"/>
      <c r="Q11" s="1438"/>
      <c r="R11" s="1443" t="s">
        <v>160</v>
      </c>
      <c r="S11" s="1443"/>
      <c r="T11" s="1443"/>
      <c r="U11" s="1443"/>
      <c r="V11" s="1443"/>
      <c r="W11" s="1443"/>
      <c r="X11" s="1443"/>
      <c r="Y11" s="1443"/>
      <c r="Z11" s="1443"/>
      <c r="AA11" s="1443"/>
      <c r="AB11" s="1443"/>
      <c r="AC11" s="1444"/>
      <c r="AD11" s="1445"/>
      <c r="AE11" s="1445"/>
      <c r="AF11" s="1445"/>
    </row>
    <row r="12" spans="1:33" ht="15.75" customHeight="1">
      <c r="A12" s="1307"/>
      <c r="B12" s="1307"/>
      <c r="C12" s="1307"/>
      <c r="D12" s="1438" t="s">
        <v>109</v>
      </c>
      <c r="E12" s="1438"/>
      <c r="F12" s="1311" t="str">
        <f>'Exhibit A'!F11</f>
        <v>1 MO. ENDED</v>
      </c>
      <c r="G12" s="1438"/>
      <c r="H12" s="1438" t="s">
        <v>109</v>
      </c>
      <c r="I12" s="1438"/>
      <c r="J12" s="1438" t="str">
        <f>F12</f>
        <v>1 MO. ENDED</v>
      </c>
      <c r="K12" s="1438"/>
      <c r="L12" s="1438" t="s">
        <v>109</v>
      </c>
      <c r="M12" s="1438"/>
      <c r="N12" s="1438" t="str">
        <f>F12</f>
        <v>1 MO. ENDED</v>
      </c>
      <c r="O12" s="1438"/>
      <c r="P12" s="1446"/>
      <c r="Q12" s="1438"/>
      <c r="R12" s="1438" t="s">
        <v>109</v>
      </c>
      <c r="S12" s="1438"/>
      <c r="T12" s="1438" t="str">
        <f>F12</f>
        <v>1 MO. ENDED</v>
      </c>
      <c r="U12" s="1438"/>
      <c r="V12" s="1438"/>
      <c r="W12" s="1438"/>
      <c r="X12" s="1438"/>
      <c r="Y12" s="1438" t="s">
        <v>109</v>
      </c>
      <c r="Z12" s="1438"/>
      <c r="AA12" s="1438" t="str">
        <f>'Exhibit A'!AD11</f>
        <v>1 MO. ENDED</v>
      </c>
      <c r="AB12" s="1438"/>
      <c r="AC12" s="1447"/>
      <c r="AD12" s="1438" t="s">
        <v>110</v>
      </c>
      <c r="AE12" s="284"/>
      <c r="AF12" s="1438" t="s">
        <v>111</v>
      </c>
    </row>
    <row r="13" spans="1:33" ht="16.399999999999999" customHeight="1">
      <c r="A13" s="1307"/>
      <c r="B13" s="1307"/>
      <c r="C13" s="1307"/>
      <c r="D13" s="1448" t="str">
        <f>'Exhibit A'!D12</f>
        <v>APR. 2026</v>
      </c>
      <c r="E13" s="1438"/>
      <c r="F13" s="1448" t="str">
        <f>'Exhibit A'!F12</f>
        <v>APR. 30, 2026</v>
      </c>
      <c r="G13" s="1438"/>
      <c r="H13" s="1443" t="str">
        <f>D13</f>
        <v>APR. 2026</v>
      </c>
      <c r="I13" s="1438"/>
      <c r="J13" s="1443" t="str">
        <f>F13</f>
        <v>APR. 30, 2026</v>
      </c>
      <c r="K13" s="1438"/>
      <c r="L13" s="1443" t="str">
        <f>D13</f>
        <v>APR. 2026</v>
      </c>
      <c r="M13" s="1438"/>
      <c r="N13" s="1443" t="str">
        <f>F13</f>
        <v>APR. 30, 2026</v>
      </c>
      <c r="O13" s="1438"/>
      <c r="P13" s="1446"/>
      <c r="Q13" s="1438"/>
      <c r="R13" s="1443" t="str">
        <f>D13</f>
        <v>APR. 2026</v>
      </c>
      <c r="S13" s="1438"/>
      <c r="T13" s="1443" t="str">
        <f>F13</f>
        <v>APR. 30, 2026</v>
      </c>
      <c r="U13" s="1438"/>
      <c r="V13" s="1438"/>
      <c r="W13" s="1438"/>
      <c r="X13" s="1438"/>
      <c r="Y13" s="1448" t="str">
        <f>'Exhibit A'!AB12</f>
        <v>APR. 2025</v>
      </c>
      <c r="Z13" s="1438"/>
      <c r="AA13" s="1448" t="str">
        <f>'Exhibit A'!AD12</f>
        <v>APR. 30, 2025</v>
      </c>
      <c r="AB13" s="1438"/>
      <c r="AC13" s="1447"/>
      <c r="AD13" s="1443" t="s">
        <v>112</v>
      </c>
      <c r="AE13" s="284"/>
      <c r="AF13" s="1448" t="s">
        <v>113</v>
      </c>
    </row>
    <row r="14" spans="1:33" ht="16.399999999999999" customHeight="1">
      <c r="A14" s="1308" t="s">
        <v>114</v>
      </c>
      <c r="B14" s="1307"/>
      <c r="C14" s="1307"/>
      <c r="D14" s="1449" t="s">
        <v>103</v>
      </c>
      <c r="E14" s="1307"/>
      <c r="F14" s="1307"/>
      <c r="G14" s="1307"/>
      <c r="H14" s="1307" t="s">
        <v>103</v>
      </c>
      <c r="I14" s="1307"/>
      <c r="J14" s="1307"/>
      <c r="K14" s="1307"/>
      <c r="L14" s="1307" t="s">
        <v>103</v>
      </c>
      <c r="M14" s="1307"/>
      <c r="N14" s="1307"/>
      <c r="O14" s="1307"/>
      <c r="P14" s="1499"/>
      <c r="Q14" s="1450"/>
      <c r="R14" s="1307"/>
      <c r="S14" s="1307"/>
      <c r="T14" s="1307"/>
      <c r="U14" s="1307"/>
      <c r="V14" s="1307"/>
      <c r="W14" s="1451"/>
      <c r="X14" s="1307"/>
      <c r="Y14" s="1307"/>
      <c r="Z14" s="1307"/>
      <c r="AA14" s="1307"/>
      <c r="AB14" s="1307"/>
      <c r="AC14" s="1452"/>
      <c r="AD14" s="1307"/>
      <c r="AF14" s="284"/>
    </row>
    <row r="15" spans="1:33" ht="18" customHeight="1">
      <c r="A15" s="1307" t="s">
        <v>161</v>
      </c>
      <c r="B15" s="1453"/>
      <c r="C15" s="1307"/>
      <c r="D15" s="1339">
        <f>+'Exhibit A'!D14</f>
        <v>5227.2</v>
      </c>
      <c r="E15" s="1339" t="s">
        <v>103</v>
      </c>
      <c r="F15" s="1339">
        <f>+'Exhibit A'!F14</f>
        <v>5227.2</v>
      </c>
      <c r="G15" s="1339"/>
      <c r="H15" s="1929">
        <f>+'Exhibit G State'!D17</f>
        <v>0</v>
      </c>
      <c r="I15" s="1339"/>
      <c r="J15" s="2026">
        <f>'Exhibit G State'!AC17</f>
        <v>0</v>
      </c>
      <c r="K15" s="1339"/>
      <c r="L15" s="2027">
        <f>+'Exhibit A'!L14</f>
        <v>5227.2</v>
      </c>
      <c r="M15" s="1339"/>
      <c r="N15" s="1339">
        <f>+'Exhibit A'!N14</f>
        <v>5227.2</v>
      </c>
      <c r="O15" s="1339"/>
      <c r="P15" s="2028"/>
      <c r="Q15" s="2029"/>
      <c r="R15" s="1339">
        <f t="shared" ref="R15:R20" si="0">ROUND(SUM(D15+H15+L15),1)</f>
        <v>10454.4</v>
      </c>
      <c r="S15" s="1339"/>
      <c r="T15" s="2027">
        <f t="shared" ref="T15:T20" si="1">ROUND(SUM(F15+J15+N15),1)</f>
        <v>10454.4</v>
      </c>
      <c r="U15" s="1339"/>
      <c r="V15" s="1339"/>
      <c r="W15" s="1454"/>
      <c r="X15" s="1339"/>
      <c r="Y15" s="1339">
        <v>9693.6</v>
      </c>
      <c r="Z15" s="1339" t="s">
        <v>103</v>
      </c>
      <c r="AA15" s="1339">
        <f>'Exhibit F'!AF27+'Exhibit G State'!AF17+'Exhibit H'!AD17</f>
        <v>9693.6</v>
      </c>
      <c r="AB15" s="1455"/>
      <c r="AC15" s="1456"/>
      <c r="AD15" s="1339">
        <f t="shared" ref="AD15:AD20" si="2">ROUND(SUM(T15-AA15),1)</f>
        <v>760.8</v>
      </c>
      <c r="AE15" s="1457"/>
      <c r="AF15" s="266">
        <f>ROUND(+AD15/AA15,3)</f>
        <v>7.8E-2</v>
      </c>
      <c r="AG15" s="1487"/>
    </row>
    <row r="16" spans="1:33" ht="18" customHeight="1">
      <c r="A16" s="1307" t="s">
        <v>116</v>
      </c>
      <c r="B16" s="1458" t="s">
        <v>103</v>
      </c>
      <c r="C16" s="1307"/>
      <c r="D16" s="253">
        <f>+'Exhibit A'!D15</f>
        <v>853.1</v>
      </c>
      <c r="E16" s="253"/>
      <c r="F16" s="253">
        <f>+'Exhibit A'!F15</f>
        <v>853.1</v>
      </c>
      <c r="G16" s="253"/>
      <c r="H16" s="717">
        <f>+'Exhibit G State'!D29</f>
        <v>221.9</v>
      </c>
      <c r="I16" s="253"/>
      <c r="J16" s="2030">
        <f>'Exhibit G State'!AC29</f>
        <v>221.9</v>
      </c>
      <c r="K16" s="253"/>
      <c r="L16" s="253">
        <f>+'Exhibit A'!L15</f>
        <v>802.5</v>
      </c>
      <c r="M16" s="253"/>
      <c r="N16" s="253">
        <f>+'Exhibit A'!N15</f>
        <v>802.5</v>
      </c>
      <c r="O16" s="253"/>
      <c r="P16" s="1975"/>
      <c r="Q16" s="1976"/>
      <c r="R16" s="253">
        <f t="shared" si="0"/>
        <v>1877.5</v>
      </c>
      <c r="S16" s="253"/>
      <c r="T16" s="532">
        <f t="shared" si="1"/>
        <v>1877.5</v>
      </c>
      <c r="U16" s="253"/>
      <c r="V16" s="253"/>
      <c r="W16" s="1459"/>
      <c r="X16" s="253"/>
      <c r="Y16" s="253">
        <v>1744.5</v>
      </c>
      <c r="Z16" s="253" t="s">
        <v>103</v>
      </c>
      <c r="AA16" s="253">
        <f>'Exhibit F'!AF38+'Exhibit G State'!AF29+'Exhibit H'!AD21</f>
        <v>1744.5</v>
      </c>
      <c r="AB16" s="1307"/>
      <c r="AC16" s="1452"/>
      <c r="AD16" s="253">
        <f t="shared" si="2"/>
        <v>133</v>
      </c>
      <c r="AF16" s="266">
        <f t="shared" ref="AF16:AF21" si="3">ROUND(+AD16/AA16,3)</f>
        <v>7.5999999999999998E-2</v>
      </c>
      <c r="AG16" s="1487"/>
    </row>
    <row r="17" spans="1:33" ht="18" customHeight="1">
      <c r="A17" s="1307" t="s">
        <v>117</v>
      </c>
      <c r="B17" s="1460"/>
      <c r="C17" s="1307"/>
      <c r="D17" s="253">
        <f>+'Exhibit A'!D16</f>
        <v>911.8</v>
      </c>
      <c r="E17" s="253"/>
      <c r="F17" s="253">
        <f>+'Exhibit A'!F16</f>
        <v>911.8</v>
      </c>
      <c r="G17" s="253"/>
      <c r="H17" s="717">
        <f>+'Exhibit G State'!D36</f>
        <v>350.4</v>
      </c>
      <c r="I17" s="253"/>
      <c r="J17" s="2030">
        <f>'Exhibit G State'!AC36</f>
        <v>350.4</v>
      </c>
      <c r="K17" s="253"/>
      <c r="L17" s="253">
        <f>+'Exhibit A'!L16</f>
        <v>24.4</v>
      </c>
      <c r="M17" s="253"/>
      <c r="N17" s="253">
        <f>+'Exhibit A'!N16</f>
        <v>24.4</v>
      </c>
      <c r="O17" s="1461"/>
      <c r="P17" s="1977"/>
      <c r="Q17" s="1978"/>
      <c r="R17" s="253">
        <f t="shared" si="0"/>
        <v>1286.5999999999999</v>
      </c>
      <c r="S17" s="253"/>
      <c r="T17" s="532">
        <f t="shared" si="1"/>
        <v>1286.5999999999999</v>
      </c>
      <c r="U17" s="253"/>
      <c r="V17" s="253"/>
      <c r="W17" s="1462"/>
      <c r="X17" s="1461"/>
      <c r="Y17" s="253">
        <v>1319.6</v>
      </c>
      <c r="Z17" s="253" t="s">
        <v>103</v>
      </c>
      <c r="AA17" s="253">
        <f>'Exhibit F'!AF46+'Exhibit G State'!AF36+'Exhibit H'!AD23</f>
        <v>1319.6000000000001</v>
      </c>
      <c r="AB17" s="1307"/>
      <c r="AC17" s="1452"/>
      <c r="AD17" s="253">
        <f t="shared" si="2"/>
        <v>-33</v>
      </c>
      <c r="AF17" s="266">
        <f t="shared" si="3"/>
        <v>-2.5000000000000001E-2</v>
      </c>
      <c r="AG17" s="1487"/>
    </row>
    <row r="18" spans="1:33" ht="18" customHeight="1">
      <c r="A18" s="1307" t="s">
        <v>118</v>
      </c>
      <c r="B18" s="1458" t="s">
        <v>103</v>
      </c>
      <c r="C18" s="1307"/>
      <c r="D18" s="253">
        <f>+'Exhibit A'!D17</f>
        <v>167</v>
      </c>
      <c r="E18" s="253"/>
      <c r="F18" s="253">
        <f>+'Exhibit A'!F17</f>
        <v>167</v>
      </c>
      <c r="G18" s="253"/>
      <c r="H18" s="717">
        <v>0</v>
      </c>
      <c r="I18" s="253"/>
      <c r="J18" s="2030">
        <v>0</v>
      </c>
      <c r="K18" s="253"/>
      <c r="L18" s="253">
        <f>+'Exhibit A'!L17</f>
        <v>118.7</v>
      </c>
      <c r="M18" s="253"/>
      <c r="N18" s="253">
        <f>+'Exhibit A'!N17</f>
        <v>118.7</v>
      </c>
      <c r="O18" s="253"/>
      <c r="P18" s="1975"/>
      <c r="Q18" s="1976"/>
      <c r="R18" s="253">
        <f t="shared" si="0"/>
        <v>285.7</v>
      </c>
      <c r="S18" s="253"/>
      <c r="T18" s="532">
        <f t="shared" si="1"/>
        <v>285.7</v>
      </c>
      <c r="U18" s="253"/>
      <c r="V18" s="253"/>
      <c r="W18" s="1459"/>
      <c r="X18" s="253"/>
      <c r="Y18" s="253">
        <v>263.39999999999998</v>
      </c>
      <c r="Z18" s="253" t="s">
        <v>103</v>
      </c>
      <c r="AA18" s="253">
        <f>'Exhibit F'!AF54+'Exhibit H'!AD28</f>
        <v>263.39999999999998</v>
      </c>
      <c r="AB18" s="1307"/>
      <c r="AC18" s="1452"/>
      <c r="AD18" s="253">
        <f t="shared" si="2"/>
        <v>22.3</v>
      </c>
      <c r="AF18" s="266">
        <f t="shared" si="3"/>
        <v>8.5000000000000006E-2</v>
      </c>
      <c r="AG18" s="1487"/>
    </row>
    <row r="19" spans="1:33" ht="18" customHeight="1">
      <c r="A19" s="1307" t="s">
        <v>119</v>
      </c>
      <c r="B19" s="1458" t="s">
        <v>103</v>
      </c>
      <c r="C19" s="1307"/>
      <c r="D19" s="253">
        <f>+'Exhibit A'!D18</f>
        <v>490.4</v>
      </c>
      <c r="E19" s="253"/>
      <c r="F19" s="253">
        <f>+'Exhibit A'!F18</f>
        <v>490.4</v>
      </c>
      <c r="G19" s="253"/>
      <c r="H19" s="717">
        <f>+'Exhibit G State'!D81</f>
        <v>2052.1999999999998</v>
      </c>
      <c r="I19" s="253"/>
      <c r="J19" s="2030">
        <f>'Exhibit G State'!AC81</f>
        <v>2052.1999999999998</v>
      </c>
      <c r="K19" s="253"/>
      <c r="L19" s="253">
        <f>+'Exhibit A'!L18</f>
        <v>83.5</v>
      </c>
      <c r="M19" s="253"/>
      <c r="N19" s="253">
        <f>+'Exhibit A'!N18</f>
        <v>83.5</v>
      </c>
      <c r="O19" s="253"/>
      <c r="P19" s="1975"/>
      <c r="Q19" s="1976"/>
      <c r="R19" s="253">
        <f t="shared" si="0"/>
        <v>2626.1</v>
      </c>
      <c r="S19" s="253"/>
      <c r="T19" s="532">
        <f t="shared" si="1"/>
        <v>2626.1</v>
      </c>
      <c r="U19" s="253"/>
      <c r="V19" s="253"/>
      <c r="W19" s="1459"/>
      <c r="X19" s="253"/>
      <c r="Y19" s="253">
        <v>2405.1999999999998</v>
      </c>
      <c r="Z19" s="253" t="s">
        <v>103</v>
      </c>
      <c r="AA19" s="253">
        <f>+'Exhibit F'!AF97+'Exhibit G State'!AF81+'Exhibit H'!AD51</f>
        <v>2405.2000000000003</v>
      </c>
      <c r="AB19" s="1307"/>
      <c r="AC19" s="1452"/>
      <c r="AD19" s="253">
        <f t="shared" si="2"/>
        <v>220.9</v>
      </c>
      <c r="AF19" s="266">
        <f t="shared" si="3"/>
        <v>9.1999999999999998E-2</v>
      </c>
      <c r="AG19" s="1487"/>
    </row>
    <row r="20" spans="1:33" ht="18" customHeight="1">
      <c r="A20" s="1307" t="s">
        <v>120</v>
      </c>
      <c r="B20" s="1453" t="s">
        <v>103</v>
      </c>
      <c r="C20" s="1307"/>
      <c r="D20" s="253">
        <f>+'Exhibit A'!D19</f>
        <v>0</v>
      </c>
      <c r="E20" s="253"/>
      <c r="F20" s="253">
        <f>+'Exhibit A'!F19</f>
        <v>0</v>
      </c>
      <c r="G20" s="253"/>
      <c r="H20" s="717">
        <f>+'Exhibit G State'!D83</f>
        <v>0.1</v>
      </c>
      <c r="I20" s="253"/>
      <c r="J20" s="2030">
        <f>'Exhibit G State'!AC83</f>
        <v>0.1</v>
      </c>
      <c r="K20" s="253"/>
      <c r="L20" s="253">
        <f>+'Exhibit A'!L19</f>
        <v>27.1</v>
      </c>
      <c r="M20" s="1461"/>
      <c r="N20" s="253">
        <f>+'Exhibit A'!N19</f>
        <v>27.1</v>
      </c>
      <c r="O20" s="1461"/>
      <c r="P20" s="1977"/>
      <c r="Q20" s="1978"/>
      <c r="R20" s="1461">
        <f t="shared" si="0"/>
        <v>27.2</v>
      </c>
      <c r="S20" s="1461"/>
      <c r="T20" s="532">
        <f t="shared" si="1"/>
        <v>27.2</v>
      </c>
      <c r="U20" s="253"/>
      <c r="V20" s="253"/>
      <c r="W20" s="1462"/>
      <c r="X20" s="1461"/>
      <c r="Y20" s="253">
        <v>29.3</v>
      </c>
      <c r="Z20" s="253" t="s">
        <v>103</v>
      </c>
      <c r="AA20" s="253">
        <f>+'Exhibit F'!AF99+'Exhibit G State'!AF83+'Exhibit H'!AD53</f>
        <v>29.3</v>
      </c>
      <c r="AB20" s="1307"/>
      <c r="AC20" s="1452"/>
      <c r="AD20" s="253">
        <f t="shared" si="2"/>
        <v>-2.1</v>
      </c>
      <c r="AF20" s="543">
        <f>ROUND(IF(AA20=0,1,AD20/ABS(AA20)),3)</f>
        <v>-7.1999999999999995E-2</v>
      </c>
      <c r="AG20" s="1487"/>
    </row>
    <row r="21" spans="1:33" ht="18" customHeight="1">
      <c r="A21" s="1308" t="s">
        <v>121</v>
      </c>
      <c r="B21" s="1307"/>
      <c r="C21" s="1307"/>
      <c r="D21" s="1463">
        <f>ROUND(SUM(D15:D20),1)</f>
        <v>7649.5</v>
      </c>
      <c r="E21" s="1"/>
      <c r="F21" s="1979">
        <f>ROUND(SUM(F15:F20),1)</f>
        <v>7649.5</v>
      </c>
      <c r="G21" s="1"/>
      <c r="H21" s="1463">
        <f>ROUND(SUM(H15:H20),1)</f>
        <v>2624.6</v>
      </c>
      <c r="I21" s="1"/>
      <c r="J21" s="1463">
        <f>ROUND(SUM(J15:J20),1)</f>
        <v>2624.6</v>
      </c>
      <c r="K21" s="1"/>
      <c r="L21" s="1463">
        <f>ROUND(SUM(L15:L20),1)</f>
        <v>6283.4</v>
      </c>
      <c r="M21" s="1"/>
      <c r="N21" s="1463">
        <f>ROUND(SUM(N15:N20),1)</f>
        <v>6283.4</v>
      </c>
      <c r="O21" s="1"/>
      <c r="P21" s="1474"/>
      <c r="Q21" s="1980"/>
      <c r="R21" s="1463">
        <f>ROUND(SUM(R15:R20),1)</f>
        <v>16557.5</v>
      </c>
      <c r="S21" s="1"/>
      <c r="T21" s="1463">
        <f>ROUND(SUM(T15:T20),1)</f>
        <v>16557.5</v>
      </c>
      <c r="U21" s="1"/>
      <c r="V21" s="1"/>
      <c r="W21" s="1465"/>
      <c r="X21" s="1"/>
      <c r="Y21" s="1463">
        <f>ROUND(SUM(Y15:Y20),1)</f>
        <v>15455.6</v>
      </c>
      <c r="Z21" s="1"/>
      <c r="AA21" s="1463">
        <f>ROUND(SUM(AA15:AA20),1)</f>
        <v>15455.6</v>
      </c>
      <c r="AB21" s="1308"/>
      <c r="AC21" s="1466"/>
      <c r="AD21" s="1463">
        <f>ROUND(SUM(AD15:AD20),1)</f>
        <v>1101.9000000000001</v>
      </c>
      <c r="AE21" s="1420"/>
      <c r="AF21" s="1467">
        <f t="shared" si="3"/>
        <v>7.0999999999999994E-2</v>
      </c>
      <c r="AG21" s="1487"/>
    </row>
    <row r="22" spans="1:33" ht="16.399999999999999" customHeight="1">
      <c r="A22" s="1308"/>
      <c r="B22" s="1307"/>
      <c r="C22" s="1307"/>
      <c r="D22" s="253"/>
      <c r="E22" s="253"/>
      <c r="F22" s="253"/>
      <c r="G22" s="253"/>
      <c r="H22" s="253"/>
      <c r="I22" s="253"/>
      <c r="J22" s="253"/>
      <c r="K22" s="253"/>
      <c r="L22" s="253"/>
      <c r="M22" s="253"/>
      <c r="N22" s="253"/>
      <c r="O22" s="253"/>
      <c r="P22" s="1975"/>
      <c r="Q22" s="1976"/>
      <c r="R22" s="253"/>
      <c r="S22" s="253"/>
      <c r="T22" s="253"/>
      <c r="U22" s="253"/>
      <c r="V22" s="253"/>
      <c r="W22" s="1459"/>
      <c r="X22" s="253"/>
      <c r="Y22" s="253"/>
      <c r="Z22" s="253"/>
      <c r="AA22" s="253"/>
      <c r="AB22" s="1307"/>
      <c r="AC22" s="1452"/>
      <c r="AD22" s="253"/>
      <c r="AF22" s="284"/>
      <c r="AG22" s="1487"/>
    </row>
    <row r="23" spans="1:33" ht="16.399999999999999" customHeight="1">
      <c r="A23" s="1308" t="s">
        <v>122</v>
      </c>
      <c r="B23" s="1307"/>
      <c r="C23" s="1307"/>
      <c r="D23" s="253"/>
      <c r="E23" s="253"/>
      <c r="F23" s="253"/>
      <c r="G23" s="253"/>
      <c r="H23" s="253"/>
      <c r="I23" s="253"/>
      <c r="J23" s="253"/>
      <c r="K23" s="253"/>
      <c r="L23" s="253"/>
      <c r="M23" s="253"/>
      <c r="N23" s="253"/>
      <c r="O23" s="253"/>
      <c r="P23" s="1975"/>
      <c r="Q23" s="1976"/>
      <c r="R23" s="253"/>
      <c r="S23" s="253"/>
      <c r="T23" s="253"/>
      <c r="U23" s="253"/>
      <c r="V23" s="253"/>
      <c r="W23" s="1459"/>
      <c r="X23" s="253"/>
      <c r="Y23" s="253"/>
      <c r="Z23" s="253"/>
      <c r="AA23" s="253"/>
      <c r="AB23" s="1307"/>
      <c r="AC23" s="1452"/>
      <c r="AD23" s="253"/>
      <c r="AF23" s="284"/>
      <c r="AG23" s="1487"/>
    </row>
    <row r="24" spans="1:33" ht="16.399999999999999" customHeight="1">
      <c r="A24" s="1307" t="s">
        <v>123</v>
      </c>
      <c r="B24" s="1449" t="s">
        <v>103</v>
      </c>
      <c r="C24" s="1307"/>
      <c r="D24" s="255"/>
      <c r="E24" s="1461"/>
      <c r="F24" s="255"/>
      <c r="G24" s="253"/>
      <c r="H24" s="255"/>
      <c r="I24" s="1461"/>
      <c r="J24" s="255"/>
      <c r="K24" s="253"/>
      <c r="L24" s="255"/>
      <c r="M24" s="253"/>
      <c r="N24" s="1461"/>
      <c r="O24" s="253"/>
      <c r="P24" s="1975"/>
      <c r="Q24" s="1976"/>
      <c r="R24" s="1461"/>
      <c r="S24" s="1461"/>
      <c r="T24" s="1461"/>
      <c r="U24" s="253"/>
      <c r="V24" s="253"/>
      <c r="W24" s="1459"/>
      <c r="X24" s="1461"/>
      <c r="Y24" s="253"/>
      <c r="Z24" s="253"/>
      <c r="AA24" s="253"/>
      <c r="AB24" s="1307"/>
      <c r="AC24" s="1452"/>
      <c r="AD24" s="255"/>
      <c r="AF24" s="1312"/>
      <c r="AG24" s="1487"/>
    </row>
    <row r="25" spans="1:33" ht="18" customHeight="1">
      <c r="A25" s="1468" t="s">
        <v>124</v>
      </c>
      <c r="B25" s="1307"/>
      <c r="C25" s="1307"/>
      <c r="D25" s="513">
        <f>+'Exhibit A'!D24</f>
        <v>2528.3000000000002</v>
      </c>
      <c r="E25" s="253"/>
      <c r="F25" s="513">
        <f>+'Exhibit A'!F24</f>
        <v>2528.3000000000002</v>
      </c>
      <c r="G25" s="253"/>
      <c r="H25" s="513">
        <f>+'Exhibit G State'!D89</f>
        <v>0.8</v>
      </c>
      <c r="I25" s="253"/>
      <c r="J25" s="513">
        <f>+'Exhibit G State'!AC89</f>
        <v>0.8</v>
      </c>
      <c r="K25" s="253"/>
      <c r="L25" s="255">
        <f>+'Exhibit A'!L24</f>
        <v>0</v>
      </c>
      <c r="M25" s="253"/>
      <c r="N25" s="1461">
        <f>+'Exhibit A'!N24</f>
        <v>0</v>
      </c>
      <c r="O25" s="1461"/>
      <c r="P25" s="1977"/>
      <c r="Q25" s="1978"/>
      <c r="R25" s="532">
        <f>ROUND(SUM(D25+H25+L25),1)</f>
        <v>2529.1</v>
      </c>
      <c r="S25" s="532"/>
      <c r="T25" s="532">
        <f>ROUND(SUM(F25+J25+N25),1)</f>
        <v>2529.1</v>
      </c>
      <c r="U25" s="253"/>
      <c r="V25" s="253"/>
      <c r="W25" s="1462"/>
      <c r="X25" s="1461"/>
      <c r="Y25" s="253">
        <v>2466.4</v>
      </c>
      <c r="Z25" s="253" t="s">
        <v>103</v>
      </c>
      <c r="AA25" s="253">
        <f>+'Exhibit F'!AF105+'Exhibit G State'!AF89</f>
        <v>2466.4</v>
      </c>
      <c r="AB25" s="1307"/>
      <c r="AC25" s="1452"/>
      <c r="AD25" s="253">
        <f>ROUND(SUM(T25-AA25),1)</f>
        <v>62.7</v>
      </c>
      <c r="AF25" s="266">
        <f>ROUND(+AD25/AA25,3)</f>
        <v>2.5000000000000001E-2</v>
      </c>
      <c r="AG25" s="1487"/>
    </row>
    <row r="26" spans="1:33" ht="18" customHeight="1">
      <c r="A26" s="1468" t="s">
        <v>125</v>
      </c>
      <c r="B26" s="1449"/>
      <c r="C26" s="1307"/>
      <c r="D26" s="513">
        <f>+'Exhibit A'!D25</f>
        <v>0.3</v>
      </c>
      <c r="E26" s="253"/>
      <c r="F26" s="513">
        <f>+'Exhibit A'!F25</f>
        <v>0.3</v>
      </c>
      <c r="G26" s="253"/>
      <c r="H26" s="513">
        <f>+'Exhibit G State'!D90</f>
        <v>0</v>
      </c>
      <c r="I26" s="532"/>
      <c r="J26" s="513">
        <f>+'Exhibit G State'!AC90</f>
        <v>0</v>
      </c>
      <c r="K26" s="253"/>
      <c r="L26" s="255">
        <f>+'Exhibit A'!L25</f>
        <v>0</v>
      </c>
      <c r="M26" s="253"/>
      <c r="N26" s="1461">
        <f>+'Exhibit A'!N25</f>
        <v>0</v>
      </c>
      <c r="O26" s="1461"/>
      <c r="P26" s="1977"/>
      <c r="Q26" s="1978"/>
      <c r="R26" s="532">
        <f t="shared" ref="R26:R33" si="4">ROUND(SUM(D26+H26+L26),1)</f>
        <v>0.3</v>
      </c>
      <c r="S26" s="532"/>
      <c r="T26" s="532">
        <f t="shared" ref="T26:T33" si="5">ROUND(SUM(F26+J26+N26),1)</f>
        <v>0.3</v>
      </c>
      <c r="U26" s="253"/>
      <c r="V26" s="253"/>
      <c r="W26" s="1462"/>
      <c r="X26" s="1461"/>
      <c r="Y26" s="253">
        <v>0</v>
      </c>
      <c r="Z26" s="253" t="s">
        <v>103</v>
      </c>
      <c r="AA26" s="253">
        <f>+'Exhibit F'!AF106+'Exhibit G State'!AF90</f>
        <v>0</v>
      </c>
      <c r="AB26" s="1307"/>
      <c r="AC26" s="1452"/>
      <c r="AD26" s="253">
        <f>ROUND(SUM(T26-AA26),1)</f>
        <v>0.3</v>
      </c>
      <c r="AF26" s="543">
        <f>ROUND(IF(AA26=0,1,AD26/ABS(AA26)),3)</f>
        <v>1</v>
      </c>
      <c r="AG26" s="1487"/>
    </row>
    <row r="27" spans="1:33" ht="18" customHeight="1">
      <c r="A27" s="1468" t="s">
        <v>126</v>
      </c>
      <c r="B27" s="1313"/>
      <c r="C27" s="1307"/>
      <c r="D27" s="513">
        <f>+'Exhibit A'!D26</f>
        <v>28.2</v>
      </c>
      <c r="E27" s="253"/>
      <c r="F27" s="513">
        <f>+'Exhibit A'!F26</f>
        <v>28.2</v>
      </c>
      <c r="G27" s="253"/>
      <c r="H27" s="513">
        <f>+'Exhibit G State'!D91</f>
        <v>16.8</v>
      </c>
      <c r="I27" s="253"/>
      <c r="J27" s="513">
        <f>+'Exhibit G State'!AC91</f>
        <v>16.8</v>
      </c>
      <c r="K27" s="253"/>
      <c r="L27" s="255">
        <f>+'Exhibit A'!L26</f>
        <v>0</v>
      </c>
      <c r="M27" s="253"/>
      <c r="N27" s="1461">
        <f>+'Exhibit A'!N26</f>
        <v>0</v>
      </c>
      <c r="O27" s="1461"/>
      <c r="P27" s="1977"/>
      <c r="Q27" s="1978"/>
      <c r="R27" s="532">
        <f t="shared" si="4"/>
        <v>45</v>
      </c>
      <c r="S27" s="532"/>
      <c r="T27" s="532">
        <f t="shared" si="5"/>
        <v>45</v>
      </c>
      <c r="U27" s="253"/>
      <c r="V27" s="253"/>
      <c r="W27" s="1462"/>
      <c r="X27" s="1461"/>
      <c r="Y27" s="253">
        <v>63.1</v>
      </c>
      <c r="Z27" s="253" t="s">
        <v>103</v>
      </c>
      <c r="AA27" s="253">
        <f>+'Exhibit F'!AF107+'Exhibit G State'!AF91</f>
        <v>63.1</v>
      </c>
      <c r="AB27" s="1307"/>
      <c r="AC27" s="1452"/>
      <c r="AD27" s="253">
        <f>ROUND(SUM(T27-AA27),1)</f>
        <v>-18.100000000000001</v>
      </c>
      <c r="AF27" s="266">
        <f>ROUND(+AD27/AA27,3)</f>
        <v>-0.28699999999999998</v>
      </c>
      <c r="AG27" s="1487"/>
    </row>
    <row r="28" spans="1:33" ht="18" customHeight="1">
      <c r="A28" s="1468" t="s">
        <v>127</v>
      </c>
      <c r="B28" s="1313"/>
      <c r="C28" s="1307"/>
      <c r="D28" s="513"/>
      <c r="E28" s="253"/>
      <c r="F28" s="513"/>
      <c r="G28" s="253"/>
      <c r="H28" s="513"/>
      <c r="I28" s="253"/>
      <c r="J28" s="513"/>
      <c r="K28" s="253"/>
      <c r="L28" s="255"/>
      <c r="M28" s="253"/>
      <c r="N28" s="1461"/>
      <c r="O28" s="1461"/>
      <c r="P28" s="1977"/>
      <c r="Q28" s="1978"/>
      <c r="R28" s="532" t="s">
        <v>103</v>
      </c>
      <c r="S28" s="532"/>
      <c r="T28" s="532" t="s">
        <v>103</v>
      </c>
      <c r="U28" s="253"/>
      <c r="V28" s="253"/>
      <c r="W28" s="1462"/>
      <c r="X28" s="1461"/>
      <c r="Y28" s="253"/>
      <c r="Z28" s="253" t="s">
        <v>103</v>
      </c>
      <c r="AA28" s="253" t="s">
        <v>103</v>
      </c>
      <c r="AB28" s="1307"/>
      <c r="AC28" s="1452"/>
      <c r="AD28" s="253"/>
      <c r="AF28" s="266"/>
      <c r="AG28" s="1487"/>
    </row>
    <row r="29" spans="1:33" ht="18" customHeight="1">
      <c r="A29" s="1469" t="s">
        <v>128</v>
      </c>
      <c r="B29" s="1453"/>
      <c r="C29" s="1307"/>
      <c r="D29" s="513">
        <f>+'Exhibit A'!D28</f>
        <v>4456.2</v>
      </c>
      <c r="E29" s="253"/>
      <c r="F29" s="513">
        <f>+'Exhibit A'!F28</f>
        <v>4456.2</v>
      </c>
      <c r="G29" s="253"/>
      <c r="H29" s="513">
        <f>+'Exhibit G State'!D93</f>
        <v>443.40000000000003</v>
      </c>
      <c r="I29" s="253"/>
      <c r="J29" s="513">
        <f>+'Exhibit G State'!AC93</f>
        <v>443.40000000000003</v>
      </c>
      <c r="K29" s="253"/>
      <c r="L29" s="255">
        <f>+'Exhibit A'!L28</f>
        <v>0</v>
      </c>
      <c r="M29" s="253"/>
      <c r="N29" s="1461">
        <f>+'Exhibit A'!N28</f>
        <v>0</v>
      </c>
      <c r="O29" s="1461"/>
      <c r="P29" s="1977"/>
      <c r="Q29" s="1978"/>
      <c r="R29" s="532">
        <f t="shared" si="4"/>
        <v>4899.6000000000004</v>
      </c>
      <c r="S29" s="532"/>
      <c r="T29" s="532">
        <f t="shared" si="5"/>
        <v>4899.6000000000004</v>
      </c>
      <c r="U29" s="253"/>
      <c r="V29" s="253"/>
      <c r="W29" s="1462"/>
      <c r="X29" s="1461"/>
      <c r="Y29" s="253">
        <v>3576.3</v>
      </c>
      <c r="Z29" s="253" t="s">
        <v>103</v>
      </c>
      <c r="AA29" s="253">
        <f>+'Exhibit F'!AF109+'Exhibit G State'!AF93</f>
        <v>3576.3</v>
      </c>
      <c r="AB29" s="1307"/>
      <c r="AC29" s="1452"/>
      <c r="AD29" s="253">
        <f t="shared" ref="AD29:AD34" si="6">ROUND(SUM(T29-AA29),1)</f>
        <v>1323.3</v>
      </c>
      <c r="AF29" s="266">
        <f t="shared" ref="AF29:AF34" si="7">ROUND(+AD29/AA29,3)</f>
        <v>0.37</v>
      </c>
      <c r="AG29" s="1487"/>
    </row>
    <row r="30" spans="1:33" ht="18" customHeight="1">
      <c r="A30" s="1468" t="s">
        <v>129</v>
      </c>
      <c r="B30" s="1313"/>
      <c r="C30" s="1307"/>
      <c r="D30" s="513">
        <f>+'Exhibit A'!D29</f>
        <v>113.8</v>
      </c>
      <c r="E30" s="253"/>
      <c r="F30" s="513">
        <f>+'Exhibit A'!F29</f>
        <v>113.8</v>
      </c>
      <c r="G30" s="253"/>
      <c r="H30" s="513">
        <f>+'Exhibit G State'!D94</f>
        <v>79.900000000000006</v>
      </c>
      <c r="I30" s="253"/>
      <c r="J30" s="513">
        <f>+'Exhibit G State'!AC94</f>
        <v>79.900000000000006</v>
      </c>
      <c r="K30" s="253"/>
      <c r="L30" s="255">
        <f>+'Exhibit A'!L29</f>
        <v>0</v>
      </c>
      <c r="M30" s="253"/>
      <c r="N30" s="1461">
        <f>+'Exhibit A'!N29</f>
        <v>0</v>
      </c>
      <c r="O30" s="1461"/>
      <c r="P30" s="1977"/>
      <c r="Q30" s="1978"/>
      <c r="R30" s="532">
        <f t="shared" si="4"/>
        <v>193.7</v>
      </c>
      <c r="S30" s="532"/>
      <c r="T30" s="532">
        <f t="shared" si="5"/>
        <v>193.7</v>
      </c>
      <c r="U30" s="253"/>
      <c r="V30" s="253"/>
      <c r="W30" s="1462"/>
      <c r="X30" s="1461"/>
      <c r="Y30" s="253">
        <v>293</v>
      </c>
      <c r="Z30" s="253" t="s">
        <v>103</v>
      </c>
      <c r="AA30" s="253">
        <f>+'Exhibit F'!AF110+'Exhibit G State'!AF94</f>
        <v>293</v>
      </c>
      <c r="AB30" s="1307"/>
      <c r="AC30" s="1452"/>
      <c r="AD30" s="253">
        <f t="shared" si="6"/>
        <v>-99.3</v>
      </c>
      <c r="AF30" s="266">
        <f t="shared" si="7"/>
        <v>-0.33900000000000002</v>
      </c>
      <c r="AG30" s="1487"/>
    </row>
    <row r="31" spans="1:33" ht="18" customHeight="1">
      <c r="A31" s="1468" t="s">
        <v>130</v>
      </c>
      <c r="B31" s="1307"/>
      <c r="C31" s="1307"/>
      <c r="D31" s="513">
        <f>+'Exhibit A'!D30</f>
        <v>57.2</v>
      </c>
      <c r="E31" s="253"/>
      <c r="F31" s="513">
        <f>+'Exhibit A'!F30</f>
        <v>57.2</v>
      </c>
      <c r="G31" s="253"/>
      <c r="H31" s="513">
        <f>+'Exhibit G State'!D95</f>
        <v>47</v>
      </c>
      <c r="I31" s="253"/>
      <c r="J31" s="513">
        <f>+'Exhibit G State'!AC95</f>
        <v>47</v>
      </c>
      <c r="K31" s="253"/>
      <c r="L31" s="255">
        <f>+'Exhibit A'!L30</f>
        <v>0</v>
      </c>
      <c r="M31" s="253"/>
      <c r="N31" s="1461">
        <f>+'Exhibit A'!N30</f>
        <v>0</v>
      </c>
      <c r="O31" s="1461"/>
      <c r="P31" s="1977"/>
      <c r="Q31" s="1978"/>
      <c r="R31" s="532">
        <f t="shared" si="4"/>
        <v>104.2</v>
      </c>
      <c r="S31" s="532"/>
      <c r="T31" s="532">
        <f t="shared" si="5"/>
        <v>104.2</v>
      </c>
      <c r="U31" s="253"/>
      <c r="V31" s="253"/>
      <c r="W31" s="1462"/>
      <c r="X31" s="1461"/>
      <c r="Y31" s="253">
        <v>59.8</v>
      </c>
      <c r="Z31" s="253" t="s">
        <v>103</v>
      </c>
      <c r="AA31" s="253">
        <f>+'Exhibit F'!AF111+'Exhibit G State'!AF95</f>
        <v>59.8</v>
      </c>
      <c r="AB31" s="1307"/>
      <c r="AC31" s="1452"/>
      <c r="AD31" s="253">
        <f t="shared" si="6"/>
        <v>44.4</v>
      </c>
      <c r="AF31" s="266">
        <f t="shared" si="7"/>
        <v>0.74199999999999999</v>
      </c>
      <c r="AG31" s="1487"/>
    </row>
    <row r="32" spans="1:33" ht="18" customHeight="1">
      <c r="A32" s="1468" t="s">
        <v>131</v>
      </c>
      <c r="B32" s="1307"/>
      <c r="C32" s="1307"/>
      <c r="D32" s="513">
        <f>+'Exhibit A'!D31</f>
        <v>209.6</v>
      </c>
      <c r="E32" s="253"/>
      <c r="F32" s="513">
        <f>+'Exhibit A'!F31</f>
        <v>209.6</v>
      </c>
      <c r="G32" s="253"/>
      <c r="H32" s="513">
        <f>+'Exhibit G State'!D96</f>
        <v>2</v>
      </c>
      <c r="I32" s="253"/>
      <c r="J32" s="513">
        <f>+'Exhibit G State'!AC96</f>
        <v>2</v>
      </c>
      <c r="K32" s="253"/>
      <c r="L32" s="255">
        <f>+'Exhibit A'!L31</f>
        <v>0</v>
      </c>
      <c r="M32" s="253"/>
      <c r="N32" s="1461">
        <f>+'Exhibit A'!N31</f>
        <v>0</v>
      </c>
      <c r="O32" s="1461"/>
      <c r="P32" s="1977"/>
      <c r="Q32" s="1978"/>
      <c r="R32" s="532">
        <f t="shared" si="4"/>
        <v>211.6</v>
      </c>
      <c r="S32" s="532"/>
      <c r="T32" s="532">
        <f t="shared" si="5"/>
        <v>211.6</v>
      </c>
      <c r="U32" s="253"/>
      <c r="V32" s="253"/>
      <c r="W32" s="1462"/>
      <c r="X32" s="1461"/>
      <c r="Y32" s="253">
        <v>181.9</v>
      </c>
      <c r="Z32" s="253" t="s">
        <v>103</v>
      </c>
      <c r="AA32" s="253">
        <f>+'Exhibit F'!AF112+'Exhibit G State'!AF96</f>
        <v>181.9</v>
      </c>
      <c r="AB32" s="1307"/>
      <c r="AC32" s="1452"/>
      <c r="AD32" s="253">
        <f t="shared" si="6"/>
        <v>29.7</v>
      </c>
      <c r="AF32" s="266">
        <f t="shared" si="7"/>
        <v>0.16300000000000001</v>
      </c>
      <c r="AG32" s="1487"/>
    </row>
    <row r="33" spans="1:33" ht="18" customHeight="1">
      <c r="A33" s="1468" t="s">
        <v>132</v>
      </c>
      <c r="B33" s="1307"/>
      <c r="C33" s="1307"/>
      <c r="D33" s="513">
        <f>+'Exhibit A'!D32</f>
        <v>21.5</v>
      </c>
      <c r="E33" s="253"/>
      <c r="F33" s="513">
        <f>+'Exhibit A'!F32</f>
        <v>21.5</v>
      </c>
      <c r="G33" s="253"/>
      <c r="H33" s="513">
        <f>+'Exhibit G State'!D97</f>
        <v>0.2</v>
      </c>
      <c r="I33" s="253"/>
      <c r="J33" s="513">
        <f>+'Exhibit G State'!AC97</f>
        <v>0.2</v>
      </c>
      <c r="K33" s="253"/>
      <c r="L33" s="255">
        <f>+'Exhibit A'!L32</f>
        <v>0</v>
      </c>
      <c r="M33" s="253"/>
      <c r="N33" s="1461">
        <f>+'Exhibit A'!N32</f>
        <v>0</v>
      </c>
      <c r="O33" s="1461"/>
      <c r="P33" s="1977"/>
      <c r="Q33" s="1978"/>
      <c r="R33" s="532">
        <f t="shared" si="4"/>
        <v>21.7</v>
      </c>
      <c r="S33" s="532"/>
      <c r="T33" s="532">
        <f t="shared" si="5"/>
        <v>21.7</v>
      </c>
      <c r="U33" s="253"/>
      <c r="V33" s="253"/>
      <c r="W33" s="1462"/>
      <c r="X33" s="1461"/>
      <c r="Y33" s="253">
        <v>18.600000000000001</v>
      </c>
      <c r="Z33" s="253" t="s">
        <v>103</v>
      </c>
      <c r="AA33" s="253">
        <f>+'Exhibit F'!AF113+'Exhibit G State'!AF97</f>
        <v>18.600000000000001</v>
      </c>
      <c r="AB33" s="1307"/>
      <c r="AC33" s="1452"/>
      <c r="AD33" s="253">
        <f t="shared" si="6"/>
        <v>3.1</v>
      </c>
      <c r="AF33" s="266">
        <f t="shared" si="7"/>
        <v>0.16700000000000001</v>
      </c>
      <c r="AG33" s="1487"/>
    </row>
    <row r="34" spans="1:33" ht="18" customHeight="1">
      <c r="A34" s="1468" t="s">
        <v>133</v>
      </c>
      <c r="B34" s="1307"/>
      <c r="C34" s="1307"/>
      <c r="D34" s="513">
        <f>+'Exhibit A'!D33</f>
        <v>0.2</v>
      </c>
      <c r="E34" s="253"/>
      <c r="F34" s="513">
        <f>+'Exhibit A'!F33</f>
        <v>0.2</v>
      </c>
      <c r="G34" s="253"/>
      <c r="H34" s="513">
        <f>+'Exhibit G State'!D98</f>
        <v>84.2</v>
      </c>
      <c r="I34" s="253"/>
      <c r="J34" s="513">
        <f>+'Exhibit G State'!AC98</f>
        <v>84.2</v>
      </c>
      <c r="K34" s="253"/>
      <c r="L34" s="255">
        <f>+'Exhibit A'!L33</f>
        <v>0</v>
      </c>
      <c r="M34" s="253"/>
      <c r="N34" s="1461">
        <f>+'Exhibit A'!N33</f>
        <v>0</v>
      </c>
      <c r="O34" s="1461"/>
      <c r="P34" s="1977"/>
      <c r="Q34" s="1978"/>
      <c r="R34" s="986">
        <f>ROUND(SUM(D34+H34+L34),1)</f>
        <v>84.4</v>
      </c>
      <c r="S34" s="532"/>
      <c r="T34" s="986">
        <f>ROUND(SUM(F34+J34+N34),1)</f>
        <v>84.4</v>
      </c>
      <c r="U34" s="253"/>
      <c r="V34" s="253"/>
      <c r="W34" s="1462"/>
      <c r="X34" s="1461"/>
      <c r="Y34" s="253">
        <v>92.9</v>
      </c>
      <c r="Z34" s="253" t="s">
        <v>103</v>
      </c>
      <c r="AA34" s="253">
        <f>+'Exhibit F'!AF114+'Exhibit G State'!AF98</f>
        <v>92.9</v>
      </c>
      <c r="AB34" s="1307"/>
      <c r="AC34" s="1452"/>
      <c r="AD34" s="253">
        <f t="shared" si="6"/>
        <v>-8.5</v>
      </c>
      <c r="AF34" s="266">
        <f t="shared" si="7"/>
        <v>-9.0999999999999998E-2</v>
      </c>
      <c r="AG34" s="1487"/>
    </row>
    <row r="35" spans="1:33" ht="18" customHeight="1">
      <c r="A35" s="1308" t="s">
        <v>134</v>
      </c>
      <c r="B35" s="1307"/>
      <c r="C35" s="1307"/>
      <c r="D35" s="1463">
        <f>ROUND(SUM(D25:D34),1)</f>
        <v>7415.3</v>
      </c>
      <c r="E35" s="1"/>
      <c r="F35" s="1463">
        <f>ROUND(SUM(F25:F34),1)</f>
        <v>7415.3</v>
      </c>
      <c r="G35" s="1"/>
      <c r="H35" s="1463">
        <f>ROUND(SUM(H25:H34),1)</f>
        <v>674.3</v>
      </c>
      <c r="I35" s="1"/>
      <c r="J35" s="1463">
        <f>ROUND(SUM(J25:J34),1)</f>
        <v>674.3</v>
      </c>
      <c r="K35" s="1"/>
      <c r="L35" s="1470">
        <f>ROUND(SUM(L25:L34),1)</f>
        <v>0</v>
      </c>
      <c r="M35" s="1"/>
      <c r="N35" s="2031">
        <f>ROUND(SUM(N25:N34),1)</f>
        <v>0</v>
      </c>
      <c r="O35" s="1471"/>
      <c r="P35" s="2032"/>
      <c r="Q35" s="2033"/>
      <c r="R35" s="1463">
        <f>ROUND(SUM(R25:R34),1)</f>
        <v>8089.6</v>
      </c>
      <c r="S35" s="1471"/>
      <c r="T35" s="1463">
        <f>ROUND(SUM(T25:T34),1)</f>
        <v>8089.6</v>
      </c>
      <c r="U35" s="1"/>
      <c r="V35" s="1"/>
      <c r="W35" s="1472"/>
      <c r="X35" s="1471"/>
      <c r="Y35" s="1463">
        <f>ROUND(SUM(Y25:Y34),1)</f>
        <v>6752</v>
      </c>
      <c r="Z35" s="1"/>
      <c r="AA35" s="1463">
        <f>ROUND(SUM(AA25:AA34),1)</f>
        <v>6752</v>
      </c>
      <c r="AB35" s="1308"/>
      <c r="AC35" s="1466"/>
      <c r="AD35" s="1463">
        <f>ROUND(SUM(AD25:AD34),1)</f>
        <v>1337.6</v>
      </c>
      <c r="AE35" s="1420"/>
      <c r="AF35" s="1467">
        <f>ROUND(+AD35/AA35,3)</f>
        <v>0.19800000000000001</v>
      </c>
      <c r="AG35" s="1487"/>
    </row>
    <row r="36" spans="1:33" ht="18" customHeight="1">
      <c r="A36" s="1307" t="s">
        <v>135</v>
      </c>
      <c r="B36" s="1313"/>
      <c r="C36" s="1307"/>
      <c r="D36" s="253"/>
      <c r="E36" s="253"/>
      <c r="F36" s="253"/>
      <c r="G36" s="253"/>
      <c r="H36" s="253"/>
      <c r="I36" s="253"/>
      <c r="J36" s="253"/>
      <c r="K36" s="253"/>
      <c r="L36" s="253"/>
      <c r="M36" s="253"/>
      <c r="N36" s="253"/>
      <c r="O36" s="253"/>
      <c r="P36" s="1975"/>
      <c r="Q36" s="1976"/>
      <c r="R36" s="253"/>
      <c r="S36" s="253"/>
      <c r="T36" s="253"/>
      <c r="U36" s="253"/>
      <c r="V36" s="253"/>
      <c r="W36" s="1459"/>
      <c r="X36" s="253"/>
      <c r="Y36" s="253"/>
      <c r="Z36" s="253"/>
      <c r="AA36" s="253"/>
      <c r="AB36" s="1307"/>
      <c r="AC36" s="1452"/>
      <c r="AD36" s="253"/>
      <c r="AF36" s="284"/>
      <c r="AG36" s="1487"/>
    </row>
    <row r="37" spans="1:33" ht="18" customHeight="1">
      <c r="A37" s="1307" t="s">
        <v>136</v>
      </c>
      <c r="B37" s="1449"/>
      <c r="C37" s="1307"/>
      <c r="D37" s="253">
        <f>+'Exhibit A'!D36</f>
        <v>1212.8</v>
      </c>
      <c r="E37" s="253"/>
      <c r="F37" s="513">
        <f>+'Exhibit A'!F36</f>
        <v>1212.8</v>
      </c>
      <c r="G37" s="253"/>
      <c r="H37" s="253">
        <f>+'Exhibit G State'!D101</f>
        <v>555.79999999999995</v>
      </c>
      <c r="I37" s="253"/>
      <c r="J37" s="513">
        <f>+'Exhibit G State'!AC101</f>
        <v>555.79999999999995</v>
      </c>
      <c r="K37" s="253"/>
      <c r="L37" s="1461">
        <f>+'Exhibit A'!L36</f>
        <v>0</v>
      </c>
      <c r="M37" s="532"/>
      <c r="N37" s="1461">
        <f>+'Exhibit A'!N36</f>
        <v>0</v>
      </c>
      <c r="O37" s="1461"/>
      <c r="P37" s="1977"/>
      <c r="Q37" s="1978"/>
      <c r="R37" s="532">
        <f>ROUND(SUM(D37+H37+L37),1)</f>
        <v>1768.6</v>
      </c>
      <c r="S37" s="1461"/>
      <c r="T37" s="253">
        <f>ROUND(SUM(F37+J37+N37),1)</f>
        <v>1768.6</v>
      </c>
      <c r="U37" s="253"/>
      <c r="V37" s="253"/>
      <c r="W37" s="1462"/>
      <c r="X37" s="1461"/>
      <c r="Y37" s="253">
        <v>1527.9</v>
      </c>
      <c r="Z37" s="253" t="s">
        <v>103</v>
      </c>
      <c r="AA37" s="253">
        <f>+'Exhibit F'!AF117+'Exhibit G State'!AF101</f>
        <v>1527.9</v>
      </c>
      <c r="AB37" s="1307"/>
      <c r="AC37" s="1452"/>
      <c r="AD37" s="253">
        <f t="shared" ref="AD37:AD41" si="8">ROUND(SUM(T37-AA37),1)</f>
        <v>240.7</v>
      </c>
      <c r="AF37" s="266">
        <f>ROUND(+AD37/AA37,3)</f>
        <v>0.158</v>
      </c>
      <c r="AG37" s="1487"/>
    </row>
    <row r="38" spans="1:33" ht="18" customHeight="1">
      <c r="A38" s="1307" t="s">
        <v>137</v>
      </c>
      <c r="B38" s="1313"/>
      <c r="C38" s="1307"/>
      <c r="D38" s="253">
        <f>+'Exhibit A'!D37</f>
        <v>213.6</v>
      </c>
      <c r="E38" s="253"/>
      <c r="F38" s="513">
        <f>+'Exhibit A'!F37</f>
        <v>213.6</v>
      </c>
      <c r="G38" s="253"/>
      <c r="H38" s="253">
        <f>+'Exhibit G State'!D102</f>
        <v>325</v>
      </c>
      <c r="I38" s="253"/>
      <c r="J38" s="513">
        <f>+'Exhibit G State'!AC102</f>
        <v>325</v>
      </c>
      <c r="K38" s="253"/>
      <c r="L38" s="1461">
        <f>+'Exhibit A'!L37</f>
        <v>0.1</v>
      </c>
      <c r="M38" s="532"/>
      <c r="N38" s="1461">
        <f>+'Exhibit A'!N37</f>
        <v>0.1</v>
      </c>
      <c r="O38" s="253"/>
      <c r="P38" s="1975"/>
      <c r="Q38" s="1976"/>
      <c r="R38" s="532">
        <f>ROUND(SUM(D38+H38+L38),1)</f>
        <v>538.70000000000005</v>
      </c>
      <c r="S38" s="1461"/>
      <c r="T38" s="253">
        <f>ROUND(SUM(F38+J38+N38),1)</f>
        <v>538.70000000000005</v>
      </c>
      <c r="U38" s="253"/>
      <c r="V38" s="253"/>
      <c r="W38" s="1459"/>
      <c r="X38" s="253"/>
      <c r="Y38" s="253">
        <v>489.09999999999997</v>
      </c>
      <c r="Z38" s="253" t="s">
        <v>103</v>
      </c>
      <c r="AA38" s="253">
        <f>+'Exhibit F'!AF118+'Exhibit G State'!AF102+'Exhibit H'!AD59</f>
        <v>489.1</v>
      </c>
      <c r="AB38" s="1307"/>
      <c r="AC38" s="1452"/>
      <c r="AD38" s="253">
        <f t="shared" si="8"/>
        <v>49.6</v>
      </c>
      <c r="AF38" s="266">
        <f>ROUND(+AD38/AA38,3)</f>
        <v>0.10100000000000001</v>
      </c>
      <c r="AG38" s="1487"/>
    </row>
    <row r="39" spans="1:33" ht="18" customHeight="1">
      <c r="A39" s="1307" t="s">
        <v>138</v>
      </c>
      <c r="B39" s="1458"/>
      <c r="C39" s="1307"/>
      <c r="D39" s="253">
        <f>+'Exhibit A'!D38</f>
        <v>783.3</v>
      </c>
      <c r="E39" s="253"/>
      <c r="F39" s="513">
        <f>+'Exhibit A'!F38</f>
        <v>783.3</v>
      </c>
      <c r="G39" s="253"/>
      <c r="H39" s="253">
        <f>+'Exhibit G State'!D103</f>
        <v>34.5</v>
      </c>
      <c r="I39" s="253"/>
      <c r="J39" s="513">
        <f>+'Exhibit G State'!AC103</f>
        <v>34.5</v>
      </c>
      <c r="K39" s="253"/>
      <c r="L39" s="1461">
        <f>+'Exhibit A'!L38</f>
        <v>0</v>
      </c>
      <c r="M39" s="253"/>
      <c r="N39" s="1461">
        <f>+'Exhibit A'!N38</f>
        <v>0</v>
      </c>
      <c r="O39" s="1461"/>
      <c r="P39" s="1977"/>
      <c r="Q39" s="1978"/>
      <c r="R39" s="532">
        <f>ROUND(SUM(D39+H39+L39),1)</f>
        <v>817.8</v>
      </c>
      <c r="S39" s="1461"/>
      <c r="T39" s="253">
        <f>ROUND(SUM(F39+J39+N39),1)</f>
        <v>817.8</v>
      </c>
      <c r="U39" s="253"/>
      <c r="V39" s="253"/>
      <c r="W39" s="1462"/>
      <c r="X39" s="1461"/>
      <c r="Y39" s="253">
        <v>941.9</v>
      </c>
      <c r="Z39" s="253" t="s">
        <v>103</v>
      </c>
      <c r="AA39" s="253">
        <f>+'Exhibit F'!AF119+'Exhibit G State'!AF103</f>
        <v>941.9</v>
      </c>
      <c r="AB39" s="1307"/>
      <c r="AC39" s="1452"/>
      <c r="AD39" s="253">
        <f t="shared" si="8"/>
        <v>-124.1</v>
      </c>
      <c r="AF39" s="266">
        <f>ROUND(+AD39/AA39,3)</f>
        <v>-0.13200000000000001</v>
      </c>
      <c r="AG39" s="1487"/>
    </row>
    <row r="40" spans="1:33" ht="18" customHeight="1">
      <c r="A40" s="1307" t="s">
        <v>139</v>
      </c>
      <c r="B40" s="1307"/>
      <c r="C40" s="1307"/>
      <c r="D40" s="253"/>
      <c r="E40" s="253"/>
      <c r="F40" s="253"/>
      <c r="G40" s="253"/>
      <c r="H40" s="253"/>
      <c r="I40" s="253"/>
      <c r="J40" s="253"/>
      <c r="K40" s="253"/>
      <c r="L40" s="253"/>
      <c r="M40" s="253"/>
      <c r="N40" s="253"/>
      <c r="O40" s="253"/>
      <c r="P40" s="1975"/>
      <c r="Q40" s="1976"/>
      <c r="R40" s="532" t="s">
        <v>103</v>
      </c>
      <c r="S40" s="253"/>
      <c r="T40" s="253" t="s">
        <v>103</v>
      </c>
      <c r="U40" s="253"/>
      <c r="V40" s="253"/>
      <c r="W40" s="1459"/>
      <c r="X40" s="253"/>
      <c r="Y40" s="253" t="s">
        <v>103</v>
      </c>
      <c r="Z40" s="253"/>
      <c r="AA40" s="253" t="s">
        <v>103</v>
      </c>
      <c r="AB40" s="1307"/>
      <c r="AC40" s="1452"/>
      <c r="AD40" s="253"/>
      <c r="AF40" s="266"/>
      <c r="AG40" s="1487"/>
    </row>
    <row r="41" spans="1:33" ht="18" customHeight="1">
      <c r="A41" s="1307" t="s">
        <v>1466</v>
      </c>
      <c r="B41" s="1449"/>
      <c r="C41" s="1307"/>
      <c r="D41" s="1461">
        <v>0</v>
      </c>
      <c r="E41" s="253"/>
      <c r="F41" s="1461">
        <v>0</v>
      </c>
      <c r="G41" s="253"/>
      <c r="H41" s="1461">
        <v>0</v>
      </c>
      <c r="I41" s="253"/>
      <c r="J41" s="1461">
        <v>0</v>
      </c>
      <c r="K41" s="253"/>
      <c r="L41" s="1461">
        <f>+'Exhibit A'!L40</f>
        <v>1.5</v>
      </c>
      <c r="M41" s="532"/>
      <c r="N41" s="1461">
        <f>+'Exhibit A'!N40</f>
        <v>1.5</v>
      </c>
      <c r="O41" s="253"/>
      <c r="P41" s="1975"/>
      <c r="Q41" s="1976"/>
      <c r="R41" s="532">
        <f>ROUND(SUM(D41+H41+L41),1)</f>
        <v>1.5</v>
      </c>
      <c r="S41" s="253"/>
      <c r="T41" s="253">
        <f>ROUND(SUM(F41+J41+N41),1)</f>
        <v>1.5</v>
      </c>
      <c r="U41" s="253"/>
      <c r="V41" s="253"/>
      <c r="W41" s="1459"/>
      <c r="X41" s="253"/>
      <c r="Y41" s="253">
        <v>4.8</v>
      </c>
      <c r="Z41" s="253" t="s">
        <v>103</v>
      </c>
      <c r="AA41" s="253">
        <f>+'Exhibit H'!AD61</f>
        <v>4.8</v>
      </c>
      <c r="AB41" s="1307"/>
      <c r="AC41" s="1452"/>
      <c r="AD41" s="253">
        <f t="shared" si="8"/>
        <v>-3.3</v>
      </c>
      <c r="AF41" s="266">
        <f>ROUND(+AD41/AA41,3)</f>
        <v>-0.68799999999999994</v>
      </c>
      <c r="AG41" s="1487"/>
    </row>
    <row r="42" spans="1:33" ht="18" customHeight="1">
      <c r="A42" s="1307" t="s">
        <v>140</v>
      </c>
      <c r="B42" s="1449"/>
      <c r="C42" s="1307"/>
      <c r="D42" s="1461">
        <v>0</v>
      </c>
      <c r="E42" s="253"/>
      <c r="F42" s="1461">
        <v>0</v>
      </c>
      <c r="G42" s="253"/>
      <c r="H42" s="1461">
        <f>'Exhibit G State'!D104</f>
        <v>0</v>
      </c>
      <c r="I42" s="253"/>
      <c r="J42" s="1461">
        <f>'Exhibit G State'!AC104</f>
        <v>0</v>
      </c>
      <c r="K42" s="253"/>
      <c r="L42" s="1461">
        <v>0</v>
      </c>
      <c r="M42" s="532"/>
      <c r="N42" s="1461">
        <v>0</v>
      </c>
      <c r="O42" s="253"/>
      <c r="P42" s="1975"/>
      <c r="Q42" s="1976"/>
      <c r="R42" s="532">
        <f>ROUND(SUM(D42+H42+L42),1)</f>
        <v>0</v>
      </c>
      <c r="S42" s="253"/>
      <c r="T42" s="253">
        <f>ROUND(SUM(F42+J42+N42),1)</f>
        <v>0</v>
      </c>
      <c r="U42" s="253"/>
      <c r="V42" s="253"/>
      <c r="W42" s="1459"/>
      <c r="X42" s="253"/>
      <c r="Y42" s="253">
        <v>0</v>
      </c>
      <c r="Z42" s="253"/>
      <c r="AA42" s="253">
        <f>'Exhibit G State'!AF104</f>
        <v>0</v>
      </c>
      <c r="AB42" s="1307"/>
      <c r="AC42" s="1452"/>
      <c r="AD42" s="253">
        <f>ROUND(SUM(T42-AA42),1)</f>
        <v>0</v>
      </c>
      <c r="AF42" s="266">
        <f>IF(AA42=0,0,AD42/AA42)</f>
        <v>0</v>
      </c>
      <c r="AG42" s="1487"/>
    </row>
    <row r="43" spans="1:33" ht="18" customHeight="1">
      <c r="A43" s="1308" t="s">
        <v>162</v>
      </c>
      <c r="B43" s="1307"/>
      <c r="C43" s="1307"/>
      <c r="D43" s="1463">
        <f>SUM(D35:D42)</f>
        <v>9625</v>
      </c>
      <c r="E43" s="1"/>
      <c r="F43" s="1463">
        <f>SUM(F35:F42)</f>
        <v>9625</v>
      </c>
      <c r="G43" s="1"/>
      <c r="H43" s="1463">
        <f>SUM(H35:H42)</f>
        <v>1589.6</v>
      </c>
      <c r="I43" s="1"/>
      <c r="J43" s="1463">
        <f>SUM(J35:J42)</f>
        <v>1589.6</v>
      </c>
      <c r="K43" s="1"/>
      <c r="L43" s="1463">
        <f>SUM(L35:L42)</f>
        <v>1.6</v>
      </c>
      <c r="M43" s="1"/>
      <c r="N43" s="1463">
        <f>SUM(N35:N42)</f>
        <v>1.6</v>
      </c>
      <c r="O43" s="1"/>
      <c r="P43" s="1474"/>
      <c r="Q43" s="1980"/>
      <c r="R43" s="1463">
        <f>ROUND(SUM(R35:R42),1)</f>
        <v>11216.2</v>
      </c>
      <c r="S43" s="1"/>
      <c r="T43" s="1463">
        <f>ROUND(SUM(T35:T42),1)</f>
        <v>11216.2</v>
      </c>
      <c r="U43" s="1"/>
      <c r="V43" s="1"/>
      <c r="W43" s="1465"/>
      <c r="X43" s="1"/>
      <c r="Y43" s="1463">
        <f>ROUND(SUM(Y35:Y42),1)</f>
        <v>9715.7000000000007</v>
      </c>
      <c r="Z43" s="1"/>
      <c r="AA43" s="1463">
        <f>ROUND(SUM(AA35:AA42),1)</f>
        <v>9715.7000000000007</v>
      </c>
      <c r="AB43" s="1308"/>
      <c r="AC43" s="1466"/>
      <c r="AD43" s="1463">
        <f>ROUND(SUM(AD35:AD42),1)</f>
        <v>1500.5</v>
      </c>
      <c r="AE43" s="1420"/>
      <c r="AF43" s="1467">
        <f>ROUND(+AD43/AA43,3)</f>
        <v>0.154</v>
      </c>
      <c r="AG43" s="1487"/>
    </row>
    <row r="44" spans="1:33" ht="16.399999999999999" customHeight="1">
      <c r="A44" s="1308"/>
      <c r="B44" s="1307"/>
      <c r="C44" s="1307"/>
      <c r="D44" s="253"/>
      <c r="E44" s="253"/>
      <c r="F44" s="253"/>
      <c r="G44" s="253"/>
      <c r="H44" s="253"/>
      <c r="I44" s="253"/>
      <c r="J44" s="253"/>
      <c r="K44" s="253"/>
      <c r="L44" s="253"/>
      <c r="M44" s="253"/>
      <c r="N44" s="253"/>
      <c r="O44" s="253"/>
      <c r="P44" s="1975"/>
      <c r="Q44" s="1976"/>
      <c r="R44" s="253"/>
      <c r="S44" s="253"/>
      <c r="T44" s="253"/>
      <c r="U44" s="253"/>
      <c r="V44" s="253"/>
      <c r="W44" s="1459"/>
      <c r="X44" s="253"/>
      <c r="Y44" s="253"/>
      <c r="Z44" s="253"/>
      <c r="AA44" s="253"/>
      <c r="AB44" s="1307"/>
      <c r="AC44" s="1452"/>
      <c r="AD44" s="253"/>
      <c r="AF44" s="284"/>
      <c r="AG44" s="1487"/>
    </row>
    <row r="45" spans="1:33" ht="16.399999999999999" customHeight="1">
      <c r="A45" s="1308" t="s">
        <v>143</v>
      </c>
      <c r="B45" s="1308"/>
      <c r="C45" s="1307"/>
      <c r="D45" s="253"/>
      <c r="E45" s="253"/>
      <c r="F45" s="253"/>
      <c r="G45" s="253"/>
      <c r="H45" s="253"/>
      <c r="I45" s="253"/>
      <c r="J45" s="253"/>
      <c r="K45" s="253"/>
      <c r="L45" s="253"/>
      <c r="M45" s="253"/>
      <c r="N45" s="253"/>
      <c r="O45" s="253"/>
      <c r="P45" s="1975"/>
      <c r="Q45" s="1976"/>
      <c r="R45" s="253"/>
      <c r="S45" s="253"/>
      <c r="T45" s="253"/>
      <c r="U45" s="253"/>
      <c r="V45" s="253"/>
      <c r="W45" s="1459"/>
      <c r="X45" s="253"/>
      <c r="Y45" s="253"/>
      <c r="Z45" s="253"/>
      <c r="AA45" s="253"/>
      <c r="AB45" s="1307"/>
      <c r="AC45" s="1452"/>
      <c r="AD45" s="253"/>
      <c r="AF45" s="284"/>
      <c r="AG45" s="1487"/>
    </row>
    <row r="46" spans="1:33" ht="16.399999999999999" customHeight="1">
      <c r="A46" s="1308" t="s">
        <v>144</v>
      </c>
      <c r="B46" s="1308"/>
      <c r="C46" s="1307"/>
      <c r="D46" s="984">
        <f>ROUND(SUM(D21-D43),1)</f>
        <v>-1975.5</v>
      </c>
      <c r="E46" s="1"/>
      <c r="F46" s="984">
        <f>ROUND(SUM(F21-F43),1)</f>
        <v>-1975.5</v>
      </c>
      <c r="G46" s="1"/>
      <c r="H46" s="984">
        <f>ROUND(SUM(H21-H43),1)</f>
        <v>1035</v>
      </c>
      <c r="I46" s="1"/>
      <c r="J46" s="984">
        <f>ROUND(SUM(J21-J43),1)</f>
        <v>1035</v>
      </c>
      <c r="K46" s="1"/>
      <c r="L46" s="984">
        <f>ROUND(SUM(L21-L43),1)</f>
        <v>6281.8</v>
      </c>
      <c r="M46" s="1" t="s">
        <v>103</v>
      </c>
      <c r="N46" s="984">
        <f>ROUND(SUM(N21-N43),1)</f>
        <v>6281.8</v>
      </c>
      <c r="O46" s="1"/>
      <c r="P46" s="1474"/>
      <c r="Q46" s="1980"/>
      <c r="R46" s="984">
        <f>ROUND(SUM(+R21-R43),1)</f>
        <v>5341.3</v>
      </c>
      <c r="S46" s="1"/>
      <c r="T46" s="984">
        <f>ROUND(SUM(+T21-T43),1)</f>
        <v>5341.3</v>
      </c>
      <c r="U46" s="1"/>
      <c r="V46" s="1"/>
      <c r="W46" s="1465"/>
      <c r="X46" s="1"/>
      <c r="Y46" s="984">
        <f>ROUND(SUM(Y21-Y43),1)</f>
        <v>5739.9</v>
      </c>
      <c r="Z46" s="1" t="s">
        <v>103</v>
      </c>
      <c r="AA46" s="984">
        <f>ROUND(SUM(AA21-AA43),1)</f>
        <v>5739.9</v>
      </c>
      <c r="AB46" s="1308"/>
      <c r="AC46" s="1466"/>
      <c r="AD46" s="984">
        <f>ROUND(SUM(AD21-AD43),1)</f>
        <v>-398.6</v>
      </c>
      <c r="AE46" s="1420"/>
      <c r="AF46" s="540">
        <f>ROUND(AD46/ABS(AA46),3)</f>
        <v>-6.9000000000000006E-2</v>
      </c>
      <c r="AG46" s="1487"/>
    </row>
    <row r="47" spans="1:33" ht="16.399999999999999" customHeight="1">
      <c r="A47" s="1307"/>
      <c r="B47" s="1307"/>
      <c r="C47" s="1307"/>
      <c r="D47" s="253"/>
      <c r="E47" s="253"/>
      <c r="F47" s="253"/>
      <c r="G47" s="253"/>
      <c r="H47" s="253"/>
      <c r="I47" s="253"/>
      <c r="J47" s="253"/>
      <c r="K47" s="253"/>
      <c r="L47" s="253"/>
      <c r="M47" s="253"/>
      <c r="N47" s="253"/>
      <c r="O47" s="253"/>
      <c r="P47" s="1975"/>
      <c r="Q47" s="1976"/>
      <c r="R47" s="253"/>
      <c r="S47" s="253"/>
      <c r="T47" s="253"/>
      <c r="U47" s="253"/>
      <c r="V47" s="253"/>
      <c r="W47" s="1459"/>
      <c r="X47" s="253"/>
      <c r="Y47" s="253"/>
      <c r="Z47" s="253"/>
      <c r="AA47" s="253"/>
      <c r="AB47" s="1307"/>
      <c r="AC47" s="1452"/>
      <c r="AD47" s="253"/>
      <c r="AF47" s="284"/>
      <c r="AG47" s="1487"/>
    </row>
    <row r="48" spans="1:33" ht="16.399999999999999" customHeight="1">
      <c r="A48" s="1308" t="s">
        <v>145</v>
      </c>
      <c r="B48" s="1308"/>
      <c r="C48" s="1307"/>
      <c r="D48" s="253"/>
      <c r="E48" s="253"/>
      <c r="F48" s="253"/>
      <c r="G48" s="253"/>
      <c r="H48" s="253"/>
      <c r="I48" s="253"/>
      <c r="J48" s="253"/>
      <c r="K48" s="253"/>
      <c r="L48" s="253"/>
      <c r="M48" s="253"/>
      <c r="N48" s="253"/>
      <c r="O48" s="253"/>
      <c r="P48" s="1975"/>
      <c r="Q48" s="1976"/>
      <c r="R48" s="253"/>
      <c r="S48" s="253"/>
      <c r="T48" s="253"/>
      <c r="U48" s="253"/>
      <c r="V48" s="253"/>
      <c r="W48" s="1459"/>
      <c r="X48" s="253"/>
      <c r="Y48" s="253"/>
      <c r="Z48" s="253"/>
      <c r="AA48" s="253"/>
      <c r="AB48" s="1307"/>
      <c r="AC48" s="1452"/>
      <c r="AD48" s="253"/>
      <c r="AF48" s="284"/>
      <c r="AG48" s="1487"/>
    </row>
    <row r="49" spans="1:33" ht="18" customHeight="1">
      <c r="A49" s="1307" t="s">
        <v>147</v>
      </c>
      <c r="B49" s="1449" t="s">
        <v>148</v>
      </c>
      <c r="C49" s="1307"/>
      <c r="D49" s="253">
        <f>+'Exhibit A'!D49</f>
        <v>6357.9</v>
      </c>
      <c r="E49" s="253"/>
      <c r="F49" s="253">
        <f>+'Exhibit A'!F49</f>
        <v>6357.9</v>
      </c>
      <c r="G49" s="253"/>
      <c r="H49" s="253">
        <f>+'Exhibit G State'!D112</f>
        <v>243.1</v>
      </c>
      <c r="I49" s="253"/>
      <c r="J49" s="253">
        <f>+'Exhibit G State'!AC112</f>
        <v>243.1</v>
      </c>
      <c r="K49" s="253"/>
      <c r="L49" s="253">
        <f>+'Exhibit A'!L49</f>
        <v>243.8</v>
      </c>
      <c r="M49" s="253"/>
      <c r="N49" s="1461">
        <f>+'Exhibit A'!N49</f>
        <v>243.8</v>
      </c>
      <c r="O49" s="253"/>
      <c r="P49" s="1975"/>
      <c r="Q49" s="1976"/>
      <c r="R49" s="1461">
        <f>ROUND(SUM(L49+H49+D49),1)</f>
        <v>6844.8</v>
      </c>
      <c r="S49" s="253"/>
      <c r="T49" s="1461">
        <f>ROUND(SUM(F49+J49+N49),1)</f>
        <v>6844.8</v>
      </c>
      <c r="U49" s="253"/>
      <c r="V49" s="253"/>
      <c r="W49" s="1459"/>
      <c r="X49" s="253"/>
      <c r="Y49" s="253">
        <v>6543.5</v>
      </c>
      <c r="Z49" s="253" t="s">
        <v>103</v>
      </c>
      <c r="AA49" s="253">
        <f>'Exhibit F'!AF128+'Exhibit F'!AF129+'Exhibit F'!AF130+'Exhibit F'!AF131+'Exhibit G State'!AF112+'Exhibit H'!AD69</f>
        <v>6543.5</v>
      </c>
      <c r="AB49" s="1307"/>
      <c r="AC49" s="1452"/>
      <c r="AD49" s="253">
        <f>ROUND(SUM(T49-AA49),1)</f>
        <v>301.3</v>
      </c>
      <c r="AF49" s="266">
        <f>ROUND(SUM(+AD49/AA49),3)</f>
        <v>4.5999999999999999E-2</v>
      </c>
      <c r="AG49" s="1487"/>
    </row>
    <row r="50" spans="1:33" ht="18" customHeight="1">
      <c r="A50" s="1307" t="s">
        <v>149</v>
      </c>
      <c r="B50" s="1449" t="s">
        <v>148</v>
      </c>
      <c r="C50" s="1307"/>
      <c r="D50" s="253">
        <f>+'Exhibit A'!D50</f>
        <v>-665.4</v>
      </c>
      <c r="E50" s="253"/>
      <c r="F50" s="253">
        <f>+'Exhibit A'!F50</f>
        <v>-665.4</v>
      </c>
      <c r="G50" s="253"/>
      <c r="H50" s="253">
        <f>+'Exhibit G State'!D113</f>
        <v>-22.4</v>
      </c>
      <c r="I50" s="253"/>
      <c r="J50" s="532">
        <f>'Exhibit G State'!AC113</f>
        <v>-22.4</v>
      </c>
      <c r="K50" s="253"/>
      <c r="L50" s="253">
        <f>+'Exhibit A'!L50</f>
        <v>-6368.0999999999995</v>
      </c>
      <c r="M50" s="253"/>
      <c r="N50" s="1461">
        <f>+'Exhibit A'!N50</f>
        <v>-6368.0999999999995</v>
      </c>
      <c r="O50" s="253"/>
      <c r="P50" s="1975"/>
      <c r="Q50" s="1976"/>
      <c r="R50" s="532">
        <f>ROUND(SUM(D50+H50+L50),1)</f>
        <v>-7055.9</v>
      </c>
      <c r="S50" s="253"/>
      <c r="T50" s="253">
        <f>ROUND(SUM(F50+J50+N50),1)</f>
        <v>-7055.9</v>
      </c>
      <c r="U50" s="253"/>
      <c r="V50" s="253"/>
      <c r="W50" s="1459"/>
      <c r="X50" s="253"/>
      <c r="Y50" s="253">
        <v>-6754.6</v>
      </c>
      <c r="Z50" s="253" t="s">
        <v>103</v>
      </c>
      <c r="AA50" s="253">
        <f>'Exhibit F'!AF132+'Exhibit F'!AF133+'Exhibit F'!AF134+'Exhibit F'!AF135+'Exhibit G State'!AF113+'Exhibit H'!AD70</f>
        <v>-6754.6</v>
      </c>
      <c r="AB50" s="1307"/>
      <c r="AC50" s="1452"/>
      <c r="AD50" s="253">
        <f>-ROUND(SUM(T50-AA50),1)</f>
        <v>301.3</v>
      </c>
      <c r="AF50" s="534">
        <f>ROUND(SUM(-AD50/AA50),3)</f>
        <v>4.4999999999999998E-2</v>
      </c>
      <c r="AG50" s="1487"/>
    </row>
    <row r="51" spans="1:33" ht="18" customHeight="1">
      <c r="A51" s="1308" t="s">
        <v>150</v>
      </c>
      <c r="B51" s="1308"/>
      <c r="C51" s="1307"/>
      <c r="D51" s="1463">
        <f>ROUND(SUM(D49:D50),1)</f>
        <v>5692.5</v>
      </c>
      <c r="E51" s="1"/>
      <c r="F51" s="1463">
        <f>ROUND(SUM(F49:F50),1)</f>
        <v>5692.5</v>
      </c>
      <c r="G51" s="1"/>
      <c r="H51" s="1463">
        <f>ROUND(SUM(H49:H50),1)</f>
        <v>220.7</v>
      </c>
      <c r="I51" s="1"/>
      <c r="J51" s="1463">
        <f>ROUND(SUM(J49:J50),1)</f>
        <v>220.7</v>
      </c>
      <c r="K51" s="1"/>
      <c r="L51" s="1463">
        <f>ROUND(SUM(L49:L50),1)</f>
        <v>-6124.3</v>
      </c>
      <c r="M51" s="1"/>
      <c r="N51" s="1463">
        <f>ROUND(SUM(N49:N50),1)</f>
        <v>-6124.3</v>
      </c>
      <c r="O51" s="1"/>
      <c r="P51" s="1474"/>
      <c r="Q51" s="1980"/>
      <c r="R51" s="1463">
        <f>ROUND(SUM(R49:R50),1)</f>
        <v>-211.1</v>
      </c>
      <c r="S51" s="1"/>
      <c r="T51" s="1463">
        <f>ROUND(SUM(T49:T50),1)</f>
        <v>-211.1</v>
      </c>
      <c r="U51" s="1"/>
      <c r="V51" s="1"/>
      <c r="W51" s="1465"/>
      <c r="X51" s="1"/>
      <c r="Y51" s="1470">
        <f>ROUND(SUM(+Y49+Y50),1)</f>
        <v>-211.1</v>
      </c>
      <c r="Z51" s="1"/>
      <c r="AA51" s="1473">
        <f>ROUND(SUM(+AA49+AA50),1)</f>
        <v>-211.1</v>
      </c>
      <c r="AB51" s="1308"/>
      <c r="AC51" s="1466"/>
      <c r="AD51" s="1473">
        <f>ROUND(SUM(AD49-AD50),1)</f>
        <v>0</v>
      </c>
      <c r="AE51" s="1420"/>
      <c r="AF51" s="540">
        <f>ROUND(SUM(AD51/ABS(AA51)),3)</f>
        <v>0</v>
      </c>
      <c r="AG51" s="1487"/>
    </row>
    <row r="52" spans="1:33" ht="16.399999999999999" customHeight="1">
      <c r="A52" s="1307"/>
      <c r="B52" s="1307"/>
      <c r="C52" s="1307"/>
      <c r="D52" s="253"/>
      <c r="E52" s="253"/>
      <c r="F52" s="253"/>
      <c r="G52" s="253"/>
      <c r="H52" s="253"/>
      <c r="I52" s="253"/>
      <c r="J52" s="253"/>
      <c r="K52" s="253"/>
      <c r="L52" s="253"/>
      <c r="M52" s="253"/>
      <c r="N52" s="253"/>
      <c r="O52" s="253"/>
      <c r="P52" s="1975"/>
      <c r="Q52" s="1976"/>
      <c r="R52" s="253"/>
      <c r="S52" s="253"/>
      <c r="T52" s="253"/>
      <c r="U52" s="253"/>
      <c r="V52" s="253"/>
      <c r="W52" s="1459"/>
      <c r="X52" s="253"/>
      <c r="Y52" s="253"/>
      <c r="Z52" s="253"/>
      <c r="AA52" s="253"/>
      <c r="AB52" s="1307"/>
      <c r="AC52" s="1452"/>
      <c r="AD52" s="253"/>
      <c r="AF52" s="284"/>
      <c r="AG52" s="1487"/>
    </row>
    <row r="53" spans="1:33" ht="18" customHeight="1">
      <c r="A53" s="1308" t="s">
        <v>143</v>
      </c>
      <c r="B53" s="1308"/>
      <c r="C53" s="1307"/>
      <c r="D53" s="253"/>
      <c r="E53" s="253"/>
      <c r="F53" s="253"/>
      <c r="G53" s="253"/>
      <c r="H53" s="253" t="s">
        <v>103</v>
      </c>
      <c r="I53" s="253"/>
      <c r="J53" s="253"/>
      <c r="K53" s="253"/>
      <c r="L53" s="253"/>
      <c r="M53" s="253"/>
      <c r="N53" s="253"/>
      <c r="O53" s="253"/>
      <c r="P53" s="1975"/>
      <c r="Q53" s="1976"/>
      <c r="R53" s="253"/>
      <c r="S53" s="253"/>
      <c r="T53" s="253"/>
      <c r="U53" s="253"/>
      <c r="V53" s="253"/>
      <c r="W53" s="1459"/>
      <c r="X53" s="253"/>
      <c r="Y53" s="253"/>
      <c r="Z53" s="253"/>
      <c r="AA53" s="253"/>
      <c r="AB53" s="1307"/>
      <c r="AC53" s="1452"/>
      <c r="AD53" s="253"/>
      <c r="AF53" s="1392"/>
      <c r="AG53" s="1487"/>
    </row>
    <row r="54" spans="1:33" ht="18" customHeight="1">
      <c r="A54" s="1308" t="s">
        <v>163</v>
      </c>
      <c r="B54" s="1308"/>
      <c r="C54" s="1307"/>
      <c r="D54" s="253"/>
      <c r="E54" s="253"/>
      <c r="F54" s="253"/>
      <c r="G54" s="253"/>
      <c r="H54" s="253"/>
      <c r="I54" s="253"/>
      <c r="J54" s="253"/>
      <c r="K54" s="253"/>
      <c r="L54" s="253"/>
      <c r="M54" s="253"/>
      <c r="N54" s="253"/>
      <c r="O54" s="253"/>
      <c r="P54" s="1975"/>
      <c r="Q54" s="1976"/>
      <c r="R54" s="253"/>
      <c r="S54" s="253"/>
      <c r="T54" s="253"/>
      <c r="U54" s="253"/>
      <c r="V54" s="253"/>
      <c r="W54" s="1459"/>
      <c r="X54" s="253"/>
      <c r="Y54" s="253" t="s">
        <v>103</v>
      </c>
      <c r="Z54" s="253"/>
      <c r="AA54" s="253"/>
      <c r="AB54" s="1307"/>
      <c r="AC54" s="1452"/>
      <c r="AD54" s="253"/>
      <c r="AF54" s="284"/>
      <c r="AG54" s="1487"/>
    </row>
    <row r="55" spans="1:33" ht="18" customHeight="1">
      <c r="A55" s="1308" t="s">
        <v>164</v>
      </c>
      <c r="B55" s="1308"/>
      <c r="C55" s="1307"/>
      <c r="D55" s="1">
        <f>ROUND(SUM(D46+D51),1)</f>
        <v>3717</v>
      </c>
      <c r="E55" s="1"/>
      <c r="F55" s="1">
        <f>ROUND(SUM(F46)+SUM(F51),1)</f>
        <v>3717</v>
      </c>
      <c r="G55" s="1"/>
      <c r="H55" s="1">
        <f>ROUND(SUM(H46+H51),1)</f>
        <v>1255.7</v>
      </c>
      <c r="I55" s="1"/>
      <c r="J55" s="1">
        <f>ROUND(SUM(J46)+SUM(J51),1)</f>
        <v>1255.7</v>
      </c>
      <c r="K55" s="1"/>
      <c r="L55" s="1">
        <f>ROUND(SUM(L46+L51),1)</f>
        <v>157.5</v>
      </c>
      <c r="M55" s="1464"/>
      <c r="N55" s="1464">
        <f>ROUND(SUM(N46+N51),1)</f>
        <v>157.5</v>
      </c>
      <c r="O55" s="1464"/>
      <c r="P55" s="1474"/>
      <c r="Q55" s="1981"/>
      <c r="R55" s="1464">
        <f>ROUND(SUM(+R46+R51),1)</f>
        <v>5130.2</v>
      </c>
      <c r="S55" s="1464"/>
      <c r="T55" s="1464">
        <f>ROUND(SUM(T46+T51),1)</f>
        <v>5130.2</v>
      </c>
      <c r="U55" s="1464"/>
      <c r="V55" s="1464"/>
      <c r="W55" s="1474"/>
      <c r="X55" s="1464"/>
      <c r="Y55" s="1">
        <f>ROUND(SUM(Y46)+SUM(Y51),1)</f>
        <v>5528.8</v>
      </c>
      <c r="Z55" s="1"/>
      <c r="AA55" s="1">
        <f>ROUND(SUM(AA46)+SUM(AA51),1)</f>
        <v>5528.8</v>
      </c>
      <c r="AB55" s="1308"/>
      <c r="AC55" s="1466"/>
      <c r="AD55" s="1">
        <f>ROUND(SUM(+AD46+AD51),1)</f>
        <v>-398.6</v>
      </c>
      <c r="AE55" s="1420"/>
      <c r="AF55" s="544">
        <f>ROUND(SUM(AD55/AA55),3)</f>
        <v>-7.1999999999999995E-2</v>
      </c>
      <c r="AG55" s="1487"/>
    </row>
    <row r="56" spans="1:33" ht="16.399999999999999" customHeight="1">
      <c r="A56" s="1308"/>
      <c r="B56" s="1308"/>
      <c r="C56" s="1307"/>
      <c r="D56" s="253"/>
      <c r="E56" s="253"/>
      <c r="F56" s="253"/>
      <c r="G56" s="253"/>
      <c r="H56" s="253"/>
      <c r="I56" s="253"/>
      <c r="J56" s="253"/>
      <c r="K56" s="253"/>
      <c r="L56" s="253"/>
      <c r="M56" s="253"/>
      <c r="N56" s="253"/>
      <c r="O56" s="253"/>
      <c r="P56" s="1975"/>
      <c r="Q56" s="1976"/>
      <c r="R56" s="253"/>
      <c r="S56" s="253"/>
      <c r="T56" s="253"/>
      <c r="U56" s="253"/>
      <c r="V56" s="253"/>
      <c r="W56" s="1459"/>
      <c r="X56" s="253"/>
      <c r="Y56" s="253"/>
      <c r="Z56" s="253"/>
      <c r="AA56" s="253"/>
      <c r="AB56" s="1307"/>
      <c r="AC56" s="1452"/>
      <c r="AD56" s="253"/>
      <c r="AF56" s="284"/>
      <c r="AG56" s="1487"/>
    </row>
    <row r="57" spans="1:33" ht="18" customHeight="1">
      <c r="A57" s="1475" t="s">
        <v>153</v>
      </c>
      <c r="B57" s="1449"/>
      <c r="C57" s="1307"/>
      <c r="D57" s="984">
        <f>+'Exhibit A'!D57</f>
        <v>56177.599999999999</v>
      </c>
      <c r="E57" s="1"/>
      <c r="F57" s="984">
        <f>'Exhibit A'!F57</f>
        <v>56177.599999999999</v>
      </c>
      <c r="G57" s="1"/>
      <c r="H57" s="984">
        <f>+'Exhibit G State'!D13</f>
        <v>12731.9</v>
      </c>
      <c r="I57" s="1"/>
      <c r="J57" s="984">
        <f>'Exhibit G State'!D13</f>
        <v>12731.9</v>
      </c>
      <c r="K57" s="1"/>
      <c r="L57" s="984">
        <f>+'Exhibit A'!L57</f>
        <v>104.7</v>
      </c>
      <c r="M57" s="1"/>
      <c r="N57" s="1982">
        <f>+'Exhibit A'!N57</f>
        <v>104.7</v>
      </c>
      <c r="O57" s="1"/>
      <c r="P57" s="1474"/>
      <c r="Q57" s="1980"/>
      <c r="R57" s="984">
        <f>ROUND(SUM(D57+H57+L57),1)</f>
        <v>69014.2</v>
      </c>
      <c r="S57" s="1"/>
      <c r="T57" s="984">
        <f>ROUND(SUM(F57+J57+N57),1)</f>
        <v>69014.2</v>
      </c>
      <c r="U57" s="1"/>
      <c r="V57" s="1"/>
      <c r="W57" s="1465"/>
      <c r="X57" s="1"/>
      <c r="Y57" s="984">
        <v>67321.899999999994</v>
      </c>
      <c r="Z57" s="1" t="s">
        <v>103</v>
      </c>
      <c r="AA57" s="984">
        <f>'Exhibit F'!AF13+'Exhibit G State'!AF13+'Exhibit H'!AD13</f>
        <v>67321.899999999994</v>
      </c>
      <c r="AB57" s="1308"/>
      <c r="AC57" s="1466"/>
      <c r="AD57" s="984">
        <f>ROUND(SUM(T57-AA57),1)</f>
        <v>1692.3</v>
      </c>
      <c r="AE57" s="1420"/>
      <c r="AF57" s="539">
        <f>ROUND(+AD57/AA57,3)</f>
        <v>2.5000000000000001E-2</v>
      </c>
      <c r="AG57" s="1487"/>
    </row>
    <row r="58" spans="1:33" ht="16.399999999999999" customHeight="1">
      <c r="A58" s="1307"/>
      <c r="B58" s="1307"/>
      <c r="C58" s="1307"/>
      <c r="D58" s="1307"/>
      <c r="E58" s="1307"/>
      <c r="F58" s="1307"/>
      <c r="G58" s="1307"/>
      <c r="H58" s="1307"/>
      <c r="I58" s="1307"/>
      <c r="J58" s="1307"/>
      <c r="K58" s="1307"/>
      <c r="L58" s="1307"/>
      <c r="M58" s="1307"/>
      <c r="N58" s="1307"/>
      <c r="O58" s="1307"/>
      <c r="P58" s="1499"/>
      <c r="Q58" s="1450"/>
      <c r="R58" s="1307"/>
      <c r="S58" s="1307"/>
      <c r="T58" s="1307"/>
      <c r="U58" s="1307"/>
      <c r="V58" s="1307"/>
      <c r="W58" s="1451"/>
      <c r="X58" s="1307"/>
      <c r="Y58" s="1307"/>
      <c r="Z58" s="1307"/>
      <c r="AA58" s="1307"/>
      <c r="AB58" s="1307"/>
      <c r="AC58" s="1452"/>
      <c r="AD58" s="253"/>
      <c r="AF58" s="284"/>
      <c r="AG58" s="1487"/>
    </row>
    <row r="59" spans="1:33" ht="18" customHeight="1" thickBot="1">
      <c r="A59" s="1475" t="s">
        <v>165</v>
      </c>
      <c r="B59" s="1458" t="s">
        <v>103</v>
      </c>
      <c r="C59" s="1307"/>
      <c r="D59" s="1310">
        <f>ROUND(SUM(D55+D57),1)</f>
        <v>59894.6</v>
      </c>
      <c r="E59" s="1314"/>
      <c r="F59" s="1310">
        <f>ROUND(SUM(F55+F57),1)</f>
        <v>59894.6</v>
      </c>
      <c r="G59" s="1314"/>
      <c r="H59" s="1310">
        <f>ROUND(SUM(H55+H57),1)</f>
        <v>13987.6</v>
      </c>
      <c r="I59" s="1314"/>
      <c r="J59" s="1310">
        <f>ROUND(SUM(J55)+SUM(J57),1)</f>
        <v>13987.6</v>
      </c>
      <c r="K59" s="1314"/>
      <c r="L59" s="1310">
        <f>ROUND(SUM(L55+L57),1)</f>
        <v>262.2</v>
      </c>
      <c r="M59" s="1476"/>
      <c r="N59" s="1983">
        <f>ROUND(SUM(N55+N57),1)</f>
        <v>262.2</v>
      </c>
      <c r="O59" s="1476"/>
      <c r="P59" s="1477"/>
      <c r="Q59" s="1984"/>
      <c r="R59" s="1983">
        <f>ROUND(SUM(R55+R57),1)</f>
        <v>74144.399999999994</v>
      </c>
      <c r="S59" s="1476"/>
      <c r="T59" s="1983">
        <f>ROUND(SUM(T55+T57),1)</f>
        <v>74144.399999999994</v>
      </c>
      <c r="U59" s="1476"/>
      <c r="V59" s="1476"/>
      <c r="W59" s="1477"/>
      <c r="X59" s="1476"/>
      <c r="Y59" s="1310">
        <f>ROUND(SUM(Y55+Y57),1)</f>
        <v>72850.7</v>
      </c>
      <c r="Z59" s="1314"/>
      <c r="AA59" s="1310">
        <f>ROUND(SUM(AA55+AA57),1)</f>
        <v>72850.7</v>
      </c>
      <c r="AB59" s="1419"/>
      <c r="AC59" s="1478"/>
      <c r="AD59" s="1310">
        <f>ROUND(SUM(AD55+AD57),1)</f>
        <v>1293.7</v>
      </c>
      <c r="AE59" s="1420"/>
      <c r="AF59" s="1479">
        <f>ROUND(+AD59/AA59,3)</f>
        <v>1.7999999999999999E-2</v>
      </c>
      <c r="AG59" s="1487"/>
    </row>
    <row r="60" spans="1:33" ht="16" thickTop="1">
      <c r="A60" s="1480"/>
      <c r="B60" s="1480"/>
      <c r="C60" s="1480"/>
      <c r="D60" s="1481"/>
      <c r="E60" s="1481"/>
      <c r="F60" s="1481"/>
      <c r="G60" s="1481"/>
      <c r="H60" s="1985"/>
      <c r="I60" s="1481"/>
      <c r="J60" s="1481"/>
      <c r="K60" s="1481"/>
      <c r="L60" s="1481"/>
      <c r="M60" s="1481"/>
      <c r="N60" s="1481"/>
      <c r="O60" s="1481"/>
      <c r="P60" s="1986"/>
      <c r="Q60" s="1481"/>
      <c r="R60" s="1481"/>
      <c r="S60" s="1481"/>
      <c r="T60" s="1481" t="s">
        <v>103</v>
      </c>
      <c r="U60" s="1481"/>
      <c r="V60" s="1481"/>
      <c r="W60" s="1481"/>
      <c r="X60" s="1481"/>
      <c r="Y60" s="1481"/>
      <c r="Z60" s="1481"/>
      <c r="AA60" s="1481"/>
      <c r="AB60" s="1481"/>
      <c r="AC60" s="1481"/>
      <c r="AD60" s="1481"/>
      <c r="AF60" s="1482"/>
    </row>
    <row r="61" spans="1:33">
      <c r="H61" s="1429" t="s">
        <v>103</v>
      </c>
      <c r="Q61" s="1345" t="s">
        <v>103</v>
      </c>
      <c r="R61" s="1345" t="s">
        <v>103</v>
      </c>
    </row>
    <row r="62" spans="1:33" ht="18" customHeight="1">
      <c r="A62" s="284" t="s">
        <v>166</v>
      </c>
      <c r="AA62" s="1345" t="s">
        <v>103</v>
      </c>
    </row>
    <row r="63" spans="1:33" ht="18" customHeight="1">
      <c r="A63" s="698" t="s">
        <v>167</v>
      </c>
    </row>
    <row r="64" spans="1:33" ht="15.5">
      <c r="A64" s="1449"/>
      <c r="Y64" s="253" t="s">
        <v>103</v>
      </c>
      <c r="AA64" s="1345" t="s">
        <v>103</v>
      </c>
    </row>
    <row r="65" spans="1:25" ht="15.5">
      <c r="A65" s="1483"/>
      <c r="B65" s="1484"/>
      <c r="C65" s="285"/>
      <c r="D65" s="1485"/>
      <c r="E65" s="1485"/>
      <c r="F65" s="1485"/>
      <c r="G65" s="1485"/>
      <c r="H65" s="1987"/>
      <c r="I65" s="1485"/>
      <c r="J65" s="1485"/>
      <c r="K65" s="1485"/>
      <c r="L65" s="1485"/>
      <c r="Y65" s="253" t="s">
        <v>103</v>
      </c>
    </row>
    <row r="66" spans="1:25" ht="15.5">
      <c r="A66" s="284"/>
      <c r="B66" s="284"/>
      <c r="C66" s="284"/>
      <c r="D66" s="284"/>
      <c r="E66" s="284"/>
      <c r="F66" s="284"/>
      <c r="G66" s="284"/>
      <c r="H66" s="1486"/>
      <c r="I66" s="284"/>
      <c r="J66" s="284"/>
      <c r="K66" s="284"/>
      <c r="L66" s="284"/>
    </row>
    <row r="67" spans="1:25" ht="15.5">
      <c r="A67" s="284"/>
      <c r="B67" s="284"/>
      <c r="C67" s="284"/>
      <c r="D67" s="284"/>
      <c r="E67" s="284"/>
      <c r="F67" s="284"/>
      <c r="G67" s="284"/>
      <c r="H67" s="1486"/>
      <c r="I67" s="284"/>
      <c r="J67" s="284"/>
      <c r="K67" s="284"/>
      <c r="L67" s="284"/>
    </row>
    <row r="68" spans="1:25" ht="15.5">
      <c r="A68" s="284"/>
      <c r="B68" s="284"/>
      <c r="C68" s="284"/>
      <c r="D68" s="284"/>
      <c r="E68" s="284"/>
      <c r="F68" s="284"/>
      <c r="G68" s="284"/>
      <c r="H68" s="1486"/>
      <c r="I68" s="284"/>
      <c r="J68" s="284"/>
      <c r="K68" s="284"/>
      <c r="L68" s="284"/>
    </row>
    <row r="69" spans="1:25" ht="19.5" customHeight="1">
      <c r="A69" s="284"/>
      <c r="I69" s="284"/>
    </row>
    <row r="73" spans="1:25">
      <c r="F73" s="1345" t="s">
        <v>103</v>
      </c>
    </row>
  </sheetData>
  <mergeCells count="6">
    <mergeCell ref="R10:AB10"/>
    <mergeCell ref="D10:N10"/>
    <mergeCell ref="L11:N11"/>
    <mergeCell ref="A3:AB3"/>
    <mergeCell ref="A4:AB4"/>
    <mergeCell ref="A5:AB5"/>
  </mergeCells>
  <printOptions horizontalCentered="1"/>
  <pageMargins left="0.25" right="0.25" top="0.5" bottom="0.25" header="0" footer="0.25"/>
  <pageSetup scale="49"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6:B19" numberStoredAsText="1"/>
    <ignoredError sqref="AF20 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69"/>
  <sheetViews>
    <sheetView showGridLines="0" topLeftCell="A97" zoomScale="85" zoomScaleNormal="85" workbookViewId="0"/>
  </sheetViews>
  <sheetFormatPr defaultColWidth="8.84375" defaultRowHeight="15.5"/>
  <cols>
    <col min="1" max="1" width="58.07421875" style="311" customWidth="1"/>
    <col min="2" max="2" width="2.07421875" style="311" customWidth="1"/>
    <col min="3" max="3" width="17.84375" style="310" customWidth="1"/>
    <col min="4" max="4" width="1.84375" style="311" customWidth="1"/>
    <col min="5" max="5" width="17.84375" style="311" customWidth="1"/>
    <col min="6" max="6" width="1.84375" style="311" customWidth="1"/>
    <col min="7" max="7" width="17.84375" style="311" customWidth="1"/>
    <col min="8" max="8" width="1.84375" style="311" customWidth="1"/>
    <col min="9" max="9" width="17.84375" style="311" customWidth="1"/>
    <col min="10" max="10" width="1.84375" style="311" customWidth="1"/>
    <col min="11" max="11" width="17.84375" style="311" customWidth="1"/>
    <col min="12" max="12" width="6.07421875" style="1262" customWidth="1"/>
    <col min="13" max="13" width="10.07421875" style="311" bestFit="1" customWidth="1"/>
    <col min="14" max="14" width="9.84375" style="311" customWidth="1"/>
    <col min="15" max="16384" width="8.84375" style="311"/>
  </cols>
  <sheetData>
    <row r="1" spans="1:13">
      <c r="A1" s="265" t="s">
        <v>97</v>
      </c>
    </row>
    <row r="2" spans="1:13">
      <c r="A2" s="821"/>
    </row>
    <row r="3" spans="1:13" s="1641" customFormat="1" ht="18" customHeight="1">
      <c r="A3" s="1637" t="s">
        <v>98</v>
      </c>
      <c r="B3" s="1638"/>
      <c r="C3" s="1638"/>
      <c r="D3" s="1638"/>
      <c r="E3" s="1638"/>
      <c r="F3" s="1638"/>
      <c r="G3" s="1638"/>
      <c r="H3" s="1638"/>
      <c r="I3" s="1638"/>
      <c r="J3" s="1638"/>
      <c r="K3" s="1639" t="s">
        <v>603</v>
      </c>
      <c r="L3" s="1640"/>
    </row>
    <row r="4" spans="1:13" s="1641" customFormat="1" ht="18" customHeight="1">
      <c r="A4" s="1637" t="s">
        <v>604</v>
      </c>
      <c r="B4" s="1638"/>
      <c r="C4" s="1638" t="s">
        <v>103</v>
      </c>
      <c r="D4" s="1638"/>
      <c r="E4" s="1638"/>
      <c r="F4" s="1638"/>
      <c r="G4" s="1638"/>
      <c r="H4" s="1638"/>
      <c r="I4" s="1638"/>
      <c r="J4" s="1638"/>
      <c r="L4" s="1642"/>
    </row>
    <row r="5" spans="1:13" s="1641" customFormat="1" ht="18" customHeight="1">
      <c r="A5" s="1637" t="s">
        <v>605</v>
      </c>
      <c r="B5" s="1638"/>
      <c r="C5" s="1638"/>
      <c r="D5" s="1638"/>
      <c r="E5" s="1638"/>
      <c r="F5" s="1638"/>
      <c r="G5" s="1638"/>
      <c r="H5" s="1638"/>
      <c r="I5" s="1638"/>
      <c r="J5" s="1638"/>
      <c r="K5" s="1643"/>
      <c r="L5" s="1644"/>
    </row>
    <row r="6" spans="1:13" s="1641" customFormat="1" ht="18" customHeight="1">
      <c r="A6" s="1645" t="s">
        <v>606</v>
      </c>
      <c r="B6" s="1638"/>
      <c r="C6" s="1638"/>
      <c r="D6" s="1638"/>
      <c r="E6" s="1646"/>
      <c r="F6" s="1638"/>
      <c r="G6" s="1638"/>
      <c r="H6" s="1638"/>
      <c r="I6" s="1638"/>
      <c r="J6" s="1638"/>
      <c r="K6" s="1647"/>
      <c r="L6" s="1640"/>
    </row>
    <row r="7" spans="1:13" s="1641" customFormat="1" ht="18" customHeight="1">
      <c r="A7" s="1645" t="str">
        <f>'Cashflow Governmental'!$A$6</f>
        <v>FISCAL YEAR 2026-2027</v>
      </c>
      <c r="B7" s="1638"/>
      <c r="C7" s="1638"/>
      <c r="D7" s="1638"/>
      <c r="E7" s="1638"/>
      <c r="F7" s="1638"/>
      <c r="G7" s="1638"/>
      <c r="H7" s="1638"/>
      <c r="I7" s="1638"/>
      <c r="J7" s="1638"/>
      <c r="K7" s="1647"/>
      <c r="L7" s="1640"/>
    </row>
    <row r="8" spans="1:13" s="1641" customFormat="1" ht="18" customHeight="1">
      <c r="A8" s="1645" t="str">
        <f>"FOR THE MONTH OF "&amp;Footnotes!$O$3</f>
        <v>FOR THE MONTH OF APRIL 2026</v>
      </c>
      <c r="B8" s="1638"/>
      <c r="C8" s="1820"/>
      <c r="D8" s="1638"/>
      <c r="E8" s="1638" t="s">
        <v>103</v>
      </c>
      <c r="F8" s="1638"/>
      <c r="G8" s="1638"/>
      <c r="H8" s="1638"/>
      <c r="I8" s="1638"/>
      <c r="J8" s="1638"/>
      <c r="K8" s="1638"/>
      <c r="L8" s="1640"/>
    </row>
    <row r="9" spans="1:13" s="1641" customFormat="1" ht="18" customHeight="1">
      <c r="A9" s="1637" t="s">
        <v>555</v>
      </c>
      <c r="B9" s="1648" t="s">
        <v>607</v>
      </c>
      <c r="C9" s="1649"/>
      <c r="D9" s="1649"/>
      <c r="E9" s="1649"/>
      <c r="F9" s="1649"/>
      <c r="G9" s="1649"/>
      <c r="H9" s="1649"/>
      <c r="I9" s="1649"/>
      <c r="J9" s="1649"/>
      <c r="K9" s="1649"/>
      <c r="L9" s="1650"/>
    </row>
    <row r="10" spans="1:13">
      <c r="A10" s="308"/>
      <c r="B10" s="308"/>
      <c r="C10" s="131" t="s">
        <v>608</v>
      </c>
      <c r="D10" s="135"/>
      <c r="E10" s="135"/>
      <c r="F10" s="135"/>
      <c r="G10" s="135"/>
      <c r="H10" s="135"/>
      <c r="I10" s="131" t="s">
        <v>609</v>
      </c>
      <c r="J10" s="135"/>
      <c r="K10" s="131" t="s">
        <v>608</v>
      </c>
      <c r="L10" s="1263"/>
    </row>
    <row r="11" spans="1:13">
      <c r="A11" s="308"/>
      <c r="B11" s="308"/>
      <c r="C11" s="1635" t="str">
        <f>UPPER(TEXT(K11-DAY(K11)+1,"MMMM D, YYYY"))</f>
        <v>APRIL 1, 2026</v>
      </c>
      <c r="D11" s="135"/>
      <c r="E11" s="1138" t="s">
        <v>610</v>
      </c>
      <c r="F11" s="135"/>
      <c r="G11" s="1139" t="s">
        <v>611</v>
      </c>
      <c r="H11" s="135"/>
      <c r="I11" s="1139" t="s">
        <v>612</v>
      </c>
      <c r="J11" s="135"/>
      <c r="K11" s="823" t="str">
        <f>_xlfn.TEXTAFTER('Exh D Governmental  '!A6," ",4)</f>
        <v>APRIL 30, 2026</v>
      </c>
      <c r="L11" s="1636"/>
    </row>
    <row r="12" spans="1:13">
      <c r="A12" s="308"/>
      <c r="B12" s="308"/>
      <c r="C12" s="690"/>
      <c r="D12" s="135"/>
      <c r="E12" s="131"/>
      <c r="F12" s="135"/>
      <c r="G12" s="131"/>
      <c r="H12" s="135"/>
      <c r="I12" s="131"/>
      <c r="J12" s="135"/>
      <c r="K12" s="824"/>
      <c r="L12" s="1264"/>
    </row>
    <row r="13" spans="1:13">
      <c r="A13" s="132" t="s">
        <v>443</v>
      </c>
      <c r="B13" s="308"/>
      <c r="C13" s="308"/>
      <c r="D13" s="308"/>
      <c r="E13" s="307"/>
      <c r="F13" s="308"/>
      <c r="G13" s="307"/>
      <c r="H13" s="308"/>
      <c r="I13" s="307"/>
      <c r="J13" s="308"/>
      <c r="K13" s="308"/>
    </row>
    <row r="14" spans="1:13">
      <c r="A14" s="308" t="s">
        <v>613</v>
      </c>
      <c r="B14" s="307"/>
      <c r="C14" s="1708">
        <v>0</v>
      </c>
      <c r="D14" s="307"/>
      <c r="E14" s="1708">
        <v>0.48099999999999998</v>
      </c>
      <c r="F14" s="307"/>
      <c r="G14" s="1708">
        <v>7415.3130000000001</v>
      </c>
      <c r="H14" s="307"/>
      <c r="I14" s="1708">
        <v>7414.8320000000003</v>
      </c>
      <c r="J14" s="307"/>
      <c r="K14" s="1709">
        <f>ROUND(SUM(C14)+SUM(E14)-SUM(G14)+SUM(I14),3)</f>
        <v>0</v>
      </c>
      <c r="L14" s="1265"/>
      <c r="M14" s="1931"/>
    </row>
    <row r="15" spans="1:13">
      <c r="A15" s="308" t="s">
        <v>614</v>
      </c>
      <c r="B15" s="308"/>
      <c r="C15" s="1710">
        <v>0</v>
      </c>
      <c r="D15" s="307"/>
      <c r="E15" s="1710">
        <v>7649.058</v>
      </c>
      <c r="F15" s="307"/>
      <c r="G15" s="1710">
        <v>2209.7109999999998</v>
      </c>
      <c r="H15" s="307"/>
      <c r="I15" s="1710">
        <v>54430.671999999999</v>
      </c>
      <c r="J15" s="307"/>
      <c r="K15" s="1711">
        <f t="shared" ref="K15:K22" si="0">ROUND(SUM(C15)+SUM(E15)-SUM(G15)+SUM(I15),3)</f>
        <v>59870.019</v>
      </c>
      <c r="L15" s="1266"/>
      <c r="M15" s="1931"/>
    </row>
    <row r="16" spans="1:13">
      <c r="A16" s="309" t="s">
        <v>615</v>
      </c>
      <c r="B16" s="308"/>
      <c r="C16" s="1710">
        <v>1617.7660000000001</v>
      </c>
      <c r="D16" s="307"/>
      <c r="E16" s="1710">
        <v>0</v>
      </c>
      <c r="F16" s="307"/>
      <c r="G16" s="1710">
        <v>0</v>
      </c>
      <c r="H16" s="307"/>
      <c r="I16" s="1710">
        <v>-1617.7660000000001</v>
      </c>
      <c r="J16" s="307"/>
      <c r="K16" s="1711">
        <f t="shared" si="0"/>
        <v>0</v>
      </c>
      <c r="L16" s="1266"/>
      <c r="M16" s="1931"/>
    </row>
    <row r="17" spans="1:13">
      <c r="A17" s="308" t="s">
        <v>616</v>
      </c>
      <c r="B17" s="308"/>
      <c r="C17" s="1710">
        <v>20.623999999999999</v>
      </c>
      <c r="D17" s="307"/>
      <c r="E17" s="1710">
        <v>0</v>
      </c>
      <c r="F17" s="307"/>
      <c r="G17" s="1710">
        <v>0</v>
      </c>
      <c r="H17" s="307"/>
      <c r="I17" s="1710">
        <v>-20.623999999999999</v>
      </c>
      <c r="J17" s="307"/>
      <c r="K17" s="1711">
        <f t="shared" si="0"/>
        <v>0</v>
      </c>
      <c r="L17" s="1266"/>
      <c r="M17" s="1931"/>
    </row>
    <row r="18" spans="1:13">
      <c r="A18" s="308" t="s">
        <v>617</v>
      </c>
      <c r="B18" s="308"/>
      <c r="C18" s="1710">
        <v>0</v>
      </c>
      <c r="D18" s="307"/>
      <c r="E18" s="1710">
        <v>0</v>
      </c>
      <c r="F18" s="307"/>
      <c r="G18" s="1710">
        <v>0</v>
      </c>
      <c r="H18" s="307"/>
      <c r="I18" s="1710">
        <v>0</v>
      </c>
      <c r="J18" s="307"/>
      <c r="K18" s="1711">
        <f t="shared" si="0"/>
        <v>0</v>
      </c>
      <c r="L18" s="1266"/>
      <c r="M18" s="1931"/>
    </row>
    <row r="19" spans="1:13">
      <c r="A19" s="308" t="s">
        <v>618</v>
      </c>
      <c r="B19" s="308"/>
      <c r="C19" s="1710">
        <v>24.646000000000001</v>
      </c>
      <c r="D19" s="307"/>
      <c r="E19" s="1710">
        <v>0</v>
      </c>
      <c r="F19" s="307"/>
      <c r="G19" s="1710">
        <v>0.02</v>
      </c>
      <c r="H19" s="307"/>
      <c r="I19" s="1710">
        <v>0</v>
      </c>
      <c r="J19" s="307"/>
      <c r="K19" s="1711">
        <f t="shared" si="0"/>
        <v>24.626000000000001</v>
      </c>
      <c r="L19" s="1267"/>
      <c r="M19" s="1931"/>
    </row>
    <row r="20" spans="1:13">
      <c r="A20" s="308" t="s">
        <v>619</v>
      </c>
      <c r="B20" s="308"/>
      <c r="C20" s="1710">
        <v>8138.2340000000004</v>
      </c>
      <c r="D20" s="307"/>
      <c r="E20" s="1710">
        <v>0</v>
      </c>
      <c r="F20" s="307"/>
      <c r="G20" s="1710">
        <v>0</v>
      </c>
      <c r="H20" s="307"/>
      <c r="I20" s="1710">
        <v>-8138.2340000000004</v>
      </c>
      <c r="J20" s="307"/>
      <c r="K20" s="1711">
        <f t="shared" si="0"/>
        <v>0</v>
      </c>
      <c r="L20" s="1266"/>
      <c r="M20" s="1931"/>
    </row>
    <row r="21" spans="1:13">
      <c r="A21" s="309" t="s">
        <v>620</v>
      </c>
      <c r="B21" s="308"/>
      <c r="C21" s="1710">
        <v>46376.332999999999</v>
      </c>
      <c r="D21" s="307"/>
      <c r="E21" s="1710">
        <v>0</v>
      </c>
      <c r="F21" s="307"/>
      <c r="G21" s="1710">
        <v>0</v>
      </c>
      <c r="H21" s="307"/>
      <c r="I21" s="1710">
        <v>-46376.332999999999</v>
      </c>
      <c r="J21" s="307"/>
      <c r="K21" s="1711">
        <f t="shared" si="0"/>
        <v>0</v>
      </c>
      <c r="L21" s="1266"/>
      <c r="M21" s="1931"/>
    </row>
    <row r="22" spans="1:13">
      <c r="A22" s="309" t="s">
        <v>621</v>
      </c>
      <c r="B22" s="308"/>
      <c r="C22" s="1710">
        <v>0</v>
      </c>
      <c r="D22" s="307"/>
      <c r="E22" s="1710">
        <v>0</v>
      </c>
      <c r="F22" s="307"/>
      <c r="G22" s="1710">
        <v>0</v>
      </c>
      <c r="H22" s="307"/>
      <c r="I22" s="1710">
        <v>0</v>
      </c>
      <c r="J22" s="307"/>
      <c r="K22" s="1711">
        <f t="shared" si="0"/>
        <v>0</v>
      </c>
      <c r="L22" s="1266"/>
      <c r="M22" s="1931"/>
    </row>
    <row r="23" spans="1:13">
      <c r="A23" s="130" t="s">
        <v>622</v>
      </c>
      <c r="B23" s="308"/>
      <c r="C23" s="1712">
        <f>ROUND(SUM(C14:C22),3)</f>
        <v>56177.603000000003</v>
      </c>
      <c r="D23" s="131"/>
      <c r="E23" s="1712">
        <f>ROUND(SUM(E14:E22),3)</f>
        <v>7649.5389999999998</v>
      </c>
      <c r="F23" s="131"/>
      <c r="G23" s="1712">
        <f>ROUND(SUM(G14:G22),3)</f>
        <v>9625.0439999999999</v>
      </c>
      <c r="H23" s="131"/>
      <c r="I23" s="1712">
        <f>ROUND(SUM(I14:I22),3)</f>
        <v>5692.5469999999996</v>
      </c>
      <c r="J23" s="131"/>
      <c r="K23" s="1712">
        <f>ROUND(SUM(K14:K22),3)</f>
        <v>59894.644999999997</v>
      </c>
      <c r="L23" s="1268"/>
      <c r="M23" s="1931" t="s">
        <v>103</v>
      </c>
    </row>
    <row r="24" spans="1:13" ht="8.25" customHeight="1">
      <c r="A24" s="130"/>
      <c r="B24" s="308"/>
      <c r="C24" s="307"/>
      <c r="D24" s="1711"/>
      <c r="E24" s="307"/>
      <c r="F24" s="1711"/>
      <c r="G24" s="307"/>
      <c r="H24" s="1711"/>
      <c r="I24" s="307"/>
      <c r="J24" s="1711"/>
      <c r="K24" s="307"/>
      <c r="L24" s="1269"/>
      <c r="M24" s="1931"/>
    </row>
    <row r="25" spans="1:13" ht="16">
      <c r="A25" s="309"/>
      <c r="B25" s="308"/>
      <c r="C25" s="308"/>
      <c r="D25" s="308"/>
      <c r="E25" s="308"/>
      <c r="F25" s="1713"/>
      <c r="G25" s="308"/>
      <c r="H25" s="1713"/>
      <c r="I25" s="308"/>
      <c r="J25" s="308"/>
      <c r="K25" s="1711"/>
      <c r="L25" s="1267"/>
      <c r="M25" s="1931"/>
    </row>
    <row r="26" spans="1:13" ht="16">
      <c r="A26" s="132" t="s">
        <v>623</v>
      </c>
      <c r="B26" s="308"/>
      <c r="C26" s="308"/>
      <c r="D26" s="308"/>
      <c r="E26" s="308"/>
      <c r="F26" s="1713"/>
      <c r="G26" s="308"/>
      <c r="H26" s="1713"/>
      <c r="I26" s="308"/>
      <c r="J26" s="308"/>
      <c r="K26" s="308"/>
      <c r="M26" s="1931"/>
    </row>
    <row r="27" spans="1:13">
      <c r="A27" s="309" t="s">
        <v>624</v>
      </c>
      <c r="B27" s="308"/>
      <c r="C27" s="1710">
        <v>1.569</v>
      </c>
      <c r="D27" s="307"/>
      <c r="E27" s="1710">
        <v>4.0000000000000001E-3</v>
      </c>
      <c r="F27" s="307"/>
      <c r="G27" s="1710">
        <v>0</v>
      </c>
      <c r="H27" s="307"/>
      <c r="I27" s="1710">
        <v>0</v>
      </c>
      <c r="J27" s="307"/>
      <c r="K27" s="1711">
        <f t="shared" ref="K27:K32" si="1">ROUND(SUM(C27)+SUM(E27)-SUM(G27)+SUM(I27),3)</f>
        <v>1.573</v>
      </c>
      <c r="L27" s="1270"/>
      <c r="M27" s="1931"/>
    </row>
    <row r="28" spans="1:13">
      <c r="A28" s="309" t="s">
        <v>625</v>
      </c>
      <c r="B28" s="308"/>
      <c r="C28" s="1710">
        <v>68.697999999999993</v>
      </c>
      <c r="D28" s="307"/>
      <c r="E28" s="1710">
        <v>0.76700000000000002</v>
      </c>
      <c r="F28" s="307"/>
      <c r="G28" s="1710">
        <v>0.88900000000000001</v>
      </c>
      <c r="H28" s="307"/>
      <c r="I28" s="1710">
        <v>0</v>
      </c>
      <c r="J28" s="307"/>
      <c r="K28" s="1711">
        <f t="shared" si="1"/>
        <v>68.575999999999993</v>
      </c>
      <c r="L28" s="1270"/>
      <c r="M28" s="1931"/>
    </row>
    <row r="29" spans="1:13">
      <c r="A29" s="308" t="s">
        <v>626</v>
      </c>
      <c r="B29" s="822" t="s">
        <v>607</v>
      </c>
      <c r="C29" s="1710">
        <v>731.39</v>
      </c>
      <c r="D29" s="307"/>
      <c r="E29" s="1710">
        <v>18.64</v>
      </c>
      <c r="F29" s="307"/>
      <c r="G29" s="1710">
        <v>1.33</v>
      </c>
      <c r="H29" s="307"/>
      <c r="I29" s="1710">
        <v>0</v>
      </c>
      <c r="J29" s="307"/>
      <c r="K29" s="1711">
        <f t="shared" si="1"/>
        <v>748.7</v>
      </c>
      <c r="L29" s="1270"/>
      <c r="M29" s="1931"/>
    </row>
    <row r="30" spans="1:13">
      <c r="A30" s="309" t="s">
        <v>627</v>
      </c>
      <c r="B30" s="822"/>
      <c r="C30" s="1710">
        <v>-7.0000000000000001E-3</v>
      </c>
      <c r="D30" s="307"/>
      <c r="E30" s="1710">
        <v>0.03</v>
      </c>
      <c r="F30" s="307"/>
      <c r="G30" s="1710">
        <v>2.3E-2</v>
      </c>
      <c r="H30" s="307"/>
      <c r="I30" s="1710">
        <v>0</v>
      </c>
      <c r="J30" s="307"/>
      <c r="K30" s="1711">
        <f t="shared" si="1"/>
        <v>0</v>
      </c>
      <c r="L30" s="1270"/>
      <c r="M30" s="1931"/>
    </row>
    <row r="31" spans="1:13">
      <c r="A31" s="309" t="s">
        <v>628</v>
      </c>
      <c r="B31" s="822"/>
      <c r="C31" s="1710">
        <v>0.32600000000000001</v>
      </c>
      <c r="D31" s="307"/>
      <c r="E31" s="1710">
        <v>4.0000000000000001E-3</v>
      </c>
      <c r="F31" s="307"/>
      <c r="G31" s="1710">
        <v>3.1E-2</v>
      </c>
      <c r="H31" s="307"/>
      <c r="I31" s="1710">
        <v>0</v>
      </c>
      <c r="J31" s="307"/>
      <c r="K31" s="1711">
        <f t="shared" si="1"/>
        <v>0.29899999999999999</v>
      </c>
      <c r="L31" s="1270"/>
      <c r="M31" s="1931"/>
    </row>
    <row r="32" spans="1:13">
      <c r="A32" s="308" t="s">
        <v>629</v>
      </c>
      <c r="B32" s="308"/>
      <c r="C32" s="1710">
        <v>12.349</v>
      </c>
      <c r="D32" s="307"/>
      <c r="E32" s="1710">
        <v>0.436</v>
      </c>
      <c r="F32" s="307"/>
      <c r="G32" s="1710">
        <v>0.24099999999999999</v>
      </c>
      <c r="H32" s="307"/>
      <c r="I32" s="1710">
        <v>0</v>
      </c>
      <c r="J32" s="307"/>
      <c r="K32" s="1711">
        <f t="shared" si="1"/>
        <v>12.544</v>
      </c>
      <c r="L32" s="1270"/>
      <c r="M32" s="1931"/>
    </row>
    <row r="33" spans="1:13">
      <c r="A33" s="308" t="s">
        <v>630</v>
      </c>
      <c r="B33" s="308"/>
      <c r="C33" s="1934"/>
      <c r="D33"/>
      <c r="E33" s="133"/>
      <c r="F33" s="133"/>
      <c r="G33" s="133"/>
      <c r="H33" s="133"/>
      <c r="I33" s="133"/>
      <c r="J33" s="133"/>
      <c r="K33" s="1714"/>
      <c r="L33" s="1270"/>
      <c r="M33" s="1931"/>
    </row>
    <row r="34" spans="1:13">
      <c r="A34" s="308" t="s">
        <v>631</v>
      </c>
      <c r="B34" s="308"/>
      <c r="C34" s="1710">
        <v>5.7569999999999997</v>
      </c>
      <c r="D34" s="307"/>
      <c r="E34" s="1710">
        <v>0.51400000000000001</v>
      </c>
      <c r="F34" s="307"/>
      <c r="G34" s="1710">
        <v>0.89600000000000002</v>
      </c>
      <c r="H34" s="307"/>
      <c r="I34" s="1710">
        <v>0</v>
      </c>
      <c r="J34" s="307"/>
      <c r="K34" s="1711">
        <f t="shared" ref="K34:K59" si="2">ROUND(SUM(C34)+SUM(E34)-SUM(G34)+SUM(I34),3)</f>
        <v>5.375</v>
      </c>
      <c r="L34" s="1270"/>
      <c r="M34" s="1931"/>
    </row>
    <row r="35" spans="1:13">
      <c r="A35" s="308" t="s">
        <v>632</v>
      </c>
      <c r="B35" s="308"/>
      <c r="C35" s="1710">
        <v>0</v>
      </c>
      <c r="D35" s="307"/>
      <c r="E35" s="1710">
        <v>0</v>
      </c>
      <c r="F35" s="307"/>
      <c r="G35" s="1710">
        <v>-1E-3</v>
      </c>
      <c r="H35" s="307"/>
      <c r="I35" s="1710">
        <v>0</v>
      </c>
      <c r="J35" s="307"/>
      <c r="K35" s="1711">
        <f t="shared" si="2"/>
        <v>1E-3</v>
      </c>
      <c r="L35" s="1270"/>
      <c r="M35" s="1931"/>
    </row>
    <row r="36" spans="1:13">
      <c r="A36" s="308" t="s">
        <v>633</v>
      </c>
      <c r="B36" s="308"/>
      <c r="C36" s="1710">
        <v>11.09</v>
      </c>
      <c r="D36" s="307"/>
      <c r="E36" s="1710">
        <v>3.5999999999999997E-2</v>
      </c>
      <c r="F36" s="307"/>
      <c r="G36" s="1710">
        <v>0</v>
      </c>
      <c r="H36" s="307"/>
      <c r="I36" s="1710">
        <v>0</v>
      </c>
      <c r="J36" s="307"/>
      <c r="K36" s="1711">
        <f t="shared" si="2"/>
        <v>11.125999999999999</v>
      </c>
      <c r="L36" s="1270"/>
      <c r="M36" s="1931"/>
    </row>
    <row r="37" spans="1:13">
      <c r="A37" s="673" t="s">
        <v>634</v>
      </c>
      <c r="B37" s="825"/>
      <c r="C37" s="1710">
        <v>0</v>
      </c>
      <c r="D37" s="307"/>
      <c r="E37" s="1710">
        <v>0</v>
      </c>
      <c r="F37" s="307"/>
      <c r="G37" s="1710">
        <v>0</v>
      </c>
      <c r="H37" s="307"/>
      <c r="I37" s="1710">
        <v>0</v>
      </c>
      <c r="J37" s="307"/>
      <c r="K37" s="1711">
        <f t="shared" si="2"/>
        <v>0</v>
      </c>
      <c r="L37" s="1270"/>
      <c r="M37" s="1931"/>
    </row>
    <row r="38" spans="1:13">
      <c r="A38" s="309" t="s">
        <v>635</v>
      </c>
      <c r="B38" s="308"/>
      <c r="C38" s="1710">
        <v>449.12099999999998</v>
      </c>
      <c r="D38" s="307"/>
      <c r="E38" s="1710">
        <v>621.654</v>
      </c>
      <c r="F38" s="307"/>
      <c r="G38" s="1710">
        <v>434.166</v>
      </c>
      <c r="H38" s="307"/>
      <c r="I38" s="1710">
        <v>3.3210000000000002</v>
      </c>
      <c r="J38" s="307"/>
      <c r="K38" s="1711">
        <f t="shared" si="2"/>
        <v>639.92999999999995</v>
      </c>
      <c r="L38" s="1270"/>
      <c r="M38" s="1931"/>
    </row>
    <row r="39" spans="1:13">
      <c r="A39" s="308" t="s">
        <v>636</v>
      </c>
      <c r="B39" s="308"/>
      <c r="C39" s="1710">
        <v>94.397000000000006</v>
      </c>
      <c r="D39" s="307"/>
      <c r="E39" s="1710">
        <v>177.06800000000001</v>
      </c>
      <c r="F39" s="307"/>
      <c r="G39" s="1710">
        <v>70</v>
      </c>
      <c r="H39" s="307"/>
      <c r="I39" s="1710">
        <v>5.0999999999999996</v>
      </c>
      <c r="J39" s="307"/>
      <c r="K39" s="1711">
        <f t="shared" si="2"/>
        <v>206.565</v>
      </c>
      <c r="L39" s="1270"/>
      <c r="M39" s="1931"/>
    </row>
    <row r="40" spans="1:13">
      <c r="A40" s="309" t="s">
        <v>637</v>
      </c>
      <c r="B40" s="308"/>
      <c r="C40" s="1710">
        <v>349.80599999999998</v>
      </c>
      <c r="D40" s="307"/>
      <c r="E40" s="1710">
        <v>322.70800000000003</v>
      </c>
      <c r="F40" s="307"/>
      <c r="G40" s="1710">
        <v>1.5580000000000001</v>
      </c>
      <c r="H40" s="307"/>
      <c r="I40" s="1710">
        <v>0</v>
      </c>
      <c r="J40" s="307"/>
      <c r="K40" s="1711">
        <f t="shared" si="2"/>
        <v>670.95600000000002</v>
      </c>
      <c r="L40" s="1270"/>
      <c r="M40" s="1931"/>
    </row>
    <row r="41" spans="1:13">
      <c r="A41" s="309" t="s">
        <v>638</v>
      </c>
      <c r="B41" s="308"/>
      <c r="C41" s="1710">
        <v>8.9260000000000002</v>
      </c>
      <c r="D41" s="307"/>
      <c r="E41" s="1710">
        <v>1.0349999999999999</v>
      </c>
      <c r="F41" s="307"/>
      <c r="G41" s="1710">
        <v>0.378</v>
      </c>
      <c r="H41" s="307"/>
      <c r="I41" s="1710">
        <v>0</v>
      </c>
      <c r="J41" s="307"/>
      <c r="K41" s="1711">
        <f t="shared" si="2"/>
        <v>9.5830000000000002</v>
      </c>
      <c r="L41" s="1270"/>
      <c r="M41" s="1931"/>
    </row>
    <row r="42" spans="1:13">
      <c r="A42" s="308" t="s">
        <v>639</v>
      </c>
      <c r="B42" s="308"/>
      <c r="C42" s="1710">
        <v>0</v>
      </c>
      <c r="D42" s="307"/>
      <c r="E42" s="1710">
        <v>0</v>
      </c>
      <c r="F42" s="307"/>
      <c r="G42" s="1710">
        <v>0</v>
      </c>
      <c r="H42" s="307"/>
      <c r="I42" s="1710">
        <v>0</v>
      </c>
      <c r="J42" s="307"/>
      <c r="K42" s="1711">
        <f t="shared" si="2"/>
        <v>0</v>
      </c>
      <c r="L42" s="1270"/>
      <c r="M42" s="1931"/>
    </row>
    <row r="43" spans="1:13">
      <c r="A43" s="308" t="s">
        <v>640</v>
      </c>
      <c r="B43" s="308"/>
      <c r="C43" s="1710">
        <v>8.6359999999999992</v>
      </c>
      <c r="D43" s="307"/>
      <c r="E43" s="1710">
        <v>12.63</v>
      </c>
      <c r="F43" s="307"/>
      <c r="G43" s="1710">
        <v>4.6219999999999999</v>
      </c>
      <c r="H43" s="307"/>
      <c r="I43" s="1710">
        <v>0</v>
      </c>
      <c r="J43" s="307"/>
      <c r="K43" s="1711">
        <f t="shared" si="2"/>
        <v>16.643999999999998</v>
      </c>
      <c r="L43" s="1270"/>
      <c r="M43" s="1931"/>
    </row>
    <row r="44" spans="1:13">
      <c r="A44" s="308" t="s">
        <v>641</v>
      </c>
      <c r="B44" s="308"/>
      <c r="C44" s="1710">
        <v>154.76400000000001</v>
      </c>
      <c r="D44" s="307"/>
      <c r="E44" s="1710">
        <v>2.1320000000000001</v>
      </c>
      <c r="F44" s="307"/>
      <c r="G44" s="1710">
        <v>2.141</v>
      </c>
      <c r="H44" s="307"/>
      <c r="I44" s="1710">
        <v>0</v>
      </c>
      <c r="J44" s="307"/>
      <c r="K44" s="1711">
        <f t="shared" si="2"/>
        <v>154.755</v>
      </c>
      <c r="L44" s="1270"/>
      <c r="M44" s="1931"/>
    </row>
    <row r="45" spans="1:13">
      <c r="A45" s="308" t="s">
        <v>642</v>
      </c>
      <c r="B45" s="308"/>
      <c r="C45" s="1710">
        <v>12.015000000000001</v>
      </c>
      <c r="D45" s="307"/>
      <c r="E45" s="1710">
        <v>4.8180000000000005</v>
      </c>
      <c r="F45" s="307"/>
      <c r="G45" s="1710">
        <v>1.111</v>
      </c>
      <c r="H45" s="307"/>
      <c r="I45" s="1710">
        <v>-1.7949999999999999</v>
      </c>
      <c r="J45" s="307"/>
      <c r="K45" s="1711">
        <f t="shared" si="2"/>
        <v>13.927</v>
      </c>
      <c r="L45" s="1270"/>
      <c r="M45" s="1931"/>
    </row>
    <row r="46" spans="1:13">
      <c r="A46" s="308" t="s">
        <v>643</v>
      </c>
      <c r="B46" s="308"/>
      <c r="C46" s="1710">
        <v>6.2590000000000003</v>
      </c>
      <c r="D46" s="307"/>
      <c r="E46" s="1710">
        <v>13.826000000000001</v>
      </c>
      <c r="F46" s="307"/>
      <c r="G46" s="1710">
        <v>4.1029999999999998</v>
      </c>
      <c r="H46" s="307"/>
      <c r="I46" s="1710">
        <v>0</v>
      </c>
      <c r="J46" s="307"/>
      <c r="K46" s="1711">
        <f t="shared" si="2"/>
        <v>15.981999999999999</v>
      </c>
      <c r="L46" s="1270"/>
      <c r="M46" s="1931"/>
    </row>
    <row r="47" spans="1:13">
      <c r="A47" s="308" t="s">
        <v>644</v>
      </c>
      <c r="B47" s="308"/>
      <c r="C47" s="1710">
        <v>13.345000000000001</v>
      </c>
      <c r="D47" s="307"/>
      <c r="E47" s="1710">
        <v>7.4909999999999997</v>
      </c>
      <c r="F47" s="307"/>
      <c r="G47" s="1710">
        <v>1.1279999999999999</v>
      </c>
      <c r="H47" s="307"/>
      <c r="I47" s="1710">
        <v>0</v>
      </c>
      <c r="J47" s="307"/>
      <c r="K47" s="1711">
        <f t="shared" si="2"/>
        <v>19.707999999999998</v>
      </c>
      <c r="L47" s="1270"/>
      <c r="M47" s="1931"/>
    </row>
    <row r="48" spans="1:13">
      <c r="A48" s="309" t="s">
        <v>645</v>
      </c>
      <c r="B48" s="308"/>
      <c r="C48" s="1710">
        <v>0.59</v>
      </c>
      <c r="D48" s="307"/>
      <c r="E48" s="1710">
        <v>3.0000000000000001E-3</v>
      </c>
      <c r="F48" s="307"/>
      <c r="G48" s="1710">
        <v>0</v>
      </c>
      <c r="H48" s="307"/>
      <c r="I48" s="1710">
        <v>0</v>
      </c>
      <c r="J48" s="307"/>
      <c r="K48" s="1711">
        <f t="shared" si="2"/>
        <v>0.59299999999999997</v>
      </c>
      <c r="L48" s="1270"/>
      <c r="M48" s="1931"/>
    </row>
    <row r="49" spans="1:13">
      <c r="A49" s="308" t="s">
        <v>646</v>
      </c>
      <c r="B49" s="308"/>
      <c r="C49" s="1710">
        <v>991.63199999999995</v>
      </c>
      <c r="D49" s="307"/>
      <c r="E49" s="1710">
        <v>344.12200000000001</v>
      </c>
      <c r="F49" s="307"/>
      <c r="G49" s="1710">
        <v>1.482</v>
      </c>
      <c r="H49" s="307"/>
      <c r="I49" s="1710">
        <v>0.89900000000000002</v>
      </c>
      <c r="J49" s="307"/>
      <c r="K49" s="1711">
        <f t="shared" si="2"/>
        <v>1335.171</v>
      </c>
      <c r="L49" s="1270"/>
      <c r="M49" s="1931"/>
    </row>
    <row r="50" spans="1:13">
      <c r="A50" s="308" t="s">
        <v>647</v>
      </c>
      <c r="B50" s="308"/>
      <c r="C50" s="1710">
        <v>-34.914000000000001</v>
      </c>
      <c r="D50" s="307"/>
      <c r="E50" s="1710">
        <v>2.4449999999999998</v>
      </c>
      <c r="F50" s="307"/>
      <c r="G50" s="1710">
        <v>1.919</v>
      </c>
      <c r="H50" s="307"/>
      <c r="I50" s="1710">
        <v>0</v>
      </c>
      <c r="J50" s="307"/>
      <c r="K50" s="1711">
        <f t="shared" si="2"/>
        <v>-34.387999999999998</v>
      </c>
      <c r="L50" s="1270"/>
      <c r="M50" s="1931"/>
    </row>
    <row r="51" spans="1:13">
      <c r="A51" s="308" t="s">
        <v>648</v>
      </c>
      <c r="B51" s="308"/>
      <c r="C51" s="1710">
        <v>8.4000000000000005E-2</v>
      </c>
      <c r="D51" s="307"/>
      <c r="E51" s="1710">
        <v>1E-3</v>
      </c>
      <c r="F51" s="307"/>
      <c r="G51" s="1710">
        <v>0</v>
      </c>
      <c r="H51" s="307"/>
      <c r="I51" s="1710">
        <v>0</v>
      </c>
      <c r="J51" s="307"/>
      <c r="K51" s="1711">
        <f t="shared" si="2"/>
        <v>8.5000000000000006E-2</v>
      </c>
      <c r="L51" s="1270"/>
      <c r="M51" s="1931"/>
    </row>
    <row r="52" spans="1:13">
      <c r="A52" s="308" t="s">
        <v>649</v>
      </c>
      <c r="B52" s="308"/>
      <c r="C52" s="1710">
        <v>14.958</v>
      </c>
      <c r="D52" s="307"/>
      <c r="E52" s="1710">
        <v>0.21099999999999999</v>
      </c>
      <c r="F52" s="307"/>
      <c r="G52" s="1710">
        <v>0.25800000000000001</v>
      </c>
      <c r="H52" s="307"/>
      <c r="I52" s="1710">
        <v>0</v>
      </c>
      <c r="J52" s="307"/>
      <c r="K52" s="1711">
        <f t="shared" si="2"/>
        <v>14.911</v>
      </c>
      <c r="L52" s="1270"/>
      <c r="M52" s="1931"/>
    </row>
    <row r="53" spans="1:13">
      <c r="A53" s="308" t="s">
        <v>650</v>
      </c>
      <c r="B53" s="308"/>
      <c r="C53" s="1710">
        <v>0</v>
      </c>
      <c r="D53" s="307"/>
      <c r="E53" s="1710">
        <v>0</v>
      </c>
      <c r="F53" s="307"/>
      <c r="G53" s="1710">
        <v>0</v>
      </c>
      <c r="H53" s="307"/>
      <c r="I53" s="1710">
        <v>0</v>
      </c>
      <c r="J53" s="307"/>
      <c r="K53" s="1711">
        <f t="shared" si="2"/>
        <v>0</v>
      </c>
      <c r="L53" s="1270"/>
      <c r="M53" s="1931"/>
    </row>
    <row r="54" spans="1:13">
      <c r="A54" s="309" t="s">
        <v>651</v>
      </c>
      <c r="B54" s="308"/>
      <c r="C54" s="1710">
        <v>0.52800000000000002</v>
      </c>
      <c r="D54" s="307"/>
      <c r="E54" s="1710">
        <v>1E-3</v>
      </c>
      <c r="F54" s="307"/>
      <c r="G54" s="1710">
        <v>0</v>
      </c>
      <c r="H54" s="307"/>
      <c r="I54" s="1710">
        <v>0</v>
      </c>
      <c r="J54" s="307"/>
      <c r="K54" s="1711">
        <f t="shared" si="2"/>
        <v>0.52900000000000003</v>
      </c>
      <c r="L54" s="1270"/>
      <c r="M54" s="1931"/>
    </row>
    <row r="55" spans="1:13">
      <c r="A55" s="309" t="s">
        <v>652</v>
      </c>
      <c r="B55" s="308"/>
      <c r="C55" s="1710">
        <v>0</v>
      </c>
      <c r="D55" s="307"/>
      <c r="E55" s="1710">
        <v>0</v>
      </c>
      <c r="F55" s="307"/>
      <c r="G55" s="1710">
        <v>0</v>
      </c>
      <c r="H55" s="307"/>
      <c r="I55" s="1710">
        <v>0</v>
      </c>
      <c r="J55" s="307"/>
      <c r="K55" s="1711">
        <f t="shared" si="2"/>
        <v>0</v>
      </c>
      <c r="L55" s="1270"/>
      <c r="M55" s="1931"/>
    </row>
    <row r="56" spans="1:13">
      <c r="A56" s="309" t="s">
        <v>653</v>
      </c>
      <c r="B56" s="308"/>
      <c r="C56" s="1710">
        <v>0</v>
      </c>
      <c r="D56" s="307"/>
      <c r="E56" s="1710">
        <v>0</v>
      </c>
      <c r="F56" s="307"/>
      <c r="G56" s="1710">
        <v>0</v>
      </c>
      <c r="H56" s="307"/>
      <c r="I56" s="1710">
        <v>0</v>
      </c>
      <c r="J56" s="307"/>
      <c r="K56" s="1711">
        <f t="shared" si="2"/>
        <v>0</v>
      </c>
      <c r="L56" s="1270"/>
      <c r="M56" s="1931"/>
    </row>
    <row r="57" spans="1:13">
      <c r="A57" s="309" t="s">
        <v>654</v>
      </c>
      <c r="B57" s="308"/>
      <c r="C57" s="1710">
        <v>0.16</v>
      </c>
      <c r="D57" s="307"/>
      <c r="E57" s="1710">
        <v>1E-3</v>
      </c>
      <c r="F57" s="307"/>
      <c r="G57" s="1710">
        <v>0</v>
      </c>
      <c r="H57" s="307"/>
      <c r="I57" s="1710">
        <v>0</v>
      </c>
      <c r="J57" s="307"/>
      <c r="K57" s="1711">
        <f>ROUND(SUM(C57)+SUM(E57)-SUM(G57)+SUM(I57),3)</f>
        <v>0.161</v>
      </c>
      <c r="L57" s="1270"/>
      <c r="M57" s="1931"/>
    </row>
    <row r="58" spans="1:13">
      <c r="A58" s="309" t="s">
        <v>655</v>
      </c>
      <c r="B58" s="308"/>
      <c r="C58" s="1710">
        <v>5122.3230000000003</v>
      </c>
      <c r="D58" s="307"/>
      <c r="E58" s="1710">
        <v>363.75</v>
      </c>
      <c r="F58" s="307"/>
      <c r="G58" s="1710">
        <v>251.672</v>
      </c>
      <c r="H58" s="307"/>
      <c r="I58" s="1710">
        <v>42.203000000000003</v>
      </c>
      <c r="J58" s="307"/>
      <c r="K58" s="1711">
        <f t="shared" si="2"/>
        <v>5276.6040000000003</v>
      </c>
      <c r="L58" s="1270"/>
      <c r="M58" s="1931"/>
    </row>
    <row r="59" spans="1:13">
      <c r="A59" s="308" t="s">
        <v>656</v>
      </c>
      <c r="B59" s="308"/>
      <c r="C59" s="1710">
        <v>8.1370000000000005</v>
      </c>
      <c r="D59" s="307"/>
      <c r="E59" s="1710">
        <v>8.4000000000000005E-2</v>
      </c>
      <c r="F59" s="307"/>
      <c r="G59" s="1710">
        <v>3.2370000000000001</v>
      </c>
      <c r="H59" s="307"/>
      <c r="I59" s="1710">
        <v>74.608000000000004</v>
      </c>
      <c r="J59" s="307"/>
      <c r="K59" s="1711">
        <f t="shared" si="2"/>
        <v>79.591999999999999</v>
      </c>
      <c r="L59" s="1270"/>
      <c r="M59" s="1931"/>
    </row>
    <row r="60" spans="1:13">
      <c r="A60" s="308"/>
      <c r="B60" s="308"/>
      <c r="C60" s="1710"/>
      <c r="D60" s="307"/>
      <c r="E60" s="1710"/>
      <c r="F60" s="307"/>
      <c r="G60" s="1710"/>
      <c r="H60" s="307"/>
      <c r="I60" s="1710"/>
      <c r="J60" s="307"/>
      <c r="K60" s="1711"/>
      <c r="L60" s="1270"/>
      <c r="M60" s="1931"/>
    </row>
    <row r="61" spans="1:13">
      <c r="A61" s="308"/>
      <c r="B61" s="308"/>
      <c r="C61" s="1710"/>
      <c r="D61" s="307"/>
      <c r="E61" s="1710"/>
      <c r="F61" s="307"/>
      <c r="G61" s="1710"/>
      <c r="H61" s="307"/>
      <c r="I61" s="1710"/>
      <c r="J61" s="307"/>
      <c r="K61" s="1711"/>
      <c r="L61" s="1270"/>
      <c r="M61" s="1931"/>
    </row>
    <row r="62" spans="1:13">
      <c r="A62" s="132" t="s">
        <v>657</v>
      </c>
      <c r="B62" s="308"/>
      <c r="C62" s="1710"/>
      <c r="D62" s="307"/>
      <c r="E62" s="1710"/>
      <c r="F62" s="307"/>
      <c r="G62" s="1710"/>
      <c r="H62" s="307"/>
      <c r="I62" s="1710"/>
      <c r="J62" s="307"/>
      <c r="K62" s="1711"/>
      <c r="L62" s="1270"/>
      <c r="M62" s="1931"/>
    </row>
    <row r="63" spans="1:13">
      <c r="A63" s="308" t="s">
        <v>658</v>
      </c>
      <c r="B63" s="307"/>
      <c r="C63" s="1710">
        <v>6.2E-2</v>
      </c>
      <c r="D63" s="307"/>
      <c r="E63" s="1710">
        <v>0</v>
      </c>
      <c r="F63" s="307"/>
      <c r="G63" s="1710">
        <v>0</v>
      </c>
      <c r="H63" s="307"/>
      <c r="I63" s="1710">
        <v>0</v>
      </c>
      <c r="J63" s="307"/>
      <c r="K63" s="1711">
        <f>ROUND(SUM(C63)+SUM(E63)-SUM(G63)+SUM(I63),3)</f>
        <v>6.2E-2</v>
      </c>
      <c r="L63" s="1270"/>
      <c r="M63" s="1931"/>
    </row>
    <row r="64" spans="1:13">
      <c r="A64" s="308" t="s">
        <v>659</v>
      </c>
      <c r="B64" s="308"/>
      <c r="C64" s="1710">
        <v>1918.328</v>
      </c>
      <c r="D64" s="307"/>
      <c r="E64" s="1710">
        <v>458.35599999999999</v>
      </c>
      <c r="F64" s="307"/>
      <c r="G64" s="1710">
        <v>748.34400000000005</v>
      </c>
      <c r="H64" s="307"/>
      <c r="I64" s="1710">
        <v>111.438</v>
      </c>
      <c r="J64" s="307"/>
      <c r="K64" s="1711">
        <f>ROUND(SUM(C64)+SUM(E64)-SUM(G64)+SUM(I64),3)</f>
        <v>1739.778</v>
      </c>
      <c r="L64" s="1270"/>
      <c r="M64" s="1931"/>
    </row>
    <row r="65" spans="1:13">
      <c r="A65" s="309" t="s">
        <v>660</v>
      </c>
      <c r="B65" s="308"/>
      <c r="C65" s="1710">
        <v>7.4779999999999998</v>
      </c>
      <c r="D65" s="307"/>
      <c r="E65" s="1710">
        <v>0.45700000000000002</v>
      </c>
      <c r="F65" s="307"/>
      <c r="G65" s="1710">
        <v>3.0000000000000001E-3</v>
      </c>
      <c r="H65" s="307"/>
      <c r="I65" s="1710">
        <v>0</v>
      </c>
      <c r="J65" s="307"/>
      <c r="K65" s="1711">
        <f>ROUND(SUM(C65)+SUM(E65)-SUM(G65)+SUM(I65),3)</f>
        <v>7.9320000000000004</v>
      </c>
      <c r="L65" s="1270"/>
      <c r="M65" s="1931"/>
    </row>
    <row r="66" spans="1:13">
      <c r="A66" s="308" t="s">
        <v>661</v>
      </c>
      <c r="B66" s="308"/>
      <c r="C66" s="1710">
        <v>0.35899999999999999</v>
      </c>
      <c r="D66" s="307"/>
      <c r="E66" s="1710">
        <v>0.501</v>
      </c>
      <c r="F66" s="307"/>
      <c r="G66" s="1710">
        <v>8.1000000000000003E-2</v>
      </c>
      <c r="H66" s="307"/>
      <c r="I66" s="1710">
        <v>0</v>
      </c>
      <c r="J66" s="307"/>
      <c r="K66" s="1711">
        <f>ROUND(SUM(C66)+SUM(E66)-SUM(G66)+SUM(I66),3)</f>
        <v>0.77900000000000003</v>
      </c>
      <c r="L66" s="1270"/>
      <c r="M66" s="1931"/>
    </row>
    <row r="67" spans="1:13">
      <c r="A67" s="308" t="s">
        <v>662</v>
      </c>
      <c r="B67" s="308"/>
      <c r="C67" s="1934"/>
      <c r="D67"/>
      <c r="E67" s="1711"/>
      <c r="F67" s="308"/>
      <c r="G67" s="1711"/>
      <c r="H67" s="308"/>
      <c r="I67" s="1715"/>
      <c r="J67" s="308"/>
      <c r="K67" s="1711" t="s">
        <v>103</v>
      </c>
      <c r="L67" s="1270"/>
      <c r="M67" s="1931"/>
    </row>
    <row r="68" spans="1:13">
      <c r="A68" s="308" t="s">
        <v>663</v>
      </c>
      <c r="B68" s="308"/>
      <c r="C68" s="1710">
        <v>354.178</v>
      </c>
      <c r="D68" s="307"/>
      <c r="E68" s="1710">
        <v>11.276999999999999</v>
      </c>
      <c r="F68" s="307"/>
      <c r="G68" s="1710">
        <v>0.34799999999999998</v>
      </c>
      <c r="H68" s="307"/>
      <c r="I68" s="1710">
        <v>0</v>
      </c>
      <c r="J68" s="307"/>
      <c r="K68" s="1711">
        <f t="shared" ref="K68:K73" si="3">ROUND(SUM(C68)+SUM(E68)-SUM(G68)+SUM(I68),3)</f>
        <v>365.10700000000003</v>
      </c>
      <c r="L68" s="1270"/>
      <c r="M68" s="1931"/>
    </row>
    <row r="69" spans="1:13">
      <c r="A69" s="308" t="s">
        <v>664</v>
      </c>
      <c r="B69" s="134"/>
      <c r="C69" s="1710">
        <v>0.53</v>
      </c>
      <c r="D69" s="307"/>
      <c r="E69" s="1710">
        <v>0.21199999999999999</v>
      </c>
      <c r="F69" s="307"/>
      <c r="G69" s="1710">
        <v>1.0999999999999999E-2</v>
      </c>
      <c r="H69" s="307"/>
      <c r="I69" s="1710">
        <v>0</v>
      </c>
      <c r="J69" s="307"/>
      <c r="K69" s="1711">
        <f t="shared" si="3"/>
        <v>0.73099999999999998</v>
      </c>
      <c r="L69" s="1270"/>
      <c r="M69" s="1931"/>
    </row>
    <row r="70" spans="1:13">
      <c r="A70" s="308" t="s">
        <v>665</v>
      </c>
      <c r="B70" s="308"/>
      <c r="C70" s="1710">
        <v>2.9000000000000001E-2</v>
      </c>
      <c r="D70" s="307"/>
      <c r="E70" s="1710">
        <v>0</v>
      </c>
      <c r="F70" s="307"/>
      <c r="G70" s="1710">
        <v>0</v>
      </c>
      <c r="H70" s="307"/>
      <c r="I70" s="1710">
        <v>0</v>
      </c>
      <c r="J70" s="307"/>
      <c r="K70" s="1711">
        <f t="shared" si="3"/>
        <v>2.9000000000000001E-2</v>
      </c>
      <c r="L70" s="1270"/>
      <c r="M70" s="1931"/>
    </row>
    <row r="71" spans="1:13">
      <c r="A71" s="309" t="s">
        <v>666</v>
      </c>
      <c r="B71" s="308"/>
      <c r="C71" s="1710">
        <v>3.6779999999999999</v>
      </c>
      <c r="D71" s="307"/>
      <c r="E71" s="1710">
        <v>1.3000000000000001E-2</v>
      </c>
      <c r="F71" s="307"/>
      <c r="G71" s="1710">
        <v>0.56999999999999995</v>
      </c>
      <c r="H71" s="307"/>
      <c r="I71" s="1710">
        <v>0</v>
      </c>
      <c r="J71" s="307"/>
      <c r="K71" s="1711">
        <f t="shared" si="3"/>
        <v>3.121</v>
      </c>
      <c r="L71" s="1270"/>
      <c r="M71" s="1931"/>
    </row>
    <row r="72" spans="1:13">
      <c r="A72" s="308" t="s">
        <v>667</v>
      </c>
      <c r="B72" s="308"/>
      <c r="C72" s="1710">
        <v>-26.402999999999999</v>
      </c>
      <c r="D72" s="307"/>
      <c r="E72" s="1710">
        <v>0</v>
      </c>
      <c r="F72" s="307"/>
      <c r="G72" s="1710">
        <v>0.30499999999999999</v>
      </c>
      <c r="H72" s="307"/>
      <c r="I72" s="1710">
        <v>0</v>
      </c>
      <c r="J72" s="307"/>
      <c r="K72" s="1711">
        <f t="shared" si="3"/>
        <v>-26.707999999999998</v>
      </c>
      <c r="L72" s="1270"/>
      <c r="M72" s="1931"/>
    </row>
    <row r="73" spans="1:13">
      <c r="A73" s="308" t="s">
        <v>668</v>
      </c>
      <c r="B73" s="308"/>
      <c r="C73" s="1710">
        <v>0.23400000000000001</v>
      </c>
      <c r="D73" s="307"/>
      <c r="E73" s="1710">
        <v>5.0000000000000001E-3</v>
      </c>
      <c r="F73" s="307"/>
      <c r="G73" s="1710">
        <v>0</v>
      </c>
      <c r="H73" s="307"/>
      <c r="I73" s="1710">
        <v>0</v>
      </c>
      <c r="J73" s="307"/>
      <c r="K73" s="1711">
        <f t="shared" si="3"/>
        <v>0.23899999999999999</v>
      </c>
      <c r="L73" s="1270"/>
      <c r="M73" s="1931"/>
    </row>
    <row r="74" spans="1:13">
      <c r="A74" s="308" t="s">
        <v>669</v>
      </c>
      <c r="B74" s="308"/>
      <c r="C74" s="1934"/>
      <c r="D74"/>
      <c r="E74" s="1711"/>
      <c r="F74" s="308"/>
      <c r="G74" s="1711"/>
      <c r="H74" s="308"/>
      <c r="I74" s="1711"/>
      <c r="J74" s="308"/>
      <c r="K74" s="1711"/>
      <c r="L74" s="1270"/>
      <c r="M74" s="1931"/>
    </row>
    <row r="75" spans="1:13">
      <c r="A75" s="308" t="s">
        <v>670</v>
      </c>
      <c r="B75" s="308"/>
      <c r="C75" s="1710">
        <v>1E-3</v>
      </c>
      <c r="D75" s="307"/>
      <c r="E75" s="1710">
        <v>0</v>
      </c>
      <c r="F75" s="307"/>
      <c r="G75" s="1710">
        <v>0</v>
      </c>
      <c r="H75" s="307"/>
      <c r="I75" s="1710">
        <v>0</v>
      </c>
      <c r="J75" s="307"/>
      <c r="K75" s="1711">
        <f t="shared" ref="K75:K90" si="4">ROUND(SUM(C75)+SUM(E75)-SUM(G75)+SUM(I75),3)</f>
        <v>1E-3</v>
      </c>
      <c r="L75" s="1270"/>
      <c r="M75" s="1931"/>
    </row>
    <row r="76" spans="1:13">
      <c r="A76" s="308" t="s">
        <v>671</v>
      </c>
      <c r="B76" s="308"/>
      <c r="C76" s="1710">
        <v>-35.481000000000002</v>
      </c>
      <c r="D76" s="307"/>
      <c r="E76" s="1710">
        <v>0</v>
      </c>
      <c r="F76" s="307"/>
      <c r="G76" s="1710">
        <v>2.6440000000000001</v>
      </c>
      <c r="H76" s="307"/>
      <c r="I76" s="1710">
        <v>2.2970000000000002</v>
      </c>
      <c r="J76" s="307"/>
      <c r="K76" s="1711">
        <f t="shared" si="4"/>
        <v>-35.828000000000003</v>
      </c>
      <c r="L76" s="1270"/>
      <c r="M76" s="1931"/>
    </row>
    <row r="77" spans="1:13">
      <c r="A77" s="308" t="s">
        <v>672</v>
      </c>
      <c r="B77" s="308"/>
      <c r="C77" s="1710">
        <v>18.315000000000001</v>
      </c>
      <c r="D77" s="307"/>
      <c r="E77" s="1710">
        <v>6.516</v>
      </c>
      <c r="F77" s="307"/>
      <c r="G77" s="1710">
        <v>3.5619999999999998</v>
      </c>
      <c r="H77" s="307"/>
      <c r="I77" s="1710">
        <v>0</v>
      </c>
      <c r="J77" s="307"/>
      <c r="K77" s="1711">
        <f t="shared" si="4"/>
        <v>21.268999999999998</v>
      </c>
      <c r="L77" s="1270"/>
      <c r="M77" s="1931"/>
    </row>
    <row r="78" spans="1:13">
      <c r="A78" s="308" t="s">
        <v>673</v>
      </c>
      <c r="B78" s="308"/>
      <c r="C78" s="1710">
        <v>0.40200000000000002</v>
      </c>
      <c r="D78" s="307"/>
      <c r="E78" s="1710">
        <v>2E-3</v>
      </c>
      <c r="F78" s="307"/>
      <c r="G78" s="1710">
        <v>0</v>
      </c>
      <c r="H78" s="307"/>
      <c r="I78" s="1710">
        <v>0</v>
      </c>
      <c r="J78" s="307"/>
      <c r="K78" s="1711">
        <f t="shared" si="4"/>
        <v>0.40400000000000003</v>
      </c>
      <c r="L78" s="1270"/>
      <c r="M78" s="1931"/>
    </row>
    <row r="79" spans="1:13">
      <c r="A79" s="309" t="s">
        <v>674</v>
      </c>
      <c r="B79" s="308"/>
      <c r="C79" s="1710">
        <v>710.58100000000002</v>
      </c>
      <c r="D79" s="307"/>
      <c r="E79" s="1710">
        <v>29.626000000000001</v>
      </c>
      <c r="F79" s="307"/>
      <c r="G79" s="1710">
        <v>33.523000000000003</v>
      </c>
      <c r="H79" s="307"/>
      <c r="I79" s="1710">
        <v>0</v>
      </c>
      <c r="J79" s="307"/>
      <c r="K79" s="1711">
        <f t="shared" si="4"/>
        <v>706.68399999999997</v>
      </c>
      <c r="L79" s="1270"/>
      <c r="M79" s="1931"/>
    </row>
    <row r="80" spans="1:13">
      <c r="A80" s="308" t="s">
        <v>675</v>
      </c>
      <c r="B80" s="308"/>
      <c r="C80" s="1710">
        <v>59.771000000000001</v>
      </c>
      <c r="D80" s="307"/>
      <c r="E80" s="1710">
        <v>1.8710000000000002</v>
      </c>
      <c r="F80" s="307"/>
      <c r="G80" s="1710">
        <v>0</v>
      </c>
      <c r="H80" s="307"/>
      <c r="I80" s="1710">
        <v>0</v>
      </c>
      <c r="J80" s="307"/>
      <c r="K80" s="1711">
        <f t="shared" si="4"/>
        <v>61.642000000000003</v>
      </c>
      <c r="L80" s="1270"/>
      <c r="M80" s="1931"/>
    </row>
    <row r="81" spans="1:13">
      <c r="A81" s="309" t="s">
        <v>676</v>
      </c>
      <c r="B81" s="308"/>
      <c r="C81" s="1710">
        <v>137.62899999999999</v>
      </c>
      <c r="D81" s="307"/>
      <c r="E81" s="1710">
        <v>0.438</v>
      </c>
      <c r="F81" s="307"/>
      <c r="G81" s="1710">
        <v>13.138</v>
      </c>
      <c r="H81" s="307"/>
      <c r="I81" s="1710">
        <v>13.269</v>
      </c>
      <c r="J81" s="307"/>
      <c r="K81" s="1711">
        <f t="shared" si="4"/>
        <v>138.19800000000001</v>
      </c>
      <c r="L81" s="1270"/>
      <c r="M81" s="1931"/>
    </row>
    <row r="82" spans="1:13">
      <c r="A82" s="309" t="s">
        <v>677</v>
      </c>
      <c r="B82" s="308"/>
      <c r="C82" s="1710">
        <v>34.83</v>
      </c>
      <c r="D82" s="307"/>
      <c r="E82" s="1710">
        <v>30.244</v>
      </c>
      <c r="F82" s="307"/>
      <c r="G82" s="1710">
        <v>0.38900000000000001</v>
      </c>
      <c r="H82" s="307"/>
      <c r="I82" s="1710">
        <v>0</v>
      </c>
      <c r="J82" s="307"/>
      <c r="K82" s="1711">
        <f t="shared" si="4"/>
        <v>64.685000000000002</v>
      </c>
      <c r="L82" s="1270"/>
      <c r="M82" s="1931"/>
    </row>
    <row r="83" spans="1:13">
      <c r="A83" s="309" t="s">
        <v>678</v>
      </c>
      <c r="B83" s="308"/>
      <c r="C83" s="1710">
        <v>5.37</v>
      </c>
      <c r="D83" s="307"/>
      <c r="E83" s="1710">
        <v>0.42599999999999999</v>
      </c>
      <c r="F83" s="307"/>
      <c r="G83" s="1710">
        <v>0.878</v>
      </c>
      <c r="H83" s="307"/>
      <c r="I83" s="1710">
        <v>0</v>
      </c>
      <c r="J83" s="307"/>
      <c r="K83" s="1711">
        <f t="shared" si="4"/>
        <v>4.9180000000000001</v>
      </c>
      <c r="L83" s="1270"/>
      <c r="M83" s="1931"/>
    </row>
    <row r="84" spans="1:13">
      <c r="A84" s="309" t="s">
        <v>679</v>
      </c>
      <c r="B84" s="308"/>
      <c r="C84" s="1710">
        <v>333.27</v>
      </c>
      <c r="D84" s="307"/>
      <c r="E84" s="1710">
        <v>10.558</v>
      </c>
      <c r="F84" s="307"/>
      <c r="G84" s="1710">
        <v>1.881</v>
      </c>
      <c r="H84" s="307"/>
      <c r="I84" s="1710">
        <v>0</v>
      </c>
      <c r="J84" s="307"/>
      <c r="K84" s="1711">
        <f t="shared" si="4"/>
        <v>341.947</v>
      </c>
      <c r="L84" s="1270"/>
      <c r="M84" s="1931"/>
    </row>
    <row r="85" spans="1:13">
      <c r="A85" s="309" t="s">
        <v>680</v>
      </c>
      <c r="B85" s="308"/>
      <c r="C85" s="1710">
        <v>169.60499999999999</v>
      </c>
      <c r="D85" s="307"/>
      <c r="E85" s="1710">
        <v>6.84</v>
      </c>
      <c r="F85" s="307"/>
      <c r="G85" s="1710">
        <v>2.7050000000000001</v>
      </c>
      <c r="H85" s="307"/>
      <c r="I85" s="1710">
        <v>0</v>
      </c>
      <c r="J85" s="307"/>
      <c r="K85" s="1711">
        <f>ROUND(SUM(C85)+SUM(E85)-SUM(G85)+SUM(I85),3)</f>
        <v>173.74</v>
      </c>
      <c r="L85" s="1270"/>
      <c r="M85" s="1931"/>
    </row>
    <row r="86" spans="1:13">
      <c r="A86" s="309" t="s">
        <v>681</v>
      </c>
      <c r="B86" s="308"/>
      <c r="C86" s="1710">
        <v>532.58500000000004</v>
      </c>
      <c r="D86" s="307"/>
      <c r="E86" s="1710">
        <v>1.143</v>
      </c>
      <c r="F86" s="307"/>
      <c r="G86" s="1710">
        <v>0</v>
      </c>
      <c r="H86" s="307"/>
      <c r="I86" s="1710">
        <v>0</v>
      </c>
      <c r="J86" s="307"/>
      <c r="K86" s="1711">
        <f t="shared" si="4"/>
        <v>533.72799999999995</v>
      </c>
      <c r="L86" s="1270"/>
      <c r="M86" s="1931"/>
    </row>
    <row r="87" spans="1:13">
      <c r="A87" s="309" t="s">
        <v>682</v>
      </c>
      <c r="B87" s="308"/>
      <c r="C87" s="1710">
        <v>0.16800000000000001</v>
      </c>
      <c r="D87" s="307"/>
      <c r="E87" s="1710">
        <v>2E-3</v>
      </c>
      <c r="F87" s="307"/>
      <c r="G87" s="1710">
        <v>0</v>
      </c>
      <c r="H87" s="307"/>
      <c r="I87" s="1710">
        <v>0</v>
      </c>
      <c r="J87" s="307"/>
      <c r="K87" s="1711">
        <f t="shared" si="4"/>
        <v>0.17</v>
      </c>
      <c r="L87" s="1270"/>
      <c r="M87" s="1931"/>
    </row>
    <row r="88" spans="1:13">
      <c r="A88" s="309" t="s">
        <v>683</v>
      </c>
      <c r="B88" s="308"/>
      <c r="C88" s="1710">
        <v>10.866</v>
      </c>
      <c r="D88" s="307"/>
      <c r="E88" s="1710">
        <v>0.45500000000000002</v>
      </c>
      <c r="F88" s="307"/>
      <c r="G88" s="1710">
        <v>0</v>
      </c>
      <c r="H88" s="307"/>
      <c r="I88" s="1710">
        <v>0</v>
      </c>
      <c r="J88" s="307"/>
      <c r="K88" s="1711">
        <f>ROUND(SUM(C88)+SUM(E88)-SUM(G88)+SUM(I88),3)</f>
        <v>11.321</v>
      </c>
      <c r="L88" s="1270"/>
      <c r="M88" s="1931"/>
    </row>
    <row r="89" spans="1:13">
      <c r="A89" s="309" t="s">
        <v>684</v>
      </c>
      <c r="B89" s="308"/>
      <c r="C89" s="1710">
        <v>116.08</v>
      </c>
      <c r="D89" s="307"/>
      <c r="E89" s="1710">
        <v>117.369</v>
      </c>
      <c r="F89" s="307"/>
      <c r="G89" s="1710">
        <v>0</v>
      </c>
      <c r="H89" s="307"/>
      <c r="I89" s="1710">
        <v>0</v>
      </c>
      <c r="J89" s="307"/>
      <c r="K89" s="1711">
        <f>ROUND(SUM(C89)+SUM(E89)-SUM(G89)+SUM(I89),3)</f>
        <v>233.44900000000001</v>
      </c>
      <c r="L89" s="1270"/>
      <c r="M89" s="1931"/>
    </row>
    <row r="90" spans="1:13">
      <c r="A90" s="308" t="s">
        <v>685</v>
      </c>
      <c r="B90" s="308"/>
      <c r="C90" s="1710">
        <v>347.50200000000001</v>
      </c>
      <c r="D90" s="307"/>
      <c r="E90" s="1710">
        <v>53.848999999999997</v>
      </c>
      <c r="F90" s="307"/>
      <c r="G90" s="1710">
        <v>0</v>
      </c>
      <c r="H90" s="307"/>
      <c r="I90" s="1710">
        <v>-30.669</v>
      </c>
      <c r="J90" s="307"/>
      <c r="K90" s="1711">
        <f t="shared" si="4"/>
        <v>370.68200000000002</v>
      </c>
      <c r="L90" s="1270"/>
      <c r="M90" s="1931"/>
    </row>
    <row r="91" spans="1:13">
      <c r="A91" s="131" t="s">
        <v>686</v>
      </c>
      <c r="B91" s="308"/>
      <c r="C91" s="1716">
        <f>ROUND(SUM(C27:C90),3)</f>
        <v>12731.906000000001</v>
      </c>
      <c r="D91" s="135"/>
      <c r="E91" s="1716">
        <f>ROUND(SUM(E27:E90),3)</f>
        <v>2624.5709999999999</v>
      </c>
      <c r="F91" s="135"/>
      <c r="G91" s="1716">
        <f>ROUND(SUM(G27:G90),3)</f>
        <v>1589.566</v>
      </c>
      <c r="H91" s="135"/>
      <c r="I91" s="1716">
        <f>ROUND(SUM(I27:I90),3)</f>
        <v>220.67099999999999</v>
      </c>
      <c r="J91" s="135"/>
      <c r="K91" s="1716">
        <f>ROUND(SUM(K27:K90),3)</f>
        <v>13987.582</v>
      </c>
      <c r="L91" s="1270"/>
      <c r="M91" s="1931" t="s">
        <v>103</v>
      </c>
    </row>
    <row r="92" spans="1:13" ht="11.25" customHeight="1">
      <c r="A92" s="308"/>
      <c r="B92" s="308"/>
      <c r="C92" s="308"/>
      <c r="D92" s="308"/>
      <c r="E92" s="308"/>
      <c r="F92" s="308"/>
      <c r="G92" s="308"/>
      <c r="H92" s="308"/>
      <c r="I92" s="308"/>
      <c r="J92" s="308"/>
      <c r="K92" s="308"/>
      <c r="L92" s="1270"/>
      <c r="M92" s="1931"/>
    </row>
    <row r="93" spans="1:13">
      <c r="A93" s="132" t="s">
        <v>687</v>
      </c>
      <c r="B93" s="308"/>
      <c r="C93" s="308"/>
      <c r="D93" s="308"/>
      <c r="E93" s="308"/>
      <c r="F93" s="308"/>
      <c r="G93" s="308"/>
      <c r="H93" s="308"/>
      <c r="I93" s="308"/>
      <c r="J93" s="308"/>
      <c r="K93" s="308"/>
      <c r="L93" s="1270"/>
      <c r="M93" s="1931"/>
    </row>
    <row r="94" spans="1:13">
      <c r="A94" s="308" t="s">
        <v>688</v>
      </c>
      <c r="B94" s="308"/>
      <c r="C94" s="1710">
        <v>-18.004000000000001</v>
      </c>
      <c r="D94" s="307"/>
      <c r="E94" s="1710">
        <v>265.61099999999999</v>
      </c>
      <c r="F94" s="307"/>
      <c r="G94" s="1710">
        <v>351.983</v>
      </c>
      <c r="H94" s="307"/>
      <c r="I94" s="1710">
        <v>0</v>
      </c>
      <c r="J94" s="307"/>
      <c r="K94" s="1711">
        <f t="shared" ref="K94:K100" si="5">ROUND(SUM(C94)+SUM(E94)-SUM(G94)+SUM(I94),3)</f>
        <v>-104.376</v>
      </c>
      <c r="L94" s="1270"/>
      <c r="M94" s="1931"/>
    </row>
    <row r="95" spans="1:13">
      <c r="A95" s="308" t="s">
        <v>689</v>
      </c>
      <c r="B95" s="308"/>
      <c r="C95" s="1710">
        <v>7851.5820000000003</v>
      </c>
      <c r="D95" s="307"/>
      <c r="E95" s="1710">
        <v>7989.9059999999999</v>
      </c>
      <c r="F95" s="307"/>
      <c r="G95" s="1710">
        <v>6579.9030000000002</v>
      </c>
      <c r="H95" s="307"/>
      <c r="I95" s="1710">
        <v>-252.983</v>
      </c>
      <c r="J95" s="307"/>
      <c r="K95" s="1711">
        <f t="shared" si="5"/>
        <v>9008.6020000000008</v>
      </c>
      <c r="L95" s="1270"/>
      <c r="M95" s="1931"/>
    </row>
    <row r="96" spans="1:13">
      <c r="A96" s="308" t="s">
        <v>690</v>
      </c>
      <c r="B96" s="133"/>
      <c r="C96" s="1710">
        <v>-166.42500000000001</v>
      </c>
      <c r="D96" s="307"/>
      <c r="E96" s="1710">
        <v>429.89499999999998</v>
      </c>
      <c r="F96" s="307"/>
      <c r="G96" s="1710">
        <v>293.91199999999998</v>
      </c>
      <c r="H96" s="307"/>
      <c r="I96" s="1710">
        <v>0</v>
      </c>
      <c r="J96" s="307"/>
      <c r="K96" s="1711">
        <f t="shared" si="5"/>
        <v>-30.442</v>
      </c>
      <c r="L96" s="1270"/>
      <c r="M96" s="1931"/>
    </row>
    <row r="97" spans="1:15">
      <c r="A97" s="308" t="s">
        <v>691</v>
      </c>
      <c r="B97" s="308"/>
      <c r="C97" s="1710">
        <v>721.16499999999996</v>
      </c>
      <c r="D97" s="307"/>
      <c r="E97" s="1710">
        <v>324.42399999999998</v>
      </c>
      <c r="F97" s="307"/>
      <c r="G97" s="1710">
        <v>360.036</v>
      </c>
      <c r="H97" s="307"/>
      <c r="I97" s="1710">
        <v>0</v>
      </c>
      <c r="J97" s="307"/>
      <c r="K97" s="1711">
        <f t="shared" si="5"/>
        <v>685.553</v>
      </c>
      <c r="L97" s="1270"/>
      <c r="M97" s="1931"/>
    </row>
    <row r="98" spans="1:15">
      <c r="A98" s="308" t="s">
        <v>692</v>
      </c>
      <c r="B98" s="308"/>
      <c r="C98" s="1710">
        <v>92.352000000000004</v>
      </c>
      <c r="D98" s="307"/>
      <c r="E98" s="1710">
        <v>23.795999999999999</v>
      </c>
      <c r="F98" s="307"/>
      <c r="G98" s="1710">
        <v>22.321999999999999</v>
      </c>
      <c r="H98" s="307"/>
      <c r="I98" s="1710">
        <v>0</v>
      </c>
      <c r="J98" s="307"/>
      <c r="K98" s="1711">
        <f t="shared" si="5"/>
        <v>93.825999999999993</v>
      </c>
      <c r="L98" s="1270"/>
      <c r="M98" s="1931"/>
    </row>
    <row r="99" spans="1:15">
      <c r="A99" s="308" t="s">
        <v>693</v>
      </c>
      <c r="B99" s="308"/>
      <c r="C99" s="1710">
        <v>-0.39700000000000002</v>
      </c>
      <c r="D99" s="307"/>
      <c r="E99" s="1710">
        <v>0</v>
      </c>
      <c r="F99" s="307"/>
      <c r="G99" s="1710">
        <v>0</v>
      </c>
      <c r="H99" s="307"/>
      <c r="I99" s="1710">
        <v>0</v>
      </c>
      <c r="J99" s="307"/>
      <c r="K99" s="1711">
        <f t="shared" si="5"/>
        <v>-0.39700000000000002</v>
      </c>
      <c r="L99" s="1270"/>
      <c r="M99" s="1931"/>
    </row>
    <row r="100" spans="1:15">
      <c r="A100" s="309" t="s">
        <v>694</v>
      </c>
      <c r="B100" s="308"/>
      <c r="C100" s="1710">
        <v>-3.6310000000000002</v>
      </c>
      <c r="D100" s="307"/>
      <c r="E100" s="1710">
        <v>13.569000000000001</v>
      </c>
      <c r="F100" s="307"/>
      <c r="G100" s="1710">
        <v>15.404</v>
      </c>
      <c r="H100" s="307"/>
      <c r="I100" s="1710">
        <v>0</v>
      </c>
      <c r="J100" s="307"/>
      <c r="K100" s="1711">
        <f t="shared" si="5"/>
        <v>-5.4660000000000002</v>
      </c>
      <c r="L100" s="1270"/>
      <c r="M100" s="1931"/>
    </row>
    <row r="101" spans="1:15">
      <c r="A101" s="131" t="s">
        <v>695</v>
      </c>
      <c r="B101" s="308"/>
      <c r="C101" s="1716">
        <f>ROUND(SUM(C94:C100),3)</f>
        <v>8476.6419999999998</v>
      </c>
      <c r="D101" s="135"/>
      <c r="E101" s="1716">
        <f>ROUND(SUM(E94:E100),3)</f>
        <v>9047.2009999999991</v>
      </c>
      <c r="F101" s="135"/>
      <c r="G101" s="1716">
        <f>ROUND(SUM(G94:G100),3)</f>
        <v>7623.56</v>
      </c>
      <c r="H101" s="135"/>
      <c r="I101" s="1716">
        <f>ROUND(SUM(I94:I100),3)</f>
        <v>-252.983</v>
      </c>
      <c r="J101" s="135"/>
      <c r="K101" s="1716">
        <f>ROUND(SUM(K94:K100),3)</f>
        <v>9647.2999999999993</v>
      </c>
      <c r="L101" s="1270"/>
      <c r="M101" s="1931"/>
    </row>
    <row r="102" spans="1:15" ht="12" customHeight="1">
      <c r="A102" s="135"/>
      <c r="B102" s="308"/>
      <c r="C102" s="308"/>
      <c r="D102" s="308"/>
      <c r="E102" s="308"/>
      <c r="F102" s="308"/>
      <c r="G102" s="308"/>
      <c r="H102" s="308"/>
      <c r="I102" s="308"/>
      <c r="J102" s="308"/>
      <c r="K102" s="308"/>
      <c r="L102" s="1270"/>
      <c r="M102" s="1931"/>
    </row>
    <row r="103" spans="1:15">
      <c r="A103" s="827" t="s">
        <v>696</v>
      </c>
      <c r="B103" s="308"/>
      <c r="C103" s="1717">
        <f>C101+C91</f>
        <v>21208.548000000003</v>
      </c>
      <c r="D103" s="135"/>
      <c r="E103" s="1717">
        <f>E101+E91</f>
        <v>11671.771999999999</v>
      </c>
      <c r="F103" s="135"/>
      <c r="G103" s="1717">
        <f>G101+G91</f>
        <v>9213.1260000000002</v>
      </c>
      <c r="H103" s="135"/>
      <c r="I103" s="1717">
        <f>I101+I91</f>
        <v>-32.312000000000012</v>
      </c>
      <c r="J103" s="135"/>
      <c r="K103" s="1717">
        <f>K91+K101</f>
        <v>23634.881999999998</v>
      </c>
      <c r="L103" s="1270"/>
      <c r="M103" s="1931" t="s">
        <v>103</v>
      </c>
    </row>
    <row r="104" spans="1:15" ht="10.5" customHeight="1">
      <c r="A104" s="828"/>
      <c r="B104" s="308"/>
      <c r="C104" s="308"/>
      <c r="D104" s="308"/>
      <c r="E104" s="308"/>
      <c r="F104" s="308"/>
      <c r="G104" s="308"/>
      <c r="H104" s="308"/>
      <c r="I104" s="308"/>
      <c r="J104" s="308"/>
      <c r="K104" s="308"/>
      <c r="L104" s="1270"/>
      <c r="M104" s="1931"/>
    </row>
    <row r="105" spans="1:15" ht="16">
      <c r="A105" s="132" t="s">
        <v>540</v>
      </c>
      <c r="B105" s="308"/>
      <c r="C105" s="308"/>
      <c r="D105" s="308"/>
      <c r="E105" s="1713"/>
      <c r="F105" s="1713"/>
      <c r="G105" s="1713"/>
      <c r="H105" s="1713"/>
      <c r="I105" s="1713"/>
      <c r="J105" s="133"/>
      <c r="K105" s="1713"/>
      <c r="L105" s="1270"/>
      <c r="M105" s="1931"/>
    </row>
    <row r="106" spans="1:15">
      <c r="A106" s="308" t="s">
        <v>697</v>
      </c>
      <c r="B106" s="308"/>
      <c r="C106" s="1710">
        <v>0</v>
      </c>
      <c r="D106" s="307"/>
      <c r="E106" s="1710">
        <v>0</v>
      </c>
      <c r="F106" s="307"/>
      <c r="G106" s="1710">
        <v>0</v>
      </c>
      <c r="H106" s="307"/>
      <c r="I106" s="1710">
        <v>0</v>
      </c>
      <c r="J106" s="307"/>
      <c r="K106" s="1711">
        <f t="shared" ref="K106:K111" si="6">ROUND(SUM(C106)+SUM(E106)-SUM(G106)+SUM(I106),3)</f>
        <v>0</v>
      </c>
      <c r="L106" s="1270"/>
      <c r="M106" s="1931"/>
    </row>
    <row r="107" spans="1:15">
      <c r="A107" s="308" t="s">
        <v>698</v>
      </c>
      <c r="B107" s="308"/>
      <c r="C107" s="1710">
        <v>103.753</v>
      </c>
      <c r="D107" s="307"/>
      <c r="E107" s="1710">
        <v>73.592999999999989</v>
      </c>
      <c r="F107" s="307"/>
      <c r="G107" s="1710">
        <v>0</v>
      </c>
      <c r="H107" s="307"/>
      <c r="I107" s="1710">
        <v>-20.736000000000001</v>
      </c>
      <c r="J107" s="307"/>
      <c r="K107" s="1711">
        <f>ROUND(SUM(C107)+SUM(E107)-SUM(G107)+SUM(I107),3)</f>
        <v>156.61000000000001</v>
      </c>
      <c r="L107" s="1270"/>
      <c r="M107" s="1931"/>
    </row>
    <row r="108" spans="1:15">
      <c r="A108" s="308" t="s">
        <v>699</v>
      </c>
      <c r="B108" s="308"/>
      <c r="C108" s="1710">
        <v>0</v>
      </c>
      <c r="D108" s="307"/>
      <c r="E108" s="1710">
        <v>6081.3050000000003</v>
      </c>
      <c r="F108" s="307"/>
      <c r="G108" s="1710">
        <v>1.573</v>
      </c>
      <c r="H108" s="307"/>
      <c r="I108" s="1710">
        <v>-5976.2060000000001</v>
      </c>
      <c r="J108" s="307"/>
      <c r="K108" s="1711">
        <f t="shared" si="6"/>
        <v>103.526</v>
      </c>
      <c r="L108" s="1270"/>
      <c r="M108" s="1931"/>
    </row>
    <row r="109" spans="1:15">
      <c r="A109" s="308" t="s">
        <v>700</v>
      </c>
      <c r="B109" s="308"/>
      <c r="C109" s="1710">
        <v>0</v>
      </c>
      <c r="D109" s="307"/>
      <c r="E109" s="1710">
        <v>0</v>
      </c>
      <c r="F109" s="307"/>
      <c r="G109" s="1710">
        <v>0</v>
      </c>
      <c r="H109" s="307"/>
      <c r="I109" s="1710">
        <v>0</v>
      </c>
      <c r="J109" s="307"/>
      <c r="K109" s="1711">
        <f t="shared" si="6"/>
        <v>0</v>
      </c>
      <c r="L109" s="1270"/>
      <c r="M109" s="1931"/>
    </row>
    <row r="110" spans="1:15">
      <c r="A110" s="308" t="s">
        <v>701</v>
      </c>
      <c r="B110" s="308"/>
      <c r="C110" s="1710">
        <v>0.94899999999999995</v>
      </c>
      <c r="D110" s="307"/>
      <c r="E110" s="1710">
        <v>9.9759999999999991</v>
      </c>
      <c r="F110" s="307"/>
      <c r="G110" s="1710">
        <v>0</v>
      </c>
      <c r="H110" s="307"/>
      <c r="I110" s="1710">
        <v>-10.026999999999999</v>
      </c>
      <c r="J110" s="307"/>
      <c r="K110" s="1711">
        <f t="shared" si="6"/>
        <v>0.89800000000000002</v>
      </c>
      <c r="L110" s="1270"/>
      <c r="M110" s="1931"/>
    </row>
    <row r="111" spans="1:15">
      <c r="A111" s="308" t="s">
        <v>702</v>
      </c>
      <c r="B111" s="308"/>
      <c r="C111" s="1710">
        <v>0</v>
      </c>
      <c r="D111" s="307"/>
      <c r="E111" s="1710">
        <v>118.575</v>
      </c>
      <c r="F111" s="307"/>
      <c r="G111" s="1710">
        <v>0</v>
      </c>
      <c r="H111" s="307"/>
      <c r="I111" s="1710">
        <v>-117.36799999999999</v>
      </c>
      <c r="J111" s="307"/>
      <c r="K111" s="1711">
        <f t="shared" si="6"/>
        <v>1.2070000000000001</v>
      </c>
      <c r="L111" s="1270"/>
      <c r="M111" s="1931" t="s">
        <v>103</v>
      </c>
      <c r="N111" s="311" t="s">
        <v>103</v>
      </c>
    </row>
    <row r="112" spans="1:15">
      <c r="A112" s="135" t="s">
        <v>703</v>
      </c>
      <c r="B112" s="829"/>
      <c r="C112" s="1716">
        <f>ROUND(SUM(C106:C111),3)</f>
        <v>104.702</v>
      </c>
      <c r="D112" s="136"/>
      <c r="E112" s="1716">
        <f>ROUND(SUM(E106:E111),3)</f>
        <v>6283.4489999999996</v>
      </c>
      <c r="F112" s="136"/>
      <c r="G112" s="1716">
        <f>ROUND(SUM(G106:G111),3)</f>
        <v>1.573</v>
      </c>
      <c r="H112" s="136"/>
      <c r="I112" s="1716">
        <f>ROUND(SUM(I106:I111),3)</f>
        <v>-6124.3370000000004</v>
      </c>
      <c r="J112" s="136"/>
      <c r="K112" s="1716">
        <f>ROUND(SUM(K106:K111),3)</f>
        <v>262.24099999999999</v>
      </c>
      <c r="L112" s="1270"/>
      <c r="M112" s="1931" t="s">
        <v>103</v>
      </c>
      <c r="N112" s="311" t="s">
        <v>103</v>
      </c>
      <c r="O112" s="1931" t="s">
        <v>103</v>
      </c>
    </row>
    <row r="113" spans="1:14">
      <c r="A113" s="135"/>
      <c r="B113" s="829"/>
      <c r="C113" s="135"/>
      <c r="D113" s="136"/>
      <c r="E113" s="135"/>
      <c r="F113" s="136"/>
      <c r="G113" s="135"/>
      <c r="H113" s="136"/>
      <c r="I113" s="135"/>
      <c r="J113" s="136"/>
      <c r="K113" s="135"/>
      <c r="L113" s="1270"/>
      <c r="M113" s="826" t="s">
        <v>103</v>
      </c>
      <c r="N113" s="311" t="s">
        <v>103</v>
      </c>
    </row>
    <row r="114" spans="1:14">
      <c r="A114" s="308"/>
      <c r="B114" s="308"/>
      <c r="C114" s="308"/>
      <c r="D114" s="308"/>
      <c r="E114" s="308"/>
      <c r="F114" s="308"/>
      <c r="G114" s="308"/>
      <c r="H114" s="308"/>
      <c r="I114" s="308"/>
      <c r="J114" s="308"/>
      <c r="K114" s="308" t="s">
        <v>103</v>
      </c>
      <c r="L114" s="1270"/>
      <c r="M114" s="1931"/>
    </row>
    <row r="115" spans="1:14">
      <c r="A115" s="830" t="s">
        <v>704</v>
      </c>
      <c r="B115" s="308"/>
      <c r="K115" s="310"/>
      <c r="L115" s="1270"/>
      <c r="M115" s="1931"/>
    </row>
    <row r="116" spans="1:14">
      <c r="A116" s="308" t="s">
        <v>705</v>
      </c>
      <c r="B116" s="307"/>
      <c r="C116" s="1710">
        <v>0</v>
      </c>
      <c r="D116" s="307"/>
      <c r="E116" s="1710">
        <v>0.55800000000000005</v>
      </c>
      <c r="F116" s="307"/>
      <c r="G116" s="1710">
        <v>441.96800000000002</v>
      </c>
      <c r="H116" s="307"/>
      <c r="I116" s="1710">
        <v>441.41</v>
      </c>
      <c r="J116" s="307"/>
      <c r="K116" s="1711">
        <f>ROUND(SUM(C116)+SUM(E116)-SUM(G116)+SUM(I116),3)</f>
        <v>0</v>
      </c>
      <c r="L116" s="1270"/>
      <c r="M116" s="1931"/>
    </row>
    <row r="117" spans="1:14">
      <c r="A117" s="308" t="s">
        <v>706</v>
      </c>
      <c r="B117" s="309"/>
      <c r="C117" s="1710">
        <v>-527.18399999999997</v>
      </c>
      <c r="D117" s="307"/>
      <c r="E117" s="1710">
        <v>111.74</v>
      </c>
      <c r="F117" s="307"/>
      <c r="G117" s="1710">
        <v>61.798000000000002</v>
      </c>
      <c r="H117" s="307"/>
      <c r="I117" s="1710">
        <v>0</v>
      </c>
      <c r="J117" s="1971"/>
      <c r="K117" s="1718">
        <f t="shared" ref="K117:K131" si="7">ROUND(SUM(C117)+SUM(E117)-SUM(G117)+SUM(I117),3)</f>
        <v>-477.24200000000002</v>
      </c>
      <c r="L117" s="1270"/>
      <c r="M117" s="1931"/>
    </row>
    <row r="118" spans="1:14">
      <c r="A118" s="308" t="s">
        <v>707</v>
      </c>
      <c r="B118" s="308"/>
      <c r="C118" s="1710">
        <v>155.98099999999999</v>
      </c>
      <c r="D118" s="307"/>
      <c r="E118" s="1710">
        <v>0.48799999999999999</v>
      </c>
      <c r="F118" s="307"/>
      <c r="G118" s="1710">
        <v>2.6850000000000001</v>
      </c>
      <c r="H118" s="307"/>
      <c r="I118" s="1710">
        <v>0</v>
      </c>
      <c r="J118" s="307"/>
      <c r="K118" s="1711">
        <f t="shared" si="7"/>
        <v>153.78399999999999</v>
      </c>
      <c r="L118" s="1270"/>
      <c r="M118" s="1931"/>
    </row>
    <row r="119" spans="1:14">
      <c r="A119" s="308" t="s">
        <v>708</v>
      </c>
      <c r="B119" s="308"/>
      <c r="C119" s="1710">
        <v>16.673999999999999</v>
      </c>
      <c r="D119" s="307"/>
      <c r="E119" s="1710">
        <v>0.13600000000000001</v>
      </c>
      <c r="F119" s="307"/>
      <c r="G119" s="1710">
        <v>0</v>
      </c>
      <c r="H119" s="307"/>
      <c r="I119" s="1710">
        <v>0</v>
      </c>
      <c r="J119" s="307"/>
      <c r="K119" s="1711">
        <f t="shared" si="7"/>
        <v>16.809999999999999</v>
      </c>
      <c r="L119" s="1270"/>
      <c r="M119" s="1931"/>
    </row>
    <row r="120" spans="1:14">
      <c r="A120" s="308" t="s">
        <v>709</v>
      </c>
      <c r="B120" s="308"/>
      <c r="C120" s="1710">
        <v>-150.16300000000001</v>
      </c>
      <c r="D120" s="307"/>
      <c r="E120" s="1710">
        <v>1E-3</v>
      </c>
      <c r="F120" s="307"/>
      <c r="G120" s="1710">
        <v>6.3490000000000002</v>
      </c>
      <c r="H120" s="307"/>
      <c r="I120" s="1710">
        <v>0</v>
      </c>
      <c r="J120" s="307"/>
      <c r="K120" s="1711">
        <f t="shared" si="7"/>
        <v>-156.511</v>
      </c>
      <c r="L120" s="1270"/>
      <c r="M120" s="1931"/>
    </row>
    <row r="121" spans="1:14">
      <c r="A121" s="308" t="s">
        <v>710</v>
      </c>
      <c r="B121" s="308"/>
      <c r="C121" s="1710">
        <v>1.7999999999999999E-2</v>
      </c>
      <c r="D121" s="307"/>
      <c r="E121" s="1710">
        <v>0</v>
      </c>
      <c r="F121" s="307"/>
      <c r="G121" s="1710">
        <v>0</v>
      </c>
      <c r="H121" s="307"/>
      <c r="I121" s="1710">
        <v>0</v>
      </c>
      <c r="J121" s="307"/>
      <c r="K121" s="1711">
        <f t="shared" si="7"/>
        <v>1.7999999999999999E-2</v>
      </c>
      <c r="L121" s="1270"/>
      <c r="M121" s="1931"/>
    </row>
    <row r="122" spans="1:14">
      <c r="A122" s="308" t="s">
        <v>711</v>
      </c>
      <c r="B122" s="308"/>
      <c r="C122" s="1710">
        <v>629.40200000000004</v>
      </c>
      <c r="D122" s="307"/>
      <c r="E122" s="1710">
        <v>3.669</v>
      </c>
      <c r="F122" s="307"/>
      <c r="G122" s="1710">
        <v>10.656000000000001</v>
      </c>
      <c r="H122" s="307"/>
      <c r="I122" s="1710">
        <v>0</v>
      </c>
      <c r="J122" s="307"/>
      <c r="K122" s="1711">
        <f t="shared" si="7"/>
        <v>622.41499999999996</v>
      </c>
      <c r="L122" s="1270"/>
      <c r="M122" s="1931"/>
    </row>
    <row r="123" spans="1:14">
      <c r="A123" s="308" t="s">
        <v>712</v>
      </c>
      <c r="B123" s="308"/>
      <c r="C123" s="1710">
        <v>0</v>
      </c>
      <c r="D123" s="307"/>
      <c r="E123" s="1710">
        <v>0</v>
      </c>
      <c r="F123" s="307"/>
      <c r="G123" s="1710">
        <v>0</v>
      </c>
      <c r="H123" s="307"/>
      <c r="I123" s="1710">
        <v>0</v>
      </c>
      <c r="J123" s="307"/>
      <c r="K123" s="1711">
        <f t="shared" si="7"/>
        <v>0</v>
      </c>
      <c r="L123" s="1270"/>
      <c r="M123" s="1931"/>
    </row>
    <row r="124" spans="1:14">
      <c r="A124" s="308" t="s">
        <v>713</v>
      </c>
      <c r="B124" s="308"/>
      <c r="C124" s="1710">
        <v>0</v>
      </c>
      <c r="D124" s="307"/>
      <c r="E124" s="1710">
        <v>0</v>
      </c>
      <c r="F124" s="307"/>
      <c r="G124" s="1710">
        <v>0</v>
      </c>
      <c r="H124" s="307"/>
      <c r="I124" s="1710">
        <v>0</v>
      </c>
      <c r="J124" s="307"/>
      <c r="K124" s="1711">
        <f t="shared" si="7"/>
        <v>0</v>
      </c>
      <c r="L124" s="1270"/>
      <c r="M124" s="1931"/>
    </row>
    <row r="125" spans="1:14">
      <c r="A125" s="308" t="s">
        <v>714</v>
      </c>
      <c r="B125" s="308"/>
      <c r="C125" s="1710">
        <v>0</v>
      </c>
      <c r="D125" s="307"/>
      <c r="E125" s="1710">
        <v>0</v>
      </c>
      <c r="F125" s="307"/>
      <c r="G125" s="1710">
        <v>0</v>
      </c>
      <c r="H125" s="307"/>
      <c r="I125" s="1710">
        <v>0</v>
      </c>
      <c r="J125" s="307"/>
      <c r="K125" s="1711">
        <f t="shared" si="7"/>
        <v>0</v>
      </c>
      <c r="L125" s="1270"/>
      <c r="M125" s="1931"/>
    </row>
    <row r="126" spans="1:14">
      <c r="A126" s="308" t="s">
        <v>715</v>
      </c>
      <c r="B126" s="308"/>
      <c r="C126" s="1710">
        <v>0</v>
      </c>
      <c r="D126" s="307"/>
      <c r="E126" s="1710">
        <v>0</v>
      </c>
      <c r="F126" s="307"/>
      <c r="G126" s="1710">
        <v>0</v>
      </c>
      <c r="H126" s="307"/>
      <c r="I126" s="1710">
        <v>0</v>
      </c>
      <c r="J126" s="307"/>
      <c r="K126" s="1711">
        <f t="shared" si="7"/>
        <v>0</v>
      </c>
      <c r="L126" s="1270"/>
      <c r="M126" s="1931"/>
    </row>
    <row r="127" spans="1:14">
      <c r="A127" s="308" t="s">
        <v>716</v>
      </c>
      <c r="B127" s="308"/>
      <c r="C127" s="1710">
        <v>0</v>
      </c>
      <c r="D127" s="307"/>
      <c r="E127" s="1710">
        <v>0</v>
      </c>
      <c r="F127" s="307"/>
      <c r="G127" s="1710">
        <v>0</v>
      </c>
      <c r="H127" s="307"/>
      <c r="I127" s="1710">
        <v>0</v>
      </c>
      <c r="J127" s="307"/>
      <c r="K127" s="1711">
        <f t="shared" si="7"/>
        <v>0</v>
      </c>
      <c r="L127" s="1270"/>
      <c r="M127" s="1931"/>
    </row>
    <row r="128" spans="1:14">
      <c r="A128" s="308" t="s">
        <v>717</v>
      </c>
      <c r="B128" s="308"/>
      <c r="C128" s="1710">
        <v>0</v>
      </c>
      <c r="D128" s="307"/>
      <c r="E128" s="1710">
        <v>0</v>
      </c>
      <c r="F128" s="307"/>
      <c r="G128" s="1710">
        <v>0</v>
      </c>
      <c r="H128" s="307"/>
      <c r="I128" s="1710">
        <v>0</v>
      </c>
      <c r="J128" s="307"/>
      <c r="K128" s="1711">
        <f t="shared" si="7"/>
        <v>0</v>
      </c>
      <c r="L128" s="1270"/>
      <c r="M128" s="1931"/>
    </row>
    <row r="129" spans="1:13">
      <c r="A129" s="308" t="s">
        <v>718</v>
      </c>
      <c r="B129" s="308"/>
      <c r="C129" s="1710">
        <v>0</v>
      </c>
      <c r="D129" s="307"/>
      <c r="E129" s="1710">
        <v>0</v>
      </c>
      <c r="F129" s="307"/>
      <c r="G129" s="1710">
        <v>0</v>
      </c>
      <c r="H129" s="307"/>
      <c r="I129" s="1710">
        <v>0</v>
      </c>
      <c r="J129" s="307"/>
      <c r="K129" s="1711">
        <f t="shared" si="7"/>
        <v>0</v>
      </c>
      <c r="L129" s="1270"/>
      <c r="M129" s="1931"/>
    </row>
    <row r="130" spans="1:13">
      <c r="A130" s="308" t="s">
        <v>719</v>
      </c>
      <c r="B130" s="308"/>
      <c r="C130" s="1710">
        <v>0</v>
      </c>
      <c r="D130" s="307"/>
      <c r="E130" s="1710">
        <v>0</v>
      </c>
      <c r="F130" s="307"/>
      <c r="G130" s="1710">
        <v>0</v>
      </c>
      <c r="H130" s="307"/>
      <c r="I130" s="1710">
        <v>0</v>
      </c>
      <c r="J130" s="307"/>
      <c r="K130" s="1711">
        <f t="shared" si="7"/>
        <v>0</v>
      </c>
      <c r="L130" s="1270"/>
      <c r="M130" s="1931"/>
    </row>
    <row r="131" spans="1:13">
      <c r="A131" s="308" t="s">
        <v>720</v>
      </c>
      <c r="B131" s="308"/>
      <c r="C131" s="1710">
        <v>0</v>
      </c>
      <c r="D131" s="307"/>
      <c r="E131" s="1710">
        <v>0</v>
      </c>
      <c r="F131" s="307"/>
      <c r="G131" s="1710">
        <v>0</v>
      </c>
      <c r="H131" s="307"/>
      <c r="I131" s="1710">
        <v>0</v>
      </c>
      <c r="J131" s="307"/>
      <c r="K131" s="1711">
        <f t="shared" si="7"/>
        <v>0</v>
      </c>
      <c r="L131" s="1270"/>
      <c r="M131" s="1931"/>
    </row>
    <row r="132" spans="1:13">
      <c r="A132" s="308" t="s">
        <v>721</v>
      </c>
      <c r="B132" s="308"/>
      <c r="C132" s="1935"/>
      <c r="D132"/>
      <c r="E132" s="1711"/>
      <c r="F132" s="307"/>
      <c r="G132" s="1711"/>
      <c r="H132" s="307"/>
      <c r="I132" s="1711"/>
      <c r="J132" s="308"/>
      <c r="K132" s="1715"/>
      <c r="L132" s="1270"/>
      <c r="M132" s="1931"/>
    </row>
    <row r="133" spans="1:13">
      <c r="A133" s="308" t="s">
        <v>722</v>
      </c>
      <c r="B133" s="308"/>
      <c r="C133" s="1710">
        <v>0</v>
      </c>
      <c r="D133" s="307"/>
      <c r="E133" s="1710">
        <v>0</v>
      </c>
      <c r="F133" s="307"/>
      <c r="G133" s="1710">
        <v>0</v>
      </c>
      <c r="H133" s="307"/>
      <c r="I133" s="1710">
        <v>0</v>
      </c>
      <c r="J133" s="307"/>
      <c r="K133" s="1711">
        <f t="shared" ref="K133:K154" si="8">ROUND(SUM(C133)+SUM(E133)-SUM(G133)+SUM(I133),3)</f>
        <v>0</v>
      </c>
      <c r="L133" s="1270"/>
      <c r="M133" s="1931"/>
    </row>
    <row r="134" spans="1:13">
      <c r="A134" s="308" t="s">
        <v>723</v>
      </c>
      <c r="B134" s="308"/>
      <c r="C134" s="1710">
        <v>0</v>
      </c>
      <c r="D134" s="307"/>
      <c r="E134" s="1710">
        <v>0</v>
      </c>
      <c r="F134" s="307"/>
      <c r="G134" s="1710">
        <v>0</v>
      </c>
      <c r="H134" s="307"/>
      <c r="I134" s="1710">
        <v>0</v>
      </c>
      <c r="J134" s="307"/>
      <c r="K134" s="1711">
        <f t="shared" si="8"/>
        <v>0</v>
      </c>
      <c r="L134" s="1270"/>
      <c r="M134" s="1931"/>
    </row>
    <row r="135" spans="1:13">
      <c r="A135" s="308" t="s">
        <v>724</v>
      </c>
      <c r="B135" s="308"/>
      <c r="C135" s="1710">
        <v>0</v>
      </c>
      <c r="D135" s="307"/>
      <c r="E135" s="1710">
        <v>0</v>
      </c>
      <c r="F135" s="307"/>
      <c r="G135" s="1710">
        <v>0</v>
      </c>
      <c r="H135" s="307"/>
      <c r="I135" s="1710">
        <v>0</v>
      </c>
      <c r="J135" s="307"/>
      <c r="K135" s="1711">
        <f t="shared" si="8"/>
        <v>0</v>
      </c>
      <c r="L135" s="1270"/>
      <c r="M135" s="1931"/>
    </row>
    <row r="136" spans="1:13">
      <c r="A136" s="308" t="s">
        <v>725</v>
      </c>
      <c r="B136" s="308"/>
      <c r="C136" s="1710">
        <v>0</v>
      </c>
      <c r="D136" s="307"/>
      <c r="E136" s="1710">
        <v>0</v>
      </c>
      <c r="F136" s="307"/>
      <c r="G136" s="1710">
        <v>0</v>
      </c>
      <c r="H136" s="307"/>
      <c r="I136" s="1710">
        <v>0</v>
      </c>
      <c r="J136" s="307"/>
      <c r="K136" s="1711">
        <f t="shared" si="8"/>
        <v>0</v>
      </c>
      <c r="L136" s="1270"/>
      <c r="M136" s="1931"/>
    </row>
    <row r="137" spans="1:13">
      <c r="A137" s="308" t="s">
        <v>726</v>
      </c>
      <c r="B137" s="308"/>
      <c r="C137" s="1710">
        <v>0</v>
      </c>
      <c r="D137" s="307"/>
      <c r="E137" s="1710">
        <v>0</v>
      </c>
      <c r="F137" s="307"/>
      <c r="G137" s="1710">
        <v>0</v>
      </c>
      <c r="H137" s="307"/>
      <c r="I137" s="1710">
        <v>0</v>
      </c>
      <c r="J137" s="307"/>
      <c r="K137" s="1711">
        <f>ROUND(SUM(C137)+SUM(E137)-SUM(G137)+SUM(I137),3)</f>
        <v>0</v>
      </c>
      <c r="L137" s="1270"/>
      <c r="M137" s="1931"/>
    </row>
    <row r="138" spans="1:13">
      <c r="A138" s="308" t="s">
        <v>727</v>
      </c>
      <c r="B138" s="308"/>
      <c r="C138" s="1710">
        <v>0</v>
      </c>
      <c r="D138" s="307"/>
      <c r="E138" s="1710">
        <v>0</v>
      </c>
      <c r="F138" s="307"/>
      <c r="G138" s="1710">
        <v>0</v>
      </c>
      <c r="H138" s="307"/>
      <c r="I138" s="1710">
        <v>0</v>
      </c>
      <c r="J138" s="307"/>
      <c r="K138" s="1711">
        <f t="shared" si="8"/>
        <v>0</v>
      </c>
      <c r="L138" s="1270"/>
      <c r="M138" s="1931"/>
    </row>
    <row r="139" spans="1:13">
      <c r="A139" s="308" t="s">
        <v>728</v>
      </c>
      <c r="B139" s="308"/>
      <c r="C139" s="1710">
        <v>0</v>
      </c>
      <c r="D139" s="307"/>
      <c r="E139" s="1710">
        <v>0</v>
      </c>
      <c r="F139" s="307"/>
      <c r="G139" s="1710">
        <v>0</v>
      </c>
      <c r="H139" s="307"/>
      <c r="I139" s="1710">
        <v>0</v>
      </c>
      <c r="J139" s="307"/>
      <c r="K139" s="1711">
        <f t="shared" si="8"/>
        <v>0</v>
      </c>
      <c r="L139" s="1270"/>
      <c r="M139" s="1931"/>
    </row>
    <row r="140" spans="1:13">
      <c r="A140" s="308" t="s">
        <v>729</v>
      </c>
      <c r="B140" s="308"/>
      <c r="C140" s="1710">
        <v>-276.714</v>
      </c>
      <c r="D140" s="307"/>
      <c r="E140" s="1710">
        <v>87.728999999999999</v>
      </c>
      <c r="F140" s="307"/>
      <c r="G140" s="1710">
        <v>77.164000000000001</v>
      </c>
      <c r="H140" s="307"/>
      <c r="I140" s="1710">
        <v>0</v>
      </c>
      <c r="J140" s="307"/>
      <c r="K140" s="1718">
        <f t="shared" si="8"/>
        <v>-266.149</v>
      </c>
      <c r="L140" s="1270"/>
      <c r="M140" s="1931"/>
    </row>
    <row r="141" spans="1:13">
      <c r="A141" s="308" t="s">
        <v>730</v>
      </c>
      <c r="B141" s="308"/>
      <c r="C141" s="1710">
        <v>1.28</v>
      </c>
      <c r="D141" s="307"/>
      <c r="E141" s="1710">
        <v>4.0000000000000001E-3</v>
      </c>
      <c r="F141" s="307"/>
      <c r="G141" s="1710">
        <v>0</v>
      </c>
      <c r="H141" s="307"/>
      <c r="I141" s="1710">
        <v>0</v>
      </c>
      <c r="J141" s="307"/>
      <c r="K141" s="1711">
        <f t="shared" si="8"/>
        <v>1.284</v>
      </c>
      <c r="L141" s="1270"/>
      <c r="M141" s="1931"/>
    </row>
    <row r="142" spans="1:13">
      <c r="A142" s="309" t="s">
        <v>731</v>
      </c>
      <c r="B142" s="308"/>
      <c r="C142" s="1710">
        <v>-31.254000000000001</v>
      </c>
      <c r="D142" s="307"/>
      <c r="E142" s="1710">
        <v>1.401</v>
      </c>
      <c r="F142" s="307"/>
      <c r="G142" s="1710">
        <v>1.599</v>
      </c>
      <c r="H142" s="307"/>
      <c r="I142" s="1710">
        <v>-0.437</v>
      </c>
      <c r="J142" s="307"/>
      <c r="K142" s="1711">
        <f t="shared" si="8"/>
        <v>-31.888999999999999</v>
      </c>
      <c r="L142" s="1270"/>
      <c r="M142" s="1931"/>
    </row>
    <row r="143" spans="1:13">
      <c r="A143" s="308" t="s">
        <v>732</v>
      </c>
      <c r="B143" s="308"/>
      <c r="C143" s="1710">
        <v>0.63800000000000001</v>
      </c>
      <c r="D143" s="307"/>
      <c r="E143" s="1710">
        <v>2E-3</v>
      </c>
      <c r="F143" s="307"/>
      <c r="G143" s="1710">
        <v>0</v>
      </c>
      <c r="H143" s="307"/>
      <c r="I143" s="1710">
        <v>0</v>
      </c>
      <c r="J143" s="307"/>
      <c r="K143" s="1711">
        <f t="shared" si="8"/>
        <v>0.64</v>
      </c>
      <c r="L143" s="1270"/>
      <c r="M143" s="1931"/>
    </row>
    <row r="144" spans="1:13">
      <c r="A144" s="308" t="s">
        <v>733</v>
      </c>
      <c r="B144" s="308"/>
      <c r="C144" s="1710">
        <v>-30.992000000000001</v>
      </c>
      <c r="D144" s="307"/>
      <c r="E144" s="1710">
        <v>0</v>
      </c>
      <c r="F144" s="307"/>
      <c r="G144" s="1710">
        <v>2.573</v>
      </c>
      <c r="H144" s="307"/>
      <c r="I144" s="1710">
        <v>0</v>
      </c>
      <c r="J144" s="307"/>
      <c r="K144" s="1711">
        <f t="shared" si="8"/>
        <v>-33.564999999999998</v>
      </c>
      <c r="L144" s="1270"/>
      <c r="M144" s="1931"/>
    </row>
    <row r="145" spans="1:13">
      <c r="A145" s="308" t="s">
        <v>734</v>
      </c>
      <c r="B145" s="308"/>
      <c r="C145" s="1710">
        <v>-12.942</v>
      </c>
      <c r="D145" s="307"/>
      <c r="E145" s="1710">
        <v>0</v>
      </c>
      <c r="F145" s="307"/>
      <c r="G145" s="1710">
        <v>0</v>
      </c>
      <c r="H145" s="307"/>
      <c r="I145" s="1710">
        <v>0</v>
      </c>
      <c r="J145" s="307"/>
      <c r="K145" s="1711">
        <f t="shared" si="8"/>
        <v>-12.942</v>
      </c>
      <c r="L145" s="1270"/>
      <c r="M145" s="1931"/>
    </row>
    <row r="146" spans="1:13">
      <c r="A146" s="308" t="s">
        <v>735</v>
      </c>
      <c r="B146" s="308"/>
      <c r="C146" s="1710">
        <v>-1709.058</v>
      </c>
      <c r="D146" s="307"/>
      <c r="E146" s="1710">
        <v>0</v>
      </c>
      <c r="F146" s="307"/>
      <c r="G146" s="1710">
        <v>89.802999999999997</v>
      </c>
      <c r="H146" s="307"/>
      <c r="I146" s="1710">
        <v>0</v>
      </c>
      <c r="J146" s="307"/>
      <c r="K146" s="1711">
        <f t="shared" si="8"/>
        <v>-1798.8610000000001</v>
      </c>
      <c r="L146" s="1270"/>
      <c r="M146" s="1931"/>
    </row>
    <row r="147" spans="1:13">
      <c r="A147" s="308" t="s">
        <v>736</v>
      </c>
      <c r="B147" s="308"/>
      <c r="C147" s="1710">
        <v>50.787999999999997</v>
      </c>
      <c r="D147" s="307"/>
      <c r="E147" s="1710">
        <v>0.35599999999999998</v>
      </c>
      <c r="F147" s="307"/>
      <c r="G147" s="1710">
        <v>7.0000000000000001E-3</v>
      </c>
      <c r="H147" s="307"/>
      <c r="I147" s="1710">
        <v>0</v>
      </c>
      <c r="J147" s="307"/>
      <c r="K147" s="1711">
        <f t="shared" si="8"/>
        <v>51.137</v>
      </c>
      <c r="L147" s="1270"/>
      <c r="M147" s="1931"/>
    </row>
    <row r="148" spans="1:13">
      <c r="A148" s="308" t="s">
        <v>737</v>
      </c>
      <c r="B148" s="308"/>
      <c r="C148" s="1710">
        <v>-12.016</v>
      </c>
      <c r="D148" s="307"/>
      <c r="E148" s="1710">
        <v>0</v>
      </c>
      <c r="F148" s="307"/>
      <c r="G148" s="1710">
        <v>0</v>
      </c>
      <c r="H148" s="307"/>
      <c r="I148" s="1710">
        <v>0</v>
      </c>
      <c r="J148" s="307"/>
      <c r="K148" s="1711">
        <f t="shared" si="8"/>
        <v>-12.016</v>
      </c>
      <c r="L148" s="1270"/>
      <c r="M148" s="1931"/>
    </row>
    <row r="149" spans="1:13">
      <c r="A149" s="308" t="s">
        <v>738</v>
      </c>
      <c r="B149" s="308"/>
      <c r="C149" s="1710">
        <v>-133.107</v>
      </c>
      <c r="D149" s="307"/>
      <c r="E149" s="1710">
        <v>2.278</v>
      </c>
      <c r="F149" s="307"/>
      <c r="G149" s="1710">
        <v>3.0990000000000002</v>
      </c>
      <c r="H149" s="307"/>
      <c r="I149" s="1710">
        <v>0.96199999999999997</v>
      </c>
      <c r="J149" s="307"/>
      <c r="K149" s="1711">
        <f t="shared" si="8"/>
        <v>-132.96600000000001</v>
      </c>
      <c r="L149" s="1270"/>
      <c r="M149" s="1931"/>
    </row>
    <row r="150" spans="1:13">
      <c r="A150" s="308" t="s">
        <v>739</v>
      </c>
      <c r="B150" s="308"/>
      <c r="C150" s="1710">
        <v>0.129</v>
      </c>
      <c r="D150" s="307"/>
      <c r="E150" s="1710">
        <v>0</v>
      </c>
      <c r="F150" s="307"/>
      <c r="G150" s="1710">
        <v>0</v>
      </c>
      <c r="H150" s="307"/>
      <c r="I150" s="1710">
        <v>0</v>
      </c>
      <c r="J150" s="307"/>
      <c r="K150" s="1711">
        <f t="shared" si="8"/>
        <v>0.129</v>
      </c>
      <c r="L150" s="1270"/>
      <c r="M150" s="1931"/>
    </row>
    <row r="151" spans="1:13">
      <c r="A151" s="308" t="s">
        <v>740</v>
      </c>
      <c r="B151" s="308"/>
      <c r="C151" s="1710">
        <v>-698.50699999999995</v>
      </c>
      <c r="D151" s="307"/>
      <c r="E151" s="1710">
        <v>3.69</v>
      </c>
      <c r="F151" s="307"/>
      <c r="G151" s="1710">
        <v>45.085999999999999</v>
      </c>
      <c r="H151" s="307"/>
      <c r="I151" s="1710">
        <v>0</v>
      </c>
      <c r="J151" s="307"/>
      <c r="K151" s="1711">
        <f t="shared" si="8"/>
        <v>-739.90300000000002</v>
      </c>
      <c r="L151" s="1270"/>
      <c r="M151" s="1931"/>
    </row>
    <row r="152" spans="1:13">
      <c r="A152" s="308" t="s">
        <v>741</v>
      </c>
      <c r="B152" s="308"/>
      <c r="C152" s="1710">
        <v>-86.224000000000004</v>
      </c>
      <c r="D152" s="307"/>
      <c r="E152" s="1710">
        <v>0</v>
      </c>
      <c r="F152" s="307"/>
      <c r="G152" s="1710">
        <v>11.63</v>
      </c>
      <c r="H152" s="307"/>
      <c r="I152" s="1710">
        <v>0</v>
      </c>
      <c r="J152" s="307"/>
      <c r="K152" s="1711">
        <f t="shared" si="8"/>
        <v>-97.853999999999999</v>
      </c>
      <c r="L152" s="1270"/>
      <c r="M152" s="1931"/>
    </row>
    <row r="153" spans="1:13">
      <c r="A153" s="308" t="s">
        <v>742</v>
      </c>
      <c r="B153" s="308"/>
      <c r="C153" s="1710">
        <v>221.22300000000001</v>
      </c>
      <c r="D153" s="307"/>
      <c r="E153" s="1710">
        <v>0.73799999999999999</v>
      </c>
      <c r="F153" s="307"/>
      <c r="G153" s="1710">
        <v>5.4050000000000002</v>
      </c>
      <c r="H153" s="307"/>
      <c r="I153" s="1710">
        <v>20.6</v>
      </c>
      <c r="J153" s="307"/>
      <c r="K153" s="1711">
        <f t="shared" si="8"/>
        <v>237.15600000000001</v>
      </c>
      <c r="L153" s="1270"/>
      <c r="M153" s="1931"/>
    </row>
    <row r="154" spans="1:13">
      <c r="A154" s="308" t="s">
        <v>743</v>
      </c>
      <c r="B154" s="308"/>
      <c r="C154" s="1710">
        <v>108.965</v>
      </c>
      <c r="D154" s="307"/>
      <c r="E154" s="1710">
        <v>0</v>
      </c>
      <c r="F154" s="307"/>
      <c r="G154" s="1710">
        <v>6.984</v>
      </c>
      <c r="H154" s="307"/>
      <c r="I154" s="1710">
        <v>0</v>
      </c>
      <c r="J154" s="307"/>
      <c r="K154" s="1711">
        <f t="shared" si="8"/>
        <v>101.98099999999999</v>
      </c>
      <c r="L154" s="1270"/>
      <c r="M154" s="1931"/>
    </row>
    <row r="155" spans="1:13">
      <c r="A155" s="135" t="s">
        <v>744</v>
      </c>
      <c r="B155" s="308"/>
      <c r="C155" s="1716">
        <f>ROUND(SUM(C116:C154),3)</f>
        <v>-2483.0630000000001</v>
      </c>
      <c r="D155" s="135"/>
      <c r="E155" s="1716">
        <f>ROUND(SUM(E116:E154),3)</f>
        <v>212.79</v>
      </c>
      <c r="F155" s="135"/>
      <c r="G155" s="1716">
        <f>ROUND(SUM(G116:G154),3)</f>
        <v>766.80600000000004</v>
      </c>
      <c r="H155" s="135"/>
      <c r="I155" s="1716">
        <f>ROUND(SUM(I116:I154),3)</f>
        <v>462.53500000000003</v>
      </c>
      <c r="J155" s="135"/>
      <c r="K155" s="1716">
        <f>ROUND(SUM(K116:K154),3)</f>
        <v>-2574.5439999999999</v>
      </c>
      <c r="L155" s="1270"/>
      <c r="M155" s="826"/>
    </row>
    <row r="156" spans="1:13">
      <c r="A156" s="135"/>
      <c r="B156" s="308"/>
      <c r="C156" s="308"/>
      <c r="D156" s="308"/>
      <c r="E156" s="1140"/>
      <c r="F156" s="1140"/>
      <c r="G156" s="1140"/>
      <c r="H156" s="1140"/>
      <c r="I156" s="1140"/>
      <c r="J156" s="308"/>
      <c r="K156" s="308"/>
      <c r="L156" s="1270"/>
      <c r="M156" s="1931"/>
    </row>
    <row r="157" spans="1:13" ht="16" thickBot="1">
      <c r="A157" s="135" t="s">
        <v>745</v>
      </c>
      <c r="B157" s="136"/>
      <c r="C157" s="1719">
        <f>ROUND(SUM(C23+C103+C112+C155),3)</f>
        <v>75007.789999999994</v>
      </c>
      <c r="D157" s="136"/>
      <c r="E157" s="1719">
        <f>ROUND(SUM(E23+E103+E112+E155),3)</f>
        <v>25817.55</v>
      </c>
      <c r="F157" s="1720"/>
      <c r="G157" s="1719">
        <f>ROUND(SUM(G23+G103+G112+G155),3)</f>
        <v>19606.548999999999</v>
      </c>
      <c r="H157" s="1720"/>
      <c r="I157" s="1719">
        <f>ROUND(SUM(I23+I103+I112+I155),3)</f>
        <v>-1.5669999999999999</v>
      </c>
      <c r="J157" s="136"/>
      <c r="K157" s="1719">
        <f>ROUND(SUM(K23+K103+K112+K155),3)</f>
        <v>81217.224000000002</v>
      </c>
      <c r="L157" s="1997"/>
      <c r="M157" s="1931" t="s">
        <v>103</v>
      </c>
    </row>
    <row r="158" spans="1:13" ht="16" thickTop="1">
      <c r="A158" s="308"/>
      <c r="B158" s="308"/>
      <c r="C158" s="308" t="s">
        <v>103</v>
      </c>
      <c r="D158" s="308"/>
      <c r="E158" s="308"/>
      <c r="F158" s="308"/>
      <c r="G158" s="308"/>
      <c r="H158" s="308"/>
      <c r="I158" s="308"/>
      <c r="J158" s="308"/>
      <c r="K158" s="308" t="s">
        <v>103</v>
      </c>
    </row>
    <row r="159" spans="1:13">
      <c r="A159" s="308"/>
      <c r="B159" s="308"/>
      <c r="C159" s="308" t="s">
        <v>103</v>
      </c>
      <c r="D159" s="308"/>
      <c r="E159" s="308"/>
      <c r="F159" s="308"/>
      <c r="G159" s="308"/>
      <c r="H159" s="308"/>
      <c r="I159" s="308"/>
      <c r="J159" s="308"/>
      <c r="K159" s="308"/>
    </row>
    <row r="160" spans="1:13">
      <c r="A160" s="134"/>
      <c r="B160" s="308"/>
      <c r="C160" s="308"/>
      <c r="D160" s="308"/>
      <c r="E160" s="1141" t="s">
        <v>103</v>
      </c>
      <c r="F160" s="308"/>
      <c r="G160" s="308" t="s">
        <v>103</v>
      </c>
      <c r="H160" s="308"/>
      <c r="I160" s="1140"/>
      <c r="J160" s="308"/>
      <c r="K160" s="879" t="s">
        <v>103</v>
      </c>
    </row>
    <row r="161" spans="1:11">
      <c r="A161" s="308" t="s">
        <v>103</v>
      </c>
      <c r="B161" s="308"/>
      <c r="C161" s="308"/>
      <c r="D161" s="308"/>
      <c r="E161" s="308"/>
      <c r="F161" s="308"/>
      <c r="G161" s="310" t="s">
        <v>103</v>
      </c>
      <c r="H161" s="308"/>
      <c r="I161" s="308"/>
      <c r="J161" s="308"/>
      <c r="K161" s="308" t="s">
        <v>103</v>
      </c>
    </row>
    <row r="162" spans="1:11">
      <c r="A162" s="308"/>
      <c r="B162" s="308"/>
      <c r="C162" s="308"/>
      <c r="D162" s="308"/>
      <c r="E162" s="308"/>
      <c r="F162" s="308"/>
      <c r="G162" s="308"/>
      <c r="H162" s="308"/>
      <c r="I162" s="308"/>
      <c r="J162" s="308"/>
      <c r="K162" s="308" t="s">
        <v>103</v>
      </c>
    </row>
    <row r="163" spans="1:11">
      <c r="A163" s="312"/>
      <c r="B163" s="308"/>
      <c r="C163" s="308"/>
      <c r="D163" s="308"/>
      <c r="E163" s="308"/>
      <c r="F163" s="308"/>
      <c r="G163" s="308"/>
      <c r="H163" s="308"/>
      <c r="I163" s="313"/>
      <c r="J163" s="308"/>
      <c r="K163" s="308" t="s">
        <v>103</v>
      </c>
    </row>
    <row r="164" spans="1:11">
      <c r="I164" s="1142"/>
      <c r="K164" s="826" t="s">
        <v>103</v>
      </c>
    </row>
    <row r="165" spans="1:11">
      <c r="I165" s="1142"/>
    </row>
    <row r="169" spans="1:11">
      <c r="I169" s="137"/>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70" workbookViewId="0"/>
  </sheetViews>
  <sheetFormatPr defaultColWidth="8.84375" defaultRowHeight="17.5"/>
  <cols>
    <col min="1" max="1" width="55.84375" style="691" customWidth="1"/>
    <col min="2" max="2" width="6.07421875" style="691" customWidth="1"/>
    <col min="3" max="3" width="20.84375" style="691" customWidth="1"/>
    <col min="4" max="4" width="1.84375" style="691" customWidth="1"/>
    <col min="5" max="5" width="20.84375" style="691" customWidth="1"/>
    <col min="6" max="6" width="1.84375" style="691" customWidth="1"/>
    <col min="7" max="7" width="20.84375" style="691" customWidth="1"/>
    <col min="8" max="8" width="1.84375" style="691" customWidth="1"/>
    <col min="9" max="9" width="20.84375" style="691" customWidth="1"/>
    <col min="10" max="10" width="1.84375" style="691" customWidth="1"/>
    <col min="11" max="11" width="20.84375" style="691" customWidth="1"/>
    <col min="12" max="12" width="1.84375" style="691" customWidth="1"/>
    <col min="13" max="13" width="9.84375" style="691" bestFit="1" customWidth="1"/>
    <col min="14" max="16384" width="8.84375" style="691"/>
  </cols>
  <sheetData>
    <row r="1" spans="1:11">
      <c r="A1" s="265" t="s">
        <v>97</v>
      </c>
    </row>
    <row r="2" spans="1:11">
      <c r="A2" s="837"/>
    </row>
    <row r="3" spans="1:11" s="138" customFormat="1" ht="18" customHeight="1">
      <c r="A3" s="142" t="s">
        <v>98</v>
      </c>
      <c r="B3" s="838"/>
      <c r="C3" s="838"/>
      <c r="D3" s="838"/>
      <c r="E3" s="1143"/>
      <c r="F3" s="1143"/>
      <c r="I3" s="142"/>
      <c r="J3" s="142"/>
      <c r="K3" s="145" t="s">
        <v>746</v>
      </c>
    </row>
    <row r="4" spans="1:11" s="138" customFormat="1" ht="18" customHeight="1">
      <c r="A4" s="142" t="s">
        <v>200</v>
      </c>
      <c r="B4" s="838"/>
      <c r="C4" s="838"/>
      <c r="D4" s="838"/>
      <c r="E4" s="1143"/>
      <c r="F4" s="1143"/>
      <c r="I4" s="142"/>
      <c r="J4" s="142"/>
      <c r="K4" s="142"/>
    </row>
    <row r="5" spans="1:11" s="138" customFormat="1" ht="18" customHeight="1">
      <c r="A5" s="148" t="s">
        <v>747</v>
      </c>
      <c r="B5" s="838"/>
      <c r="C5" s="838"/>
      <c r="D5" s="838"/>
      <c r="E5" s="1143"/>
      <c r="F5" s="1143"/>
      <c r="I5" s="142"/>
      <c r="J5" s="142"/>
      <c r="K5" s="142"/>
    </row>
    <row r="6" spans="1:11" s="138" customFormat="1" ht="18" customHeight="1">
      <c r="A6" s="148" t="s">
        <v>748</v>
      </c>
      <c r="B6" s="838"/>
      <c r="C6" s="838"/>
      <c r="D6" s="838"/>
      <c r="E6" s="1143"/>
      <c r="F6" s="1143"/>
      <c r="I6" s="142"/>
      <c r="J6" s="142"/>
      <c r="K6" s="142"/>
    </row>
    <row r="7" spans="1:11" s="138" customFormat="1" ht="18" customHeight="1">
      <c r="A7" s="148" t="str">
        <f>'Sch 1 '!A7</f>
        <v>FISCAL YEAR 2026-2027</v>
      </c>
      <c r="B7" s="838"/>
      <c r="C7" s="838"/>
      <c r="D7" s="838"/>
      <c r="E7" s="1143"/>
      <c r="F7" s="1143"/>
      <c r="I7" s="142"/>
      <c r="J7" s="142"/>
      <c r="K7" s="142"/>
    </row>
    <row r="8" spans="1:11" s="138" customFormat="1" ht="18" customHeight="1">
      <c r="A8" s="148" t="str">
        <f>'Sch 1 '!A8</f>
        <v>FOR THE MONTH OF APRIL 2026</v>
      </c>
      <c r="B8" s="838"/>
      <c r="C8" s="838"/>
      <c r="D8" s="838"/>
      <c r="E8" s="1143" t="s">
        <v>103</v>
      </c>
      <c r="G8" s="1143"/>
      <c r="I8" s="142"/>
      <c r="J8" s="142"/>
      <c r="K8" s="142"/>
    </row>
    <row r="9" spans="1:11" s="138" customFormat="1" ht="18" customHeight="1">
      <c r="A9" s="142" t="s">
        <v>102</v>
      </c>
      <c r="B9" s="838"/>
      <c r="C9" s="838"/>
      <c r="D9" s="838"/>
      <c r="E9" s="1143"/>
      <c r="F9" s="1143"/>
      <c r="I9" s="142"/>
      <c r="J9" s="142"/>
      <c r="K9" s="142"/>
    </row>
    <row r="10" spans="1:11" s="138" customFormat="1" ht="18">
      <c r="A10" s="142"/>
      <c r="B10" s="142"/>
      <c r="D10" s="142"/>
    </row>
    <row r="11" spans="1:11" s="138" customFormat="1" ht="18">
      <c r="A11" s="142"/>
      <c r="B11" s="142"/>
      <c r="C11" s="142"/>
      <c r="D11" s="142"/>
      <c r="E11" s="142"/>
      <c r="F11" s="142"/>
      <c r="G11" s="142"/>
      <c r="H11" s="142"/>
      <c r="I11" s="142"/>
      <c r="J11" s="142"/>
      <c r="K11" s="142"/>
    </row>
    <row r="12" spans="1:11" s="138" customFormat="1" ht="18">
      <c r="A12" s="142"/>
      <c r="B12" s="142"/>
      <c r="C12" s="158"/>
      <c r="D12" s="142"/>
      <c r="E12" s="142"/>
      <c r="F12" s="142"/>
      <c r="G12" s="142"/>
      <c r="H12" s="142"/>
      <c r="I12" s="158" t="s">
        <v>749</v>
      </c>
      <c r="J12" s="142"/>
      <c r="K12" s="158"/>
    </row>
    <row r="13" spans="1:11" s="138" customFormat="1" ht="18">
      <c r="A13" s="142"/>
      <c r="B13" s="142"/>
      <c r="C13" s="158" t="s">
        <v>608</v>
      </c>
      <c r="D13" s="142"/>
      <c r="E13" s="142"/>
      <c r="F13" s="142"/>
      <c r="G13" s="142"/>
      <c r="H13" s="142"/>
      <c r="I13" s="158" t="s">
        <v>750</v>
      </c>
      <c r="J13" s="142"/>
      <c r="K13" s="158" t="s">
        <v>608</v>
      </c>
    </row>
    <row r="14" spans="1:11" s="138" customFormat="1" ht="18">
      <c r="A14" s="157" t="s">
        <v>751</v>
      </c>
      <c r="B14" s="142"/>
      <c r="C14" s="1144" t="str">
        <f>'Sch 1 '!C11</f>
        <v>APRIL 1, 2026</v>
      </c>
      <c r="D14" s="142"/>
      <c r="E14" s="158" t="s">
        <v>610</v>
      </c>
      <c r="F14" s="142"/>
      <c r="G14" s="158" t="s">
        <v>611</v>
      </c>
      <c r="H14" s="142"/>
      <c r="I14" s="158" t="s">
        <v>612</v>
      </c>
      <c r="J14" s="142"/>
      <c r="K14" s="371" t="str">
        <f>'Sch 1 '!K11</f>
        <v>APRIL 30, 2026</v>
      </c>
    </row>
    <row r="15" spans="1:11" s="138" customFormat="1" ht="12" customHeight="1">
      <c r="C15" s="1145"/>
      <c r="E15" s="1079"/>
      <c r="G15" s="1079"/>
      <c r="I15" s="1079"/>
      <c r="K15" s="1079"/>
    </row>
    <row r="16" spans="1:11" s="138" customFormat="1" ht="18">
      <c r="A16" s="149" t="s">
        <v>589</v>
      </c>
      <c r="E16" s="146"/>
    </row>
    <row r="17" spans="1:12" s="138" customFormat="1" ht="9.65" customHeight="1">
      <c r="E17" s="146"/>
    </row>
    <row r="18" spans="1:12" s="138" customFormat="1" ht="16.5" customHeight="1">
      <c r="A18" s="943" t="s">
        <v>752</v>
      </c>
      <c r="C18" s="1697">
        <v>426.55399999999997</v>
      </c>
      <c r="D18" s="1651"/>
      <c r="E18" s="1697">
        <v>4.7050000000000001</v>
      </c>
      <c r="F18" s="1651"/>
      <c r="G18" s="1697">
        <v>9.4979999999999993</v>
      </c>
      <c r="H18" s="1651"/>
      <c r="I18" s="1697">
        <v>0</v>
      </c>
      <c r="J18" s="1651"/>
      <c r="K18" s="590">
        <f>ROUND(SUM(C18)+SUM(E18)-SUM(G18)+SUM(I18),3)</f>
        <v>421.76100000000002</v>
      </c>
      <c r="L18" s="296"/>
    </row>
    <row r="19" spans="1:12" s="138" customFormat="1" ht="16.399999999999999" customHeight="1">
      <c r="A19" s="138" t="s">
        <v>753</v>
      </c>
      <c r="B19" s="139"/>
      <c r="C19" s="591">
        <v>0.318</v>
      </c>
      <c r="D19" s="589"/>
      <c r="E19" s="591">
        <v>1.4E-2</v>
      </c>
      <c r="F19" s="589"/>
      <c r="G19" s="591">
        <v>1E-3</v>
      </c>
      <c r="H19" s="589"/>
      <c r="I19" s="591">
        <v>0</v>
      </c>
      <c r="J19" s="589"/>
      <c r="K19" s="592">
        <f t="shared" ref="K19:K25" si="0">ROUND(SUM(C19)+SUM(E19)-SUM(G19)+SUM(I19),3)</f>
        <v>0.33100000000000002</v>
      </c>
      <c r="L19" s="296"/>
    </row>
    <row r="20" spans="1:12" s="138" customFormat="1" ht="15.75" customHeight="1">
      <c r="A20" s="138" t="s">
        <v>754</v>
      </c>
      <c r="C20" s="591">
        <v>13.596</v>
      </c>
      <c r="D20" s="589"/>
      <c r="E20" s="591">
        <v>1.7569999999999999</v>
      </c>
      <c r="F20" s="589"/>
      <c r="G20" s="591">
        <v>0.51200000000000001</v>
      </c>
      <c r="H20" s="589"/>
      <c r="I20" s="591">
        <v>0</v>
      </c>
      <c r="J20" s="589"/>
      <c r="K20" s="592">
        <f>ROUND(SUM(C20)+SUM(E20)-SUM(G20)+SUM(I20),3)</f>
        <v>14.840999999999999</v>
      </c>
      <c r="L20" s="296"/>
    </row>
    <row r="21" spans="1:12" s="138" customFormat="1" ht="16.399999999999999" customHeight="1">
      <c r="A21" s="138" t="s">
        <v>755</v>
      </c>
      <c r="C21" s="591">
        <v>2.706</v>
      </c>
      <c r="D21" s="589"/>
      <c r="E21" s="591">
        <v>3.9049999999999998</v>
      </c>
      <c r="F21" s="589"/>
      <c r="G21" s="591">
        <v>3.4980000000000002</v>
      </c>
      <c r="H21" s="589"/>
      <c r="I21" s="591">
        <v>0</v>
      </c>
      <c r="J21" s="589"/>
      <c r="K21" s="592">
        <f t="shared" si="0"/>
        <v>3.113</v>
      </c>
      <c r="L21" s="296"/>
    </row>
    <row r="22" spans="1:12" s="138" customFormat="1" ht="16.399999999999999" customHeight="1">
      <c r="A22" s="138" t="s">
        <v>756</v>
      </c>
      <c r="C22" s="591">
        <v>15.298</v>
      </c>
      <c r="D22" s="589"/>
      <c r="E22" s="591">
        <v>0.46</v>
      </c>
      <c r="F22" s="589"/>
      <c r="G22" s="591">
        <v>2.1240000000000001</v>
      </c>
      <c r="H22" s="589"/>
      <c r="I22" s="591">
        <v>0</v>
      </c>
      <c r="J22" s="589"/>
      <c r="K22" s="592">
        <f t="shared" si="0"/>
        <v>13.634</v>
      </c>
      <c r="L22" s="296"/>
    </row>
    <row r="23" spans="1:12" s="138" customFormat="1" ht="16.399999999999999" customHeight="1">
      <c r="A23" s="138" t="s">
        <v>757</v>
      </c>
      <c r="C23" s="591">
        <v>1.962</v>
      </c>
      <c r="D23" s="589"/>
      <c r="E23" s="591">
        <v>6.0000000000000001E-3</v>
      </c>
      <c r="F23" s="589"/>
      <c r="G23" s="591">
        <v>0</v>
      </c>
      <c r="H23" s="589"/>
      <c r="I23" s="591">
        <v>0</v>
      </c>
      <c r="J23" s="589"/>
      <c r="K23" s="592">
        <f t="shared" si="0"/>
        <v>1.968</v>
      </c>
      <c r="L23" s="296"/>
    </row>
    <row r="24" spans="1:12" s="138" customFormat="1" ht="16.399999999999999" customHeight="1">
      <c r="A24" s="138" t="s">
        <v>758</v>
      </c>
      <c r="C24" s="591">
        <v>2.5869999999999997</v>
      </c>
      <c r="D24" s="589"/>
      <c r="E24" s="591">
        <v>1.2E-2</v>
      </c>
      <c r="F24" s="589"/>
      <c r="G24" s="591">
        <v>1.7999999999999999E-2</v>
      </c>
      <c r="H24" s="589"/>
      <c r="I24" s="591">
        <v>0</v>
      </c>
      <c r="J24" s="589"/>
      <c r="K24" s="592">
        <f t="shared" si="0"/>
        <v>2.581</v>
      </c>
      <c r="L24" s="296"/>
    </row>
    <row r="25" spans="1:12" s="138" customFormat="1" ht="16.399999999999999" customHeight="1">
      <c r="A25" s="138" t="s">
        <v>759</v>
      </c>
      <c r="C25" s="591">
        <v>7.4590000000000005</v>
      </c>
      <c r="D25" s="589"/>
      <c r="E25" s="591">
        <v>0.113</v>
      </c>
      <c r="F25" s="589"/>
      <c r="G25" s="591">
        <v>4.3999999999999997E-2</v>
      </c>
      <c r="H25" s="589"/>
      <c r="I25" s="591">
        <v>0</v>
      </c>
      <c r="J25" s="589"/>
      <c r="K25" s="592">
        <f t="shared" si="0"/>
        <v>7.5279999999999996</v>
      </c>
      <c r="L25" s="296"/>
    </row>
    <row r="26" spans="1:12" s="138" customFormat="1" ht="16.399999999999999" customHeight="1">
      <c r="A26" s="872" t="s">
        <v>760</v>
      </c>
      <c r="C26" s="591">
        <v>63.808</v>
      </c>
      <c r="D26" s="589"/>
      <c r="E26" s="591">
        <v>317.39299999999997</v>
      </c>
      <c r="F26" s="589"/>
      <c r="G26" s="591">
        <v>316.12299999999999</v>
      </c>
      <c r="H26" s="589"/>
      <c r="I26" s="591">
        <v>0</v>
      </c>
      <c r="J26" s="589"/>
      <c r="K26" s="592">
        <f>ROUND(SUM(C26)+SUM(E26)-SUM(G26)+SUM(I26),3)</f>
        <v>65.078000000000003</v>
      </c>
      <c r="L26" s="296"/>
    </row>
    <row r="27" spans="1:12" s="138" customFormat="1" ht="16.399999999999999" customHeight="1">
      <c r="A27" s="146" t="s">
        <v>761</v>
      </c>
      <c r="C27" s="591">
        <v>745.63300000000004</v>
      </c>
      <c r="D27" s="589"/>
      <c r="E27" s="591">
        <v>280.79300000000001</v>
      </c>
      <c r="F27" s="589"/>
      <c r="G27" s="591">
        <v>335.64100000000002</v>
      </c>
      <c r="H27" s="589"/>
      <c r="I27" s="591">
        <v>0</v>
      </c>
      <c r="J27" s="589"/>
      <c r="K27" s="592">
        <f>ROUND(SUM(C27)+SUM(E27)-SUM(G27)+SUM(I27),3)</f>
        <v>690.78499999999997</v>
      </c>
      <c r="L27" s="296"/>
    </row>
    <row r="28" spans="1:12" s="138" customFormat="1" ht="20.149999999999999" customHeight="1">
      <c r="A28" s="142" t="s">
        <v>762</v>
      </c>
      <c r="C28" s="1080">
        <f>ROUND(SUM(C18:C27),3)</f>
        <v>1279.921</v>
      </c>
      <c r="D28" s="293"/>
      <c r="E28" s="1080">
        <f>ROUND(SUM(E18:E27),3)</f>
        <v>609.15800000000002</v>
      </c>
      <c r="F28" s="293"/>
      <c r="G28" s="1080">
        <f>ROUND(SUM(G18:G27),3)</f>
        <v>667.45899999999995</v>
      </c>
      <c r="H28" s="293"/>
      <c r="I28" s="1080">
        <f>ROUND(SUM(I18:I27),3)</f>
        <v>0</v>
      </c>
      <c r="J28" s="293"/>
      <c r="K28" s="1080">
        <f>ROUND(SUM(K18:K27),3)</f>
        <v>1221.6199999999999</v>
      </c>
      <c r="L28" s="296"/>
    </row>
    <row r="29" spans="1:12" s="138" customFormat="1" ht="15" customHeight="1">
      <c r="C29" s="1081"/>
      <c r="D29" s="140"/>
      <c r="E29" s="1081"/>
      <c r="F29" s="140"/>
      <c r="G29" s="1081"/>
      <c r="H29" s="140"/>
      <c r="I29" s="140"/>
      <c r="J29" s="140"/>
      <c r="K29" s="1081"/>
      <c r="L29" s="296"/>
    </row>
    <row r="30" spans="1:12" s="138" customFormat="1" ht="15" customHeight="1">
      <c r="C30" s="140"/>
      <c r="D30" s="1707" t="s">
        <v>607</v>
      </c>
      <c r="E30" s="140"/>
      <c r="F30" s="140"/>
      <c r="G30" s="140"/>
      <c r="H30" s="140"/>
      <c r="I30" s="140"/>
      <c r="J30" s="140"/>
      <c r="K30" s="140"/>
      <c r="L30" s="296"/>
    </row>
    <row r="31" spans="1:12" s="138" customFormat="1" ht="15" customHeight="1">
      <c r="C31" s="140"/>
      <c r="D31" s="140"/>
      <c r="E31" s="140"/>
      <c r="F31" s="140"/>
      <c r="G31" s="140"/>
      <c r="H31" s="140"/>
      <c r="I31" s="140"/>
      <c r="J31" s="140"/>
      <c r="K31" s="140"/>
      <c r="L31" s="296"/>
    </row>
    <row r="32" spans="1:12" s="138" customFormat="1" ht="18" customHeight="1">
      <c r="A32" s="149" t="s">
        <v>596</v>
      </c>
      <c r="C32" s="140"/>
      <c r="D32" s="140"/>
      <c r="E32" s="140"/>
      <c r="F32" s="140"/>
      <c r="G32" s="140"/>
      <c r="H32" s="140"/>
      <c r="I32" s="140"/>
      <c r="J32" s="140"/>
      <c r="K32" s="140"/>
      <c r="L32" s="296"/>
    </row>
    <row r="33" spans="1:15" s="138" customFormat="1" ht="9.65" customHeight="1">
      <c r="A33" s="149"/>
      <c r="C33" s="140"/>
      <c r="D33" s="140"/>
      <c r="E33" s="140"/>
      <c r="F33" s="140"/>
      <c r="G33" s="140"/>
      <c r="H33" s="140"/>
      <c r="I33" s="140"/>
      <c r="J33" s="140"/>
      <c r="K33" s="140"/>
      <c r="L33" s="296"/>
    </row>
    <row r="34" spans="1:15" s="138" customFormat="1" ht="16.399999999999999" customHeight="1">
      <c r="A34" s="138" t="s">
        <v>763</v>
      </c>
      <c r="C34" s="591">
        <v>26.890999999999998</v>
      </c>
      <c r="D34" s="589"/>
      <c r="E34" s="591">
        <v>32.280999999999999</v>
      </c>
      <c r="F34" s="589"/>
      <c r="G34" s="591">
        <v>18.547999999999998</v>
      </c>
      <c r="H34" s="589"/>
      <c r="I34" s="591">
        <v>0.79600000000000004</v>
      </c>
      <c r="J34" s="589"/>
      <c r="K34" s="592">
        <f t="shared" ref="K34:K41" si="1">ROUND(SUM(C34)+SUM(E34)-SUM(G34)+SUM(I34),3)</f>
        <v>41.42</v>
      </c>
      <c r="L34" s="296"/>
      <c r="M34" s="140"/>
    </row>
    <row r="35" spans="1:15" s="138" customFormat="1" ht="16.399999999999999" customHeight="1">
      <c r="A35" s="138" t="s">
        <v>764</v>
      </c>
      <c r="C35" s="591">
        <v>88.881</v>
      </c>
      <c r="D35" s="589"/>
      <c r="E35" s="591">
        <v>3.327</v>
      </c>
      <c r="F35" s="589"/>
      <c r="G35" s="591">
        <v>55.616999999999997</v>
      </c>
      <c r="H35" s="589"/>
      <c r="I35" s="591">
        <v>0.77100000000000002</v>
      </c>
      <c r="J35" s="589"/>
      <c r="K35" s="592">
        <f t="shared" si="1"/>
        <v>37.362000000000002</v>
      </c>
      <c r="L35" s="296"/>
      <c r="M35" s="140"/>
    </row>
    <row r="36" spans="1:15" s="138" customFormat="1" ht="16.399999999999999" customHeight="1">
      <c r="A36" s="138" t="s">
        <v>765</v>
      </c>
      <c r="C36" s="591">
        <v>1.054</v>
      </c>
      <c r="D36" s="589"/>
      <c r="E36" s="591">
        <v>0.183</v>
      </c>
      <c r="F36" s="589"/>
      <c r="G36" s="591">
        <v>2.3E-2</v>
      </c>
      <c r="H36" s="589"/>
      <c r="I36" s="591">
        <v>0</v>
      </c>
      <c r="J36" s="589"/>
      <c r="K36" s="592">
        <f t="shared" si="1"/>
        <v>1.214</v>
      </c>
      <c r="L36" s="296"/>
      <c r="M36" s="140"/>
    </row>
    <row r="37" spans="1:15" s="138" customFormat="1" ht="16.399999999999999" customHeight="1">
      <c r="A37" s="138" t="s">
        <v>766</v>
      </c>
      <c r="C37" s="591">
        <v>6.5000000000000002E-2</v>
      </c>
      <c r="D37" s="589"/>
      <c r="E37" s="591">
        <v>4.0000000000000001E-3</v>
      </c>
      <c r="F37" s="589"/>
      <c r="G37" s="591">
        <v>0</v>
      </c>
      <c r="H37" s="589"/>
      <c r="I37" s="591">
        <v>0</v>
      </c>
      <c r="J37" s="589"/>
      <c r="K37" s="592">
        <f t="shared" si="1"/>
        <v>6.9000000000000006E-2</v>
      </c>
      <c r="L37" s="296"/>
      <c r="M37" s="140"/>
    </row>
    <row r="38" spans="1:15" s="138" customFormat="1" ht="16.399999999999999" customHeight="1">
      <c r="A38" s="138" t="s">
        <v>767</v>
      </c>
      <c r="C38" s="591">
        <v>0.13300000000000001</v>
      </c>
      <c r="D38" s="589"/>
      <c r="E38" s="591">
        <v>0</v>
      </c>
      <c r="F38" s="589"/>
      <c r="G38" s="591">
        <v>7.5999999999999998E-2</v>
      </c>
      <c r="H38" s="589"/>
      <c r="I38" s="591">
        <v>0</v>
      </c>
      <c r="J38" s="589"/>
      <c r="K38" s="592">
        <f t="shared" si="1"/>
        <v>5.7000000000000002E-2</v>
      </c>
      <c r="L38" s="296"/>
      <c r="M38" s="140"/>
    </row>
    <row r="39" spans="1:15" s="138" customFormat="1" ht="16.399999999999999" customHeight="1">
      <c r="A39" s="138" t="s">
        <v>768</v>
      </c>
      <c r="C39" s="591">
        <v>-28.923999999999999</v>
      </c>
      <c r="D39" s="589"/>
      <c r="E39" s="591">
        <v>0</v>
      </c>
      <c r="F39" s="589"/>
      <c r="G39" s="591">
        <v>4.0140000000000002</v>
      </c>
      <c r="H39" s="589"/>
      <c r="I39" s="591">
        <v>0</v>
      </c>
      <c r="J39" s="589"/>
      <c r="K39" s="592">
        <f t="shared" si="1"/>
        <v>-32.938000000000002</v>
      </c>
      <c r="L39" s="296"/>
      <c r="M39" s="140" t="s">
        <v>103</v>
      </c>
    </row>
    <row r="40" spans="1:15" s="138" customFormat="1" ht="16.399999999999999" customHeight="1">
      <c r="A40" s="138" t="s">
        <v>769</v>
      </c>
      <c r="C40" s="591">
        <v>0</v>
      </c>
      <c r="D40" s="589"/>
      <c r="E40" s="591">
        <v>0</v>
      </c>
      <c r="F40" s="589"/>
      <c r="G40" s="591">
        <v>0.91900000000000004</v>
      </c>
      <c r="H40" s="589"/>
      <c r="I40" s="591">
        <v>0</v>
      </c>
      <c r="J40" s="589"/>
      <c r="K40" s="592">
        <f t="shared" si="1"/>
        <v>-0.91900000000000004</v>
      </c>
      <c r="L40" s="296"/>
      <c r="M40" s="140" t="s">
        <v>103</v>
      </c>
    </row>
    <row r="41" spans="1:15" s="138" customFormat="1" ht="16.399999999999999" customHeight="1">
      <c r="A41" s="138" t="s">
        <v>770</v>
      </c>
      <c r="C41" s="591">
        <v>20.108000000000001</v>
      </c>
      <c r="D41" s="589"/>
      <c r="E41" s="591">
        <v>1.8</v>
      </c>
      <c r="F41" s="589"/>
      <c r="G41" s="591">
        <v>2.698</v>
      </c>
      <c r="H41" s="589"/>
      <c r="I41" s="591">
        <v>0</v>
      </c>
      <c r="J41" s="589"/>
      <c r="K41" s="592">
        <f t="shared" si="1"/>
        <v>19.21</v>
      </c>
      <c r="L41" s="296"/>
      <c r="M41" s="140"/>
    </row>
    <row r="42" spans="1:15" s="138" customFormat="1" ht="20.149999999999999" customHeight="1">
      <c r="A42" s="142" t="s">
        <v>771</v>
      </c>
      <c r="C42" s="1080">
        <f>ROUND(SUM(C34:C41),3)</f>
        <v>108.208</v>
      </c>
      <c r="D42" s="294"/>
      <c r="E42" s="1080">
        <f>ROUND(SUM(E34:E41),3)</f>
        <v>37.594999999999999</v>
      </c>
      <c r="F42" s="294"/>
      <c r="G42" s="1080">
        <f>ROUND(SUM(G34:G41),3)</f>
        <v>81.894999999999996</v>
      </c>
      <c r="H42" s="294"/>
      <c r="I42" s="1080">
        <f>ROUND(SUM(I34:I41),3)</f>
        <v>1.5669999999999999</v>
      </c>
      <c r="J42" s="294"/>
      <c r="K42" s="1080">
        <f>ROUND(SUM(K34:K41),3)</f>
        <v>65.474999999999994</v>
      </c>
      <c r="L42" s="296"/>
    </row>
    <row r="43" spans="1:15" s="138" customFormat="1" ht="15" customHeight="1">
      <c r="A43" s="142"/>
      <c r="C43" s="1936"/>
      <c r="D43" s="692"/>
      <c r="E43" s="1082"/>
      <c r="F43" s="692"/>
      <c r="G43" s="1082"/>
      <c r="H43" s="692"/>
      <c r="I43" s="1146"/>
      <c r="J43" s="692"/>
      <c r="K43" s="1082"/>
      <c r="L43" s="296"/>
    </row>
    <row r="44" spans="1:15" s="138" customFormat="1" ht="15" customHeight="1">
      <c r="A44" s="142"/>
      <c r="C44" s="1146"/>
      <c r="D44" s="692"/>
      <c r="E44" s="692"/>
      <c r="F44" s="692"/>
      <c r="G44" s="692" t="s">
        <v>103</v>
      </c>
      <c r="H44" s="692"/>
      <c r="I44" s="1146"/>
      <c r="J44" s="692"/>
      <c r="K44" s="692"/>
      <c r="L44" s="296"/>
    </row>
    <row r="45" spans="1:15" s="138" customFormat="1" ht="20.149999999999999" customHeight="1" thickBot="1">
      <c r="A45" s="142" t="s">
        <v>203</v>
      </c>
      <c r="B45" s="139"/>
      <c r="C45" s="693">
        <f>ROUND(SUM(C42)+SUM(C28),3)</f>
        <v>1388.1289999999999</v>
      </c>
      <c r="D45" s="297"/>
      <c r="E45" s="693">
        <f>ROUND(SUM(E42)+SUM(E28),3)</f>
        <v>646.75300000000004</v>
      </c>
      <c r="F45" s="297"/>
      <c r="G45" s="693">
        <f>ROUND(SUM(G42)+SUM(G28),3)</f>
        <v>749.35400000000004</v>
      </c>
      <c r="H45" s="297"/>
      <c r="I45" s="693">
        <f>ROUND(SUM(I42)+SUM(I28),3)</f>
        <v>1.5669999999999999</v>
      </c>
      <c r="J45" s="297"/>
      <c r="K45" s="693">
        <f>ROUND(SUM(K42)+SUM(K28),3)</f>
        <v>1287.095</v>
      </c>
      <c r="L45" s="296"/>
    </row>
    <row r="46" spans="1:15" s="138" customFormat="1" ht="18" thickTop="1">
      <c r="C46" s="694"/>
      <c r="D46" s="692"/>
      <c r="E46" s="694" t="s">
        <v>103</v>
      </c>
      <c r="F46" s="692"/>
      <c r="G46" s="694"/>
      <c r="H46" s="692"/>
      <c r="I46" s="292"/>
      <c r="J46" s="692"/>
      <c r="K46" s="694"/>
    </row>
    <row r="47" spans="1:15" s="138" customFormat="1">
      <c r="A47" s="839"/>
      <c r="B47" s="691"/>
      <c r="C47" s="695"/>
      <c r="D47" s="695"/>
      <c r="E47" s="1147" t="s">
        <v>103</v>
      </c>
      <c r="F47" s="1147"/>
      <c r="G47" s="1148"/>
      <c r="H47" s="1147" t="s">
        <v>103</v>
      </c>
      <c r="I47" s="1149" t="s">
        <v>103</v>
      </c>
      <c r="J47" s="695"/>
      <c r="K47" s="840"/>
      <c r="L47" s="691"/>
      <c r="M47" s="691"/>
      <c r="N47" s="691"/>
      <c r="O47" s="691"/>
    </row>
    <row r="48" spans="1:15" s="138" customFormat="1">
      <c r="A48" s="691"/>
      <c r="B48" s="691"/>
      <c r="C48" s="695"/>
      <c r="D48" s="695"/>
      <c r="E48" s="299" t="s">
        <v>103</v>
      </c>
      <c r="F48" s="299"/>
      <c r="G48" s="299"/>
      <c r="H48" s="299"/>
      <c r="I48" s="299" t="s">
        <v>103</v>
      </c>
      <c r="J48" s="299"/>
      <c r="K48" s="299"/>
      <c r="L48" s="691"/>
      <c r="M48" s="691"/>
      <c r="N48" s="691"/>
      <c r="O48" s="691"/>
    </row>
    <row r="49" spans="1:15" s="138" customFormat="1">
      <c r="A49" s="691"/>
      <c r="B49" s="691"/>
      <c r="C49" s="695"/>
      <c r="D49" s="695"/>
      <c r="E49" s="695" t="s">
        <v>103</v>
      </c>
      <c r="F49" s="695"/>
      <c r="G49" s="1150"/>
      <c r="H49" s="691"/>
      <c r="I49" s="1151" t="s">
        <v>103</v>
      </c>
      <c r="J49" s="695"/>
      <c r="K49" s="695"/>
      <c r="L49" s="691"/>
      <c r="M49" s="691"/>
      <c r="N49" s="691"/>
      <c r="O49" s="691"/>
    </row>
    <row r="50" spans="1:15" s="138" customFormat="1">
      <c r="A50" s="691"/>
      <c r="B50" s="691"/>
      <c r="C50" s="695"/>
      <c r="D50" s="695"/>
      <c r="E50" s="299" t="s">
        <v>103</v>
      </c>
      <c r="F50" s="695"/>
      <c r="G50" s="695"/>
      <c r="H50" s="691"/>
      <c r="I50" s="1151" t="s">
        <v>103</v>
      </c>
      <c r="J50" s="695"/>
      <c r="K50" s="695"/>
      <c r="L50" s="691"/>
      <c r="M50" s="691"/>
      <c r="N50" s="691"/>
      <c r="O50" s="691"/>
    </row>
    <row r="51" spans="1:15" s="138" customFormat="1">
      <c r="A51" s="691"/>
      <c r="B51" s="691"/>
      <c r="C51" s="695"/>
      <c r="D51" s="695"/>
      <c r="E51" s="299" t="s">
        <v>103</v>
      </c>
      <c r="F51" s="695"/>
      <c r="G51" s="695"/>
      <c r="H51" s="691"/>
      <c r="I51" s="1151" t="s">
        <v>103</v>
      </c>
      <c r="J51" s="695"/>
      <c r="K51" s="695"/>
      <c r="L51" s="691"/>
      <c r="M51" s="691"/>
      <c r="N51" s="691"/>
      <c r="O51" s="691"/>
    </row>
    <row r="52" spans="1:15" s="138" customFormat="1">
      <c r="A52" s="691"/>
      <c r="B52" s="691"/>
      <c r="C52" s="695"/>
      <c r="D52" s="695"/>
      <c r="E52" s="695"/>
      <c r="F52" s="695"/>
      <c r="G52" s="695"/>
      <c r="H52" s="691"/>
      <c r="I52" s="1151" t="s">
        <v>103</v>
      </c>
      <c r="J52" s="695"/>
      <c r="K52" s="695"/>
      <c r="L52" s="691"/>
      <c r="M52" s="691"/>
      <c r="N52" s="691"/>
      <c r="O52" s="691"/>
    </row>
    <row r="53" spans="1:15" s="138" customFormat="1">
      <c r="B53" s="691"/>
      <c r="C53" s="695"/>
      <c r="D53" s="695"/>
      <c r="E53" s="695"/>
      <c r="F53" s="695"/>
      <c r="G53" s="695"/>
      <c r="H53" s="691"/>
      <c r="I53" s="1151" t="s">
        <v>103</v>
      </c>
      <c r="J53" s="695"/>
      <c r="K53" s="695"/>
      <c r="L53" s="691"/>
      <c r="M53" s="691"/>
      <c r="N53" s="691"/>
      <c r="O53" s="691"/>
    </row>
    <row r="54" spans="1:15" s="138" customFormat="1">
      <c r="A54" s="691"/>
      <c r="B54" s="691"/>
      <c r="C54" s="695"/>
      <c r="D54" s="695"/>
      <c r="E54" s="695"/>
      <c r="F54" s="695"/>
      <c r="G54" s="695"/>
      <c r="H54" s="691"/>
      <c r="I54" s="691"/>
      <c r="J54" s="695"/>
      <c r="K54" s="695"/>
      <c r="L54" s="691"/>
      <c r="M54" s="691"/>
      <c r="N54" s="691"/>
      <c r="O54" s="691"/>
    </row>
    <row r="55" spans="1:15" s="138" customFormat="1">
      <c r="A55" s="691"/>
      <c r="B55" s="691"/>
      <c r="C55" s="695"/>
      <c r="D55" s="695"/>
      <c r="E55" s="695"/>
      <c r="F55" s="695"/>
      <c r="G55" s="695"/>
      <c r="H55" s="691"/>
      <c r="I55" s="691"/>
      <c r="J55" s="695"/>
      <c r="K55" s="695"/>
      <c r="L55" s="691"/>
      <c r="M55" s="691"/>
      <c r="N55" s="691"/>
      <c r="O55" s="691"/>
    </row>
    <row r="56" spans="1:15" s="138" customFormat="1">
      <c r="A56" s="691"/>
      <c r="B56" s="691"/>
      <c r="C56" s="695"/>
      <c r="D56" s="695"/>
      <c r="E56" s="695"/>
      <c r="F56" s="695"/>
      <c r="G56" s="695"/>
      <c r="H56" s="691"/>
      <c r="I56" s="691"/>
      <c r="J56" s="695"/>
      <c r="K56" s="695"/>
      <c r="L56" s="691"/>
      <c r="M56" s="691"/>
      <c r="N56" s="691"/>
      <c r="O56" s="691"/>
    </row>
    <row r="57" spans="1:15" s="138" customFormat="1">
      <c r="A57" s="691"/>
      <c r="B57" s="691"/>
      <c r="C57" s="695"/>
      <c r="D57" s="695"/>
      <c r="E57" s="695"/>
      <c r="F57" s="695"/>
      <c r="G57" s="695"/>
      <c r="H57" s="691"/>
      <c r="I57" s="691"/>
      <c r="J57" s="695"/>
      <c r="K57" s="695"/>
      <c r="L57" s="691"/>
      <c r="M57" s="691"/>
      <c r="N57" s="691"/>
      <c r="O57" s="691"/>
    </row>
    <row r="58" spans="1:15" s="138" customFormat="1">
      <c r="A58" s="691"/>
      <c r="B58" s="691"/>
      <c r="C58" s="695"/>
      <c r="D58" s="695"/>
      <c r="E58" s="695"/>
      <c r="F58" s="695"/>
      <c r="G58" s="695"/>
      <c r="H58" s="691"/>
      <c r="I58" s="691"/>
      <c r="J58" s="695"/>
      <c r="K58" s="695"/>
      <c r="L58" s="691"/>
      <c r="M58" s="691"/>
      <c r="N58" s="691"/>
      <c r="O58" s="691"/>
    </row>
    <row r="59" spans="1:15" s="138" customFormat="1">
      <c r="A59" s="691"/>
      <c r="B59" s="691"/>
      <c r="C59" s="695"/>
      <c r="D59" s="695"/>
      <c r="E59" s="695"/>
      <c r="F59" s="695"/>
      <c r="G59" s="695"/>
      <c r="H59" s="691"/>
      <c r="I59" s="691"/>
      <c r="J59" s="695"/>
      <c r="K59" s="695"/>
      <c r="L59" s="691"/>
      <c r="M59" s="691"/>
      <c r="N59" s="691"/>
      <c r="O59" s="691"/>
    </row>
    <row r="60" spans="1:15" s="138" customFormat="1">
      <c r="A60" s="691"/>
      <c r="B60" s="691"/>
      <c r="C60" s="695"/>
      <c r="D60" s="695"/>
      <c r="E60" s="695"/>
      <c r="F60" s="695"/>
      <c r="G60" s="695"/>
      <c r="H60" s="691"/>
      <c r="I60" s="691"/>
      <c r="J60" s="695"/>
      <c r="K60" s="695"/>
      <c r="L60" s="691"/>
      <c r="M60" s="691"/>
      <c r="N60" s="691"/>
      <c r="O60" s="691"/>
    </row>
    <row r="61" spans="1:15" s="138" customFormat="1">
      <c r="A61" s="691"/>
      <c r="B61" s="691"/>
      <c r="C61" s="695"/>
      <c r="D61" s="695"/>
      <c r="E61" s="695"/>
      <c r="F61" s="695"/>
      <c r="G61" s="695"/>
      <c r="H61" s="691"/>
      <c r="I61" s="691"/>
      <c r="J61" s="695"/>
      <c r="K61" s="695"/>
      <c r="L61" s="691"/>
      <c r="M61" s="691"/>
      <c r="N61" s="691"/>
      <c r="O61" s="691"/>
    </row>
    <row r="62" spans="1:15" s="138" customFormat="1">
      <c r="A62" s="691"/>
      <c r="B62" s="691"/>
      <c r="C62" s="695"/>
      <c r="D62" s="695"/>
      <c r="E62" s="695"/>
      <c r="F62" s="695"/>
      <c r="G62" s="695"/>
      <c r="H62" s="691"/>
      <c r="I62" s="691"/>
      <c r="J62" s="695"/>
      <c r="K62" s="695"/>
      <c r="L62" s="691"/>
      <c r="M62" s="691"/>
      <c r="N62" s="691"/>
      <c r="O62" s="691"/>
    </row>
    <row r="63" spans="1:15" s="138" customFormat="1">
      <c r="A63" s="691"/>
      <c r="B63" s="691"/>
      <c r="C63" s="695"/>
      <c r="D63" s="695"/>
      <c r="E63" s="695"/>
      <c r="F63" s="695"/>
      <c r="G63" s="695"/>
      <c r="H63" s="691"/>
      <c r="I63" s="691"/>
      <c r="J63" s="695"/>
      <c r="K63" s="695"/>
      <c r="L63" s="691"/>
      <c r="M63" s="691"/>
      <c r="N63" s="691"/>
      <c r="O63" s="691"/>
    </row>
    <row r="64" spans="1:15" s="138" customFormat="1">
      <c r="A64" s="691"/>
      <c r="B64" s="691"/>
      <c r="C64" s="695"/>
      <c r="D64" s="695"/>
      <c r="E64" s="695"/>
      <c r="F64" s="695"/>
      <c r="G64" s="695"/>
      <c r="H64" s="691"/>
      <c r="I64" s="691"/>
      <c r="J64" s="695"/>
      <c r="K64" s="695"/>
      <c r="L64" s="691"/>
      <c r="M64" s="691"/>
      <c r="N64" s="691"/>
      <c r="O64" s="691"/>
    </row>
    <row r="65" spans="1:15" s="138" customFormat="1">
      <c r="A65" s="691"/>
      <c r="B65" s="691"/>
      <c r="C65" s="695"/>
      <c r="D65" s="695"/>
      <c r="E65" s="695"/>
      <c r="F65" s="695"/>
      <c r="G65" s="695"/>
      <c r="H65" s="691"/>
      <c r="I65" s="691"/>
      <c r="J65" s="695"/>
      <c r="K65" s="695"/>
      <c r="L65" s="691"/>
      <c r="M65" s="691"/>
      <c r="N65" s="691"/>
      <c r="O65" s="691"/>
    </row>
    <row r="66" spans="1:15" s="138" customFormat="1">
      <c r="A66" s="691"/>
      <c r="B66" s="691"/>
      <c r="C66" s="695"/>
      <c r="D66" s="695"/>
      <c r="E66" s="695"/>
      <c r="F66" s="695"/>
      <c r="G66" s="695"/>
      <c r="H66" s="691"/>
      <c r="I66" s="691"/>
      <c r="J66" s="695"/>
      <c r="K66" s="695"/>
      <c r="L66" s="691"/>
      <c r="M66" s="691"/>
      <c r="N66" s="691"/>
      <c r="O66" s="691"/>
    </row>
    <row r="67" spans="1:15" s="138" customFormat="1">
      <c r="A67" s="691"/>
      <c r="B67" s="691"/>
      <c r="C67" s="695"/>
      <c r="D67" s="695"/>
      <c r="E67" s="695"/>
      <c r="F67" s="695"/>
      <c r="G67" s="695"/>
      <c r="H67" s="691"/>
      <c r="I67" s="691"/>
      <c r="J67" s="695"/>
      <c r="K67" s="695"/>
      <c r="L67" s="691"/>
      <c r="M67" s="691"/>
      <c r="N67" s="691"/>
      <c r="O67" s="691"/>
    </row>
    <row r="68" spans="1:15" s="138" customFormat="1">
      <c r="A68" s="691"/>
      <c r="B68" s="691"/>
      <c r="C68" s="695"/>
      <c r="D68" s="695"/>
      <c r="E68" s="695"/>
      <c r="F68" s="695"/>
      <c r="G68" s="695"/>
      <c r="H68" s="691"/>
      <c r="I68" s="691"/>
      <c r="J68" s="695"/>
      <c r="K68" s="695"/>
      <c r="L68" s="691"/>
      <c r="M68" s="691"/>
      <c r="N68" s="691"/>
      <c r="O68" s="691"/>
    </row>
    <row r="69" spans="1:15" s="138" customFormat="1">
      <c r="A69" s="691"/>
      <c r="B69" s="691"/>
      <c r="C69" s="695"/>
      <c r="D69" s="695"/>
      <c r="E69" s="695"/>
      <c r="F69" s="695"/>
      <c r="G69" s="695"/>
      <c r="H69" s="691"/>
      <c r="I69" s="691"/>
      <c r="J69" s="695"/>
      <c r="K69" s="695"/>
      <c r="L69" s="691"/>
      <c r="M69" s="691"/>
      <c r="N69" s="691"/>
      <c r="O69" s="691"/>
    </row>
    <row r="70" spans="1:15" s="138" customFormat="1">
      <c r="A70" s="691"/>
      <c r="B70" s="691"/>
      <c r="C70" s="695"/>
      <c r="D70" s="695"/>
      <c r="E70" s="695"/>
      <c r="F70" s="695"/>
      <c r="G70" s="695"/>
      <c r="H70" s="691"/>
      <c r="I70" s="691"/>
      <c r="J70" s="695"/>
      <c r="K70" s="695"/>
      <c r="L70" s="691"/>
      <c r="M70" s="691"/>
      <c r="N70" s="691"/>
      <c r="O70" s="691"/>
    </row>
    <row r="71" spans="1:15" s="138" customFormat="1">
      <c r="A71" s="691"/>
      <c r="B71" s="691"/>
      <c r="C71" s="695"/>
      <c r="D71" s="695"/>
      <c r="E71" s="695"/>
      <c r="F71" s="695"/>
      <c r="G71" s="695"/>
      <c r="H71" s="691"/>
      <c r="I71" s="691"/>
      <c r="J71" s="695"/>
      <c r="K71" s="695"/>
      <c r="L71" s="691"/>
      <c r="M71" s="691"/>
      <c r="N71" s="691"/>
      <c r="O71" s="691"/>
    </row>
    <row r="72" spans="1:15" s="138" customFormat="1">
      <c r="A72" s="691"/>
      <c r="B72" s="691"/>
      <c r="C72" s="695"/>
      <c r="D72" s="695"/>
      <c r="E72" s="695"/>
      <c r="F72" s="695"/>
      <c r="G72" s="695"/>
      <c r="H72" s="691"/>
      <c r="I72" s="691"/>
      <c r="J72" s="695"/>
      <c r="K72" s="695"/>
      <c r="L72" s="691"/>
      <c r="M72" s="691"/>
      <c r="N72" s="691"/>
      <c r="O72" s="691"/>
    </row>
    <row r="73" spans="1:15" s="138" customFormat="1">
      <c r="A73" s="691"/>
      <c r="B73" s="691"/>
      <c r="C73" s="695"/>
      <c r="D73" s="695"/>
      <c r="E73" s="695"/>
      <c r="F73" s="695"/>
      <c r="G73" s="695"/>
      <c r="H73" s="691"/>
      <c r="I73" s="691"/>
      <c r="J73" s="695"/>
      <c r="K73" s="695"/>
      <c r="L73" s="691"/>
      <c r="M73" s="691"/>
      <c r="N73" s="691"/>
      <c r="O73" s="691"/>
    </row>
    <row r="74" spans="1:15" s="138" customFormat="1">
      <c r="A74" s="691"/>
      <c r="B74" s="691"/>
      <c r="C74" s="695"/>
      <c r="D74" s="695"/>
      <c r="E74" s="695"/>
      <c r="F74" s="695"/>
      <c r="G74" s="695"/>
      <c r="H74" s="691"/>
      <c r="I74" s="691"/>
      <c r="J74" s="695"/>
      <c r="K74" s="695"/>
      <c r="L74" s="691"/>
      <c r="M74" s="691"/>
      <c r="N74" s="691"/>
      <c r="O74" s="691"/>
    </row>
    <row r="75" spans="1:15" s="138" customFormat="1">
      <c r="A75" s="691"/>
      <c r="B75" s="691"/>
      <c r="C75" s="695"/>
      <c r="D75" s="695"/>
      <c r="E75" s="695"/>
      <c r="F75" s="695"/>
      <c r="G75" s="695"/>
      <c r="H75" s="691"/>
      <c r="I75" s="691"/>
      <c r="J75" s="695"/>
      <c r="K75" s="695"/>
      <c r="L75" s="691"/>
      <c r="M75" s="691"/>
      <c r="N75" s="691"/>
      <c r="O75" s="691"/>
    </row>
    <row r="76" spans="1:15" s="138" customFormat="1">
      <c r="A76" s="691"/>
      <c r="B76" s="691"/>
      <c r="C76" s="695"/>
      <c r="D76" s="695"/>
      <c r="E76" s="695"/>
      <c r="F76" s="695"/>
      <c r="G76" s="695"/>
      <c r="H76" s="691"/>
      <c r="I76" s="691"/>
      <c r="J76" s="695"/>
      <c r="K76" s="695"/>
      <c r="L76" s="691"/>
      <c r="M76" s="691"/>
      <c r="N76" s="691"/>
      <c r="O76" s="691"/>
    </row>
    <row r="77" spans="1:15" s="138" customFormat="1">
      <c r="A77" s="691"/>
      <c r="B77" s="691"/>
      <c r="C77" s="695"/>
      <c r="D77" s="695"/>
      <c r="E77" s="695"/>
      <c r="F77" s="695"/>
      <c r="G77" s="695"/>
      <c r="H77" s="691"/>
      <c r="I77" s="691"/>
      <c r="J77" s="695"/>
      <c r="K77" s="695"/>
      <c r="L77" s="691"/>
      <c r="M77" s="691"/>
      <c r="N77" s="691"/>
      <c r="O77" s="691"/>
    </row>
    <row r="78" spans="1:15" s="138" customFormat="1">
      <c r="A78" s="691"/>
      <c r="B78" s="691"/>
      <c r="C78" s="695"/>
      <c r="D78" s="695"/>
      <c r="E78" s="695"/>
      <c r="F78" s="695"/>
      <c r="G78" s="695"/>
      <c r="H78" s="691"/>
      <c r="I78" s="691"/>
      <c r="J78" s="695"/>
      <c r="K78" s="695"/>
      <c r="L78" s="691"/>
      <c r="M78" s="691"/>
      <c r="N78" s="691"/>
      <c r="O78" s="691"/>
    </row>
    <row r="79" spans="1:15" s="138" customFormat="1">
      <c r="A79" s="691"/>
      <c r="B79" s="691"/>
      <c r="C79" s="695"/>
      <c r="D79" s="695"/>
      <c r="E79" s="695"/>
      <c r="F79" s="695"/>
      <c r="G79" s="695"/>
      <c r="H79" s="691"/>
      <c r="I79" s="691"/>
      <c r="J79" s="695"/>
      <c r="K79" s="695"/>
      <c r="L79" s="691"/>
      <c r="M79" s="691"/>
      <c r="N79" s="691"/>
      <c r="O79" s="691"/>
    </row>
    <row r="80" spans="1:15" s="138" customFormat="1">
      <c r="A80" s="691"/>
      <c r="B80" s="691"/>
      <c r="C80" s="695"/>
      <c r="D80" s="695"/>
      <c r="E80" s="695"/>
      <c r="F80" s="695"/>
      <c r="G80" s="695"/>
      <c r="H80" s="691"/>
      <c r="I80" s="691"/>
      <c r="J80" s="695"/>
      <c r="K80" s="695"/>
      <c r="L80" s="691"/>
      <c r="M80" s="691"/>
      <c r="N80" s="691"/>
      <c r="O80" s="691"/>
    </row>
    <row r="81" spans="1:15" s="138" customFormat="1">
      <c r="A81" s="691"/>
      <c r="B81" s="691"/>
      <c r="C81" s="695"/>
      <c r="D81" s="695"/>
      <c r="E81" s="695"/>
      <c r="F81" s="695"/>
      <c r="G81" s="695"/>
      <c r="H81" s="691"/>
      <c r="I81" s="691"/>
      <c r="J81" s="695"/>
      <c r="K81" s="695"/>
      <c r="L81" s="691"/>
      <c r="M81" s="691"/>
      <c r="N81" s="691"/>
      <c r="O81" s="691"/>
    </row>
    <row r="82" spans="1:15" s="138" customFormat="1">
      <c r="A82" s="691"/>
      <c r="B82" s="691"/>
      <c r="C82" s="695"/>
      <c r="D82" s="695"/>
      <c r="E82" s="695"/>
      <c r="F82" s="695"/>
      <c r="G82" s="695"/>
      <c r="H82" s="691"/>
      <c r="I82" s="691"/>
      <c r="J82" s="695"/>
      <c r="K82" s="695"/>
      <c r="L82" s="691"/>
      <c r="M82" s="691"/>
      <c r="N82" s="691"/>
      <c r="O82" s="691"/>
    </row>
    <row r="83" spans="1:15" s="138" customFormat="1">
      <c r="A83" s="691"/>
      <c r="B83" s="691"/>
      <c r="C83" s="695"/>
      <c r="D83" s="695"/>
      <c r="E83" s="695"/>
      <c r="F83" s="695"/>
      <c r="G83" s="695"/>
      <c r="H83" s="691"/>
      <c r="I83" s="691"/>
      <c r="J83" s="695"/>
      <c r="K83" s="695"/>
      <c r="L83" s="691"/>
      <c r="M83" s="691"/>
      <c r="N83" s="691"/>
      <c r="O83" s="691"/>
    </row>
    <row r="84" spans="1:15" s="138" customFormat="1">
      <c r="A84" s="691"/>
      <c r="B84" s="691"/>
      <c r="C84" s="695"/>
      <c r="D84" s="695"/>
      <c r="E84" s="695"/>
      <c r="F84" s="695"/>
      <c r="G84" s="695"/>
      <c r="H84" s="691"/>
      <c r="I84" s="691"/>
      <c r="J84" s="695"/>
      <c r="K84" s="695"/>
      <c r="L84" s="691"/>
      <c r="M84" s="691"/>
      <c r="N84" s="691"/>
      <c r="O84" s="691"/>
    </row>
    <row r="85" spans="1:15" s="138" customFormat="1">
      <c r="A85" s="691"/>
      <c r="B85" s="691"/>
      <c r="C85" s="695"/>
      <c r="D85" s="695"/>
      <c r="E85" s="695"/>
      <c r="F85" s="695"/>
      <c r="G85" s="695"/>
      <c r="H85" s="691"/>
      <c r="I85" s="691"/>
      <c r="J85" s="695"/>
      <c r="K85" s="695"/>
      <c r="L85" s="691"/>
      <c r="M85" s="691"/>
      <c r="N85" s="691"/>
      <c r="O85" s="691"/>
    </row>
    <row r="86" spans="1:15" s="138" customFormat="1">
      <c r="A86" s="691"/>
      <c r="B86" s="691"/>
      <c r="C86" s="695"/>
      <c r="D86" s="695"/>
      <c r="E86" s="695"/>
      <c r="F86" s="695"/>
      <c r="G86" s="695"/>
      <c r="H86" s="691"/>
      <c r="I86" s="691"/>
      <c r="J86" s="695"/>
      <c r="K86" s="695"/>
      <c r="L86" s="691"/>
      <c r="M86" s="691"/>
      <c r="N86" s="691"/>
      <c r="O86" s="691"/>
    </row>
    <row r="87" spans="1:15" s="138" customFormat="1">
      <c r="A87" s="691"/>
      <c r="B87" s="691"/>
      <c r="C87" s="695"/>
      <c r="D87" s="695"/>
      <c r="E87" s="695"/>
      <c r="F87" s="695"/>
      <c r="G87" s="695"/>
      <c r="H87" s="691"/>
      <c r="I87" s="691"/>
      <c r="J87" s="695"/>
      <c r="K87" s="695"/>
      <c r="L87" s="691"/>
      <c r="M87" s="691"/>
      <c r="N87" s="691"/>
      <c r="O87" s="691"/>
    </row>
    <row r="88" spans="1:15" s="138" customFormat="1">
      <c r="A88" s="691"/>
      <c r="B88" s="691"/>
      <c r="C88" s="695"/>
      <c r="D88" s="695"/>
      <c r="E88" s="695"/>
      <c r="F88" s="695"/>
      <c r="G88" s="695"/>
      <c r="H88" s="691"/>
      <c r="I88" s="691"/>
      <c r="J88" s="695"/>
      <c r="K88" s="695"/>
      <c r="L88" s="691"/>
      <c r="M88" s="691"/>
      <c r="N88" s="691"/>
      <c r="O88" s="691"/>
    </row>
    <row r="89" spans="1:15" s="138" customFormat="1">
      <c r="A89" s="691"/>
      <c r="B89" s="691"/>
      <c r="C89" s="695"/>
      <c r="D89" s="695"/>
      <c r="E89" s="695"/>
      <c r="F89" s="695"/>
      <c r="G89" s="695"/>
      <c r="H89" s="691"/>
      <c r="I89" s="691"/>
      <c r="J89" s="695"/>
      <c r="K89" s="695"/>
      <c r="L89" s="691"/>
      <c r="M89" s="691"/>
      <c r="N89" s="691"/>
      <c r="O89" s="691"/>
    </row>
    <row r="90" spans="1:15" s="138" customFormat="1">
      <c r="A90" s="691"/>
      <c r="B90" s="691"/>
      <c r="C90" s="695"/>
      <c r="D90" s="695"/>
      <c r="E90" s="695"/>
      <c r="F90" s="695"/>
      <c r="G90" s="695"/>
      <c r="H90" s="691"/>
      <c r="I90" s="691"/>
      <c r="J90" s="695"/>
      <c r="K90" s="695"/>
      <c r="L90" s="691"/>
      <c r="M90" s="691"/>
      <c r="N90" s="691"/>
      <c r="O90" s="691"/>
    </row>
    <row r="91" spans="1:15" s="138" customFormat="1">
      <c r="A91" s="691"/>
      <c r="B91" s="691"/>
      <c r="C91" s="695"/>
      <c r="D91" s="695"/>
      <c r="E91" s="695"/>
      <c r="F91" s="695"/>
      <c r="G91" s="695"/>
      <c r="H91" s="691"/>
      <c r="I91" s="691"/>
      <c r="J91" s="695"/>
      <c r="K91" s="695"/>
      <c r="L91" s="691"/>
      <c r="M91" s="691"/>
      <c r="N91" s="691"/>
      <c r="O91" s="691"/>
    </row>
    <row r="92" spans="1:15" s="138" customFormat="1">
      <c r="A92" s="691"/>
      <c r="B92" s="691"/>
      <c r="C92" s="695"/>
      <c r="D92" s="695"/>
      <c r="E92" s="695"/>
      <c r="F92" s="695"/>
      <c r="G92" s="695"/>
      <c r="H92" s="691"/>
      <c r="I92" s="691"/>
      <c r="J92" s="695"/>
      <c r="K92" s="695"/>
      <c r="L92" s="691"/>
      <c r="M92" s="691"/>
      <c r="N92" s="691"/>
      <c r="O92" s="691"/>
    </row>
    <row r="93" spans="1:15" s="138" customFormat="1">
      <c r="A93" s="691"/>
      <c r="B93" s="691"/>
      <c r="C93" s="695"/>
      <c r="D93" s="695"/>
      <c r="E93" s="695"/>
      <c r="F93" s="695"/>
      <c r="G93" s="695"/>
      <c r="H93" s="691"/>
      <c r="I93" s="691"/>
      <c r="J93" s="695"/>
      <c r="K93" s="695"/>
      <c r="L93" s="691"/>
      <c r="M93" s="691"/>
      <c r="N93" s="691"/>
      <c r="O93" s="691"/>
    </row>
    <row r="94" spans="1:15" s="138" customFormat="1">
      <c r="A94" s="691"/>
      <c r="B94" s="691"/>
      <c r="C94" s="695"/>
      <c r="D94" s="695"/>
      <c r="E94" s="695"/>
      <c r="F94" s="695"/>
      <c r="G94" s="695"/>
      <c r="H94" s="691"/>
      <c r="I94" s="691"/>
      <c r="J94" s="695"/>
      <c r="K94" s="695"/>
      <c r="L94" s="691"/>
      <c r="M94" s="691"/>
      <c r="N94" s="691"/>
      <c r="O94" s="691"/>
    </row>
    <row r="95" spans="1:15" s="138" customFormat="1">
      <c r="A95" s="691"/>
      <c r="B95" s="691"/>
      <c r="C95" s="695"/>
      <c r="D95" s="695"/>
      <c r="E95" s="695"/>
      <c r="F95" s="695"/>
      <c r="G95" s="695"/>
      <c r="H95" s="691"/>
      <c r="I95" s="691"/>
      <c r="J95" s="695"/>
      <c r="K95" s="695"/>
      <c r="L95" s="691"/>
      <c r="M95" s="691"/>
      <c r="N95" s="691"/>
      <c r="O95" s="691"/>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6"/>
  <sheetViews>
    <sheetView showGridLines="0" zoomScale="80" workbookViewId="0"/>
  </sheetViews>
  <sheetFormatPr defaultColWidth="8.84375" defaultRowHeight="12.5"/>
  <cols>
    <col min="1" max="1" width="56.07421875" style="141" customWidth="1"/>
    <col min="2" max="2" width="6.84375" style="141" customWidth="1"/>
    <col min="3" max="3" width="9.84375" style="141" customWidth="1"/>
    <col min="4" max="4" width="20.84375" style="141" customWidth="1"/>
    <col min="5" max="5" width="1.84375" style="141" customWidth="1"/>
    <col min="6" max="6" width="20.84375" style="141" customWidth="1"/>
    <col min="7" max="7" width="1.84375" style="141" customWidth="1"/>
    <col min="8" max="8" width="20.84375" style="141" customWidth="1"/>
    <col min="9" max="9" width="1.84375" style="141" customWidth="1"/>
    <col min="10" max="10" width="20.84375" style="141" customWidth="1"/>
    <col min="11" max="11" width="1.84375" style="141" customWidth="1"/>
    <col min="12" max="12" width="20.84375" style="141" customWidth="1"/>
    <col min="13" max="13" width="2.4609375" style="141" customWidth="1"/>
    <col min="14" max="14" width="9.07421875" style="141" bestFit="1" customWidth="1"/>
    <col min="15" max="16384" width="8.84375" style="141"/>
  </cols>
  <sheetData>
    <row r="1" spans="1:14" ht="15.5">
      <c r="A1" s="265" t="s">
        <v>97</v>
      </c>
    </row>
    <row r="2" spans="1:14" ht="18" customHeight="1"/>
    <row r="3" spans="1:14" ht="18">
      <c r="A3" s="142" t="s">
        <v>98</v>
      </c>
      <c r="B3" s="143"/>
      <c r="C3" s="143"/>
      <c r="D3" s="144"/>
      <c r="E3" s="144"/>
      <c r="F3" s="143"/>
      <c r="G3" s="143" t="s">
        <v>103</v>
      </c>
      <c r="H3" s="143"/>
      <c r="I3" s="143"/>
      <c r="J3" s="143"/>
      <c r="K3" s="143"/>
      <c r="L3" s="145" t="s">
        <v>772</v>
      </c>
      <c r="M3" s="144"/>
    </row>
    <row r="4" spans="1:14" ht="18">
      <c r="A4" s="142" t="s">
        <v>773</v>
      </c>
      <c r="B4" s="143"/>
      <c r="C4" s="143"/>
      <c r="D4" s="144"/>
      <c r="E4" s="144"/>
      <c r="F4" s="143"/>
      <c r="G4" s="143"/>
      <c r="H4" s="143"/>
      <c r="I4" s="143"/>
      <c r="J4" s="143"/>
      <c r="K4" s="143"/>
      <c r="L4" s="147"/>
      <c r="M4" s="144"/>
    </row>
    <row r="5" spans="1:14" ht="18">
      <c r="A5" s="148" t="s">
        <v>774</v>
      </c>
      <c r="B5" s="143"/>
      <c r="C5" s="143"/>
      <c r="D5" s="144"/>
      <c r="E5" s="144"/>
      <c r="F5" s="143"/>
      <c r="G5" s="143"/>
      <c r="H5" s="143"/>
      <c r="I5" s="143"/>
      <c r="J5" s="143"/>
      <c r="K5" s="143"/>
      <c r="L5" s="143"/>
      <c r="M5" s="144"/>
    </row>
    <row r="6" spans="1:14" ht="18">
      <c r="A6" s="148" t="s">
        <v>748</v>
      </c>
      <c r="B6" s="143"/>
      <c r="C6" s="143"/>
      <c r="D6" s="144"/>
      <c r="E6" s="144"/>
      <c r="F6" s="143"/>
      <c r="G6" s="143"/>
      <c r="H6" s="143"/>
      <c r="I6" s="143"/>
      <c r="J6" s="143"/>
      <c r="K6" s="143"/>
      <c r="L6" s="143"/>
      <c r="M6" s="144"/>
    </row>
    <row r="7" spans="1:14" ht="18">
      <c r="A7" s="148" t="str">
        <f>'Sch 2 '!A7</f>
        <v>FISCAL YEAR 2026-2027</v>
      </c>
      <c r="B7" s="143"/>
      <c r="C7" s="143"/>
      <c r="D7" s="144"/>
      <c r="E7" s="144"/>
      <c r="F7" s="143"/>
      <c r="G7" s="143"/>
      <c r="H7" s="143"/>
      <c r="I7" s="143"/>
      <c r="J7" s="143"/>
      <c r="K7" s="143"/>
      <c r="L7" s="143"/>
      <c r="M7" s="144"/>
    </row>
    <row r="8" spans="1:14" ht="18">
      <c r="A8" s="148" t="str">
        <f>'Sch 2 '!A8</f>
        <v>FOR THE MONTH OF APRIL 2026</v>
      </c>
      <c r="B8" s="143"/>
      <c r="C8" s="143"/>
      <c r="D8" s="144"/>
      <c r="E8" s="144"/>
      <c r="F8" s="143"/>
      <c r="G8" s="143"/>
      <c r="H8" s="143"/>
      <c r="I8" s="143"/>
      <c r="J8" s="143"/>
      <c r="K8" s="143"/>
      <c r="L8" s="143"/>
      <c r="M8" s="144"/>
    </row>
    <row r="9" spans="1:14" ht="18">
      <c r="A9" s="341" t="s">
        <v>102</v>
      </c>
      <c r="B9" s="143"/>
      <c r="C9" s="143"/>
      <c r="D9" s="144"/>
      <c r="E9" s="144"/>
      <c r="F9" s="143"/>
      <c r="G9" s="143"/>
      <c r="H9" s="143"/>
      <c r="I9" s="143"/>
      <c r="J9" s="143"/>
      <c r="K9" s="143"/>
      <c r="L9" s="143"/>
      <c r="M9" s="144"/>
    </row>
    <row r="10" spans="1:14" ht="18">
      <c r="A10" s="142"/>
      <c r="B10" s="142"/>
      <c r="C10" s="142"/>
      <c r="D10" s="158"/>
      <c r="E10" s="142"/>
      <c r="F10" s="142"/>
      <c r="G10" s="142"/>
      <c r="H10" s="142"/>
      <c r="I10" s="142"/>
      <c r="J10" s="158" t="s">
        <v>749</v>
      </c>
      <c r="K10" s="142"/>
      <c r="L10" s="158"/>
      <c r="M10" s="144"/>
    </row>
    <row r="11" spans="1:14" ht="18">
      <c r="A11" s="142"/>
      <c r="B11" s="142"/>
      <c r="C11" s="142"/>
      <c r="D11" s="158" t="s">
        <v>608</v>
      </c>
      <c r="E11" s="142"/>
      <c r="F11" s="142"/>
      <c r="G11" s="142"/>
      <c r="H11" s="142"/>
      <c r="I11" s="142"/>
      <c r="J11" s="158" t="s">
        <v>750</v>
      </c>
      <c r="K11" s="142"/>
      <c r="L11" s="158" t="s">
        <v>608</v>
      </c>
      <c r="M11" s="144"/>
    </row>
    <row r="12" spans="1:14" ht="18">
      <c r="A12" s="157" t="s">
        <v>751</v>
      </c>
      <c r="B12" s="142"/>
      <c r="C12" s="142"/>
      <c r="D12" s="371" t="str">
        <f>'Sch 1 '!C11</f>
        <v>APRIL 1, 2026</v>
      </c>
      <c r="E12" s="142"/>
      <c r="F12" s="158" t="s">
        <v>610</v>
      </c>
      <c r="G12" s="142"/>
      <c r="H12" s="158" t="s">
        <v>611</v>
      </c>
      <c r="I12" s="142"/>
      <c r="J12" s="158" t="s">
        <v>612</v>
      </c>
      <c r="K12" s="142"/>
      <c r="L12" s="371" t="str">
        <f>'Sch 1 '!K11</f>
        <v>APRIL 30, 2026</v>
      </c>
      <c r="M12" s="144"/>
    </row>
    <row r="13" spans="1:14" ht="9.75" customHeight="1">
      <c r="A13" s="142" t="s">
        <v>103</v>
      </c>
      <c r="B13" s="142"/>
      <c r="C13" s="142"/>
      <c r="D13" s="1083" t="s">
        <v>103</v>
      </c>
      <c r="E13" s="142"/>
      <c r="F13" s="1083" t="s">
        <v>103</v>
      </c>
      <c r="G13" s="142"/>
      <c r="H13" s="1083" t="s">
        <v>103</v>
      </c>
      <c r="I13" s="142"/>
      <c r="J13" s="1083" t="s">
        <v>103</v>
      </c>
      <c r="K13" s="142" t="s">
        <v>103</v>
      </c>
      <c r="L13" s="1083" t="s">
        <v>103</v>
      </c>
      <c r="M13" s="144"/>
    </row>
    <row r="14" spans="1:14" ht="18" customHeight="1">
      <c r="A14" s="149" t="s">
        <v>219</v>
      </c>
      <c r="B14" s="146"/>
      <c r="C14" s="146"/>
      <c r="D14" s="292"/>
      <c r="E14" s="292"/>
      <c r="F14" s="160"/>
      <c r="G14" s="138"/>
      <c r="H14" s="160"/>
      <c r="I14" s="292"/>
      <c r="J14" s="292"/>
      <c r="K14" s="292"/>
      <c r="L14" s="292"/>
      <c r="M14" s="150"/>
    </row>
    <row r="15" spans="1:14" ht="7.5" customHeight="1">
      <c r="A15" s="142"/>
      <c r="B15" s="146"/>
      <c r="C15" s="146"/>
      <c r="D15" s="292"/>
      <c r="E15" s="292"/>
      <c r="F15" s="292"/>
      <c r="G15" s="292"/>
      <c r="H15" s="292"/>
      <c r="I15" s="292"/>
      <c r="J15" s="292"/>
      <c r="K15" s="292"/>
      <c r="L15" s="292"/>
      <c r="M15" s="150"/>
    </row>
    <row r="16" spans="1:14" ht="15.75" customHeight="1">
      <c r="A16" s="146" t="s">
        <v>775</v>
      </c>
      <c r="B16" s="146"/>
      <c r="C16" s="146"/>
      <c r="D16" s="1697">
        <v>0.223</v>
      </c>
      <c r="E16" s="1651"/>
      <c r="F16" s="1697">
        <v>9.43</v>
      </c>
      <c r="G16" s="1651"/>
      <c r="H16" s="1697">
        <v>9.5709999999999997</v>
      </c>
      <c r="I16" s="1651"/>
      <c r="J16" s="1697">
        <v>0</v>
      </c>
      <c r="K16" s="589"/>
      <c r="L16" s="590">
        <f>ROUND(SUM(D16)+SUM(F16)-SUM(H16)+SUM(J16),3)</f>
        <v>8.2000000000000003E-2</v>
      </c>
      <c r="M16" s="150"/>
      <c r="N16" s="1706"/>
    </row>
    <row r="17" spans="1:14" ht="15.75" customHeight="1">
      <c r="A17" s="146" t="s">
        <v>776</v>
      </c>
      <c r="B17" s="146"/>
      <c r="C17" s="146"/>
      <c r="D17" s="1937">
        <v>2222.3270000000002</v>
      </c>
      <c r="E17" s="589"/>
      <c r="F17" s="1698">
        <v>6.8419999999999996</v>
      </c>
      <c r="G17" s="589"/>
      <c r="H17" s="1698">
        <v>0</v>
      </c>
      <c r="I17" s="589"/>
      <c r="J17" s="1698">
        <v>0</v>
      </c>
      <c r="K17" s="589"/>
      <c r="L17" s="1699">
        <f>ROUND(SUM(D17)+SUM(F17)-SUM(H17)+SUM(J17),3)</f>
        <v>2229.1689999999999</v>
      </c>
      <c r="M17" s="150"/>
      <c r="N17" s="1706"/>
    </row>
    <row r="18" spans="1:14" ht="20.149999999999999" customHeight="1">
      <c r="A18" s="142" t="s">
        <v>777</v>
      </c>
      <c r="B18" s="146"/>
      <c r="C18" s="146"/>
      <c r="D18" s="293">
        <f>ROUND(SUM(D16:D17),3)</f>
        <v>2222.5500000000002</v>
      </c>
      <c r="E18" s="294"/>
      <c r="F18" s="293">
        <f>ROUND(SUM(F16:F17),3)</f>
        <v>16.271999999999998</v>
      </c>
      <c r="G18" s="294"/>
      <c r="H18" s="293">
        <f>ROUND(SUM(H16:H17),3)</f>
        <v>9.5709999999999997</v>
      </c>
      <c r="I18" s="294"/>
      <c r="J18" s="1700">
        <f>ROUND(SUM(J16:J17),3)</f>
        <v>0</v>
      </c>
      <c r="K18" s="294"/>
      <c r="L18" s="293">
        <f>ROUND(SUM(L16:L17),3)</f>
        <v>2229.2510000000002</v>
      </c>
      <c r="M18" s="151"/>
      <c r="N18" s="1706"/>
    </row>
    <row r="19" spans="1:14" ht="12" customHeight="1">
      <c r="A19" s="142"/>
      <c r="B19" s="146"/>
      <c r="C19" s="146"/>
      <c r="D19" s="1081"/>
      <c r="E19" s="140"/>
      <c r="F19" s="1081"/>
      <c r="G19" s="140"/>
      <c r="H19" s="1081"/>
      <c r="I19" s="140"/>
      <c r="J19" s="140"/>
      <c r="K19" s="140"/>
      <c r="L19" s="1081"/>
      <c r="M19" s="150"/>
      <c r="N19" s="1706"/>
    </row>
    <row r="20" spans="1:14" ht="18" customHeight="1">
      <c r="A20" s="149" t="s">
        <v>602</v>
      </c>
      <c r="B20" s="142"/>
      <c r="C20" s="142"/>
      <c r="D20" s="294"/>
      <c r="E20" s="294"/>
      <c r="F20" s="294"/>
      <c r="G20" s="294"/>
      <c r="H20" s="294"/>
      <c r="I20" s="294"/>
      <c r="J20" s="294"/>
      <c r="K20" s="294"/>
      <c r="L20" s="294"/>
      <c r="M20" s="144"/>
      <c r="N20" s="1706"/>
    </row>
    <row r="21" spans="1:14" ht="7.5" customHeight="1">
      <c r="A21" s="142"/>
      <c r="B21" s="142"/>
      <c r="C21" s="142"/>
      <c r="D21" s="294"/>
      <c r="E21" s="294"/>
      <c r="F21" s="294"/>
      <c r="G21" s="294"/>
      <c r="H21" s="294"/>
      <c r="I21" s="294"/>
      <c r="J21" s="294"/>
      <c r="K21" s="294"/>
      <c r="L21" s="140"/>
      <c r="M21" s="144"/>
      <c r="N21" s="1706"/>
    </row>
    <row r="22" spans="1:14" ht="17.899999999999999" customHeight="1">
      <c r="A22" s="295" t="s">
        <v>778</v>
      </c>
      <c r="B22" s="142"/>
      <c r="C22" s="142"/>
      <c r="D22" s="591">
        <v>27.35</v>
      </c>
      <c r="E22" s="589"/>
      <c r="F22" s="591">
        <v>8.7999999999999995E-2</v>
      </c>
      <c r="G22" s="589"/>
      <c r="H22" s="591">
        <v>4.7E-2</v>
      </c>
      <c r="I22" s="589"/>
      <c r="J22" s="591">
        <v>0</v>
      </c>
      <c r="K22" s="589"/>
      <c r="L22" s="592">
        <f>ROUND(SUM(D22)+SUM(F22)-SUM(H22)+SUM(J22),3)</f>
        <v>27.390999999999998</v>
      </c>
      <c r="M22" s="144"/>
      <c r="N22" s="1706"/>
    </row>
    <row r="23" spans="1:14" ht="16.5" customHeight="1">
      <c r="A23" s="295" t="s">
        <v>779</v>
      </c>
      <c r="B23" s="142"/>
      <c r="C23" s="159"/>
      <c r="D23" s="591">
        <v>4.2720000000000002</v>
      </c>
      <c r="E23" s="589"/>
      <c r="F23" s="591">
        <v>7.0999999999999994E-2</v>
      </c>
      <c r="G23" s="589"/>
      <c r="H23" s="591">
        <v>5.0000000000000001E-3</v>
      </c>
      <c r="I23" s="589"/>
      <c r="J23" s="591">
        <v>0</v>
      </c>
      <c r="K23" s="589"/>
      <c r="L23" s="592">
        <f>ROUND(SUM(D23)+SUM(F23)-SUM(H23)+SUM(J23),3)</f>
        <v>4.3380000000000001</v>
      </c>
      <c r="M23" s="144"/>
      <c r="N23" s="1706"/>
    </row>
    <row r="24" spans="1:14" ht="15.75" customHeight="1">
      <c r="A24" s="295" t="s">
        <v>780</v>
      </c>
      <c r="B24" s="142"/>
      <c r="C24" s="142"/>
      <c r="D24" s="1698">
        <v>14.954000000000001</v>
      </c>
      <c r="E24" s="589"/>
      <c r="F24" s="1698">
        <v>0.13700000000000001</v>
      </c>
      <c r="G24" s="589"/>
      <c r="H24" s="1698">
        <v>8.9999999999999993E-3</v>
      </c>
      <c r="I24" s="589"/>
      <c r="J24" s="1698">
        <v>0</v>
      </c>
      <c r="K24" s="589"/>
      <c r="L24" s="1699">
        <f>ROUND(SUM(D24)+SUM(F24)-SUM(H24)+SUM(J24),3)</f>
        <v>15.082000000000001</v>
      </c>
      <c r="M24" s="144"/>
      <c r="N24" s="1706"/>
    </row>
    <row r="25" spans="1:14" ht="20.149999999999999" customHeight="1">
      <c r="A25" s="148" t="s">
        <v>781</v>
      </c>
      <c r="B25" s="142"/>
      <c r="C25" s="159"/>
      <c r="D25" s="1701">
        <f>ROUND(SUM(D22:D24),3)</f>
        <v>46.576000000000001</v>
      </c>
      <c r="E25" s="294"/>
      <c r="F25" s="1701">
        <f>ROUND(SUM(F22:F24),3)</f>
        <v>0.29599999999999999</v>
      </c>
      <c r="G25" s="294"/>
      <c r="H25" s="1701">
        <f>ROUND(SUM(H22:H24),3)</f>
        <v>6.0999999999999999E-2</v>
      </c>
      <c r="I25" s="294"/>
      <c r="J25" s="1701">
        <f>ROUND(SUM(J22:J24),3)</f>
        <v>0</v>
      </c>
      <c r="K25" s="294"/>
      <c r="L25" s="1701">
        <f>ROUND(SUM(L22:L24),3)</f>
        <v>46.811</v>
      </c>
      <c r="M25" s="152"/>
      <c r="N25" s="1706"/>
    </row>
    <row r="26" spans="1:14" ht="12" customHeight="1">
      <c r="A26" s="142"/>
      <c r="B26" s="142"/>
      <c r="C26" s="142"/>
      <c r="D26" s="294"/>
      <c r="E26" s="294"/>
      <c r="F26" s="294"/>
      <c r="G26" s="294"/>
      <c r="H26" s="294"/>
      <c r="I26" s="294"/>
      <c r="J26" s="294"/>
      <c r="K26" s="294"/>
      <c r="L26" s="294"/>
      <c r="M26" s="144"/>
      <c r="N26" s="1706"/>
    </row>
    <row r="27" spans="1:14" ht="18">
      <c r="A27" s="149" t="s">
        <v>1508</v>
      </c>
      <c r="B27" s="142"/>
      <c r="C27" s="142"/>
      <c r="D27" s="294"/>
      <c r="E27" s="294"/>
      <c r="F27" s="294"/>
      <c r="G27" s="294"/>
      <c r="H27" s="294"/>
      <c r="I27" s="294"/>
      <c r="J27" s="294"/>
      <c r="K27" s="294"/>
      <c r="L27" s="294"/>
      <c r="M27" s="144"/>
      <c r="N27" s="1706"/>
    </row>
    <row r="28" spans="1:14" ht="7.5" customHeight="1">
      <c r="A28" s="146" t="s">
        <v>103</v>
      </c>
      <c r="B28" s="146"/>
      <c r="C28" s="146"/>
      <c r="D28" s="140"/>
      <c r="E28" s="140"/>
      <c r="F28" s="140"/>
      <c r="G28" s="140"/>
      <c r="H28" s="140"/>
      <c r="I28" s="140"/>
      <c r="J28" s="140"/>
      <c r="K28" s="140"/>
      <c r="L28" s="140"/>
      <c r="M28" s="144"/>
      <c r="N28" s="1706"/>
    </row>
    <row r="29" spans="1:14" ht="16.5" customHeight="1">
      <c r="A29" s="146" t="s">
        <v>782</v>
      </c>
      <c r="B29" s="146"/>
      <c r="C29" s="146" t="s">
        <v>103</v>
      </c>
      <c r="D29" s="591">
        <v>6.0949999999999998</v>
      </c>
      <c r="E29" s="589"/>
      <c r="F29" s="591">
        <v>0.159</v>
      </c>
      <c r="G29" s="589"/>
      <c r="H29" s="591">
        <v>0</v>
      </c>
      <c r="I29" s="589"/>
      <c r="J29" s="591">
        <v>0</v>
      </c>
      <c r="K29" s="589"/>
      <c r="L29" s="592">
        <f t="shared" ref="L29:L44" si="0">ROUND(SUM(D29)+SUM(F29)-SUM(H29)+SUM(J29),3)</f>
        <v>6.2539999999999996</v>
      </c>
      <c r="M29" s="150"/>
      <c r="N29" s="1706"/>
    </row>
    <row r="30" spans="1:14" ht="15.75" customHeight="1">
      <c r="A30" s="295" t="s">
        <v>783</v>
      </c>
      <c r="B30" s="146"/>
      <c r="C30" s="146"/>
      <c r="D30" s="591">
        <v>0.755</v>
      </c>
      <c r="E30" s="589"/>
      <c r="F30" s="591">
        <v>8.0000000000000002E-3</v>
      </c>
      <c r="G30" s="589"/>
      <c r="H30" s="591">
        <v>0</v>
      </c>
      <c r="I30" s="589"/>
      <c r="J30" s="591">
        <v>0</v>
      </c>
      <c r="K30" s="589"/>
      <c r="L30" s="592">
        <f t="shared" si="0"/>
        <v>0.76300000000000001</v>
      </c>
      <c r="M30" s="150"/>
      <c r="N30" s="1706"/>
    </row>
    <row r="31" spans="1:14" ht="16.5" customHeight="1">
      <c r="A31" s="146" t="s">
        <v>784</v>
      </c>
      <c r="B31" s="146"/>
      <c r="C31" s="146"/>
      <c r="D31" s="591">
        <v>1794.635</v>
      </c>
      <c r="E31" s="589"/>
      <c r="F31" s="591">
        <v>1285.297</v>
      </c>
      <c r="G31" s="589"/>
      <c r="H31" s="591">
        <v>1385.06</v>
      </c>
      <c r="I31" s="589"/>
      <c r="J31" s="591">
        <v>0</v>
      </c>
      <c r="K31" s="589"/>
      <c r="L31" s="592">
        <f t="shared" si="0"/>
        <v>1694.8720000000001</v>
      </c>
      <c r="M31" s="150"/>
      <c r="N31" s="1706"/>
    </row>
    <row r="32" spans="1:14" ht="16.5" customHeight="1">
      <c r="A32" s="146" t="s">
        <v>785</v>
      </c>
      <c r="B32" s="146"/>
      <c r="C32" s="146" t="s">
        <v>103</v>
      </c>
      <c r="D32" s="591">
        <v>15.035</v>
      </c>
      <c r="E32" s="589"/>
      <c r="F32" s="591">
        <v>158.96899999999999</v>
      </c>
      <c r="G32" s="589"/>
      <c r="H32" s="591">
        <v>158.917</v>
      </c>
      <c r="I32" s="589"/>
      <c r="J32" s="591">
        <v>0</v>
      </c>
      <c r="K32" s="589"/>
      <c r="L32" s="592">
        <f>ROUND(SUM(D32)+SUM(F32)-SUM(H32)+SUM(J32),3)</f>
        <v>15.087</v>
      </c>
      <c r="M32" s="150"/>
      <c r="N32" s="1706"/>
    </row>
    <row r="33" spans="1:14" ht="16.5" customHeight="1">
      <c r="A33" s="146" t="s">
        <v>786</v>
      </c>
      <c r="B33" s="146"/>
      <c r="C33" s="146"/>
      <c r="D33" s="591">
        <v>-3.1819999999999999</v>
      </c>
      <c r="E33" s="589"/>
      <c r="F33" s="591">
        <v>580.54200000000003</v>
      </c>
      <c r="G33" s="589"/>
      <c r="H33" s="591">
        <v>548.221</v>
      </c>
      <c r="I33" s="589"/>
      <c r="J33" s="591">
        <v>0</v>
      </c>
      <c r="K33" s="589"/>
      <c r="L33" s="592">
        <f t="shared" si="0"/>
        <v>29.138999999999999</v>
      </c>
      <c r="M33" s="150"/>
      <c r="N33" s="1706"/>
    </row>
    <row r="34" spans="1:14" ht="16.5" customHeight="1">
      <c r="A34" s="146" t="s">
        <v>787</v>
      </c>
      <c r="B34" s="146"/>
      <c r="C34" s="146" t="s">
        <v>103</v>
      </c>
      <c r="D34" s="591">
        <v>37.89</v>
      </c>
      <c r="E34" s="589"/>
      <c r="F34" s="591">
        <v>7.3849999999999998</v>
      </c>
      <c r="G34" s="589"/>
      <c r="H34" s="591">
        <v>18.568000000000001</v>
      </c>
      <c r="I34" s="589"/>
      <c r="J34" s="591">
        <v>0</v>
      </c>
      <c r="K34" s="589"/>
      <c r="L34" s="592">
        <f t="shared" si="0"/>
        <v>26.707000000000001</v>
      </c>
      <c r="M34" s="150"/>
      <c r="N34" s="1706"/>
    </row>
    <row r="35" spans="1:14" ht="15.75" customHeight="1">
      <c r="A35" s="146" t="s">
        <v>788</v>
      </c>
      <c r="B35" s="146"/>
      <c r="C35" s="146"/>
      <c r="D35" s="591">
        <v>1.5720000000000001</v>
      </c>
      <c r="E35" s="589"/>
      <c r="F35" s="591">
        <v>0.83199999999999996</v>
      </c>
      <c r="G35" s="589"/>
      <c r="H35" s="591">
        <v>0.97199999999999998</v>
      </c>
      <c r="I35" s="589"/>
      <c r="J35" s="591">
        <v>0</v>
      </c>
      <c r="K35" s="589"/>
      <c r="L35" s="592">
        <f t="shared" si="0"/>
        <v>1.4319999999999999</v>
      </c>
      <c r="M35" s="150"/>
      <c r="N35" s="1706"/>
    </row>
    <row r="36" spans="1:14" ht="15.75" customHeight="1">
      <c r="A36" s="146" t="s">
        <v>789</v>
      </c>
      <c r="B36" s="146"/>
      <c r="C36" s="146"/>
      <c r="D36" s="591">
        <v>623.21</v>
      </c>
      <c r="E36" s="589"/>
      <c r="F36" s="591">
        <v>87.046000000000006</v>
      </c>
      <c r="G36" s="589"/>
      <c r="H36" s="591">
        <v>81.054999999999993</v>
      </c>
      <c r="I36" s="589"/>
      <c r="J36" s="591">
        <v>0</v>
      </c>
      <c r="K36" s="589"/>
      <c r="L36" s="592">
        <f t="shared" si="0"/>
        <v>629.20100000000002</v>
      </c>
      <c r="M36" s="154"/>
      <c r="N36" s="1706"/>
    </row>
    <row r="37" spans="1:14" ht="16.5" customHeight="1">
      <c r="A37" s="146" t="s">
        <v>790</v>
      </c>
      <c r="B37" s="146"/>
      <c r="C37" s="146"/>
      <c r="D37" s="591">
        <v>2.1999999999999999E-2</v>
      </c>
      <c r="E37" s="589"/>
      <c r="F37" s="591">
        <v>0</v>
      </c>
      <c r="G37" s="589"/>
      <c r="H37" s="591">
        <v>0</v>
      </c>
      <c r="I37" s="589"/>
      <c r="J37" s="591">
        <v>0</v>
      </c>
      <c r="K37" s="589"/>
      <c r="L37" s="592">
        <f t="shared" si="0"/>
        <v>2.1999999999999999E-2</v>
      </c>
      <c r="M37" s="150"/>
      <c r="N37" s="1706"/>
    </row>
    <row r="38" spans="1:14" ht="16.5" customHeight="1">
      <c r="A38" s="146" t="s">
        <v>791</v>
      </c>
      <c r="B38" s="146"/>
      <c r="C38" s="146"/>
      <c r="D38" s="591">
        <v>1083.5940000000001</v>
      </c>
      <c r="E38" s="589"/>
      <c r="F38" s="591">
        <v>938.83799999999997</v>
      </c>
      <c r="G38" s="589"/>
      <c r="H38" s="591">
        <v>1099.796</v>
      </c>
      <c r="I38" s="589"/>
      <c r="J38" s="591">
        <v>0</v>
      </c>
      <c r="K38" s="589"/>
      <c r="L38" s="592">
        <f t="shared" si="0"/>
        <v>922.63599999999997</v>
      </c>
      <c r="M38" s="150"/>
      <c r="N38" s="1706"/>
    </row>
    <row r="39" spans="1:14" ht="16.5" customHeight="1">
      <c r="A39" s="146" t="s">
        <v>792</v>
      </c>
      <c r="B39" s="146"/>
      <c r="C39" s="146"/>
      <c r="D39" s="591">
        <v>34.866999999999997</v>
      </c>
      <c r="E39" s="589"/>
      <c r="F39" s="591">
        <v>0.90300000000000002</v>
      </c>
      <c r="G39" s="589"/>
      <c r="H39" s="591">
        <v>1.087</v>
      </c>
      <c r="I39" s="589"/>
      <c r="J39" s="591">
        <v>0</v>
      </c>
      <c r="K39" s="589"/>
      <c r="L39" s="592">
        <f t="shared" si="0"/>
        <v>34.683</v>
      </c>
      <c r="M39" s="150"/>
      <c r="N39" s="1706"/>
    </row>
    <row r="40" spans="1:14" ht="16.5" customHeight="1">
      <c r="A40" s="146" t="s">
        <v>793</v>
      </c>
      <c r="B40" s="146"/>
      <c r="C40" s="146"/>
      <c r="D40" s="591">
        <v>1747.345</v>
      </c>
      <c r="E40" s="589"/>
      <c r="F40" s="591">
        <v>12260.424000000001</v>
      </c>
      <c r="G40" s="589"/>
      <c r="H40" s="591">
        <v>13777.773999999999</v>
      </c>
      <c r="I40" s="589"/>
      <c r="J40" s="591">
        <v>0</v>
      </c>
      <c r="K40" s="589"/>
      <c r="L40" s="592">
        <f t="shared" si="0"/>
        <v>229.995</v>
      </c>
      <c r="M40" s="150"/>
      <c r="N40" s="1706"/>
    </row>
    <row r="41" spans="1:14" ht="15.75" customHeight="1">
      <c r="A41" s="146" t="s">
        <v>794</v>
      </c>
      <c r="B41" s="146"/>
      <c r="C41" s="146"/>
      <c r="D41" s="591">
        <v>0</v>
      </c>
      <c r="E41" s="589"/>
      <c r="F41" s="591">
        <v>0</v>
      </c>
      <c r="G41" s="589"/>
      <c r="H41" s="591">
        <v>0</v>
      </c>
      <c r="I41" s="589"/>
      <c r="J41" s="591">
        <v>0</v>
      </c>
      <c r="K41" s="589"/>
      <c r="L41" s="592">
        <f t="shared" si="0"/>
        <v>0</v>
      </c>
      <c r="M41" s="150"/>
      <c r="N41" s="1706"/>
    </row>
    <row r="42" spans="1:14" ht="15.75" customHeight="1">
      <c r="A42" s="146" t="s">
        <v>795</v>
      </c>
      <c r="B42" s="146"/>
      <c r="C42" s="146"/>
      <c r="D42" s="591">
        <v>166.351</v>
      </c>
      <c r="E42" s="589"/>
      <c r="F42" s="591">
        <v>-49.54</v>
      </c>
      <c r="G42" s="589"/>
      <c r="H42" s="591">
        <v>0</v>
      </c>
      <c r="I42" s="589"/>
      <c r="J42" s="591">
        <v>0</v>
      </c>
      <c r="K42" s="589"/>
      <c r="L42" s="592">
        <f t="shared" si="0"/>
        <v>116.81100000000001</v>
      </c>
      <c r="M42" s="150"/>
      <c r="N42" s="1706"/>
    </row>
    <row r="43" spans="1:14" ht="15.75" customHeight="1">
      <c r="A43" s="146" t="s">
        <v>796</v>
      </c>
      <c r="B43" s="146"/>
      <c r="C43" s="146"/>
      <c r="D43" s="591">
        <v>-0.68700000000000006</v>
      </c>
      <c r="E43" s="589"/>
      <c r="F43" s="591">
        <v>6.7670000000000003</v>
      </c>
      <c r="G43" s="589"/>
      <c r="H43" s="591">
        <v>7.3369999999999997</v>
      </c>
      <c r="I43" s="589"/>
      <c r="J43" s="591">
        <v>0</v>
      </c>
      <c r="K43" s="589"/>
      <c r="L43" s="592">
        <f t="shared" si="0"/>
        <v>-1.2569999999999999</v>
      </c>
      <c r="M43" s="150"/>
      <c r="N43" s="1706"/>
    </row>
    <row r="44" spans="1:14" ht="18" customHeight="1">
      <c r="A44" s="146" t="s">
        <v>797</v>
      </c>
      <c r="B44" s="146"/>
      <c r="C44" s="146"/>
      <c r="D44" s="591">
        <v>0</v>
      </c>
      <c r="E44" s="589"/>
      <c r="F44" s="591">
        <v>0</v>
      </c>
      <c r="G44" s="589"/>
      <c r="H44" s="591">
        <v>0</v>
      </c>
      <c r="I44" s="589"/>
      <c r="J44" s="591">
        <v>0</v>
      </c>
      <c r="K44" s="589"/>
      <c r="L44" s="592">
        <f t="shared" si="0"/>
        <v>0</v>
      </c>
      <c r="M44" s="150"/>
      <c r="N44" s="1706"/>
    </row>
    <row r="45" spans="1:14" ht="20.149999999999999" customHeight="1">
      <c r="A45" s="142" t="s">
        <v>1513</v>
      </c>
      <c r="B45" s="146"/>
      <c r="C45" s="146"/>
      <c r="D45" s="1702">
        <f>ROUND(SUM(D29:D44),3)</f>
        <v>5507.5020000000004</v>
      </c>
      <c r="E45" s="293"/>
      <c r="F45" s="1702">
        <f>ROUND(SUM(F29:F44),3)</f>
        <v>15277.63</v>
      </c>
      <c r="G45" s="293"/>
      <c r="H45" s="1702">
        <f>ROUND(SUM(H29:H44),3)</f>
        <v>17078.787</v>
      </c>
      <c r="I45" s="293"/>
      <c r="J45" s="1702">
        <f>ROUND(SUM(J29:J44),3)</f>
        <v>0</v>
      </c>
      <c r="K45" s="293"/>
      <c r="L45" s="1702">
        <f>ROUND(SUM(L29:L44),3)</f>
        <v>3706.3449999999998</v>
      </c>
      <c r="M45" s="151"/>
      <c r="N45" s="1706"/>
    </row>
    <row r="46" spans="1:14" ht="12" customHeight="1">
      <c r="A46" s="142"/>
      <c r="B46" s="146"/>
      <c r="C46" s="146"/>
      <c r="D46" s="1081" t="s">
        <v>103</v>
      </c>
      <c r="E46" s="140"/>
      <c r="F46" s="1081" t="s">
        <v>103</v>
      </c>
      <c r="G46" s="140"/>
      <c r="H46" s="1081" t="s">
        <v>103</v>
      </c>
      <c r="I46" s="140"/>
      <c r="J46" s="140" t="s">
        <v>103</v>
      </c>
      <c r="K46" s="140"/>
      <c r="L46" s="1081" t="s">
        <v>103</v>
      </c>
      <c r="M46" s="150"/>
      <c r="N46" s="1706"/>
    </row>
    <row r="47" spans="1:14" ht="12" customHeight="1">
      <c r="A47" s="142"/>
      <c r="B47" s="146"/>
      <c r="C47" s="146"/>
      <c r="D47" s="296"/>
      <c r="E47" s="296"/>
      <c r="F47" s="296"/>
      <c r="G47" s="296"/>
      <c r="H47" s="296"/>
      <c r="I47" s="296"/>
      <c r="J47" s="296"/>
      <c r="K47" s="296"/>
      <c r="L47" s="296"/>
      <c r="M47" s="150"/>
      <c r="N47" s="1706"/>
    </row>
    <row r="48" spans="1:14" ht="18.5" thickBot="1">
      <c r="A48" s="142" t="s">
        <v>798</v>
      </c>
      <c r="B48" s="146"/>
      <c r="C48" s="159"/>
      <c r="D48" s="1703">
        <f>ROUND(D18+D25+D45,3)</f>
        <v>7776.6279999999997</v>
      </c>
      <c r="E48" s="297"/>
      <c r="F48" s="1703">
        <f>ROUND(F18+F25+F45,3)</f>
        <v>15294.198</v>
      </c>
      <c r="G48" s="297"/>
      <c r="H48" s="1703">
        <f>ROUND(H18+H25+H45,3)</f>
        <v>17088.419000000002</v>
      </c>
      <c r="I48" s="1704"/>
      <c r="J48" s="1703">
        <f>ROUND(J18+J25+J45,3)</f>
        <v>0</v>
      </c>
      <c r="K48" s="297"/>
      <c r="L48" s="1703">
        <f>ROUND(L18+L25+L45,3)</f>
        <v>5982.4070000000002</v>
      </c>
      <c r="M48" s="151"/>
      <c r="N48" s="1706"/>
    </row>
    <row r="49" spans="1:13" ht="12" customHeight="1" thickTop="1">
      <c r="A49" s="146"/>
      <c r="B49" s="146"/>
      <c r="C49" s="146"/>
      <c r="D49" s="1705" t="s">
        <v>103</v>
      </c>
      <c r="E49" s="292"/>
      <c r="F49" s="1705" t="s">
        <v>103</v>
      </c>
      <c r="G49" s="292"/>
      <c r="H49" s="1705" t="s">
        <v>103</v>
      </c>
      <c r="I49" s="292"/>
      <c r="J49" s="292" t="s">
        <v>103</v>
      </c>
      <c r="K49" s="292"/>
      <c r="L49" s="1705" t="s">
        <v>103</v>
      </c>
      <c r="M49" s="150"/>
    </row>
    <row r="50" spans="1:13" ht="15.75" customHeight="1">
      <c r="A50" s="298"/>
      <c r="B50" s="146"/>
      <c r="C50" s="146"/>
      <c r="D50" s="146"/>
      <c r="E50" s="146"/>
      <c r="F50" s="146"/>
      <c r="G50" s="146"/>
      <c r="H50" s="146"/>
      <c r="I50" s="146"/>
      <c r="J50" s="146" t="s">
        <v>103</v>
      </c>
      <c r="K50" s="146"/>
      <c r="L50" s="146"/>
      <c r="M50" s="146"/>
    </row>
    <row r="51" spans="1:13" ht="18">
      <c r="A51" s="146"/>
      <c r="B51" s="146"/>
      <c r="C51" s="146"/>
      <c r="D51" s="153"/>
      <c r="E51" s="146"/>
      <c r="F51" s="591" t="s">
        <v>103</v>
      </c>
      <c r="G51" s="146"/>
      <c r="H51" s="146"/>
      <c r="I51" s="146"/>
      <c r="J51" s="146" t="s">
        <v>103</v>
      </c>
      <c r="K51" s="146"/>
      <c r="L51" s="155"/>
      <c r="M51" s="146"/>
    </row>
    <row r="52" spans="1:13" ht="18">
      <c r="A52" s="153"/>
      <c r="B52" s="146"/>
      <c r="C52" s="146"/>
      <c r="D52" s="146"/>
      <c r="E52" s="146"/>
      <c r="F52" s="146"/>
      <c r="G52" s="146"/>
      <c r="H52" s="146"/>
      <c r="I52" s="146"/>
      <c r="J52" s="146" t="s">
        <v>103</v>
      </c>
      <c r="K52" s="146"/>
      <c r="L52" s="146"/>
      <c r="M52" s="146"/>
    </row>
    <row r="53" spans="1:13" ht="18">
      <c r="A53" s="153"/>
      <c r="B53" s="146"/>
      <c r="C53" s="146"/>
      <c r="D53" s="146"/>
      <c r="E53" s="146"/>
      <c r="F53" s="146"/>
      <c r="G53" s="146"/>
      <c r="H53" s="146"/>
      <c r="I53" s="146"/>
      <c r="J53" s="146"/>
      <c r="K53" s="146"/>
      <c r="L53" s="146"/>
      <c r="M53" s="146"/>
    </row>
    <row r="54" spans="1:13" ht="18">
      <c r="A54" s="153"/>
      <c r="B54" s="146"/>
      <c r="C54" s="146"/>
      <c r="D54" s="146"/>
      <c r="E54" s="146"/>
      <c r="F54" s="146"/>
      <c r="G54" s="146"/>
      <c r="H54" s="146"/>
      <c r="I54" s="146"/>
      <c r="J54" s="146"/>
      <c r="K54" s="146"/>
      <c r="L54" s="146"/>
      <c r="M54" s="146"/>
    </row>
    <row r="55" spans="1:13" ht="18">
      <c r="A55" s="153"/>
      <c r="B55" s="146"/>
      <c r="C55" s="146"/>
      <c r="D55" s="146"/>
      <c r="E55" s="146"/>
      <c r="F55" s="146"/>
      <c r="G55" s="146"/>
      <c r="H55" s="146"/>
      <c r="I55" s="146"/>
      <c r="J55" s="146"/>
      <c r="K55" s="146"/>
      <c r="L55" s="146"/>
      <c r="M55" s="146"/>
    </row>
    <row r="56" spans="1:13" ht="18">
      <c r="A56" s="153"/>
      <c r="B56" s="146"/>
      <c r="C56" s="146"/>
      <c r="D56" s="146"/>
      <c r="E56" s="146"/>
      <c r="F56" s="146"/>
      <c r="G56" s="146"/>
      <c r="H56" s="146"/>
      <c r="I56" s="146"/>
      <c r="J56" s="146"/>
      <c r="K56" s="146"/>
      <c r="L56" s="146"/>
      <c r="M56" s="146"/>
    </row>
    <row r="57" spans="1:13" ht="17.5">
      <c r="A57" s="146"/>
      <c r="B57" s="146"/>
      <c r="C57" s="146"/>
      <c r="D57" s="146"/>
      <c r="E57" s="146"/>
      <c r="F57" s="146"/>
      <c r="G57" s="146"/>
      <c r="H57" s="146"/>
      <c r="I57" s="146"/>
      <c r="J57" s="146"/>
      <c r="K57" s="146"/>
      <c r="L57" s="146"/>
      <c r="M57" s="146"/>
    </row>
    <row r="58" spans="1:13" ht="17.5">
      <c r="A58" s="146"/>
      <c r="B58" s="146"/>
      <c r="C58" s="146"/>
      <c r="D58" s="146"/>
      <c r="E58" s="146"/>
      <c r="F58" s="146"/>
      <c r="G58" s="146"/>
      <c r="H58" s="146"/>
      <c r="I58" s="146"/>
      <c r="J58" s="146"/>
      <c r="K58" s="146"/>
      <c r="L58" s="146"/>
      <c r="M58" s="146"/>
    </row>
    <row r="59" spans="1:13" ht="17.5">
      <c r="A59" s="146"/>
      <c r="B59" s="146"/>
      <c r="C59" s="146"/>
      <c r="D59" s="146"/>
      <c r="E59" s="146"/>
      <c r="F59" s="146"/>
      <c r="G59" s="146"/>
      <c r="H59" s="146"/>
      <c r="I59" s="146"/>
      <c r="J59" s="146"/>
      <c r="K59" s="146"/>
      <c r="L59" s="146"/>
      <c r="M59" s="146"/>
    </row>
    <row r="60" spans="1:13" ht="17.5">
      <c r="A60" s="146"/>
      <c r="B60" s="146"/>
      <c r="C60" s="146"/>
      <c r="D60" s="146"/>
      <c r="E60" s="146"/>
      <c r="F60" s="146"/>
      <c r="G60" s="146"/>
      <c r="H60" s="146"/>
      <c r="I60" s="146"/>
      <c r="J60" s="146"/>
      <c r="K60" s="146"/>
      <c r="L60" s="146"/>
      <c r="M60" s="146"/>
    </row>
    <row r="61" spans="1:13" ht="18">
      <c r="A61" s="146"/>
      <c r="B61" s="146"/>
      <c r="C61" s="146"/>
      <c r="D61" s="156"/>
      <c r="E61" s="146"/>
      <c r="F61" s="146"/>
      <c r="G61" s="146"/>
      <c r="H61" s="146"/>
      <c r="I61" s="146"/>
      <c r="J61" s="156"/>
      <c r="K61" s="146"/>
      <c r="L61" s="156"/>
      <c r="M61" s="146"/>
    </row>
    <row r="62" spans="1:13" ht="18">
      <c r="A62" s="146"/>
      <c r="B62" s="146"/>
      <c r="C62" s="146"/>
      <c r="D62" s="156"/>
      <c r="E62" s="146"/>
      <c r="F62" s="146"/>
      <c r="G62" s="146"/>
      <c r="H62" s="146"/>
      <c r="I62" s="146"/>
      <c r="J62" s="156"/>
      <c r="K62" s="146"/>
      <c r="L62" s="156"/>
      <c r="M62" s="146"/>
    </row>
    <row r="63" spans="1:13" ht="18">
      <c r="A63" s="157"/>
      <c r="B63" s="146"/>
      <c r="C63" s="146"/>
      <c r="D63" s="158"/>
      <c r="E63" s="146"/>
      <c r="F63" s="158"/>
      <c r="G63" s="146"/>
      <c r="H63" s="158"/>
      <c r="I63" s="146"/>
      <c r="J63" s="158"/>
      <c r="K63" s="146"/>
      <c r="L63" s="158"/>
      <c r="M63" s="146"/>
    </row>
    <row r="64" spans="1:13" ht="17.5">
      <c r="A64" s="146"/>
      <c r="B64" s="146"/>
      <c r="C64" s="146"/>
      <c r="D64" s="146"/>
      <c r="E64" s="146"/>
      <c r="F64" s="146"/>
      <c r="G64" s="146"/>
      <c r="H64" s="146"/>
      <c r="I64" s="146"/>
      <c r="J64" s="146"/>
      <c r="K64" s="146"/>
      <c r="L64" s="146"/>
      <c r="M64" s="146"/>
    </row>
    <row r="65" spans="1:13" ht="18">
      <c r="A65" s="149"/>
      <c r="B65" s="146"/>
      <c r="C65" s="146"/>
      <c r="D65" s="146"/>
      <c r="E65" s="146"/>
      <c r="F65" s="146"/>
      <c r="G65" s="146"/>
      <c r="H65" s="146"/>
      <c r="I65" s="146"/>
      <c r="J65" s="146"/>
      <c r="K65" s="146"/>
      <c r="L65" s="146"/>
      <c r="M65" s="146"/>
    </row>
    <row r="66" spans="1:13" ht="17.5">
      <c r="A66" s="146"/>
      <c r="B66" s="146"/>
      <c r="C66" s="146"/>
      <c r="D66" s="146"/>
      <c r="E66" s="146"/>
      <c r="F66" s="146"/>
      <c r="G66" s="146"/>
      <c r="H66" s="146"/>
      <c r="I66" s="146"/>
      <c r="J66" s="146"/>
      <c r="K66" s="146"/>
      <c r="L66" s="146"/>
      <c r="M66" s="146"/>
    </row>
    <row r="67" spans="1:13" ht="20.149999999999999" customHeight="1">
      <c r="A67" s="146"/>
      <c r="B67" s="146"/>
      <c r="C67" s="159"/>
      <c r="D67" s="160"/>
      <c r="E67" s="159"/>
      <c r="F67" s="1152"/>
      <c r="G67" s="159"/>
      <c r="H67" s="1153"/>
      <c r="I67" s="159"/>
      <c r="J67" s="161"/>
      <c r="K67" s="159"/>
      <c r="L67" s="160"/>
      <c r="M67" s="146"/>
    </row>
    <row r="68" spans="1:13" ht="20.149999999999999" customHeight="1">
      <c r="A68" s="146"/>
      <c r="B68" s="146"/>
      <c r="C68" s="146"/>
      <c r="D68" s="160"/>
      <c r="E68" s="146"/>
      <c r="F68" s="146"/>
      <c r="G68" s="146"/>
      <c r="H68" s="1153"/>
      <c r="I68" s="146"/>
      <c r="J68" s="161"/>
      <c r="K68" s="146"/>
      <c r="L68" s="160"/>
      <c r="M68" s="146"/>
    </row>
    <row r="69" spans="1:13" ht="20.149999999999999" customHeight="1">
      <c r="A69" s="146"/>
      <c r="B69" s="146"/>
      <c r="C69" s="146"/>
      <c r="D69" s="160"/>
      <c r="E69" s="146"/>
      <c r="F69" s="146"/>
      <c r="G69" s="146"/>
      <c r="H69" s="1154"/>
      <c r="I69" s="146"/>
      <c r="J69" s="161"/>
      <c r="K69" s="146"/>
      <c r="L69" s="160"/>
      <c r="M69" s="146"/>
    </row>
    <row r="70" spans="1:13" ht="20.149999999999999" customHeight="1">
      <c r="A70" s="146"/>
      <c r="B70" s="146"/>
      <c r="C70" s="146"/>
      <c r="D70" s="160"/>
      <c r="E70" s="146"/>
      <c r="F70" s="146"/>
      <c r="G70" s="146"/>
      <c r="H70" s="1153"/>
      <c r="I70" s="146"/>
      <c r="J70" s="161"/>
      <c r="K70" s="146"/>
      <c r="L70" s="160"/>
      <c r="M70" s="146"/>
    </row>
    <row r="71" spans="1:13" ht="20.149999999999999" customHeight="1">
      <c r="A71" s="146"/>
      <c r="B71" s="146"/>
      <c r="C71" s="146"/>
      <c r="D71" s="160"/>
      <c r="E71" s="146"/>
      <c r="F71" s="146"/>
      <c r="G71" s="146"/>
      <c r="H71" s="1153"/>
      <c r="I71" s="146"/>
      <c r="J71" s="161"/>
      <c r="K71" s="146"/>
      <c r="L71" s="160"/>
      <c r="M71" s="146"/>
    </row>
    <row r="72" spans="1:13" ht="20.149999999999999" customHeight="1">
      <c r="A72" s="146"/>
      <c r="B72" s="146"/>
      <c r="C72" s="146"/>
      <c r="D72" s="160"/>
      <c r="E72" s="146"/>
      <c r="F72" s="146"/>
      <c r="G72" s="146"/>
      <c r="H72" s="1155"/>
      <c r="I72" s="146"/>
      <c r="J72" s="161"/>
      <c r="K72" s="146"/>
      <c r="L72" s="160"/>
      <c r="M72" s="146"/>
    </row>
    <row r="73" spans="1:13" ht="17.5">
      <c r="A73" s="299"/>
      <c r="B73" s="146"/>
      <c r="C73" s="146"/>
      <c r="D73" s="146"/>
      <c r="E73" s="146"/>
      <c r="F73" s="146"/>
      <c r="G73" s="146"/>
      <c r="H73" s="146"/>
      <c r="I73" s="146"/>
      <c r="J73" s="146"/>
      <c r="K73" s="146"/>
      <c r="L73" s="146"/>
      <c r="M73" s="146"/>
    </row>
    <row r="74" spans="1:13" ht="17.5">
      <c r="A74" s="162"/>
      <c r="B74" s="146"/>
      <c r="C74" s="146"/>
      <c r="D74" s="146"/>
      <c r="E74" s="146"/>
      <c r="F74" s="146"/>
      <c r="G74" s="146"/>
      <c r="H74" s="146"/>
      <c r="I74" s="146"/>
      <c r="J74" s="146"/>
      <c r="K74" s="146"/>
      <c r="L74" s="146"/>
      <c r="M74" s="146"/>
    </row>
    <row r="75" spans="1:13" ht="17.5">
      <c r="A75" s="146"/>
      <c r="B75" s="146"/>
      <c r="C75" s="146"/>
      <c r="D75" s="146"/>
      <c r="E75" s="146"/>
      <c r="F75" s="146"/>
      <c r="G75" s="146"/>
      <c r="H75" s="146"/>
      <c r="I75" s="146"/>
      <c r="J75" s="146"/>
      <c r="K75" s="146"/>
      <c r="L75" s="146"/>
      <c r="M75" s="146"/>
    </row>
    <row r="76" spans="1:13" ht="17.5">
      <c r="A76" s="146"/>
      <c r="B76" s="146"/>
      <c r="C76" s="146"/>
      <c r="D76" s="146"/>
      <c r="E76" s="146"/>
      <c r="F76" s="146"/>
      <c r="G76" s="146"/>
      <c r="H76" s="146"/>
      <c r="I76" s="146"/>
      <c r="J76" s="146"/>
      <c r="K76" s="146"/>
      <c r="L76" s="146"/>
      <c r="M76" s="146"/>
    </row>
    <row r="77" spans="1:13" ht="17.5">
      <c r="A77" s="146"/>
      <c r="B77" s="146"/>
      <c r="C77" s="146"/>
      <c r="D77" s="146"/>
      <c r="E77" s="146"/>
      <c r="F77" s="146"/>
      <c r="G77" s="146"/>
      <c r="H77" s="146"/>
      <c r="I77" s="146"/>
      <c r="J77" s="146"/>
      <c r="K77" s="146"/>
      <c r="L77" s="146"/>
      <c r="M77" s="146"/>
    </row>
    <row r="78" spans="1:13" ht="17.5">
      <c r="A78" s="146"/>
      <c r="B78" s="146"/>
      <c r="C78" s="146"/>
      <c r="D78" s="146"/>
      <c r="E78" s="146"/>
      <c r="F78" s="146"/>
      <c r="G78" s="146"/>
      <c r="H78" s="146"/>
      <c r="I78" s="146"/>
      <c r="J78" s="146"/>
      <c r="K78" s="146"/>
      <c r="L78" s="146"/>
      <c r="M78" s="146"/>
    </row>
    <row r="79" spans="1:13" ht="17.5">
      <c r="A79" s="146"/>
      <c r="B79" s="146"/>
      <c r="C79" s="146"/>
      <c r="D79" s="146"/>
      <c r="E79" s="146"/>
      <c r="F79" s="146"/>
      <c r="G79" s="146"/>
      <c r="H79" s="146"/>
      <c r="I79" s="146"/>
      <c r="J79" s="146"/>
      <c r="K79" s="146"/>
      <c r="L79" s="146"/>
      <c r="M79" s="146"/>
    </row>
    <row r="80" spans="1:13" ht="17.5">
      <c r="A80" s="299"/>
      <c r="B80" s="146"/>
      <c r="C80" s="146"/>
      <c r="D80" s="146"/>
      <c r="E80" s="146"/>
      <c r="F80" s="146"/>
      <c r="G80" s="146"/>
      <c r="H80" s="146"/>
      <c r="I80" s="146"/>
      <c r="J80" s="146"/>
      <c r="K80" s="146"/>
      <c r="L80" s="146"/>
      <c r="M80" s="146"/>
    </row>
    <row r="81" spans="1:13" s="146" customFormat="1" ht="17.5"/>
    <row r="82" spans="1:13" ht="17.5">
      <c r="A82" s="146"/>
      <c r="B82" s="146"/>
      <c r="C82" s="146"/>
      <c r="D82" s="146"/>
      <c r="E82" s="146"/>
      <c r="F82" s="146"/>
      <c r="G82" s="146"/>
      <c r="H82" s="146"/>
      <c r="I82" s="146"/>
      <c r="J82" s="146"/>
      <c r="K82" s="146"/>
      <c r="L82" s="146"/>
      <c r="M82" s="146"/>
    </row>
    <row r="83" spans="1:13" s="146" customFormat="1" ht="17.5"/>
    <row r="84" spans="1:13" s="146" customFormat="1" ht="17.5"/>
    <row r="85" spans="1:13" s="146" customFormat="1" ht="17.5"/>
    <row r="86" spans="1:13" ht="17.5">
      <c r="A86" s="146"/>
      <c r="B86" s="146"/>
      <c r="C86" s="146"/>
      <c r="D86" s="146"/>
      <c r="E86" s="146"/>
      <c r="F86" s="146"/>
      <c r="G86" s="146"/>
      <c r="H86" s="146"/>
      <c r="I86" s="146"/>
      <c r="J86" s="146"/>
      <c r="K86" s="146"/>
      <c r="L86" s="146"/>
      <c r="M86" s="146"/>
    </row>
    <row r="87" spans="1:13" s="146" customFormat="1" ht="17.5"/>
    <row r="88" spans="1:13" s="146" customFormat="1" ht="17.5"/>
    <row r="89" spans="1:13" s="146" customFormat="1" ht="17.5"/>
    <row r="90" spans="1:13" s="146" customFormat="1" ht="17.5"/>
    <row r="91" spans="1:13" s="146" customFormat="1" ht="17.5"/>
    <row r="92" spans="1:13" s="146" customFormat="1" ht="17.5"/>
    <row r="93" spans="1:13" s="146" customFormat="1" ht="17.5"/>
    <row r="94" spans="1:13" s="146" customFormat="1" ht="17.5"/>
    <row r="95" spans="1:13" s="146" customFormat="1" ht="17.5"/>
    <row r="96" spans="1:13" s="146" customFormat="1" ht="17.5"/>
    <row r="97" s="146" customFormat="1" ht="17.5"/>
    <row r="98" s="146" customFormat="1" ht="17.5"/>
    <row r="99" s="146" customFormat="1" ht="17.5"/>
    <row r="100" s="146" customFormat="1" ht="17.5"/>
    <row r="101" s="146" customFormat="1" ht="17.5"/>
    <row r="102" s="146" customFormat="1" ht="17.5"/>
    <row r="103" s="146" customFormat="1" ht="17.5"/>
    <row r="104" s="146" customFormat="1" ht="17.5"/>
    <row r="105" s="146" customFormat="1" ht="17.5"/>
    <row r="106" s="146" customFormat="1" ht="17.5"/>
    <row r="107" s="146" customFormat="1" ht="17.5"/>
    <row r="108" s="146" customFormat="1" ht="17.5"/>
    <row r="109" s="146" customFormat="1" ht="17.5"/>
    <row r="110" s="146" customFormat="1" ht="17.5"/>
    <row r="111" s="146" customFormat="1" ht="17.5"/>
    <row r="112" s="146" customFormat="1" ht="17.5"/>
    <row r="113" s="146" customFormat="1" ht="17.5"/>
    <row r="114" s="146" customFormat="1" ht="17.5"/>
    <row r="115" s="146" customFormat="1" ht="17.5"/>
    <row r="116" s="146" customFormat="1" ht="17.5"/>
    <row r="117" s="146" customFormat="1" ht="17.5"/>
    <row r="118" s="146" customFormat="1" ht="17.5"/>
    <row r="119" s="146" customFormat="1" ht="17.5"/>
    <row r="120" s="146" customFormat="1" ht="17.5"/>
    <row r="121" s="146" customFormat="1" ht="17.5"/>
    <row r="122" s="146" customFormat="1" ht="17.5"/>
    <row r="123" s="146" customFormat="1" ht="17.5"/>
    <row r="124" s="146" customFormat="1" ht="17.5"/>
    <row r="125" s="146" customFormat="1" ht="17.5"/>
    <row r="126" s="146" customFormat="1" ht="17.5"/>
    <row r="127" s="146" customFormat="1" ht="17.5"/>
    <row r="128" s="146" customFormat="1" ht="17.5"/>
    <row r="129" s="146" customFormat="1" ht="17.5"/>
    <row r="130" s="146" customFormat="1" ht="17.5"/>
    <row r="131" s="146" customFormat="1" ht="17.5"/>
    <row r="132" s="146" customFormat="1" ht="17.5"/>
    <row r="133" s="146" customFormat="1" ht="17.5"/>
    <row r="134" s="146" customFormat="1" ht="17.5"/>
    <row r="135" s="146" customFormat="1" ht="17.5"/>
    <row r="136" s="146" customFormat="1" ht="17.5"/>
  </sheetData>
  <printOptions horizontalCentered="1"/>
  <pageMargins left="0.5" right="0.5" top="0.5" bottom="0.5" header="0" footer="0.25"/>
  <pageSetup scale="57" firstPageNumber="42"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1"/>
  <sheetViews>
    <sheetView showGridLines="0" zoomScale="90" workbookViewId="0"/>
  </sheetViews>
  <sheetFormatPr defaultColWidth="8.84375" defaultRowHeight="12.5"/>
  <cols>
    <col min="1" max="1" width="53.53515625" style="630" customWidth="1"/>
    <col min="2" max="2" width="1.84375" style="630" customWidth="1"/>
    <col min="3" max="3" width="2.84375" style="630" customWidth="1"/>
    <col min="4" max="4" width="20.84375" style="630" customWidth="1"/>
    <col min="5" max="5" width="5.84375" style="630" customWidth="1"/>
    <col min="6" max="6" width="20.84375" style="630" customWidth="1"/>
    <col min="7" max="7" width="5.84375" style="630" customWidth="1"/>
    <col min="8" max="8" width="20.84375" style="630" customWidth="1"/>
    <col min="9" max="9" width="5.84375" style="630" customWidth="1"/>
    <col min="10" max="10" width="20.84375" style="630" customWidth="1"/>
    <col min="11" max="11" width="1.07421875" style="630" customWidth="1"/>
    <col min="12" max="16384" width="8.84375" style="630"/>
  </cols>
  <sheetData>
    <row r="1" spans="1:10" ht="15.5">
      <c r="A1" s="265" t="s">
        <v>97</v>
      </c>
    </row>
    <row r="2" spans="1:10" ht="15.5">
      <c r="A2" s="464"/>
    </row>
    <row r="3" spans="1:10" ht="18">
      <c r="A3" s="631" t="s">
        <v>98</v>
      </c>
      <c r="B3" s="632"/>
      <c r="C3" s="632"/>
      <c r="D3" s="632"/>
      <c r="E3" s="632"/>
      <c r="F3" s="632"/>
      <c r="G3" s="631"/>
      <c r="H3" s="631"/>
      <c r="I3" s="631"/>
      <c r="J3" s="634" t="s">
        <v>799</v>
      </c>
    </row>
    <row r="4" spans="1:10" ht="18">
      <c r="A4" s="631" t="s">
        <v>800</v>
      </c>
      <c r="B4" s="632"/>
      <c r="C4" s="631"/>
      <c r="D4" s="632"/>
      <c r="E4" s="632"/>
      <c r="F4" s="632"/>
      <c r="G4" s="631"/>
      <c r="H4" s="631"/>
      <c r="I4" s="631"/>
      <c r="J4" s="631"/>
    </row>
    <row r="5" spans="1:10" ht="18">
      <c r="A5" s="631" t="s">
        <v>801</v>
      </c>
      <c r="B5" s="632"/>
      <c r="C5" s="631"/>
      <c r="D5" s="632"/>
      <c r="E5" s="632"/>
      <c r="F5" s="632"/>
      <c r="G5" s="631"/>
      <c r="H5" s="631"/>
      <c r="I5" s="631"/>
      <c r="J5" s="631"/>
    </row>
    <row r="6" spans="1:10" ht="18">
      <c r="A6" s="631" t="str">
        <f>'Sch 3 '!A7</f>
        <v>FISCAL YEAR 2026-2027</v>
      </c>
      <c r="B6" s="632"/>
      <c r="C6" s="631"/>
      <c r="D6" s="632"/>
      <c r="E6" s="632"/>
      <c r="F6" s="632"/>
      <c r="G6" s="631"/>
      <c r="H6" s="631"/>
      <c r="I6" s="631"/>
      <c r="J6" s="631"/>
    </row>
    <row r="7" spans="1:10" ht="18">
      <c r="A7" s="633" t="str">
        <f>'Sch 3 '!A8</f>
        <v>FOR THE MONTH OF APRIL 2026</v>
      </c>
      <c r="B7" s="632"/>
      <c r="C7" s="631"/>
      <c r="D7" s="632"/>
      <c r="E7" s="632"/>
      <c r="F7" s="632"/>
      <c r="G7" s="631"/>
      <c r="H7" s="631"/>
      <c r="I7" s="631"/>
      <c r="J7" s="631"/>
    </row>
    <row r="8" spans="1:10" ht="18">
      <c r="A8" s="631" t="s">
        <v>102</v>
      </c>
      <c r="B8" s="632"/>
      <c r="C8" s="631"/>
      <c r="D8" s="632"/>
      <c r="E8" s="632"/>
      <c r="F8" s="632"/>
      <c r="G8" s="631"/>
      <c r="H8" s="631"/>
      <c r="I8" s="631"/>
      <c r="J8" s="631"/>
    </row>
    <row r="9" spans="1:10" ht="18">
      <c r="A9" s="631"/>
      <c r="B9" s="632"/>
      <c r="C9" s="631"/>
      <c r="D9" s="632"/>
      <c r="E9" s="632"/>
      <c r="F9" s="632"/>
      <c r="G9" s="631"/>
      <c r="H9" s="631"/>
      <c r="I9" s="631"/>
      <c r="J9" s="631"/>
    </row>
    <row r="10" spans="1:10" ht="18">
      <c r="A10" s="631"/>
      <c r="B10" s="631"/>
      <c r="C10" s="631"/>
      <c r="D10" s="631"/>
      <c r="E10" s="631"/>
      <c r="F10" s="631"/>
      <c r="G10" s="631"/>
      <c r="H10" s="631"/>
      <c r="I10" s="631"/>
      <c r="J10" s="631"/>
    </row>
    <row r="11" spans="1:10" ht="18">
      <c r="A11" s="631"/>
      <c r="B11" s="631"/>
      <c r="C11" s="631"/>
      <c r="D11" s="634"/>
      <c r="E11" s="631"/>
      <c r="F11" s="631"/>
      <c r="G11" s="631"/>
      <c r="H11" s="631"/>
      <c r="I11" s="631"/>
      <c r="J11" s="634"/>
    </row>
    <row r="12" spans="1:10" ht="18">
      <c r="A12" s="631"/>
      <c r="B12" s="631"/>
      <c r="C12" s="631"/>
      <c r="D12" s="634" t="s">
        <v>608</v>
      </c>
      <c r="E12" s="631"/>
      <c r="F12" s="631"/>
      <c r="G12" s="631"/>
      <c r="H12" s="631"/>
      <c r="I12" s="631"/>
      <c r="J12" s="634" t="s">
        <v>608</v>
      </c>
    </row>
    <row r="13" spans="1:10" ht="18">
      <c r="A13" s="635" t="s">
        <v>751</v>
      </c>
      <c r="B13" s="631"/>
      <c r="C13" s="631"/>
      <c r="D13" s="636" t="str">
        <f>'Sch 3 '!D12</f>
        <v>APRIL 1, 2026</v>
      </c>
      <c r="E13" s="631"/>
      <c r="F13" s="634" t="s">
        <v>610</v>
      </c>
      <c r="G13" s="631"/>
      <c r="H13" s="634" t="s">
        <v>611</v>
      </c>
      <c r="I13" s="631"/>
      <c r="J13" s="636" t="str">
        <f>'Sch 3 '!L12</f>
        <v>APRIL 30, 2026</v>
      </c>
    </row>
    <row r="14" spans="1:10" ht="18">
      <c r="A14" s="635"/>
      <c r="B14" s="631"/>
      <c r="C14" s="631"/>
      <c r="D14" s="637"/>
      <c r="E14" s="631"/>
      <c r="F14" s="637"/>
      <c r="G14" s="631"/>
      <c r="H14" s="638" t="s">
        <v>607</v>
      </c>
      <c r="I14" s="631"/>
      <c r="J14" s="637"/>
    </row>
    <row r="15" spans="1:10" ht="18">
      <c r="A15" s="639" t="s">
        <v>802</v>
      </c>
      <c r="B15" s="631"/>
      <c r="C15" s="631"/>
      <c r="D15" s="631"/>
      <c r="E15" s="631"/>
      <c r="F15" s="849"/>
      <c r="G15" s="631"/>
      <c r="H15" s="631"/>
      <c r="I15" s="631"/>
      <c r="J15" s="631"/>
    </row>
    <row r="16" spans="1:10" ht="25.4" customHeight="1">
      <c r="A16" s="632" t="s">
        <v>803</v>
      </c>
      <c r="B16" s="631"/>
      <c r="C16" s="632"/>
      <c r="D16" s="1697">
        <v>3.4169999999999998</v>
      </c>
      <c r="E16" s="1651"/>
      <c r="F16" s="1697">
        <v>1.0999999999999999E-2</v>
      </c>
      <c r="G16" s="1651"/>
      <c r="H16" s="1697">
        <v>0</v>
      </c>
      <c r="I16" s="640"/>
      <c r="J16" s="640">
        <f>ROUND(D16+F16-H16,3)</f>
        <v>3.4279999999999999</v>
      </c>
    </row>
    <row r="17" spans="1:14" ht="25.4" customHeight="1">
      <c r="A17" s="632" t="s">
        <v>804</v>
      </c>
      <c r="B17" s="632"/>
      <c r="C17" s="632"/>
      <c r="D17" s="591">
        <v>554.976</v>
      </c>
      <c r="E17" s="642"/>
      <c r="F17" s="591">
        <v>560.26400000000001</v>
      </c>
      <c r="G17" s="640"/>
      <c r="H17" s="591">
        <v>544.17899999999997</v>
      </c>
      <c r="I17" s="642"/>
      <c r="J17" s="643">
        <f>ROUND(D17+F17-H17,3)</f>
        <v>571.06100000000004</v>
      </c>
    </row>
    <row r="18" spans="1:14" ht="25.4" customHeight="1">
      <c r="A18" s="641" t="s">
        <v>805</v>
      </c>
      <c r="B18" s="632"/>
      <c r="C18" s="632"/>
      <c r="D18" s="591">
        <v>3888.5250000000001</v>
      </c>
      <c r="E18" s="642"/>
      <c r="F18" s="591">
        <v>7704.982</v>
      </c>
      <c r="G18" s="640"/>
      <c r="H18" s="591">
        <v>8038.0510000000004</v>
      </c>
      <c r="I18" s="642"/>
      <c r="J18" s="643">
        <f>ROUND(D18+F18-H18,3)</f>
        <v>3555.4560000000001</v>
      </c>
    </row>
    <row r="19" spans="1:14" ht="25.4" customHeight="1">
      <c r="A19" s="632" t="s">
        <v>806</v>
      </c>
      <c r="B19" s="632"/>
      <c r="C19" s="632"/>
      <c r="D19" s="591">
        <v>0</v>
      </c>
      <c r="E19" s="642"/>
      <c r="F19" s="591">
        <v>678.43100000000004</v>
      </c>
      <c r="G19" s="640"/>
      <c r="H19" s="591">
        <v>678.43100000000004</v>
      </c>
      <c r="I19" s="642"/>
      <c r="J19" s="643">
        <f>ROUND(D19+F19-H19,3)</f>
        <v>0</v>
      </c>
    </row>
    <row r="20" spans="1:14" ht="25.4" customHeight="1" thickBot="1">
      <c r="A20" s="644" t="s">
        <v>807</v>
      </c>
      <c r="B20" s="632"/>
      <c r="C20" s="632"/>
      <c r="D20" s="645">
        <f>ROUND(SUM(D16:D19),3)</f>
        <v>4446.9179999999997</v>
      </c>
      <c r="E20" s="850"/>
      <c r="F20" s="645">
        <f>ROUND(SUM(F16:F19),3)</f>
        <v>8943.6880000000001</v>
      </c>
      <c r="G20" s="850"/>
      <c r="H20" s="645">
        <f>ROUND(SUM(H16:H19),3)</f>
        <v>9260.6610000000001</v>
      </c>
      <c r="I20" s="850"/>
      <c r="J20" s="645">
        <f>ROUND(SUM(J16:J19),3)</f>
        <v>4129.9449999999997</v>
      </c>
      <c r="K20" s="646"/>
      <c r="L20" s="646"/>
      <c r="M20" s="646"/>
      <c r="N20" s="646"/>
    </row>
    <row r="21" spans="1:14" ht="18" thickTop="1">
      <c r="A21" s="632"/>
      <c r="B21" s="632"/>
      <c r="C21" s="632"/>
      <c r="D21" s="632"/>
      <c r="E21" s="632"/>
      <c r="F21" s="632"/>
      <c r="G21" s="632"/>
      <c r="H21" s="632"/>
      <c r="I21" s="632"/>
      <c r="J21" s="632"/>
    </row>
    <row r="22" spans="1:14" ht="17.5">
      <c r="A22" s="632"/>
      <c r="B22" s="632"/>
      <c r="C22" s="632"/>
      <c r="D22" s="632"/>
      <c r="E22" s="632"/>
      <c r="F22" s="632"/>
      <c r="G22" s="632"/>
      <c r="H22" s="632"/>
      <c r="I22" s="632"/>
      <c r="J22" s="632"/>
    </row>
    <row r="23" spans="1:14" ht="6.75" customHeight="1">
      <c r="A23" s="632"/>
      <c r="B23" s="632"/>
      <c r="C23" s="632"/>
      <c r="D23" s="632"/>
      <c r="E23" s="632"/>
      <c r="F23" s="632"/>
      <c r="G23" s="632"/>
      <c r="H23" s="632"/>
      <c r="I23" s="632"/>
      <c r="J23" s="632"/>
    </row>
    <row r="24" spans="1:14" ht="17.5">
      <c r="A24" s="685" t="s">
        <v>808</v>
      </c>
      <c r="B24" s="632"/>
      <c r="C24" s="632"/>
      <c r="D24" s="632"/>
      <c r="E24" s="632"/>
      <c r="F24" s="632" t="s">
        <v>103</v>
      </c>
      <c r="G24" s="632"/>
      <c r="H24" s="632"/>
      <c r="I24" s="632"/>
      <c r="J24" s="632"/>
    </row>
    <row r="25" spans="1:14" ht="6" customHeight="1"/>
    <row r="26" spans="1:14" ht="59.25" customHeight="1">
      <c r="A26" s="2072" t="s">
        <v>809</v>
      </c>
      <c r="B26" s="2072"/>
      <c r="C26" s="2072"/>
      <c r="D26" s="2072"/>
      <c r="E26" s="2072"/>
      <c r="F26" s="2072"/>
      <c r="G26" s="2072"/>
      <c r="H26" s="2072"/>
      <c r="I26" s="2072"/>
      <c r="J26" s="2072"/>
    </row>
    <row r="27" spans="1:14" ht="43.4" customHeight="1">
      <c r="A27" s="2073" t="s">
        <v>1509</v>
      </c>
      <c r="B27" s="2073"/>
      <c r="C27" s="2073"/>
      <c r="D27" s="2073"/>
      <c r="E27" s="2073"/>
      <c r="F27" s="2073"/>
      <c r="G27" s="2073"/>
      <c r="H27" s="2073"/>
      <c r="I27" s="2073"/>
      <c r="J27" s="2073"/>
    </row>
    <row r="28" spans="1:14" ht="18.75" customHeight="1">
      <c r="A28" s="2074"/>
      <c r="B28" s="2074"/>
      <c r="C28" s="2074"/>
      <c r="D28" s="2074"/>
      <c r="E28" s="2074"/>
      <c r="F28" s="2074"/>
      <c r="G28" s="2074"/>
      <c r="H28" s="2074"/>
      <c r="I28" s="2074"/>
      <c r="J28" s="2074"/>
    </row>
    <row r="29" spans="1:14" ht="20.25" customHeight="1">
      <c r="A29" s="1226"/>
      <c r="B29" s="441"/>
      <c r="C29" s="441"/>
      <c r="D29" s="441"/>
      <c r="E29" s="441"/>
      <c r="F29" s="441"/>
      <c r="G29" s="441"/>
      <c r="H29" s="441"/>
      <c r="I29" s="441"/>
      <c r="J29" s="441"/>
    </row>
    <row r="30" spans="1:14" ht="20.25" customHeight="1">
      <c r="A30" s="1226"/>
      <c r="B30" s="441"/>
      <c r="C30" s="441"/>
      <c r="D30" s="441"/>
      <c r="E30" s="441"/>
      <c r="F30" s="441"/>
      <c r="G30" s="441"/>
      <c r="H30" s="441"/>
      <c r="I30" s="441"/>
      <c r="J30" s="441"/>
    </row>
    <row r="31" spans="1:14" ht="20.25" customHeight="1">
      <c r="A31" s="1226"/>
      <c r="B31" s="441"/>
      <c r="C31" s="441"/>
      <c r="D31" s="441"/>
      <c r="E31" s="441"/>
      <c r="F31" s="441"/>
      <c r="G31" s="441"/>
      <c r="H31" s="441"/>
      <c r="I31" s="441"/>
      <c r="J31" s="441"/>
    </row>
    <row r="32" spans="1:14" ht="20.25" customHeight="1">
      <c r="A32" s="1226"/>
      <c r="B32" s="441"/>
      <c r="C32" s="441"/>
      <c r="D32" s="441"/>
      <c r="E32" s="441"/>
      <c r="F32" s="441"/>
      <c r="G32" s="441"/>
      <c r="H32" s="441"/>
      <c r="I32" s="441"/>
      <c r="J32" s="441"/>
    </row>
    <row r="33" spans="1:10" ht="20.25" customHeight="1">
      <c r="A33" s="1226"/>
      <c r="B33" s="441"/>
      <c r="C33" s="441"/>
      <c r="D33" s="441"/>
      <c r="E33" s="441"/>
      <c r="F33" s="441"/>
      <c r="G33" s="441"/>
      <c r="H33" s="441"/>
      <c r="I33" s="441"/>
      <c r="J33" s="441"/>
    </row>
    <row r="34" spans="1:10" ht="20.25" customHeight="1">
      <c r="A34" s="1226"/>
      <c r="B34" s="441"/>
      <c r="C34" s="441"/>
      <c r="D34" s="441"/>
      <c r="E34" s="441"/>
      <c r="F34" s="441"/>
      <c r="G34" s="441"/>
      <c r="H34" s="441"/>
      <c r="I34" s="441"/>
      <c r="J34" s="441"/>
    </row>
    <row r="35" spans="1:10" ht="20.25" customHeight="1">
      <c r="A35" s="1226"/>
      <c r="B35" s="441"/>
      <c r="C35" s="441"/>
      <c r="D35" s="441"/>
      <c r="E35" s="441"/>
      <c r="F35" s="441"/>
      <c r="G35" s="441"/>
      <c r="H35" s="441"/>
      <c r="I35" s="441"/>
      <c r="J35" s="441"/>
    </row>
    <row r="36" spans="1:10" ht="20.25" customHeight="1">
      <c r="A36" s="1226"/>
      <c r="B36" s="441"/>
      <c r="C36" s="441"/>
      <c r="D36" s="441"/>
      <c r="E36" s="441"/>
      <c r="F36" s="441"/>
      <c r="G36" s="441"/>
      <c r="H36" s="441"/>
      <c r="I36" s="441"/>
      <c r="J36" s="441"/>
    </row>
    <row r="37" spans="1:10" ht="20.25" customHeight="1">
      <c r="A37" s="1226"/>
      <c r="B37" s="441"/>
      <c r="C37" s="441"/>
      <c r="D37" s="441"/>
      <c r="E37" s="441"/>
      <c r="F37" s="441"/>
      <c r="G37" s="441"/>
      <c r="H37" s="441"/>
      <c r="I37" s="441"/>
      <c r="J37" s="441"/>
    </row>
    <row r="38" spans="1:10" ht="20.25" customHeight="1">
      <c r="A38" s="1226"/>
      <c r="B38" s="441"/>
      <c r="C38" s="441"/>
      <c r="D38" s="441"/>
      <c r="E38" s="441"/>
      <c r="F38" s="441"/>
      <c r="G38" s="441"/>
      <c r="H38" s="441"/>
      <c r="I38" s="441"/>
      <c r="J38" s="441"/>
    </row>
    <row r="39" spans="1:10" ht="20.25" customHeight="1">
      <c r="A39" s="1226"/>
      <c r="B39" s="441"/>
      <c r="C39" s="441"/>
      <c r="D39" s="441"/>
      <c r="E39" s="441"/>
      <c r="G39" s="441"/>
      <c r="H39" s="441"/>
      <c r="I39" s="441"/>
      <c r="J39" s="441"/>
    </row>
    <row r="40" spans="1:10" ht="21" customHeight="1">
      <c r="F40" s="441"/>
    </row>
    <row r="41" spans="1:10" ht="21" customHeight="1">
      <c r="A41" s="1226"/>
      <c r="B41" s="441"/>
      <c r="C41" s="441"/>
      <c r="D41" s="441"/>
      <c r="E41" s="441"/>
      <c r="F41" s="441"/>
      <c r="G41" s="441"/>
      <c r="H41" s="441"/>
      <c r="I41" s="441"/>
      <c r="J41" s="441"/>
    </row>
    <row r="42" spans="1:10" ht="18" customHeight="1">
      <c r="A42" s="647"/>
      <c r="C42" s="648"/>
      <c r="D42" s="649"/>
      <c r="E42" s="648"/>
      <c r="F42" s="649"/>
      <c r="G42" s="648"/>
      <c r="H42" s="649"/>
      <c r="I42" s="649"/>
    </row>
    <row r="43" spans="1:10" ht="18" customHeight="1">
      <c r="A43" s="650"/>
      <c r="D43" s="649"/>
      <c r="F43" s="651"/>
      <c r="G43" s="649"/>
      <c r="H43" s="649"/>
      <c r="I43" s="649"/>
    </row>
    <row r="44" spans="1:10" ht="18" customHeight="1">
      <c r="A44" s="650"/>
      <c r="D44" s="649"/>
      <c r="F44" s="651"/>
      <c r="G44" s="649"/>
      <c r="H44" s="649"/>
      <c r="I44" s="649"/>
    </row>
    <row r="45" spans="1:10" ht="18" customHeight="1">
      <c r="A45" s="650"/>
      <c r="D45" s="649"/>
      <c r="F45" s="651"/>
      <c r="G45" s="649"/>
      <c r="H45" s="649"/>
      <c r="I45" s="649"/>
    </row>
    <row r="46" spans="1:10" ht="18" customHeight="1">
      <c r="A46" s="650"/>
      <c r="D46" s="649"/>
      <c r="F46" s="649"/>
      <c r="G46" s="649"/>
      <c r="H46" s="652"/>
      <c r="I46" s="649"/>
    </row>
    <row r="47" spans="1:10" ht="18" customHeight="1">
      <c r="A47" s="653"/>
      <c r="D47" s="649"/>
      <c r="F47" s="649"/>
      <c r="G47" s="649"/>
      <c r="H47" s="649"/>
      <c r="I47" s="649"/>
    </row>
    <row r="48" spans="1:10" ht="18" customHeight="1">
      <c r="A48" s="654"/>
      <c r="D48" s="649"/>
      <c r="F48" s="652"/>
      <c r="G48" s="649"/>
      <c r="H48" s="649"/>
      <c r="I48" s="649"/>
    </row>
    <row r="49" spans="1:9" ht="18" customHeight="1">
      <c r="A49" s="650"/>
      <c r="D49" s="649"/>
      <c r="F49" s="651"/>
      <c r="G49" s="649"/>
      <c r="H49" s="649"/>
      <c r="I49" s="649"/>
    </row>
    <row r="50" spans="1:9" ht="18" customHeight="1">
      <c r="A50" s="650"/>
      <c r="D50" s="649"/>
      <c r="F50" s="655"/>
      <c r="G50" s="649"/>
      <c r="H50" s="652"/>
      <c r="I50" s="649"/>
    </row>
    <row r="51" spans="1:9" ht="18" customHeight="1">
      <c r="A51" s="653"/>
      <c r="C51" s="648"/>
      <c r="D51" s="656"/>
      <c r="E51" s="648"/>
      <c r="G51" s="648"/>
      <c r="H51" s="656"/>
      <c r="I51" s="649"/>
    </row>
  </sheetData>
  <mergeCells count="3">
    <mergeCell ref="A26:J26"/>
    <mergeCell ref="A27:J27"/>
    <mergeCell ref="A28:J28"/>
  </mergeCells>
  <printOptions horizontalCentered="1"/>
  <pageMargins left="0.5" right="0.5" top="0.5" bottom="0.5" header="0" footer="0.25"/>
  <pageSetup scale="66" firstPageNumber="43" orientation="landscape" useFirstPageNumber="1" r:id="rId1"/>
  <headerFooter scaleWithDoc="0" alignWithMargins="0">
    <oddFooter>&amp;C&amp;8&amp;P</oddFooter>
  </headerFooter>
  <rowBreaks count="1" manualBreakCount="1">
    <brk id="69" max="16383" man="1"/>
  </rowBreaks>
  <customProperties>
    <customPr name="SheetOptions"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S91"/>
  <sheetViews>
    <sheetView showGridLines="0" workbookViewId="0"/>
  </sheetViews>
  <sheetFormatPr defaultColWidth="8.84375" defaultRowHeight="12.5"/>
  <cols>
    <col min="1" max="1" width="42" style="259" customWidth="1"/>
    <col min="2" max="2" width="2.07421875" style="259" customWidth="1"/>
    <col min="3" max="3" width="17.07421875" style="342" customWidth="1"/>
    <col min="4" max="4" width="2.07421875" style="342" customWidth="1"/>
    <col min="5" max="5" width="15.4609375" style="259" customWidth="1"/>
    <col min="6" max="6" width="2.07421875" style="259" customWidth="1"/>
    <col min="7" max="7" width="16.07421875" style="259" customWidth="1"/>
    <col min="8" max="8" width="2.07421875" style="259" customWidth="1"/>
    <col min="9" max="9" width="15.53515625" style="260" customWidth="1"/>
    <col min="10" max="10" width="2.07421875" style="259" customWidth="1"/>
    <col min="11" max="11" width="16.4609375" style="260" bestFit="1" customWidth="1"/>
    <col min="12" max="12" width="2.07421875" style="259" customWidth="1"/>
    <col min="13" max="13" width="17.07421875" style="342" customWidth="1"/>
    <col min="14" max="14" width="1.84375" style="259" customWidth="1"/>
    <col min="15" max="15" width="1.07421875" style="259" customWidth="1"/>
    <col min="16" max="16" width="2" style="259" customWidth="1"/>
    <col min="17" max="17" width="15.4609375" style="259" customWidth="1"/>
    <col min="18" max="18" width="2.07421875" style="259" customWidth="1"/>
    <col min="19" max="19" width="16.4609375" style="259" bestFit="1" customWidth="1"/>
    <col min="20" max="16384" width="8.84375" style="259"/>
  </cols>
  <sheetData>
    <row r="1" spans="1:19" ht="15.5">
      <c r="A1" s="387" t="s">
        <v>97</v>
      </c>
    </row>
    <row r="2" spans="1:19" ht="15.5">
      <c r="A2" s="265"/>
    </row>
    <row r="3" spans="1:19" ht="18">
      <c r="A3" s="258" t="s">
        <v>98</v>
      </c>
      <c r="S3" s="258" t="s">
        <v>810</v>
      </c>
    </row>
    <row r="4" spans="1:19" ht="18">
      <c r="A4" s="258" t="s">
        <v>540</v>
      </c>
      <c r="J4" s="259" t="s">
        <v>103</v>
      </c>
    </row>
    <row r="5" spans="1:19" ht="18">
      <c r="A5" s="258" t="s">
        <v>811</v>
      </c>
    </row>
    <row r="6" spans="1:19" ht="18">
      <c r="A6" s="568" t="str">
        <f>'Cashflow Governmental'!$A$6</f>
        <v>FISCAL YEAR 2026-2027</v>
      </c>
    </row>
    <row r="9" spans="1:19" ht="15.65" customHeight="1">
      <c r="C9" s="894"/>
      <c r="D9" s="549"/>
      <c r="E9" s="2075" t="s">
        <v>1459</v>
      </c>
      <c r="F9" s="2075"/>
      <c r="G9" s="2075"/>
      <c r="H9" s="1156"/>
      <c r="I9" s="1157" t="s">
        <v>812</v>
      </c>
      <c r="J9" s="1157"/>
      <c r="K9" s="1157"/>
      <c r="L9" s="1158"/>
      <c r="M9" s="1158"/>
      <c r="N9" s="1158"/>
      <c r="O9" s="1159"/>
      <c r="P9" s="1158"/>
      <c r="Q9" s="1157" t="s">
        <v>813</v>
      </c>
      <c r="R9" s="1157"/>
      <c r="S9" s="1157"/>
    </row>
    <row r="10" spans="1:19" ht="13">
      <c r="C10" s="550" t="s">
        <v>814</v>
      </c>
      <c r="D10" s="550"/>
      <c r="E10" s="1160"/>
      <c r="F10" s="549"/>
      <c r="G10" s="1161"/>
      <c r="H10" s="1158"/>
      <c r="I10" s="1161"/>
      <c r="J10" s="1161"/>
      <c r="K10" s="1161"/>
      <c r="L10" s="1158"/>
      <c r="M10" s="550" t="s">
        <v>814</v>
      </c>
      <c r="N10" s="1158"/>
      <c r="O10" s="1162"/>
      <c r="P10" s="1158"/>
    </row>
    <row r="11" spans="1:19" ht="13">
      <c r="C11" s="550" t="s">
        <v>815</v>
      </c>
      <c r="D11" s="550"/>
      <c r="E11" s="1161" t="s">
        <v>109</v>
      </c>
      <c r="F11" s="549"/>
      <c r="G11" s="551" t="str">
        <f>_xlfn.CONCAT(_xlfn.TEXTBEFORE('Exhibit A'!$F$11," ")," MONTH ENDED")</f>
        <v>1 MONTH ENDED</v>
      </c>
      <c r="H11" s="1158"/>
      <c r="I11" s="549" t="s">
        <v>816</v>
      </c>
      <c r="J11" s="1163" t="s">
        <v>103</v>
      </c>
      <c r="K11" s="549" t="str">
        <f>G11</f>
        <v>1 MONTH ENDED</v>
      </c>
      <c r="L11" s="1158"/>
      <c r="M11" s="550" t="s">
        <v>815</v>
      </c>
      <c r="N11" s="1158"/>
      <c r="O11" s="1162"/>
      <c r="P11" s="1158"/>
      <c r="Q11" s="549" t="s">
        <v>816</v>
      </c>
      <c r="R11" s="1163" t="s">
        <v>103</v>
      </c>
      <c r="S11" s="549" t="str">
        <f>K11</f>
        <v>1 MONTH ENDED</v>
      </c>
    </row>
    <row r="12" spans="1:19" ht="13">
      <c r="A12" s="1084" t="s">
        <v>817</v>
      </c>
      <c r="C12" s="1085" t="str">
        <f>'Cashflow Governmental'!$C$14&amp;" 1, "&amp;'Cashflow Governmental'!$C$13</f>
        <v>APRIL 1, 2026</v>
      </c>
      <c r="D12" s="1273"/>
      <c r="E12" s="1652" t="str">
        <f>_xlfn.TEXTBEFORE(Footnotes!$O$3," ")</f>
        <v>APRIL</v>
      </c>
      <c r="F12" s="551"/>
      <c r="G12" s="1652" t="str">
        <f>_xlfn.TEXTAFTER('Exh D Governmental  '!A6," ",4)</f>
        <v>APRIL 30, 2026</v>
      </c>
      <c r="H12" s="1158"/>
      <c r="I12" s="1652" t="str">
        <f>E12</f>
        <v>APRIL</v>
      </c>
      <c r="J12" s="1158"/>
      <c r="K12" s="1164" t="str">
        <f>G12</f>
        <v>APRIL 30, 2026</v>
      </c>
      <c r="L12" s="1158"/>
      <c r="M12" s="1164" t="str">
        <f>K12</f>
        <v>APRIL 30, 2026</v>
      </c>
      <c r="N12" s="1158"/>
      <c r="O12" s="1162"/>
      <c r="P12" s="1158"/>
      <c r="Q12" s="1652" t="str">
        <f>E12</f>
        <v>APRIL</v>
      </c>
      <c r="R12" s="1158"/>
      <c r="S12" s="1164" t="str">
        <f>M12</f>
        <v>APRIL 30, 2026</v>
      </c>
    </row>
    <row r="13" spans="1:19">
      <c r="K13" s="1165"/>
      <c r="O13" s="1166"/>
    </row>
    <row r="14" spans="1:19" ht="13">
      <c r="A14" s="261" t="s">
        <v>818</v>
      </c>
      <c r="K14" s="1165"/>
      <c r="O14" s="1166"/>
      <c r="Q14" s="260"/>
    </row>
    <row r="15" spans="1:19" ht="12" customHeight="1">
      <c r="A15" s="261"/>
      <c r="K15" s="1165"/>
      <c r="M15" s="342" t="s">
        <v>103</v>
      </c>
      <c r="O15" s="1166"/>
      <c r="Q15" s="260"/>
    </row>
    <row r="16" spans="1:19">
      <c r="A16" s="259" t="s">
        <v>819</v>
      </c>
      <c r="B16" s="260"/>
      <c r="C16" s="1167">
        <v>2588605</v>
      </c>
      <c r="D16" s="1167"/>
      <c r="E16" s="1167">
        <v>0</v>
      </c>
      <c r="F16" s="560"/>
      <c r="G16" s="1167">
        <v>0</v>
      </c>
      <c r="H16" s="1167"/>
      <c r="I16" s="1167">
        <v>0</v>
      </c>
      <c r="J16" s="560"/>
      <c r="K16" s="1167">
        <v>0</v>
      </c>
      <c r="L16" s="560" t="s">
        <v>103</v>
      </c>
      <c r="M16" s="1167">
        <f>ROUND(SUM(C16)-SUM(K16)+SUM(G16),0)</f>
        <v>2588605</v>
      </c>
      <c r="O16" s="1166"/>
      <c r="P16" s="260"/>
      <c r="Q16" s="1167">
        <v>0</v>
      </c>
      <c r="R16" s="560"/>
      <c r="S16" s="1167">
        <v>0</v>
      </c>
    </row>
    <row r="17" spans="1:19">
      <c r="E17" s="1677"/>
      <c r="F17" s="1676"/>
      <c r="G17" s="1677"/>
      <c r="I17" s="1677"/>
      <c r="K17" s="1677"/>
      <c r="O17" s="1166"/>
      <c r="Q17" s="1677"/>
      <c r="S17" s="1677"/>
    </row>
    <row r="18" spans="1:19">
      <c r="A18" s="259" t="s">
        <v>820</v>
      </c>
      <c r="E18" s="260"/>
      <c r="F18" s="1676"/>
      <c r="G18" s="260"/>
      <c r="J18" s="260"/>
      <c r="O18" s="1166"/>
      <c r="Q18" s="260"/>
      <c r="R18" s="260"/>
      <c r="S18" s="260"/>
    </row>
    <row r="19" spans="1:19" ht="12" customHeight="1">
      <c r="A19" s="259" t="s">
        <v>821</v>
      </c>
      <c r="C19" s="892">
        <v>715890</v>
      </c>
      <c r="D19" s="892"/>
      <c r="E19" s="892">
        <v>0</v>
      </c>
      <c r="F19" s="1678"/>
      <c r="G19" s="892">
        <v>0</v>
      </c>
      <c r="H19" s="892"/>
      <c r="I19" s="585">
        <v>0</v>
      </c>
      <c r="J19" s="892"/>
      <c r="K19" s="585">
        <v>0</v>
      </c>
      <c r="L19" s="1678" t="s">
        <v>103</v>
      </c>
      <c r="M19" s="892">
        <f>ROUND(SUM(C19)-SUM(K19)+SUM(G19),0)</f>
        <v>715890</v>
      </c>
      <c r="O19" s="1166"/>
      <c r="P19" s="259" t="s">
        <v>103</v>
      </c>
      <c r="Q19" s="585">
        <v>0</v>
      </c>
      <c r="R19" s="892"/>
      <c r="S19" s="585">
        <v>0</v>
      </c>
    </row>
    <row r="20" spans="1:19">
      <c r="A20" s="259" t="s">
        <v>822</v>
      </c>
      <c r="C20" s="892">
        <v>162925882</v>
      </c>
      <c r="D20" s="892"/>
      <c r="E20" s="892">
        <v>0</v>
      </c>
      <c r="F20" s="1678"/>
      <c r="G20" s="892">
        <v>0</v>
      </c>
      <c r="H20" s="892"/>
      <c r="I20" s="585">
        <v>1420000</v>
      </c>
      <c r="J20" s="892"/>
      <c r="K20" s="585">
        <v>1420000</v>
      </c>
      <c r="L20" s="1678" t="s">
        <v>103</v>
      </c>
      <c r="M20" s="892">
        <f>ROUND(SUM(C20)-SUM(K20)+SUM(G20),0)</f>
        <v>161505882</v>
      </c>
      <c r="O20" s="1166"/>
      <c r="Q20" s="585">
        <v>35500</v>
      </c>
      <c r="R20" s="892"/>
      <c r="S20" s="585">
        <v>35500</v>
      </c>
    </row>
    <row r="21" spans="1:19">
      <c r="A21" s="259" t="s">
        <v>823</v>
      </c>
      <c r="C21" s="892">
        <v>3540490</v>
      </c>
      <c r="D21" s="892"/>
      <c r="E21" s="892">
        <v>0</v>
      </c>
      <c r="F21" s="1678"/>
      <c r="G21" s="892">
        <v>0</v>
      </c>
      <c r="H21" s="892"/>
      <c r="I21" s="585">
        <v>0</v>
      </c>
      <c r="J21" s="892"/>
      <c r="K21" s="585">
        <v>0</v>
      </c>
      <c r="L21" s="1678" t="s">
        <v>103</v>
      </c>
      <c r="M21" s="892">
        <f>ROUND(SUM(C21)-SUM(K21)+SUM(G21),0)</f>
        <v>3540490</v>
      </c>
      <c r="O21" s="1166"/>
      <c r="Q21" s="585">
        <v>0</v>
      </c>
      <c r="R21" s="892"/>
      <c r="S21" s="585">
        <v>0</v>
      </c>
    </row>
    <row r="22" spans="1:19">
      <c r="A22" s="259" t="s">
        <v>824</v>
      </c>
      <c r="C22" s="892">
        <v>20996417</v>
      </c>
      <c r="D22" s="892"/>
      <c r="E22" s="892">
        <v>0</v>
      </c>
      <c r="F22" s="1678"/>
      <c r="G22" s="892">
        <v>0</v>
      </c>
      <c r="H22" s="892"/>
      <c r="I22" s="585">
        <v>0</v>
      </c>
      <c r="J22" s="892"/>
      <c r="K22" s="585">
        <v>0</v>
      </c>
      <c r="L22" s="1678" t="s">
        <v>103</v>
      </c>
      <c r="M22" s="892">
        <f>ROUND(SUM(C22)-SUM(K22)+SUM(G22),0)</f>
        <v>20996417</v>
      </c>
      <c r="O22" s="1166"/>
      <c r="Q22" s="585">
        <v>0</v>
      </c>
      <c r="R22" s="892"/>
      <c r="S22" s="585">
        <v>0</v>
      </c>
    </row>
    <row r="23" spans="1:19">
      <c r="C23" s="892"/>
      <c r="D23" s="892"/>
      <c r="E23" s="892"/>
      <c r="F23" s="1678"/>
      <c r="G23" s="892"/>
      <c r="H23" s="892"/>
      <c r="I23" s="892" t="s">
        <v>103</v>
      </c>
      <c r="J23" s="892"/>
      <c r="K23" s="892" t="s">
        <v>103</v>
      </c>
      <c r="L23" s="1678"/>
      <c r="M23" s="892"/>
      <c r="O23" s="1166"/>
      <c r="Q23" s="892" t="s">
        <v>103</v>
      </c>
      <c r="R23" s="892"/>
      <c r="S23" s="892" t="s">
        <v>103</v>
      </c>
    </row>
    <row r="24" spans="1:19">
      <c r="A24" s="259" t="s">
        <v>825</v>
      </c>
      <c r="C24" s="892" t="s">
        <v>103</v>
      </c>
      <c r="D24" s="892"/>
      <c r="E24" s="892" t="s">
        <v>103</v>
      </c>
      <c r="F24" s="892"/>
      <c r="G24" s="892" t="s">
        <v>103</v>
      </c>
      <c r="H24" s="892"/>
      <c r="I24" s="892" t="s">
        <v>103</v>
      </c>
      <c r="J24" s="892"/>
      <c r="K24" s="892" t="s">
        <v>103</v>
      </c>
      <c r="L24" s="892"/>
      <c r="M24" s="892" t="s">
        <v>103</v>
      </c>
      <c r="N24" s="585"/>
      <c r="O24" s="1968"/>
      <c r="P24" s="585"/>
      <c r="Q24" s="892" t="s">
        <v>103</v>
      </c>
      <c r="R24" s="892"/>
      <c r="S24" s="892" t="s">
        <v>103</v>
      </c>
    </row>
    <row r="25" spans="1:19">
      <c r="A25" s="259" t="s">
        <v>826</v>
      </c>
      <c r="C25" s="892">
        <v>0</v>
      </c>
      <c r="D25" s="892"/>
      <c r="E25" s="892">
        <v>0</v>
      </c>
      <c r="F25" s="892"/>
      <c r="G25" s="892">
        <v>0</v>
      </c>
      <c r="H25" s="892"/>
      <c r="I25" s="585">
        <v>0</v>
      </c>
      <c r="J25" s="892"/>
      <c r="K25" s="585">
        <v>0</v>
      </c>
      <c r="L25" s="892"/>
      <c r="M25" s="892">
        <f>ROUND(SUM(C25)-SUM(K25)+SUM(G25),0)</f>
        <v>0</v>
      </c>
      <c r="N25" s="585"/>
      <c r="O25" s="1968"/>
      <c r="P25" s="585"/>
      <c r="Q25" s="585">
        <v>0</v>
      </c>
      <c r="R25" s="892"/>
      <c r="S25" s="585">
        <v>0</v>
      </c>
    </row>
    <row r="26" spans="1:19">
      <c r="A26" s="259" t="s">
        <v>827</v>
      </c>
      <c r="C26" s="892">
        <v>3280968</v>
      </c>
      <c r="D26" s="892"/>
      <c r="E26" s="892">
        <v>0</v>
      </c>
      <c r="F26" s="892"/>
      <c r="G26" s="892">
        <v>0</v>
      </c>
      <c r="H26" s="892"/>
      <c r="I26" s="585">
        <v>0</v>
      </c>
      <c r="J26" s="892"/>
      <c r="K26" s="585">
        <v>0</v>
      </c>
      <c r="L26" s="892"/>
      <c r="M26" s="892">
        <f>ROUND(SUM(C26)-SUM(K26)+SUM(G26),0)</f>
        <v>3280968</v>
      </c>
      <c r="N26" s="585"/>
      <c r="O26" s="1968"/>
      <c r="P26" s="585"/>
      <c r="Q26" s="585">
        <v>0</v>
      </c>
      <c r="R26" s="892"/>
      <c r="S26" s="585">
        <v>0</v>
      </c>
    </row>
    <row r="27" spans="1:19">
      <c r="A27" s="259" t="s">
        <v>828</v>
      </c>
      <c r="C27" s="892">
        <v>349156</v>
      </c>
      <c r="D27" s="892"/>
      <c r="E27" s="892">
        <v>0</v>
      </c>
      <c r="F27" s="892"/>
      <c r="G27" s="892">
        <v>0</v>
      </c>
      <c r="H27" s="892"/>
      <c r="I27" s="585">
        <v>0</v>
      </c>
      <c r="J27" s="892"/>
      <c r="K27" s="585">
        <v>0</v>
      </c>
      <c r="L27" s="892"/>
      <c r="M27" s="892">
        <f>ROUND(SUM(C27)-SUM(K27)+SUM(G27),0)</f>
        <v>349156</v>
      </c>
      <c r="N27" s="585"/>
      <c r="O27" s="1968"/>
      <c r="P27" s="585"/>
      <c r="Q27" s="585">
        <v>0</v>
      </c>
      <c r="R27" s="892"/>
      <c r="S27" s="585">
        <v>0</v>
      </c>
    </row>
    <row r="28" spans="1:19">
      <c r="A28" s="259" t="s">
        <v>829</v>
      </c>
      <c r="C28" s="892">
        <v>390901</v>
      </c>
      <c r="D28" s="892"/>
      <c r="E28" s="892">
        <v>0</v>
      </c>
      <c r="F28" s="892"/>
      <c r="G28" s="892">
        <v>0</v>
      </c>
      <c r="H28" s="892"/>
      <c r="I28" s="585">
        <v>0</v>
      </c>
      <c r="J28" s="892"/>
      <c r="K28" s="585">
        <v>0</v>
      </c>
      <c r="L28" s="892"/>
      <c r="M28" s="892">
        <f>ROUND(SUM(C28)-SUM(K28)+SUM(G28),0)</f>
        <v>390901</v>
      </c>
      <c r="N28" s="585"/>
      <c r="O28" s="1968"/>
      <c r="P28" s="585"/>
      <c r="Q28" s="585">
        <v>0</v>
      </c>
      <c r="R28" s="892"/>
      <c r="S28" s="585">
        <v>0</v>
      </c>
    </row>
    <row r="29" spans="1:19">
      <c r="A29" s="259" t="s">
        <v>830</v>
      </c>
      <c r="C29" s="892">
        <v>0</v>
      </c>
      <c r="D29" s="892"/>
      <c r="E29" s="892">
        <v>0</v>
      </c>
      <c r="F29" s="892"/>
      <c r="G29" s="892">
        <v>0</v>
      </c>
      <c r="H29" s="892"/>
      <c r="I29" s="585">
        <v>0</v>
      </c>
      <c r="J29" s="892"/>
      <c r="K29" s="585">
        <v>0</v>
      </c>
      <c r="L29" s="892"/>
      <c r="M29" s="892">
        <f>ROUND(SUM(C29)-SUM(K29)+SUM(G29),0)</f>
        <v>0</v>
      </c>
      <c r="N29" s="585"/>
      <c r="O29" s="1968"/>
      <c r="P29" s="585"/>
      <c r="Q29" s="585">
        <v>0</v>
      </c>
      <c r="R29" s="892"/>
      <c r="S29" s="585">
        <v>0</v>
      </c>
    </row>
    <row r="30" spans="1:19">
      <c r="C30" s="892"/>
      <c r="D30" s="892"/>
      <c r="E30" s="892"/>
      <c r="F30" s="1678"/>
      <c r="G30" s="892"/>
      <c r="H30" s="892"/>
      <c r="I30" s="892" t="s">
        <v>103</v>
      </c>
      <c r="J30" s="892"/>
      <c r="K30" s="892" t="s">
        <v>103</v>
      </c>
      <c r="L30" s="1678"/>
      <c r="M30" s="892"/>
      <c r="O30" s="1166"/>
      <c r="Q30" s="892" t="s">
        <v>103</v>
      </c>
      <c r="R30" s="892"/>
      <c r="S30" s="892" t="s">
        <v>103</v>
      </c>
    </row>
    <row r="31" spans="1:19">
      <c r="A31" s="259" t="s">
        <v>831</v>
      </c>
      <c r="C31" s="892"/>
      <c r="D31" s="892"/>
      <c r="E31" s="585"/>
      <c r="F31" s="342"/>
      <c r="G31" s="585"/>
      <c r="H31" s="585"/>
      <c r="I31" s="892" t="s">
        <v>103</v>
      </c>
      <c r="J31" s="585"/>
      <c r="K31" s="892" t="s">
        <v>103</v>
      </c>
      <c r="L31" s="342"/>
      <c r="M31" s="892" t="s">
        <v>103</v>
      </c>
      <c r="O31" s="1166"/>
      <c r="Q31" s="892" t="s">
        <v>103</v>
      </c>
      <c r="R31" s="585"/>
      <c r="S31" s="892" t="s">
        <v>103</v>
      </c>
    </row>
    <row r="32" spans="1:19">
      <c r="A32" s="259" t="s">
        <v>832</v>
      </c>
      <c r="C32" s="892">
        <v>248019</v>
      </c>
      <c r="D32" s="892"/>
      <c r="E32" s="892">
        <v>0</v>
      </c>
      <c r="F32" s="1678"/>
      <c r="G32" s="892">
        <v>0</v>
      </c>
      <c r="H32" s="892"/>
      <c r="I32" s="585">
        <v>0</v>
      </c>
      <c r="J32" s="892"/>
      <c r="K32" s="585">
        <v>0</v>
      </c>
      <c r="L32" s="1678"/>
      <c r="M32" s="892">
        <f>ROUND(SUM(C32)-SUM(K32)+SUM(G32),0)</f>
        <v>248019</v>
      </c>
      <c r="O32" s="1166"/>
      <c r="Q32" s="585">
        <v>0</v>
      </c>
      <c r="R32" s="892"/>
      <c r="S32" s="585">
        <v>0</v>
      </c>
    </row>
    <row r="33" spans="1:19">
      <c r="C33" s="892"/>
      <c r="D33" s="892"/>
      <c r="E33" s="585"/>
      <c r="F33" s="342"/>
      <c r="G33" s="585"/>
      <c r="H33" s="585"/>
      <c r="I33" s="892" t="s">
        <v>103</v>
      </c>
      <c r="J33" s="585"/>
      <c r="K33" s="892" t="s">
        <v>103</v>
      </c>
      <c r="L33" s="342"/>
      <c r="M33" s="892" t="s">
        <v>103</v>
      </c>
      <c r="O33" s="1166"/>
      <c r="Q33" s="892" t="s">
        <v>103</v>
      </c>
      <c r="R33" s="585"/>
      <c r="S33" s="892" t="s">
        <v>103</v>
      </c>
    </row>
    <row r="34" spans="1:19">
      <c r="A34" s="259" t="s">
        <v>833</v>
      </c>
      <c r="C34" s="892"/>
      <c r="D34" s="892"/>
      <c r="E34" s="585"/>
      <c r="F34" s="342"/>
      <c r="G34" s="585"/>
      <c r="H34" s="585"/>
      <c r="I34" s="892" t="s">
        <v>103</v>
      </c>
      <c r="J34" s="585"/>
      <c r="K34" s="892" t="s">
        <v>103</v>
      </c>
      <c r="L34" s="342"/>
      <c r="M34" s="892" t="s">
        <v>103</v>
      </c>
      <c r="O34" s="1166"/>
      <c r="Q34" s="892" t="s">
        <v>103</v>
      </c>
      <c r="R34" s="585"/>
      <c r="S34" s="892" t="s">
        <v>103</v>
      </c>
    </row>
    <row r="35" spans="1:19">
      <c r="A35" s="259" t="s">
        <v>834</v>
      </c>
      <c r="C35" s="892">
        <v>629830</v>
      </c>
      <c r="D35" s="892"/>
      <c r="E35" s="892">
        <v>0</v>
      </c>
      <c r="F35" s="1678"/>
      <c r="G35" s="892">
        <v>0</v>
      </c>
      <c r="H35" s="892"/>
      <c r="I35" s="585">
        <v>0</v>
      </c>
      <c r="J35" s="892"/>
      <c r="K35" s="585">
        <v>0</v>
      </c>
      <c r="L35" s="1678"/>
      <c r="M35" s="892">
        <f>ROUND(SUM(C35)-SUM(K35)+SUM(G35),0)</f>
        <v>629830</v>
      </c>
      <c r="O35" s="1166"/>
      <c r="Q35" s="585">
        <v>0</v>
      </c>
      <c r="R35" s="892"/>
      <c r="S35" s="585">
        <v>0</v>
      </c>
    </row>
    <row r="36" spans="1:19">
      <c r="A36" s="259" t="s">
        <v>835</v>
      </c>
      <c r="C36" s="892">
        <v>1025931</v>
      </c>
      <c r="D36" s="892"/>
      <c r="E36" s="892">
        <v>0</v>
      </c>
      <c r="F36" s="1678"/>
      <c r="G36" s="892">
        <v>0</v>
      </c>
      <c r="H36" s="892"/>
      <c r="I36" s="585">
        <v>0</v>
      </c>
      <c r="J36" s="892" t="s">
        <v>103</v>
      </c>
      <c r="K36" s="585">
        <v>0</v>
      </c>
      <c r="L36" s="1678"/>
      <c r="M36" s="892">
        <f>ROUND(SUM(C36)-SUM(K36)+SUM(G36),0)</f>
        <v>1025931</v>
      </c>
      <c r="O36" s="1166"/>
      <c r="Q36" s="585">
        <v>0</v>
      </c>
      <c r="R36" s="892" t="s">
        <v>103</v>
      </c>
      <c r="S36" s="585">
        <v>0</v>
      </c>
    </row>
    <row r="37" spans="1:19">
      <c r="A37" s="259" t="s">
        <v>836</v>
      </c>
      <c r="C37" s="892">
        <v>3588863</v>
      </c>
      <c r="D37" s="892"/>
      <c r="E37" s="892">
        <v>0</v>
      </c>
      <c r="F37" s="1678"/>
      <c r="G37" s="892">
        <v>0</v>
      </c>
      <c r="H37" s="892"/>
      <c r="I37" s="585">
        <v>0</v>
      </c>
      <c r="J37" s="892"/>
      <c r="K37" s="585">
        <v>0</v>
      </c>
      <c r="L37" s="1678"/>
      <c r="M37" s="892">
        <f>ROUND(SUM(C37)-SUM(K37)+SUM(G37),0)</f>
        <v>3588863</v>
      </c>
      <c r="O37" s="1166"/>
      <c r="Q37" s="585">
        <v>0</v>
      </c>
      <c r="R37" s="892"/>
      <c r="S37" s="585">
        <v>0</v>
      </c>
    </row>
    <row r="38" spans="1:19">
      <c r="C38" s="892"/>
      <c r="D38" s="892"/>
      <c r="E38" s="585"/>
      <c r="F38" s="342"/>
      <c r="G38" s="585"/>
      <c r="H38" s="585"/>
      <c r="I38" s="892" t="s">
        <v>103</v>
      </c>
      <c r="J38" s="585"/>
      <c r="K38" s="892" t="s">
        <v>103</v>
      </c>
      <c r="L38" s="342"/>
      <c r="M38" s="892" t="s">
        <v>103</v>
      </c>
      <c r="O38" s="1166"/>
      <c r="Q38" s="892" t="s">
        <v>103</v>
      </c>
      <c r="R38" s="585"/>
      <c r="S38" s="892" t="s">
        <v>103</v>
      </c>
    </row>
    <row r="39" spans="1:19">
      <c r="A39" s="259" t="s">
        <v>837</v>
      </c>
      <c r="C39" s="892"/>
      <c r="D39" s="892"/>
      <c r="E39" s="585"/>
      <c r="F39" s="342"/>
      <c r="G39" s="585"/>
      <c r="H39" s="585"/>
      <c r="I39" s="892" t="s">
        <v>103</v>
      </c>
      <c r="J39" s="585"/>
      <c r="K39" s="892" t="s">
        <v>103</v>
      </c>
      <c r="L39" s="342"/>
      <c r="M39" s="892" t="s">
        <v>103</v>
      </c>
      <c r="O39" s="1166"/>
      <c r="Q39" s="892" t="s">
        <v>103</v>
      </c>
      <c r="R39" s="585"/>
      <c r="S39" s="892" t="s">
        <v>103</v>
      </c>
    </row>
    <row r="40" spans="1:19">
      <c r="A40" s="259" t="s">
        <v>838</v>
      </c>
      <c r="C40" s="892">
        <v>900274</v>
      </c>
      <c r="D40" s="892"/>
      <c r="E40" s="892">
        <v>0</v>
      </c>
      <c r="F40" s="1678"/>
      <c r="G40" s="892">
        <v>0</v>
      </c>
      <c r="H40" s="892"/>
      <c r="I40" s="585">
        <v>0</v>
      </c>
      <c r="J40" s="892"/>
      <c r="K40" s="585">
        <v>0</v>
      </c>
      <c r="L40" s="1678" t="s">
        <v>103</v>
      </c>
      <c r="M40" s="892">
        <f>ROUND(SUM(C40)-SUM(K40)+SUM(G40),0)</f>
        <v>900274</v>
      </c>
      <c r="O40" s="1166"/>
      <c r="Q40" s="585">
        <v>0</v>
      </c>
      <c r="R40" s="892"/>
      <c r="S40" s="585">
        <v>0</v>
      </c>
    </row>
    <row r="41" spans="1:19">
      <c r="A41" s="259" t="s">
        <v>839</v>
      </c>
      <c r="C41" s="892">
        <v>24881393</v>
      </c>
      <c r="D41" s="892"/>
      <c r="E41" s="892">
        <v>0</v>
      </c>
      <c r="F41" s="1678"/>
      <c r="G41" s="892">
        <v>0</v>
      </c>
      <c r="H41" s="892"/>
      <c r="I41" s="585">
        <v>0</v>
      </c>
      <c r="J41" s="892"/>
      <c r="K41" s="585">
        <v>0</v>
      </c>
      <c r="L41" s="1678"/>
      <c r="M41" s="892">
        <f>ROUND(SUM(C41)-SUM(K41)+SUM(G41),0)</f>
        <v>24881393</v>
      </c>
      <c r="O41" s="1166"/>
      <c r="Q41" s="585">
        <v>0</v>
      </c>
      <c r="R41" s="892"/>
      <c r="S41" s="585">
        <v>0</v>
      </c>
    </row>
    <row r="42" spans="1:19">
      <c r="C42" s="892"/>
      <c r="D42" s="892"/>
      <c r="E42" s="585"/>
      <c r="F42" s="342"/>
      <c r="G42" s="585"/>
      <c r="H42" s="585"/>
      <c r="I42" s="892" t="s">
        <v>103</v>
      </c>
      <c r="J42" s="585"/>
      <c r="K42" s="892" t="s">
        <v>103</v>
      </c>
      <c r="L42" s="342"/>
      <c r="M42" s="892" t="s">
        <v>103</v>
      </c>
      <c r="O42" s="1166"/>
      <c r="Q42" s="892" t="s">
        <v>103</v>
      </c>
      <c r="R42" s="585"/>
      <c r="S42" s="892" t="s">
        <v>103</v>
      </c>
    </row>
    <row r="43" spans="1:19">
      <c r="A43" s="259" t="s">
        <v>840</v>
      </c>
      <c r="C43" s="892"/>
      <c r="D43" s="892"/>
      <c r="E43" s="585"/>
      <c r="F43" s="342"/>
      <c r="G43" s="585"/>
      <c r="H43" s="585"/>
      <c r="I43" s="892" t="s">
        <v>103</v>
      </c>
      <c r="J43" s="585"/>
      <c r="K43" s="892" t="s">
        <v>103</v>
      </c>
      <c r="L43" s="342"/>
      <c r="M43" s="892" t="s">
        <v>103</v>
      </c>
      <c r="O43" s="1166"/>
      <c r="Q43" s="892" t="s">
        <v>103</v>
      </c>
      <c r="R43" s="585"/>
      <c r="S43" s="892" t="s">
        <v>103</v>
      </c>
    </row>
    <row r="44" spans="1:19">
      <c r="A44" s="259" t="s">
        <v>841</v>
      </c>
      <c r="C44" s="892">
        <v>0</v>
      </c>
      <c r="D44" s="892"/>
      <c r="E44" s="892">
        <v>0</v>
      </c>
      <c r="F44" s="1678"/>
      <c r="G44" s="892">
        <v>0</v>
      </c>
      <c r="H44" s="892"/>
      <c r="I44" s="585">
        <v>0</v>
      </c>
      <c r="J44" s="892"/>
      <c r="K44" s="585">
        <v>0</v>
      </c>
      <c r="L44" s="1678"/>
      <c r="M44" s="892">
        <f>ROUND(SUM(C44)-SUM(K44)+SUM(G44),0)</f>
        <v>0</v>
      </c>
      <c r="O44" s="1166"/>
      <c r="Q44" s="585">
        <v>0</v>
      </c>
      <c r="R44" s="892"/>
      <c r="S44" s="585">
        <v>0</v>
      </c>
    </row>
    <row r="45" spans="1:19">
      <c r="A45" s="259" t="s">
        <v>842</v>
      </c>
      <c r="C45" s="892">
        <v>0</v>
      </c>
      <c r="D45" s="892"/>
      <c r="E45" s="892">
        <v>0</v>
      </c>
      <c r="F45" s="1678"/>
      <c r="G45" s="892">
        <v>0</v>
      </c>
      <c r="H45" s="892"/>
      <c r="I45" s="585">
        <v>0</v>
      </c>
      <c r="J45" s="892"/>
      <c r="K45" s="585">
        <v>0</v>
      </c>
      <c r="L45" s="1678"/>
      <c r="M45" s="892">
        <f>ROUND(SUM(C45)-SUM(K45)+SUM(G45),0)</f>
        <v>0</v>
      </c>
      <c r="O45" s="1166"/>
      <c r="Q45" s="585">
        <v>0</v>
      </c>
      <c r="R45" s="892"/>
      <c r="S45" s="585">
        <v>0</v>
      </c>
    </row>
    <row r="46" spans="1:19">
      <c r="C46" s="892"/>
      <c r="D46" s="892"/>
      <c r="E46" s="585"/>
      <c r="F46" s="342"/>
      <c r="G46" s="585"/>
      <c r="H46" s="585"/>
      <c r="I46" s="892" t="s">
        <v>103</v>
      </c>
      <c r="J46" s="585"/>
      <c r="K46" s="892" t="s">
        <v>103</v>
      </c>
      <c r="L46" s="342"/>
      <c r="M46" s="892" t="s">
        <v>103</v>
      </c>
      <c r="O46" s="1166"/>
      <c r="Q46" s="892" t="s">
        <v>103</v>
      </c>
      <c r="R46" s="585"/>
      <c r="S46" s="892" t="s">
        <v>103</v>
      </c>
    </row>
    <row r="47" spans="1:19">
      <c r="A47" s="259" t="s">
        <v>843</v>
      </c>
      <c r="C47" s="892">
        <v>0</v>
      </c>
      <c r="D47" s="892"/>
      <c r="E47" s="892">
        <v>0</v>
      </c>
      <c r="F47" s="1678"/>
      <c r="G47" s="892">
        <v>0</v>
      </c>
      <c r="H47" s="892"/>
      <c r="I47" s="585">
        <v>0</v>
      </c>
      <c r="J47" s="892"/>
      <c r="K47" s="585">
        <v>0</v>
      </c>
      <c r="L47" s="1678"/>
      <c r="M47" s="892">
        <f>ROUND(SUM(C47)-SUM(K47)+SUM(G47),0)</f>
        <v>0</v>
      </c>
      <c r="O47" s="1166"/>
      <c r="Q47" s="585">
        <v>0</v>
      </c>
      <c r="R47" s="892"/>
      <c r="S47" s="585">
        <v>0</v>
      </c>
    </row>
    <row r="48" spans="1:19">
      <c r="C48" s="892"/>
      <c r="D48" s="892"/>
      <c r="E48" s="892"/>
      <c r="F48" s="1678"/>
      <c r="G48" s="892"/>
      <c r="H48" s="892"/>
      <c r="I48" s="892" t="s">
        <v>103</v>
      </c>
      <c r="J48" s="892"/>
      <c r="K48" s="892" t="s">
        <v>103</v>
      </c>
      <c r="L48" s="1678"/>
      <c r="M48" s="892" t="s">
        <v>103</v>
      </c>
      <c r="O48" s="1166"/>
      <c r="Q48" s="892" t="s">
        <v>103</v>
      </c>
      <c r="R48" s="892"/>
      <c r="S48" s="892" t="s">
        <v>103</v>
      </c>
    </row>
    <row r="49" spans="1:19">
      <c r="A49" s="259" t="s">
        <v>844</v>
      </c>
      <c r="C49" s="892">
        <v>13745254</v>
      </c>
      <c r="D49" s="892"/>
      <c r="E49" s="892">
        <v>0</v>
      </c>
      <c r="F49" s="1678"/>
      <c r="G49" s="892">
        <v>0</v>
      </c>
      <c r="H49" s="892"/>
      <c r="I49" s="585">
        <v>0</v>
      </c>
      <c r="J49" s="892"/>
      <c r="K49" s="585">
        <v>0</v>
      </c>
      <c r="L49" s="1678"/>
      <c r="M49" s="892">
        <f>ROUND(SUM(C49)-SUM(K49)+SUM(G49),0)</f>
        <v>13745254</v>
      </c>
      <c r="O49" s="1166"/>
      <c r="Q49" s="585">
        <v>37625</v>
      </c>
      <c r="R49" s="892"/>
      <c r="S49" s="585">
        <v>37625</v>
      </c>
    </row>
    <row r="50" spans="1:19">
      <c r="C50" s="892"/>
      <c r="D50" s="892"/>
      <c r="E50" s="892"/>
      <c r="F50" s="1678"/>
      <c r="G50" s="892"/>
      <c r="H50" s="892"/>
      <c r="I50" s="892" t="s">
        <v>103</v>
      </c>
      <c r="J50" s="892"/>
      <c r="K50" s="892" t="s">
        <v>103</v>
      </c>
      <c r="L50" s="1678"/>
      <c r="M50" s="892" t="s">
        <v>103</v>
      </c>
      <c r="O50" s="1166"/>
      <c r="Q50" s="892" t="s">
        <v>103</v>
      </c>
      <c r="R50" s="892"/>
      <c r="S50" s="892" t="s">
        <v>103</v>
      </c>
    </row>
    <row r="51" spans="1:19">
      <c r="A51" s="259" t="s">
        <v>845</v>
      </c>
      <c r="C51" s="892">
        <v>0</v>
      </c>
      <c r="D51" s="892"/>
      <c r="E51" s="892">
        <v>0</v>
      </c>
      <c r="F51" s="1678"/>
      <c r="G51" s="892">
        <v>0</v>
      </c>
      <c r="H51" s="892"/>
      <c r="I51" s="585">
        <v>0</v>
      </c>
      <c r="J51" s="892"/>
      <c r="K51" s="585">
        <v>0</v>
      </c>
      <c r="L51" s="1678"/>
      <c r="M51" s="892">
        <f>ROUND(SUM(C51)-SUM(K51)+SUM(G51),0)</f>
        <v>0</v>
      </c>
      <c r="O51" s="1166"/>
      <c r="Q51" s="585">
        <v>0</v>
      </c>
      <c r="R51" s="892"/>
      <c r="S51" s="585">
        <v>0</v>
      </c>
    </row>
    <row r="52" spans="1:19">
      <c r="C52" s="892"/>
      <c r="D52" s="892"/>
      <c r="E52" s="892"/>
      <c r="F52" s="1678"/>
      <c r="G52" s="892"/>
      <c r="H52" s="892"/>
      <c r="I52" s="892" t="s">
        <v>103</v>
      </c>
      <c r="J52" s="892"/>
      <c r="K52" s="892" t="s">
        <v>103</v>
      </c>
      <c r="L52" s="1678"/>
      <c r="M52" s="892" t="s">
        <v>103</v>
      </c>
      <c r="O52" s="1166"/>
      <c r="Q52" s="892" t="s">
        <v>103</v>
      </c>
      <c r="R52" s="892"/>
      <c r="S52" s="892" t="s">
        <v>103</v>
      </c>
    </row>
    <row r="53" spans="1:19">
      <c r="A53" s="259" t="s">
        <v>846</v>
      </c>
      <c r="C53" s="892"/>
      <c r="D53" s="892"/>
      <c r="E53" s="1168"/>
      <c r="F53" s="1679"/>
      <c r="G53" s="1168"/>
      <c r="H53" s="1168"/>
      <c r="I53" s="892" t="s">
        <v>103</v>
      </c>
      <c r="J53" s="1168"/>
      <c r="K53" s="892" t="s">
        <v>103</v>
      </c>
      <c r="L53" s="1679"/>
      <c r="M53" s="892" t="s">
        <v>103</v>
      </c>
      <c r="O53" s="1166"/>
      <c r="Q53" s="892" t="s">
        <v>103</v>
      </c>
      <c r="R53" s="1168"/>
      <c r="S53" s="892" t="s">
        <v>103</v>
      </c>
    </row>
    <row r="54" spans="1:19">
      <c r="A54" s="259" t="s">
        <v>847</v>
      </c>
      <c r="C54" s="892">
        <v>297580623</v>
      </c>
      <c r="D54" s="892"/>
      <c r="E54" s="892">
        <v>0</v>
      </c>
      <c r="F54" s="1679"/>
      <c r="G54" s="892">
        <v>0</v>
      </c>
      <c r="H54" s="1168"/>
      <c r="I54" s="585">
        <v>0</v>
      </c>
      <c r="J54" s="1168"/>
      <c r="K54" s="585">
        <v>0</v>
      </c>
      <c r="L54" s="1679" t="s">
        <v>103</v>
      </c>
      <c r="M54" s="892">
        <f t="shared" ref="M54:M59" si="0">ROUND(SUM(C54)-SUM(K54)+SUM(G54),0)</f>
        <v>297580623</v>
      </c>
      <c r="O54" s="1166"/>
      <c r="Q54" s="585">
        <v>0</v>
      </c>
      <c r="R54" s="1168"/>
      <c r="S54" s="585">
        <v>0</v>
      </c>
    </row>
    <row r="55" spans="1:19">
      <c r="A55" s="259" t="s">
        <v>848</v>
      </c>
      <c r="C55" s="892">
        <v>1215362</v>
      </c>
      <c r="D55" s="892"/>
      <c r="E55" s="892">
        <v>0</v>
      </c>
      <c r="F55" s="1679"/>
      <c r="G55" s="892">
        <v>0</v>
      </c>
      <c r="H55" s="1168"/>
      <c r="I55" s="585">
        <v>0</v>
      </c>
      <c r="J55" s="1168" t="s">
        <v>103</v>
      </c>
      <c r="K55" s="585">
        <v>0</v>
      </c>
      <c r="L55" s="1679"/>
      <c r="M55" s="892">
        <f t="shared" si="0"/>
        <v>1215362</v>
      </c>
      <c r="O55" s="1166"/>
      <c r="Q55" s="585">
        <v>0</v>
      </c>
      <c r="R55" s="1168" t="s">
        <v>103</v>
      </c>
      <c r="S55" s="585">
        <v>0</v>
      </c>
    </row>
    <row r="56" spans="1:19">
      <c r="A56" s="259" t="s">
        <v>849</v>
      </c>
      <c r="C56" s="892">
        <v>31147290</v>
      </c>
      <c r="D56" s="892"/>
      <c r="E56" s="892">
        <v>0</v>
      </c>
      <c r="F56" s="1679"/>
      <c r="G56" s="892">
        <v>0</v>
      </c>
      <c r="H56" s="1168"/>
      <c r="I56" s="585">
        <v>0</v>
      </c>
      <c r="J56" s="1168"/>
      <c r="K56" s="585">
        <v>0</v>
      </c>
      <c r="L56" s="1679"/>
      <c r="M56" s="892">
        <f t="shared" si="0"/>
        <v>31147290</v>
      </c>
      <c r="O56" s="1166"/>
      <c r="Q56" s="585">
        <v>0</v>
      </c>
      <c r="R56" s="1168"/>
      <c r="S56" s="585">
        <v>0</v>
      </c>
    </row>
    <row r="57" spans="1:19">
      <c r="A57" s="259" t="s">
        <v>850</v>
      </c>
      <c r="C57" s="892">
        <v>58504297</v>
      </c>
      <c r="D57" s="892"/>
      <c r="E57" s="892">
        <v>0</v>
      </c>
      <c r="F57" s="1679"/>
      <c r="G57" s="892">
        <v>0</v>
      </c>
      <c r="H57" s="1168"/>
      <c r="I57" s="585">
        <v>0</v>
      </c>
      <c r="J57" s="1168"/>
      <c r="K57" s="585">
        <v>0</v>
      </c>
      <c r="L57" s="1679"/>
      <c r="M57" s="892">
        <f t="shared" si="0"/>
        <v>58504297</v>
      </c>
      <c r="O57" s="1166"/>
      <c r="Q57" s="585">
        <v>0</v>
      </c>
      <c r="R57" s="1168"/>
      <c r="S57" s="585">
        <v>0</v>
      </c>
    </row>
    <row r="58" spans="1:19">
      <c r="A58" s="259" t="s">
        <v>851</v>
      </c>
      <c r="C58" s="892">
        <v>4887044</v>
      </c>
      <c r="D58" s="892"/>
      <c r="E58" s="892">
        <v>0</v>
      </c>
      <c r="F58" s="1679"/>
      <c r="G58" s="892">
        <v>0</v>
      </c>
      <c r="H58" s="1168"/>
      <c r="I58" s="585">
        <v>0</v>
      </c>
      <c r="J58" s="1168"/>
      <c r="K58" s="585">
        <v>0</v>
      </c>
      <c r="L58" s="1679"/>
      <c r="M58" s="892">
        <f t="shared" si="0"/>
        <v>4887044</v>
      </c>
      <c r="O58" s="1166"/>
      <c r="Q58" s="585">
        <v>0</v>
      </c>
      <c r="R58" s="1168"/>
      <c r="S58" s="585">
        <v>0</v>
      </c>
    </row>
    <row r="59" spans="1:19">
      <c r="A59" s="259" t="s">
        <v>852</v>
      </c>
      <c r="C59" s="892">
        <v>768138160</v>
      </c>
      <c r="D59" s="892"/>
      <c r="E59" s="892">
        <v>0</v>
      </c>
      <c r="F59" s="1678"/>
      <c r="G59" s="892">
        <v>0</v>
      </c>
      <c r="H59" s="892"/>
      <c r="I59" s="585">
        <v>0</v>
      </c>
      <c r="J59" s="892" t="s">
        <v>103</v>
      </c>
      <c r="K59" s="585">
        <v>0</v>
      </c>
      <c r="L59" s="1678"/>
      <c r="M59" s="892">
        <f t="shared" si="0"/>
        <v>768138160</v>
      </c>
      <c r="O59" s="1166"/>
      <c r="Q59" s="585">
        <v>0</v>
      </c>
      <c r="R59" s="892" t="s">
        <v>103</v>
      </c>
      <c r="S59" s="585">
        <v>0</v>
      </c>
    </row>
    <row r="60" spans="1:19">
      <c r="C60" s="892"/>
      <c r="D60" s="892"/>
      <c r="E60" s="892"/>
      <c r="F60" s="1678"/>
      <c r="G60" s="892"/>
      <c r="H60" s="892"/>
      <c r="I60" s="892" t="s">
        <v>103</v>
      </c>
      <c r="J60" s="892"/>
      <c r="K60" s="892" t="s">
        <v>103</v>
      </c>
      <c r="L60" s="1678"/>
      <c r="M60" s="892" t="s">
        <v>103</v>
      </c>
      <c r="O60" s="1166"/>
      <c r="Q60" s="892" t="s">
        <v>103</v>
      </c>
      <c r="R60" s="892"/>
      <c r="S60" s="892" t="s">
        <v>103</v>
      </c>
    </row>
    <row r="61" spans="1:19">
      <c r="A61" s="259" t="s">
        <v>853</v>
      </c>
      <c r="C61" s="892"/>
      <c r="D61" s="892"/>
      <c r="E61" s="892"/>
      <c r="F61" s="1678"/>
      <c r="G61" s="892"/>
      <c r="H61" s="892"/>
      <c r="I61" s="892" t="s">
        <v>103</v>
      </c>
      <c r="J61" s="892"/>
      <c r="K61" s="892" t="s">
        <v>103</v>
      </c>
      <c r="L61" s="1678"/>
      <c r="M61" s="892" t="s">
        <v>103</v>
      </c>
      <c r="O61" s="1166"/>
      <c r="Q61" s="892" t="s">
        <v>103</v>
      </c>
      <c r="R61" s="892"/>
      <c r="S61" s="892" t="s">
        <v>103</v>
      </c>
    </row>
    <row r="62" spans="1:19">
      <c r="A62" s="259" t="s">
        <v>854</v>
      </c>
      <c r="C62" s="892">
        <v>0</v>
      </c>
      <c r="D62" s="892"/>
      <c r="E62" s="892">
        <v>0</v>
      </c>
      <c r="F62" s="1678"/>
      <c r="G62" s="892">
        <v>0</v>
      </c>
      <c r="H62" s="892"/>
      <c r="I62" s="585">
        <v>0</v>
      </c>
      <c r="J62" s="892"/>
      <c r="K62" s="585">
        <v>0</v>
      </c>
      <c r="L62" s="1678"/>
      <c r="M62" s="892">
        <f>ROUND(SUM(C62)-SUM(K62)+SUM(G62),0)</f>
        <v>0</v>
      </c>
      <c r="O62" s="1166"/>
      <c r="Q62" s="585">
        <v>0</v>
      </c>
      <c r="R62" s="892"/>
      <c r="S62" s="585">
        <v>0</v>
      </c>
    </row>
    <row r="63" spans="1:19">
      <c r="A63" s="375" t="s">
        <v>855</v>
      </c>
      <c r="C63" s="892">
        <v>0</v>
      </c>
      <c r="D63" s="892"/>
      <c r="E63" s="892">
        <v>0</v>
      </c>
      <c r="F63" s="1678"/>
      <c r="G63" s="892">
        <v>0</v>
      </c>
      <c r="H63" s="892"/>
      <c r="I63" s="585">
        <v>0</v>
      </c>
      <c r="J63" s="892"/>
      <c r="K63" s="585">
        <v>0</v>
      </c>
      <c r="L63" s="1678"/>
      <c r="M63" s="892">
        <f>ROUND(SUM(C63)-SUM(K63)+SUM(G63),0)</f>
        <v>0</v>
      </c>
      <c r="O63" s="1166"/>
      <c r="Q63" s="585">
        <v>0</v>
      </c>
      <c r="R63" s="892"/>
      <c r="S63" s="585">
        <v>0</v>
      </c>
    </row>
    <row r="64" spans="1:19" ht="13.5" customHeight="1">
      <c r="C64" s="892"/>
      <c r="D64" s="892"/>
      <c r="E64" s="892"/>
      <c r="F64" s="1678"/>
      <c r="G64" s="892"/>
      <c r="H64" s="892"/>
      <c r="I64" s="892" t="s">
        <v>103</v>
      </c>
      <c r="J64" s="892"/>
      <c r="K64" s="892" t="s">
        <v>103</v>
      </c>
      <c r="L64" s="1678"/>
      <c r="M64" s="892" t="s">
        <v>103</v>
      </c>
      <c r="O64" s="1166"/>
      <c r="Q64" s="892" t="s">
        <v>103</v>
      </c>
      <c r="R64" s="892"/>
      <c r="S64" s="892" t="s">
        <v>103</v>
      </c>
    </row>
    <row r="65" spans="1:19">
      <c r="A65" s="259" t="s">
        <v>856</v>
      </c>
      <c r="C65" s="892">
        <v>648074351</v>
      </c>
      <c r="D65" s="892"/>
      <c r="E65" s="892">
        <v>0</v>
      </c>
      <c r="F65" s="1678"/>
      <c r="G65" s="892">
        <v>0</v>
      </c>
      <c r="H65" s="892"/>
      <c r="I65" s="585">
        <v>0</v>
      </c>
      <c r="J65" s="892"/>
      <c r="K65" s="585">
        <v>0</v>
      </c>
      <c r="L65" s="1678"/>
      <c r="M65" s="892">
        <f>ROUND(SUM(C65)-SUM(K65)+SUM(G65),0)</f>
        <v>648074351</v>
      </c>
      <c r="O65" s="1166"/>
      <c r="Q65" s="585">
        <v>0</v>
      </c>
      <c r="R65" s="892"/>
      <c r="S65" s="585">
        <v>0</v>
      </c>
    </row>
    <row r="66" spans="1:19" ht="13.5" customHeight="1">
      <c r="C66" s="892"/>
      <c r="D66" s="892"/>
      <c r="E66" s="892"/>
      <c r="F66" s="1678"/>
      <c r="G66" s="892"/>
      <c r="H66" s="892"/>
      <c r="I66" s="892" t="s">
        <v>103</v>
      </c>
      <c r="J66" s="892"/>
      <c r="K66" s="892" t="s">
        <v>103</v>
      </c>
      <c r="L66" s="1678"/>
      <c r="M66" s="892" t="s">
        <v>103</v>
      </c>
      <c r="O66" s="1166"/>
      <c r="Q66" s="892" t="s">
        <v>103</v>
      </c>
      <c r="R66" s="892"/>
      <c r="S66" s="892" t="s">
        <v>103</v>
      </c>
    </row>
    <row r="67" spans="1:19">
      <c r="A67" s="259" t="s">
        <v>857</v>
      </c>
      <c r="C67" s="892"/>
      <c r="D67" s="892"/>
      <c r="E67" s="892"/>
      <c r="F67" s="1678"/>
      <c r="G67" s="892"/>
      <c r="H67" s="892"/>
      <c r="I67" s="892" t="s">
        <v>103</v>
      </c>
      <c r="J67" s="892"/>
      <c r="K67" s="892" t="s">
        <v>103</v>
      </c>
      <c r="L67" s="1678"/>
      <c r="M67" s="892" t="s">
        <v>103</v>
      </c>
      <c r="O67" s="1166"/>
      <c r="Q67" s="892" t="s">
        <v>103</v>
      </c>
      <c r="R67" s="892"/>
      <c r="S67" s="892" t="s">
        <v>103</v>
      </c>
    </row>
    <row r="68" spans="1:19">
      <c r="A68" s="259" t="s">
        <v>849</v>
      </c>
      <c r="C68" s="892">
        <v>0</v>
      </c>
      <c r="D68" s="892"/>
      <c r="E68" s="892">
        <v>0</v>
      </c>
      <c r="F68" s="1678"/>
      <c r="G68" s="892">
        <v>0</v>
      </c>
      <c r="H68" s="892"/>
      <c r="I68" s="585">
        <v>0</v>
      </c>
      <c r="J68" s="892"/>
      <c r="K68" s="585">
        <v>0</v>
      </c>
      <c r="L68" s="1678"/>
      <c r="M68" s="892">
        <f>ROUND(SUM(C68)-SUM(K68)+SUM(G68),0)</f>
        <v>0</v>
      </c>
      <c r="O68" s="1166"/>
      <c r="Q68" s="585">
        <v>0</v>
      </c>
      <c r="R68" s="892"/>
      <c r="S68" s="585">
        <v>0</v>
      </c>
    </row>
    <row r="69" spans="1:19">
      <c r="A69" s="259" t="s">
        <v>858</v>
      </c>
      <c r="C69" s="892">
        <v>0</v>
      </c>
      <c r="D69" s="892"/>
      <c r="E69" s="892">
        <v>0</v>
      </c>
      <c r="F69" s="1678"/>
      <c r="G69" s="892">
        <v>0</v>
      </c>
      <c r="H69" s="892"/>
      <c r="I69" s="585">
        <v>0</v>
      </c>
      <c r="J69" s="892"/>
      <c r="K69" s="585">
        <v>0</v>
      </c>
      <c r="L69" s="1678"/>
      <c r="M69" s="892">
        <f>ROUND(SUM(C69)-SUM(K69)+SUM(G69),0)</f>
        <v>0</v>
      </c>
      <c r="O69" s="1166"/>
      <c r="Q69" s="585">
        <v>0</v>
      </c>
      <c r="R69" s="892"/>
      <c r="S69" s="585">
        <v>0</v>
      </c>
    </row>
    <row r="70" spans="1:19">
      <c r="E70" s="1169"/>
      <c r="F70" s="1676"/>
      <c r="G70" s="1169"/>
      <c r="H70" s="1169"/>
      <c r="I70" s="1169"/>
      <c r="J70" s="1169"/>
      <c r="K70" s="1169"/>
      <c r="L70" s="1169"/>
      <c r="M70" s="1169"/>
      <c r="O70" s="1166"/>
      <c r="Q70" s="1680"/>
      <c r="S70" s="1165"/>
    </row>
    <row r="71" spans="1:19" ht="15" customHeight="1" thickBot="1">
      <c r="A71" s="261" t="s">
        <v>859</v>
      </c>
      <c r="B71" s="569"/>
      <c r="C71" s="893">
        <f>ROUND(SUM(C16:C69),2)</f>
        <v>2049355000</v>
      </c>
      <c r="D71" s="1274" t="s">
        <v>103</v>
      </c>
      <c r="E71" s="893">
        <f>ROUND(SUM(E16:E70),2)</f>
        <v>0</v>
      </c>
      <c r="F71" s="1681"/>
      <c r="G71" s="893">
        <f>ROUND(SUM(G16:G69),2)</f>
        <v>0</v>
      </c>
      <c r="H71" s="569"/>
      <c r="I71" s="893">
        <f>ROUND(SUM(I16:I69),2)</f>
        <v>1420000</v>
      </c>
      <c r="J71" s="569"/>
      <c r="K71" s="893">
        <f>ROUND(SUM(K16:K69),0)</f>
        <v>1420000</v>
      </c>
      <c r="L71" s="569"/>
      <c r="M71" s="893">
        <f>ROUND(SUM(M16:M69),2)</f>
        <v>2047935000</v>
      </c>
      <c r="N71" s="261"/>
      <c r="O71" s="1682"/>
      <c r="P71" s="569"/>
      <c r="Q71" s="893">
        <f>ROUND(SUM(Q16:Q69),2)</f>
        <v>73125</v>
      </c>
      <c r="R71" s="569"/>
      <c r="S71" s="893">
        <f>ROUND(SUM(S16:S69),0)</f>
        <v>73125</v>
      </c>
    </row>
    <row r="72" spans="1:19" ht="15" customHeight="1" thickTop="1">
      <c r="A72" s="570"/>
      <c r="B72" s="571"/>
      <c r="C72" s="358"/>
      <c r="D72" s="358"/>
      <c r="E72" s="1684"/>
      <c r="F72" s="1683"/>
      <c r="G72" s="1684"/>
      <c r="H72" s="571"/>
      <c r="I72" s="1683"/>
      <c r="J72" s="571"/>
      <c r="K72" s="1685"/>
      <c r="L72" s="571"/>
      <c r="M72" s="358"/>
      <c r="N72" s="261"/>
      <c r="O72" s="261"/>
      <c r="P72" s="571"/>
      <c r="Q72" s="1686"/>
      <c r="R72" s="571"/>
      <c r="S72" s="1683"/>
    </row>
    <row r="73" spans="1:19">
      <c r="A73" s="942"/>
      <c r="E73" s="342"/>
      <c r="G73" s="342"/>
      <c r="I73" s="259"/>
      <c r="K73" s="1167" t="s">
        <v>103</v>
      </c>
      <c r="P73" s="306"/>
    </row>
    <row r="74" spans="1:19">
      <c r="A74" s="306"/>
      <c r="G74" s="342"/>
      <c r="H74" s="1687"/>
      <c r="I74" s="585"/>
      <c r="J74" s="1687"/>
      <c r="K74" s="1167"/>
      <c r="L74" s="305"/>
      <c r="P74" s="305"/>
      <c r="Q74" s="560"/>
      <c r="R74" s="1676"/>
      <c r="S74" s="560"/>
    </row>
    <row r="75" spans="1:19">
      <c r="A75" s="263"/>
      <c r="C75" s="342" t="s">
        <v>103</v>
      </c>
      <c r="E75" s="1688"/>
      <c r="G75" s="1170"/>
      <c r="I75" s="585"/>
      <c r="K75" s="1677" t="s">
        <v>103</v>
      </c>
      <c r="Q75" s="1676"/>
      <c r="S75" s="1676"/>
    </row>
    <row r="76" spans="1:19">
      <c r="C76" s="342" t="s">
        <v>103</v>
      </c>
      <c r="I76" s="585"/>
      <c r="K76" s="1689"/>
      <c r="Q76" s="306"/>
    </row>
    <row r="77" spans="1:19">
      <c r="E77" s="1690"/>
      <c r="F77" s="1676"/>
      <c r="G77" s="1690"/>
      <c r="I77" s="585"/>
      <c r="K77" s="1677" t="s">
        <v>103</v>
      </c>
      <c r="M77" s="1691"/>
      <c r="Q77" s="1692"/>
      <c r="S77" s="1676"/>
    </row>
    <row r="78" spans="1:19">
      <c r="C78" s="342" t="s">
        <v>103</v>
      </c>
      <c r="E78" s="1690"/>
      <c r="F78" s="1676"/>
      <c r="G78" s="305"/>
      <c r="I78" s="585"/>
      <c r="K78" s="1677"/>
      <c r="M78" s="1693"/>
      <c r="Q78" s="305"/>
      <c r="S78" s="1676"/>
    </row>
    <row r="79" spans="1:19">
      <c r="E79" s="1690"/>
      <c r="F79" s="1676"/>
      <c r="G79" s="1676"/>
      <c r="I79" s="1677"/>
      <c r="K79" s="1677"/>
      <c r="Q79" s="1694"/>
      <c r="S79" s="1676"/>
    </row>
    <row r="80" spans="1:19">
      <c r="E80" s="1690"/>
      <c r="F80" s="1676"/>
      <c r="G80" s="1690"/>
      <c r="I80" s="1677"/>
      <c r="K80" s="1677"/>
      <c r="M80" s="1691"/>
      <c r="Q80" s="1692"/>
      <c r="S80" s="1676"/>
    </row>
    <row r="81" spans="1:19">
      <c r="E81" s="1690"/>
      <c r="F81" s="1676"/>
      <c r="G81" s="1690"/>
      <c r="I81" s="1677"/>
      <c r="K81" s="1677"/>
      <c r="M81" s="1691"/>
      <c r="Q81" s="1692"/>
      <c r="S81" s="1676"/>
    </row>
    <row r="82" spans="1:19">
      <c r="E82" s="1690"/>
      <c r="F82" s="1676"/>
      <c r="G82" s="305"/>
      <c r="I82" s="1677"/>
      <c r="K82" s="1677"/>
      <c r="M82" s="1693"/>
      <c r="Q82" s="305"/>
      <c r="S82" s="1676"/>
    </row>
    <row r="83" spans="1:19">
      <c r="E83" s="1690"/>
      <c r="F83" s="1676"/>
      <c r="G83" s="1676"/>
      <c r="I83" s="1677"/>
      <c r="K83" s="1677"/>
      <c r="Q83" s="1694"/>
      <c r="S83" s="1676"/>
    </row>
    <row r="84" spans="1:19">
      <c r="E84" s="1690"/>
      <c r="F84" s="1676"/>
      <c r="G84" s="1690"/>
      <c r="I84" s="1677"/>
      <c r="K84" s="1677"/>
      <c r="M84" s="1691"/>
      <c r="Q84" s="1692"/>
      <c r="S84" s="1676"/>
    </row>
    <row r="85" spans="1:19" ht="13">
      <c r="C85" s="358"/>
      <c r="D85" s="358"/>
      <c r="E85" s="1684"/>
      <c r="F85" s="262"/>
      <c r="G85" s="1684"/>
      <c r="H85" s="261"/>
      <c r="I85" s="1695"/>
      <c r="J85" s="261"/>
      <c r="K85" s="1695"/>
      <c r="L85" s="261"/>
      <c r="M85" s="1696"/>
      <c r="N85" s="261"/>
      <c r="O85" s="261"/>
      <c r="P85" s="261"/>
      <c r="Q85" s="1684"/>
      <c r="R85" s="261"/>
      <c r="S85" s="262"/>
    </row>
    <row r="86" spans="1:19" ht="13">
      <c r="A86" s="261"/>
      <c r="C86" s="358"/>
      <c r="D86" s="358"/>
      <c r="E86" s="262"/>
      <c r="F86" s="262"/>
      <c r="G86" s="262"/>
      <c r="H86" s="261"/>
      <c r="I86" s="1695"/>
      <c r="J86" s="261"/>
      <c r="K86" s="1695"/>
      <c r="L86" s="261"/>
      <c r="M86" s="358"/>
      <c r="N86" s="261"/>
      <c r="O86" s="261"/>
      <c r="P86" s="261"/>
      <c r="Q86" s="262"/>
      <c r="R86" s="261"/>
      <c r="S86" s="262"/>
    </row>
    <row r="87" spans="1:19" ht="13">
      <c r="A87" s="261"/>
    </row>
    <row r="88" spans="1:19">
      <c r="C88" s="895"/>
      <c r="D88" s="895"/>
      <c r="F88" s="306"/>
    </row>
    <row r="89" spans="1:19">
      <c r="C89" s="896"/>
      <c r="D89" s="896"/>
      <c r="F89" s="263"/>
    </row>
    <row r="90" spans="1:19">
      <c r="E90" s="1171"/>
      <c r="G90" s="1172"/>
    </row>
    <row r="91" spans="1:19">
      <c r="E91" s="1173"/>
      <c r="G91" s="1170"/>
    </row>
  </sheetData>
  <mergeCells count="1">
    <mergeCell ref="E9:G9"/>
  </mergeCells>
  <printOptions horizontalCentered="1"/>
  <pageMargins left="0.5" right="0.5" top="0.5" bottom="0.25" header="0.3" footer="0.3"/>
  <pageSetup scale="55" firstPageNumber="44" orientation="landscape" useFirstPageNumber="1" r:id="rId1"/>
  <headerFooter scaleWithDoc="0" alignWithMargins="0">
    <oddFooter>&amp;C&amp;8&amp;P</oddFooter>
  </headerFooter>
  <rowBreaks count="1" manualBreakCount="1">
    <brk id="2" max="21" man="1"/>
  </rowBreaks>
  <customProperties>
    <customPr name="SheetOptions"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Y73"/>
  <sheetViews>
    <sheetView showGridLines="0" zoomScale="80" zoomScaleNormal="80" workbookViewId="0"/>
  </sheetViews>
  <sheetFormatPr defaultColWidth="8.84375" defaultRowHeight="15.5"/>
  <cols>
    <col min="1" max="1" width="3.84375" style="573" customWidth="1"/>
    <col min="2" max="2" width="43.84375" style="573" customWidth="1"/>
    <col min="3" max="3" width="2.07421875" style="573" customWidth="1"/>
    <col min="4" max="4" width="16.84375" style="573" customWidth="1"/>
    <col min="5" max="5" width="2.07421875" style="573" customWidth="1"/>
    <col min="6" max="6" width="16.84375" style="573" customWidth="1"/>
    <col min="7" max="7" width="2.07421875" style="573" customWidth="1"/>
    <col min="8" max="8" width="16.84375" style="573" customWidth="1"/>
    <col min="9" max="9" width="2.07421875" style="573" customWidth="1"/>
    <col min="10" max="10" width="16.84375" style="573" customWidth="1"/>
    <col min="11" max="11" width="2.07421875" style="573" customWidth="1"/>
    <col min="12" max="12" width="16.84375" style="573" customWidth="1"/>
    <col min="13" max="13" width="2.07421875" style="573" customWidth="1"/>
    <col min="14" max="14" width="16.84375" style="573" customWidth="1"/>
    <col min="15" max="15" width="2.07421875" style="573" customWidth="1"/>
    <col min="16" max="16" width="16.84375" style="573" customWidth="1"/>
    <col min="17" max="17" width="2.07421875" style="573" customWidth="1"/>
    <col min="18" max="18" width="16.84375" style="573" customWidth="1"/>
    <col min="19" max="19" width="17.07421875" style="573" customWidth="1"/>
    <col min="20" max="20" width="18.53515625" style="573" customWidth="1"/>
    <col min="21" max="21" width="35.07421875" style="573" bestFit="1" customWidth="1"/>
    <col min="22" max="16384" width="8.84375" style="573"/>
  </cols>
  <sheetData>
    <row r="1" spans="1:19">
      <c r="B1" s="387" t="s">
        <v>97</v>
      </c>
    </row>
    <row r="2" spans="1:19">
      <c r="B2" s="1592"/>
      <c r="C2" s="1592"/>
      <c r="D2" s="1592"/>
      <c r="E2" s="1592"/>
      <c r="F2" s="1592"/>
      <c r="G2" s="1592"/>
      <c r="H2" s="1592"/>
      <c r="I2" s="1592"/>
      <c r="J2" s="1592"/>
      <c r="K2" s="1592"/>
      <c r="L2" s="1592"/>
      <c r="M2" s="1592"/>
      <c r="N2" s="1592"/>
      <c r="O2" s="1592"/>
      <c r="P2" s="1592"/>
      <c r="Q2" s="1592"/>
      <c r="R2" s="1592"/>
      <c r="S2" s="1592"/>
    </row>
    <row r="3" spans="1:19">
      <c r="A3" s="572"/>
      <c r="B3" s="1593" t="s">
        <v>98</v>
      </c>
      <c r="C3" s="1593"/>
      <c r="D3" s="1593"/>
      <c r="E3" s="1593"/>
      <c r="F3" s="1592"/>
      <c r="G3" s="1592"/>
      <c r="H3" s="1592"/>
      <c r="I3" s="1592"/>
      <c r="J3" s="1592"/>
      <c r="K3" s="1592"/>
      <c r="L3" s="1592"/>
      <c r="M3" s="1592"/>
      <c r="N3" s="1592"/>
      <c r="O3" s="1592"/>
      <c r="P3" s="1592"/>
      <c r="Q3" s="1592"/>
      <c r="R3" s="1594" t="s">
        <v>860</v>
      </c>
      <c r="S3" s="1595"/>
    </row>
    <row r="4" spans="1:19">
      <c r="A4" s="572"/>
      <c r="B4" s="1593" t="s">
        <v>861</v>
      </c>
      <c r="C4" s="1593"/>
      <c r="D4" s="1593"/>
      <c r="E4" s="1593"/>
      <c r="F4" s="1592"/>
      <c r="G4" s="1592"/>
      <c r="H4" s="1592"/>
      <c r="I4" s="1592"/>
      <c r="J4" s="1592"/>
      <c r="K4" s="1592"/>
      <c r="L4" s="1592"/>
      <c r="M4" s="1592"/>
      <c r="N4" s="1592"/>
      <c r="O4" s="1592"/>
      <c r="P4" s="1592"/>
      <c r="Q4" s="1592"/>
      <c r="R4" s="1592"/>
      <c r="S4" s="1592"/>
    </row>
    <row r="5" spans="1:19">
      <c r="A5" s="572"/>
      <c r="B5" s="1593" t="s">
        <v>1463</v>
      </c>
      <c r="C5" s="1593"/>
      <c r="D5" s="1593"/>
      <c r="E5" s="1593"/>
      <c r="F5" s="1592" t="s">
        <v>103</v>
      </c>
      <c r="G5" s="1592"/>
      <c r="H5" s="1592"/>
      <c r="I5" s="1592"/>
      <c r="J5" s="1592"/>
      <c r="K5" s="1592"/>
      <c r="L5" s="1592"/>
      <c r="M5" s="1592"/>
      <c r="N5" s="1592"/>
      <c r="O5" s="1592"/>
      <c r="P5" s="1592"/>
      <c r="Q5" s="1592"/>
      <c r="R5" s="1592"/>
      <c r="S5" s="1592"/>
    </row>
    <row r="6" spans="1:19">
      <c r="A6" s="572"/>
      <c r="B6" s="1596" t="str">
        <f>'Exh D Governmental  '!A6</f>
        <v>FOR ONE MONTH ENDED APRIL 30, 2026</v>
      </c>
      <c r="C6" s="1596"/>
      <c r="D6" s="1593"/>
      <c r="E6" s="1593"/>
      <c r="F6" s="1592"/>
      <c r="G6" s="1592"/>
      <c r="H6" s="1592"/>
      <c r="I6" s="1592"/>
      <c r="J6" s="1592"/>
      <c r="K6" s="1592"/>
      <c r="L6" s="1592"/>
      <c r="M6" s="1592"/>
      <c r="N6" s="1592"/>
      <c r="O6" s="1592"/>
      <c r="P6" s="1592"/>
      <c r="Q6" s="1592"/>
      <c r="R6" s="1592"/>
      <c r="S6" s="1592"/>
    </row>
    <row r="7" spans="1:19">
      <c r="A7" s="572"/>
      <c r="B7" s="1597"/>
      <c r="C7" s="1597"/>
      <c r="D7" s="1593"/>
      <c r="E7" s="1593"/>
      <c r="F7" s="1592"/>
      <c r="G7" s="1592"/>
      <c r="H7" s="1592"/>
      <c r="I7" s="1592"/>
      <c r="J7" s="1592"/>
      <c r="K7" s="1592"/>
      <c r="L7" s="1592"/>
      <c r="M7" s="1592"/>
      <c r="N7" s="1592"/>
      <c r="O7" s="1592"/>
      <c r="P7" s="1592"/>
      <c r="Q7" s="1592"/>
      <c r="R7" s="1592"/>
      <c r="S7" s="1592"/>
    </row>
    <row r="8" spans="1:19" ht="5.25" customHeight="1">
      <c r="B8" s="1598"/>
      <c r="C8" s="1598"/>
      <c r="D8" s="1592"/>
      <c r="E8" s="1592"/>
      <c r="F8" s="1592"/>
      <c r="G8" s="1592"/>
      <c r="H8" s="1592"/>
      <c r="I8" s="1592"/>
      <c r="J8" s="1592"/>
      <c r="K8" s="1592"/>
      <c r="L8" s="1592"/>
      <c r="M8" s="1592"/>
      <c r="N8" s="1592"/>
      <c r="O8" s="1592"/>
      <c r="P8" s="1592"/>
      <c r="Q8" s="1592"/>
      <c r="R8" s="1592"/>
      <c r="S8" s="1592"/>
    </row>
    <row r="9" spans="1:19">
      <c r="B9" s="1592"/>
      <c r="C9" s="1592"/>
      <c r="E9" s="1599"/>
      <c r="F9" s="1599"/>
      <c r="G9" s="1599"/>
      <c r="H9" s="1599"/>
      <c r="I9" s="1599"/>
      <c r="J9" s="1599"/>
      <c r="K9" s="1599"/>
      <c r="L9" s="1599"/>
      <c r="M9" s="1599"/>
      <c r="N9" s="1592"/>
      <c r="O9" s="1592"/>
      <c r="P9" s="1592"/>
      <c r="Q9" s="1592"/>
      <c r="R9" s="1592"/>
      <c r="S9" s="1592"/>
    </row>
    <row r="10" spans="1:19">
      <c r="B10" s="1592"/>
      <c r="C10" s="1592"/>
      <c r="D10" s="1599" t="s">
        <v>814</v>
      </c>
      <c r="E10" s="1600"/>
      <c r="F10" s="1600" t="s">
        <v>862</v>
      </c>
      <c r="G10" s="1600"/>
      <c r="H10" s="1600" t="s">
        <v>863</v>
      </c>
      <c r="I10" s="1600"/>
      <c r="J10" s="1600" t="s">
        <v>864</v>
      </c>
      <c r="K10" s="1600"/>
      <c r="L10" s="1600" t="s">
        <v>865</v>
      </c>
      <c r="M10" s="1600"/>
      <c r="N10" s="1592"/>
      <c r="O10" s="1592"/>
      <c r="P10" s="1592"/>
      <c r="Q10" s="1592"/>
      <c r="R10" s="1592"/>
      <c r="S10" s="1592"/>
    </row>
    <row r="11" spans="1:19">
      <c r="B11" s="1592"/>
      <c r="C11" s="1592"/>
      <c r="D11" s="1600" t="s">
        <v>866</v>
      </c>
      <c r="E11" s="1600"/>
      <c r="F11" s="1600" t="s">
        <v>814</v>
      </c>
      <c r="G11" s="1600"/>
      <c r="H11" s="1600" t="s">
        <v>867</v>
      </c>
      <c r="I11" s="1600"/>
      <c r="J11" s="1601" t="s">
        <v>868</v>
      </c>
      <c r="K11" s="1600"/>
      <c r="L11" s="1600" t="s">
        <v>869</v>
      </c>
      <c r="M11" s="1600"/>
      <c r="N11" s="1602" t="s">
        <v>870</v>
      </c>
      <c r="O11" s="1602"/>
      <c r="P11" s="1602"/>
      <c r="Q11" s="1592"/>
      <c r="R11" s="1592"/>
      <c r="S11" s="1592"/>
    </row>
    <row r="12" spans="1:19">
      <c r="B12" s="1592"/>
      <c r="C12" s="1592"/>
      <c r="D12" s="1600" t="s">
        <v>871</v>
      </c>
      <c r="E12" s="1600"/>
      <c r="F12" s="1600" t="s">
        <v>872</v>
      </c>
      <c r="G12" s="1600"/>
      <c r="H12" s="1600" t="s">
        <v>873</v>
      </c>
      <c r="I12" s="1600"/>
      <c r="J12" s="1601" t="s">
        <v>874</v>
      </c>
      <c r="K12" s="1601"/>
      <c r="L12" s="1600" t="s">
        <v>875</v>
      </c>
      <c r="M12" s="1600"/>
      <c r="N12" s="1603" t="str">
        <f>UPPER('Cashflow Governmental'!$AB$12)</f>
        <v>1 MONTH ENDED APRIL 30</v>
      </c>
      <c r="O12" s="1603"/>
      <c r="P12" s="1603"/>
      <c r="Q12" s="1592"/>
      <c r="R12" s="1599" t="s">
        <v>876</v>
      </c>
      <c r="S12" s="1600"/>
    </row>
    <row r="13" spans="1:19">
      <c r="A13" s="572"/>
      <c r="B13" s="1604" t="s">
        <v>1464</v>
      </c>
      <c r="C13" s="1593"/>
      <c r="D13" s="1605" t="s">
        <v>877</v>
      </c>
      <c r="E13" s="1600"/>
      <c r="F13" s="1605" t="s">
        <v>878</v>
      </c>
      <c r="G13" s="1600"/>
      <c r="H13" s="1606" t="s">
        <v>879</v>
      </c>
      <c r="I13" s="1600"/>
      <c r="J13" s="1607" t="s">
        <v>880</v>
      </c>
      <c r="K13" s="1600"/>
      <c r="L13" s="1607" t="s">
        <v>881</v>
      </c>
      <c r="M13" s="1600"/>
      <c r="N13" s="1608" t="str">
        <f>'Cashflow Governmental'!$AB$14</f>
        <v>2026</v>
      </c>
      <c r="O13" s="1608"/>
      <c r="P13" s="1608" t="str">
        <f>'Cashflow Governmental'!$AE$14</f>
        <v>2025</v>
      </c>
      <c r="Q13" s="1600"/>
      <c r="R13" s="1609" t="s">
        <v>882</v>
      </c>
      <c r="S13" s="1600"/>
    </row>
    <row r="14" spans="1:19">
      <c r="B14" s="1593" t="s">
        <v>883</v>
      </c>
      <c r="C14" s="1593"/>
      <c r="D14" s="1610"/>
      <c r="E14" s="1610"/>
      <c r="F14" s="1611"/>
      <c r="G14" s="1611"/>
      <c r="H14" s="1612"/>
      <c r="I14" s="1612"/>
      <c r="J14" s="1610"/>
      <c r="K14" s="1610"/>
      <c r="L14" s="1610"/>
      <c r="M14" s="1610"/>
      <c r="N14" s="1612"/>
      <c r="O14" s="1612"/>
      <c r="P14" s="1613"/>
      <c r="Q14" s="1613"/>
      <c r="R14" s="1592"/>
      <c r="S14" s="1592"/>
    </row>
    <row r="15" spans="1:19">
      <c r="A15" s="1614"/>
      <c r="B15" s="1598" t="s">
        <v>884</v>
      </c>
      <c r="C15" s="1598"/>
      <c r="D15" s="1615">
        <v>0</v>
      </c>
      <c r="E15" s="1615"/>
      <c r="F15" s="1615">
        <v>0</v>
      </c>
      <c r="G15" s="1615"/>
      <c r="H15" s="1615">
        <v>0</v>
      </c>
      <c r="I15" s="1615"/>
      <c r="J15" s="1615">
        <v>0</v>
      </c>
      <c r="K15" s="1615"/>
      <c r="L15" s="1615">
        <v>0</v>
      </c>
      <c r="M15" s="1615"/>
      <c r="N15" s="1615">
        <f>ROUND(SUM(D15:M15),0)</f>
        <v>0</v>
      </c>
      <c r="O15" s="1615"/>
      <c r="P15" s="1615">
        <v>0</v>
      </c>
      <c r="Q15" s="1615"/>
      <c r="R15" s="1616">
        <f>ROUND(N15-P15,0)</f>
        <v>0</v>
      </c>
      <c r="S15" s="1615"/>
    </row>
    <row r="16" spans="1:19">
      <c r="A16" s="1614"/>
      <c r="B16" s="1592" t="s">
        <v>885</v>
      </c>
      <c r="C16" s="1592"/>
      <c r="D16" s="1675"/>
      <c r="E16" s="1675"/>
      <c r="F16" s="1675"/>
      <c r="G16" s="1675"/>
      <c r="H16" s="1675"/>
      <c r="I16" s="1675"/>
      <c r="J16" s="1675"/>
      <c r="K16" s="1617"/>
      <c r="L16" s="1675"/>
      <c r="M16" s="1617"/>
      <c r="N16" s="1617"/>
      <c r="O16" s="1617"/>
      <c r="P16" s="1938"/>
      <c r="Q16" s="1617"/>
      <c r="R16" s="1618"/>
      <c r="S16" s="1615"/>
    </row>
    <row r="17" spans="1:21">
      <c r="A17" s="1614"/>
      <c r="B17" s="1592" t="s">
        <v>886</v>
      </c>
      <c r="C17" s="1592"/>
      <c r="D17" s="1675">
        <v>0</v>
      </c>
      <c r="E17" s="1675"/>
      <c r="F17" s="1675">
        <v>0</v>
      </c>
      <c r="G17" s="1675"/>
      <c r="H17" s="1675">
        <v>0</v>
      </c>
      <c r="I17" s="1675"/>
      <c r="J17" s="1675">
        <v>0</v>
      </c>
      <c r="K17" s="1675"/>
      <c r="L17" s="1675">
        <v>0</v>
      </c>
      <c r="M17" s="1675"/>
      <c r="N17" s="1617">
        <f t="shared" ref="N17:N21" si="0">ROUND(SUM(D17:M17),0)</f>
        <v>0</v>
      </c>
      <c r="O17" s="1617"/>
      <c r="P17" s="1617">
        <v>0</v>
      </c>
      <c r="Q17" s="1619"/>
      <c r="R17" s="1619">
        <f t="shared" ref="R17:R21" si="1">SUM(N17-P17,0)</f>
        <v>0</v>
      </c>
      <c r="S17" s="1615"/>
    </row>
    <row r="18" spans="1:21">
      <c r="A18" s="1614"/>
      <c r="B18" s="1592" t="s">
        <v>887</v>
      </c>
      <c r="C18" s="1592"/>
      <c r="D18" s="1675">
        <v>0</v>
      </c>
      <c r="E18" s="1675"/>
      <c r="F18" s="1675">
        <v>0</v>
      </c>
      <c r="G18" s="1675"/>
      <c r="H18" s="1675">
        <v>0</v>
      </c>
      <c r="I18" s="1675"/>
      <c r="J18" s="1675">
        <v>0</v>
      </c>
      <c r="K18" s="1675"/>
      <c r="L18" s="1675">
        <v>0</v>
      </c>
      <c r="M18" s="1675"/>
      <c r="N18" s="1617">
        <f t="shared" si="0"/>
        <v>0</v>
      </c>
      <c r="O18" s="1617"/>
      <c r="P18" s="1617">
        <v>0</v>
      </c>
      <c r="Q18" s="1619"/>
      <c r="R18" s="1619">
        <f t="shared" si="1"/>
        <v>0</v>
      </c>
      <c r="S18" s="1615"/>
    </row>
    <row r="19" spans="1:21">
      <c r="A19" s="1614"/>
      <c r="B19" s="1592" t="s">
        <v>888</v>
      </c>
      <c r="C19" s="1592"/>
      <c r="D19" s="1675">
        <v>0</v>
      </c>
      <c r="E19" s="1675"/>
      <c r="F19" s="1675">
        <v>0</v>
      </c>
      <c r="G19" s="1675"/>
      <c r="H19" s="1675">
        <v>0</v>
      </c>
      <c r="I19" s="1675"/>
      <c r="J19" s="1675">
        <v>0</v>
      </c>
      <c r="K19" s="1675"/>
      <c r="L19" s="1675">
        <v>0</v>
      </c>
      <c r="M19" s="1675"/>
      <c r="N19" s="1617">
        <f t="shared" si="0"/>
        <v>0</v>
      </c>
      <c r="O19" s="1617"/>
      <c r="P19" s="1617">
        <v>0</v>
      </c>
      <c r="Q19" s="1619"/>
      <c r="R19" s="1619">
        <f t="shared" si="1"/>
        <v>0</v>
      </c>
      <c r="S19" s="1615"/>
    </row>
    <row r="20" spans="1:21">
      <c r="A20" s="1614"/>
      <c r="B20" s="1592" t="s">
        <v>889</v>
      </c>
      <c r="C20" s="1592"/>
      <c r="D20" s="1675">
        <v>0</v>
      </c>
      <c r="E20" s="1675"/>
      <c r="F20" s="1675">
        <v>0</v>
      </c>
      <c r="G20" s="1675"/>
      <c r="H20" s="1675">
        <v>0</v>
      </c>
      <c r="I20" s="1675"/>
      <c r="J20" s="1675">
        <v>0</v>
      </c>
      <c r="K20" s="1675"/>
      <c r="L20" s="1675">
        <v>0</v>
      </c>
      <c r="M20" s="1675"/>
      <c r="N20" s="1617">
        <f t="shared" si="0"/>
        <v>0</v>
      </c>
      <c r="O20" s="1617"/>
      <c r="P20" s="1617">
        <v>0</v>
      </c>
      <c r="Q20" s="1619"/>
      <c r="R20" s="1619">
        <f t="shared" si="1"/>
        <v>0</v>
      </c>
      <c r="S20" s="1615"/>
    </row>
    <row r="21" spans="1:21">
      <c r="A21" s="1614"/>
      <c r="B21" s="1592" t="s">
        <v>890</v>
      </c>
      <c r="C21" s="1592"/>
      <c r="D21" s="1675">
        <v>0</v>
      </c>
      <c r="E21" s="1675"/>
      <c r="F21" s="1675">
        <v>0</v>
      </c>
      <c r="G21" s="1675"/>
      <c r="H21" s="1675">
        <v>0</v>
      </c>
      <c r="I21" s="1675"/>
      <c r="J21" s="1675">
        <v>0</v>
      </c>
      <c r="K21" s="1675"/>
      <c r="L21" s="1675">
        <v>0</v>
      </c>
      <c r="M21" s="1675"/>
      <c r="N21" s="1617">
        <f t="shared" si="0"/>
        <v>0</v>
      </c>
      <c r="O21" s="1617"/>
      <c r="P21" s="1617">
        <v>0</v>
      </c>
      <c r="Q21" s="1619"/>
      <c r="R21" s="1619">
        <f t="shared" si="1"/>
        <v>0</v>
      </c>
      <c r="S21" s="1615"/>
    </row>
    <row r="22" spans="1:21">
      <c r="A22" s="1614"/>
      <c r="B22" s="1592" t="s">
        <v>1491</v>
      </c>
      <c r="C22" s="1592"/>
      <c r="D22" s="1675">
        <v>0</v>
      </c>
      <c r="E22" s="1675"/>
      <c r="F22" s="1675">
        <v>0</v>
      </c>
      <c r="G22" s="1675"/>
      <c r="H22" s="1675">
        <v>0</v>
      </c>
      <c r="I22" s="1675"/>
      <c r="J22" s="1675">
        <v>0</v>
      </c>
      <c r="K22" s="1675"/>
      <c r="L22" s="1675">
        <v>0</v>
      </c>
      <c r="M22" s="1675"/>
      <c r="N22" s="1617">
        <f t="shared" ref="N22" si="2">ROUND(SUM(D22:M22),0)</f>
        <v>0</v>
      </c>
      <c r="O22" s="1617"/>
      <c r="P22" s="1617">
        <v>0</v>
      </c>
      <c r="Q22" s="1619"/>
      <c r="R22" s="1619">
        <f t="shared" ref="R22" si="3">SUM(N22-P22,0)</f>
        <v>0</v>
      </c>
      <c r="S22" s="1615"/>
    </row>
    <row r="23" spans="1:21">
      <c r="A23" s="1614"/>
      <c r="B23" s="1592" t="s">
        <v>891</v>
      </c>
      <c r="C23" s="1592"/>
      <c r="D23" s="1675"/>
      <c r="E23" s="1675"/>
      <c r="F23" s="1675"/>
      <c r="G23" s="1617"/>
      <c r="H23" s="1675"/>
      <c r="I23" s="1675"/>
      <c r="J23" s="1675"/>
      <c r="K23" s="1617"/>
      <c r="L23" s="1675"/>
      <c r="M23" s="1617"/>
      <c r="N23" s="1617"/>
      <c r="O23" s="1617"/>
      <c r="P23" s="1939"/>
      <c r="Q23" s="1619"/>
      <c r="R23" s="1617"/>
      <c r="S23" s="1615"/>
    </row>
    <row r="24" spans="1:21" ht="17.149999999999999" customHeight="1">
      <c r="A24" s="1614"/>
      <c r="B24" s="1592" t="s">
        <v>892</v>
      </c>
      <c r="C24" s="1592"/>
      <c r="D24" s="1675">
        <v>0</v>
      </c>
      <c r="E24" s="1675"/>
      <c r="F24" s="1675">
        <v>0</v>
      </c>
      <c r="G24" s="1617"/>
      <c r="H24" s="1675">
        <v>0</v>
      </c>
      <c r="I24" s="1675"/>
      <c r="J24" s="1675">
        <v>0</v>
      </c>
      <c r="K24" s="1617"/>
      <c r="L24" s="1675">
        <v>0</v>
      </c>
      <c r="M24" s="1617"/>
      <c r="N24" s="1617">
        <f>ROUND(SUM(D24:M24),0)</f>
        <v>0</v>
      </c>
      <c r="O24" s="1617"/>
      <c r="P24" s="1617">
        <v>0</v>
      </c>
      <c r="Q24" s="1619"/>
      <c r="R24" s="1619">
        <f t="shared" ref="R24:R28" si="4">SUM(N24-P24,0)</f>
        <v>0</v>
      </c>
      <c r="S24" s="1615"/>
    </row>
    <row r="25" spans="1:21">
      <c r="A25" s="1614"/>
      <c r="B25" s="1592" t="s">
        <v>893</v>
      </c>
      <c r="C25" s="1592"/>
      <c r="D25" s="1675">
        <v>0</v>
      </c>
      <c r="E25" s="1675"/>
      <c r="F25" s="1675">
        <v>0</v>
      </c>
      <c r="G25" s="1675"/>
      <c r="H25" s="1675">
        <v>0</v>
      </c>
      <c r="I25" s="1675"/>
      <c r="J25" s="1675">
        <v>0</v>
      </c>
      <c r="K25" s="1675"/>
      <c r="L25" s="1675">
        <v>0</v>
      </c>
      <c r="M25" s="1675"/>
      <c r="N25" s="1617">
        <f>ROUND(SUM(D25:M25),0)</f>
        <v>0</v>
      </c>
      <c r="O25" s="1617"/>
      <c r="P25" s="1617">
        <v>0</v>
      </c>
      <c r="Q25" s="1619"/>
      <c r="R25" s="1619">
        <f t="shared" si="4"/>
        <v>0</v>
      </c>
      <c r="S25" s="1615"/>
    </row>
    <row r="26" spans="1:21">
      <c r="A26" s="1614"/>
      <c r="B26" s="1592" t="s">
        <v>894</v>
      </c>
      <c r="C26" s="1592"/>
      <c r="D26" s="1675"/>
      <c r="E26" s="1675"/>
      <c r="F26" s="1675"/>
      <c r="G26" s="1675"/>
      <c r="H26" s="1675"/>
      <c r="I26" s="1675"/>
      <c r="J26" s="1675"/>
      <c r="K26" s="1675"/>
      <c r="L26" s="1675"/>
      <c r="M26" s="1675"/>
      <c r="N26" s="1617"/>
      <c r="O26" s="1617"/>
      <c r="P26" s="1939"/>
      <c r="Q26" s="1619"/>
      <c r="R26" s="1617"/>
      <c r="S26" s="1615"/>
    </row>
    <row r="27" spans="1:21">
      <c r="A27" s="1614"/>
      <c r="B27" s="1620" t="s">
        <v>895</v>
      </c>
      <c r="C27" s="1621"/>
      <c r="D27" s="1675">
        <v>0</v>
      </c>
      <c r="E27" s="1675"/>
      <c r="F27" s="1675">
        <v>0</v>
      </c>
      <c r="G27" s="1675"/>
      <c r="H27" s="1675">
        <v>0</v>
      </c>
      <c r="I27" s="1675"/>
      <c r="J27" s="1675">
        <v>0</v>
      </c>
      <c r="K27" s="1675"/>
      <c r="L27" s="1675">
        <v>0</v>
      </c>
      <c r="M27" s="1675"/>
      <c r="N27" s="1617">
        <f t="shared" ref="N27" si="5">ROUND(SUM(D27:M27),0)</f>
        <v>0</v>
      </c>
      <c r="O27" s="1617"/>
      <c r="P27" s="1617">
        <v>0</v>
      </c>
      <c r="Q27" s="1619"/>
      <c r="R27" s="1619">
        <f>SUM(N27-P27,0)</f>
        <v>0</v>
      </c>
      <c r="S27" s="1615"/>
    </row>
    <row r="28" spans="1:21">
      <c r="A28" s="572"/>
      <c r="B28" s="1592" t="s">
        <v>896</v>
      </c>
      <c r="C28" s="1592"/>
      <c r="D28" s="1675">
        <v>0</v>
      </c>
      <c r="E28" s="1675"/>
      <c r="F28" s="1675">
        <v>0</v>
      </c>
      <c r="G28" s="1675"/>
      <c r="H28" s="1675">
        <v>0</v>
      </c>
      <c r="I28" s="1675"/>
      <c r="J28" s="1675">
        <v>0</v>
      </c>
      <c r="K28" s="1675"/>
      <c r="L28" s="1675">
        <v>0</v>
      </c>
      <c r="M28" s="1675"/>
      <c r="N28" s="1617">
        <f>ROUND(SUM(D28:M28),0)</f>
        <v>0</v>
      </c>
      <c r="O28" s="1617"/>
      <c r="P28" s="1617">
        <v>0</v>
      </c>
      <c r="Q28" s="1591"/>
      <c r="R28" s="1619">
        <f t="shared" si="4"/>
        <v>0</v>
      </c>
      <c r="S28" s="1615"/>
      <c r="U28" s="1622"/>
    </row>
    <row r="29" spans="1:21">
      <c r="B29" s="1593" t="s">
        <v>897</v>
      </c>
      <c r="C29" s="1593"/>
      <c r="D29" s="1592"/>
      <c r="E29" s="1592"/>
      <c r="F29" s="1592"/>
      <c r="G29" s="1592"/>
      <c r="H29" s="1613"/>
      <c r="I29" s="1613"/>
      <c r="J29" s="1613"/>
      <c r="K29" s="1613"/>
      <c r="L29" s="1613"/>
      <c r="M29" s="1613"/>
      <c r="N29" s="1613"/>
      <c r="O29" s="1613"/>
      <c r="P29" s="1613"/>
      <c r="Q29" s="1592"/>
      <c r="R29" s="1617"/>
      <c r="S29" s="1615"/>
    </row>
    <row r="30" spans="1:21" s="572" customFormat="1" ht="16" thickBot="1">
      <c r="B30" s="1623" t="s">
        <v>1465</v>
      </c>
      <c r="C30" s="1596"/>
      <c r="D30" s="1624">
        <f>ROUND(SUM(D15:D28),0)</f>
        <v>0</v>
      </c>
      <c r="E30" s="1625"/>
      <c r="F30" s="1624">
        <f>ROUND(SUM(F15:F28),0)</f>
        <v>0</v>
      </c>
      <c r="G30" s="1625"/>
      <c r="H30" s="1624">
        <f>ROUND(SUM(H15:H28),0)</f>
        <v>0</v>
      </c>
      <c r="I30" s="1625"/>
      <c r="J30" s="1624">
        <f>ROUND(SUM(J15:J28),0)</f>
        <v>0</v>
      </c>
      <c r="K30" s="1625"/>
      <c r="L30" s="1624">
        <f>ROUND(SUM(L15:L28),0)</f>
        <v>0</v>
      </c>
      <c r="M30" s="1625"/>
      <c r="N30" s="1624">
        <f>ROUND(SUM(N15:N28),0)</f>
        <v>0</v>
      </c>
      <c r="O30" s="1625"/>
      <c r="P30" s="1624">
        <f>ROUND(SUM(P15:P28),0)</f>
        <v>0</v>
      </c>
      <c r="Q30" s="1625"/>
      <c r="R30" s="1624">
        <f>ROUND(SUM(R15:R28),0)</f>
        <v>0</v>
      </c>
      <c r="S30" s="1615"/>
    </row>
    <row r="31" spans="1:21" ht="16" thickTop="1">
      <c r="C31" s="1598"/>
      <c r="D31" s="1592"/>
      <c r="E31" s="1592"/>
      <c r="F31" s="1592"/>
      <c r="G31" s="1592"/>
      <c r="H31" s="1592"/>
      <c r="I31" s="1592"/>
      <c r="J31" s="1592"/>
      <c r="K31" s="1592"/>
      <c r="L31" s="1592"/>
      <c r="M31" s="1592"/>
      <c r="N31" s="1592"/>
      <c r="O31" s="1592"/>
      <c r="P31" s="1592"/>
      <c r="Q31" s="1592"/>
      <c r="R31" s="1626"/>
      <c r="S31" s="1592"/>
    </row>
    <row r="32" spans="1:21">
      <c r="B32" s="364"/>
      <c r="C32" s="1592"/>
      <c r="D32" s="1592"/>
      <c r="E32" s="1592"/>
      <c r="F32" s="1592"/>
      <c r="G32" s="1592"/>
      <c r="H32" s="1592"/>
      <c r="I32" s="1592"/>
      <c r="J32" s="1592"/>
      <c r="K32" s="1592"/>
      <c r="L32" s="1627"/>
      <c r="M32" s="1592"/>
      <c r="N32" s="1628" t="s">
        <v>103</v>
      </c>
      <c r="O32" s="1592"/>
      <c r="P32" s="1592"/>
      <c r="Q32" s="1592"/>
      <c r="R32" s="1592"/>
    </row>
    <row r="33" spans="2:25">
      <c r="N33" s="1629" t="s">
        <v>103</v>
      </c>
    </row>
    <row r="34" spans="2:25">
      <c r="B34" s="1993"/>
      <c r="C34" s="1993"/>
      <c r="D34" s="1993"/>
      <c r="E34" s="1993"/>
      <c r="F34" s="1993"/>
      <c r="G34" s="1993"/>
      <c r="H34" s="1993"/>
      <c r="I34" s="1993"/>
      <c r="J34" s="1993"/>
      <c r="K34" s="1993"/>
      <c r="L34" s="1993"/>
      <c r="M34" s="1993"/>
      <c r="N34" s="1993" t="s">
        <v>103</v>
      </c>
      <c r="O34" s="1993"/>
      <c r="P34" s="1993"/>
      <c r="Q34" s="1993"/>
      <c r="R34" s="1993"/>
      <c r="S34" s="1993"/>
    </row>
    <row r="35" spans="2:25">
      <c r="B35" s="1993"/>
      <c r="C35" s="1993"/>
      <c r="D35" s="1993"/>
      <c r="E35" s="1993"/>
      <c r="F35" s="1993"/>
      <c r="G35" s="1993"/>
      <c r="H35" s="1993"/>
      <c r="I35" s="1993"/>
      <c r="J35" s="1993"/>
      <c r="K35" s="1993"/>
      <c r="L35" s="1993"/>
      <c r="M35" s="1993"/>
      <c r="N35" s="1993" t="s">
        <v>103</v>
      </c>
      <c r="O35" s="1993"/>
      <c r="P35" s="1993"/>
      <c r="Q35" s="1993"/>
      <c r="R35" s="1993"/>
      <c r="S35" s="1993"/>
      <c r="T35" s="1993"/>
      <c r="U35" s="1993"/>
      <c r="V35" s="1993"/>
      <c r="W35" s="1993"/>
      <c r="X35" s="1993"/>
      <c r="Y35" s="1993"/>
    </row>
    <row r="36" spans="2:25">
      <c r="B36" s="1993"/>
      <c r="C36" s="1993"/>
      <c r="D36" s="1993"/>
      <c r="E36" s="1993"/>
      <c r="F36" s="1993"/>
      <c r="G36" s="1993"/>
      <c r="H36" s="1993"/>
      <c r="I36" s="1993"/>
      <c r="J36" s="1993"/>
      <c r="K36" s="1993"/>
      <c r="L36" s="1993"/>
      <c r="M36" s="1993"/>
      <c r="N36" s="1993"/>
      <c r="O36" s="1993"/>
      <c r="P36" s="1993"/>
      <c r="Q36" s="1993"/>
      <c r="R36" s="1993"/>
      <c r="S36" s="1993"/>
      <c r="T36" s="1993"/>
      <c r="U36" s="1993"/>
      <c r="V36" s="1993"/>
      <c r="W36" s="1993"/>
      <c r="X36" s="1993"/>
      <c r="Y36" s="1993"/>
    </row>
    <row r="37" spans="2:25">
      <c r="B37" s="1993"/>
      <c r="C37" s="1993"/>
      <c r="D37" s="1993"/>
      <c r="E37" s="1993"/>
      <c r="F37" s="1993"/>
      <c r="G37" s="1993"/>
      <c r="H37" s="1993"/>
      <c r="I37" s="1993"/>
      <c r="J37" s="1993"/>
      <c r="K37" s="1993"/>
      <c r="L37" s="1993"/>
      <c r="M37" s="1993"/>
      <c r="N37" s="1993"/>
      <c r="O37" s="1993"/>
      <c r="P37" s="1993"/>
      <c r="Q37" s="1993"/>
      <c r="R37" s="1993"/>
      <c r="S37" s="1993"/>
      <c r="T37" s="1993"/>
      <c r="U37" s="1993"/>
      <c r="V37" s="1993"/>
      <c r="W37" s="1993"/>
      <c r="X37" s="1993"/>
      <c r="Y37" s="1993"/>
    </row>
    <row r="38" spans="2:25">
      <c r="B38" s="1993"/>
      <c r="C38" s="1993"/>
      <c r="D38" s="1993"/>
      <c r="E38" s="1993"/>
      <c r="F38" s="1993"/>
      <c r="G38" s="1993"/>
      <c r="H38" s="1993"/>
      <c r="I38" s="1993"/>
      <c r="J38" s="1993"/>
      <c r="K38" s="1993"/>
      <c r="L38" s="1993"/>
      <c r="M38" s="1993"/>
      <c r="N38" s="1993"/>
      <c r="O38" s="1993"/>
      <c r="P38" s="1993"/>
      <c r="Q38" s="1993"/>
      <c r="R38" s="1993"/>
      <c r="S38" s="1993"/>
      <c r="T38" s="1993"/>
      <c r="U38" s="1993"/>
      <c r="V38" s="1993"/>
      <c r="W38" s="1993"/>
      <c r="X38" s="1993"/>
      <c r="Y38" s="1993"/>
    </row>
    <row r="39" spans="2:25">
      <c r="B39" s="1993" t="s">
        <v>103</v>
      </c>
      <c r="C39" s="1993"/>
      <c r="D39" s="1993"/>
      <c r="E39" s="1993"/>
      <c r="F39" s="1993"/>
      <c r="G39" s="1993"/>
      <c r="H39" s="1993"/>
      <c r="I39" s="1993"/>
      <c r="J39" s="1993"/>
      <c r="K39" s="1993"/>
      <c r="L39" s="1993"/>
      <c r="M39" s="1993"/>
      <c r="N39" s="1993"/>
      <c r="O39" s="1993"/>
      <c r="P39" s="1993"/>
      <c r="Q39" s="1993"/>
      <c r="R39" s="1993"/>
      <c r="S39" s="1993"/>
      <c r="T39" s="1993"/>
      <c r="U39" s="1993"/>
      <c r="V39" s="1993"/>
      <c r="W39" s="1993"/>
      <c r="X39" s="1993"/>
      <c r="Y39" s="1993"/>
    </row>
    <row r="40" spans="2:25">
      <c r="B40" s="1993"/>
      <c r="C40" s="1993"/>
      <c r="D40" s="1993"/>
      <c r="E40" s="1993"/>
      <c r="F40" s="1993"/>
      <c r="G40" s="1993"/>
      <c r="H40" s="1993"/>
      <c r="I40" s="1993"/>
      <c r="J40" s="1993"/>
      <c r="K40" s="1993"/>
      <c r="L40" s="1993"/>
      <c r="M40" s="1993"/>
      <c r="N40" s="1993"/>
      <c r="O40" s="1993"/>
      <c r="P40" s="1993"/>
      <c r="Q40" s="1993"/>
      <c r="R40" s="1993"/>
      <c r="S40" s="1993"/>
      <c r="T40" s="1993"/>
      <c r="U40" s="1993"/>
      <c r="V40" s="1993"/>
      <c r="W40" s="1993"/>
      <c r="X40" s="1993"/>
      <c r="Y40" s="1993"/>
    </row>
    <row r="41" spans="2:25">
      <c r="B41" s="1993"/>
      <c r="C41" s="1993"/>
      <c r="D41" s="1993"/>
      <c r="E41" s="1993"/>
      <c r="F41" s="1993"/>
      <c r="G41" s="1993"/>
      <c r="H41" s="1993"/>
      <c r="I41" s="1993"/>
      <c r="J41" s="1993"/>
      <c r="K41" s="1993"/>
      <c r="L41" s="1993"/>
      <c r="M41" s="1993"/>
      <c r="N41" s="1993"/>
      <c r="O41" s="1993"/>
      <c r="P41" s="1993"/>
      <c r="Q41" s="1993"/>
      <c r="R41" s="1993"/>
      <c r="S41" s="1993"/>
      <c r="T41" s="1993"/>
      <c r="U41" s="1993"/>
      <c r="V41" s="1993"/>
      <c r="W41" s="1993"/>
      <c r="X41" s="1993"/>
      <c r="Y41" s="1993"/>
    </row>
    <row r="42" spans="2:25">
      <c r="B42" s="1993"/>
      <c r="C42" s="1993"/>
      <c r="D42" s="1993"/>
      <c r="E42" s="1993"/>
      <c r="F42" s="1993"/>
      <c r="G42" s="1993"/>
      <c r="H42" s="1993"/>
      <c r="I42" s="1993"/>
      <c r="J42" s="1993"/>
      <c r="K42" s="1993"/>
      <c r="L42" s="1993"/>
      <c r="M42" s="1993"/>
      <c r="N42" s="1993"/>
      <c r="O42" s="1993"/>
      <c r="P42" s="1993"/>
      <c r="Q42" s="1993"/>
      <c r="R42" s="1993"/>
      <c r="S42" s="1993"/>
      <c r="T42" s="1993"/>
      <c r="U42" s="1993"/>
      <c r="V42" s="1993"/>
      <c r="W42" s="1993"/>
      <c r="X42" s="1993"/>
      <c r="Y42" s="1993"/>
    </row>
    <row r="43" spans="2:25">
      <c r="B43" s="1993"/>
      <c r="C43" s="1993"/>
      <c r="D43" s="1993"/>
      <c r="E43" s="1993"/>
      <c r="F43" s="1993"/>
      <c r="G43" s="1993"/>
      <c r="H43" s="1993"/>
      <c r="I43" s="1993"/>
      <c r="J43" s="1993"/>
      <c r="K43" s="1993"/>
      <c r="L43" s="1993"/>
      <c r="M43" s="1993"/>
      <c r="N43" s="1993"/>
      <c r="O43" s="1993"/>
      <c r="P43" s="1993"/>
      <c r="Q43" s="1993"/>
      <c r="R43" s="1993"/>
      <c r="S43" s="1993"/>
      <c r="T43" s="1993"/>
      <c r="U43" s="1993"/>
      <c r="V43" s="1993"/>
      <c r="W43" s="1993"/>
      <c r="X43" s="1993"/>
      <c r="Y43" s="1993"/>
    </row>
    <row r="44" spans="2:25">
      <c r="B44" s="1993"/>
      <c r="C44" s="1993"/>
      <c r="D44" s="1993"/>
      <c r="E44" s="1993"/>
      <c r="F44" s="1993"/>
      <c r="G44" s="1993"/>
      <c r="H44" s="1993"/>
      <c r="I44" s="1993"/>
      <c r="J44" s="1993"/>
      <c r="K44" s="1993"/>
      <c r="L44" s="1993"/>
      <c r="M44" s="1993"/>
      <c r="N44" s="1993"/>
      <c r="O44" s="1993"/>
      <c r="P44" s="1993"/>
      <c r="Q44" s="1993"/>
      <c r="R44" s="1993"/>
      <c r="S44" s="1993"/>
      <c r="T44" s="1993"/>
      <c r="U44" s="1993"/>
      <c r="V44" s="1993"/>
      <c r="W44" s="1993"/>
      <c r="X44" s="1993"/>
      <c r="Y44" s="1993"/>
    </row>
    <row r="45" spans="2:25">
      <c r="B45" s="1993"/>
      <c r="C45" s="1993"/>
      <c r="D45" s="1993"/>
      <c r="E45" s="1993"/>
      <c r="F45" s="1993"/>
      <c r="G45" s="1993"/>
      <c r="H45" s="1993"/>
      <c r="I45" s="1993"/>
      <c r="J45" s="1993"/>
      <c r="K45" s="1993"/>
      <c r="L45" s="1993"/>
      <c r="M45" s="1993"/>
      <c r="N45" s="1993"/>
      <c r="O45" s="1993"/>
      <c r="P45" s="1993"/>
      <c r="Q45" s="1993"/>
      <c r="R45" s="1993"/>
      <c r="S45" s="1993"/>
      <c r="T45" s="1993"/>
      <c r="U45" s="1993"/>
      <c r="V45" s="1993"/>
      <c r="W45" s="1993"/>
      <c r="X45" s="1993"/>
      <c r="Y45" s="1993"/>
    </row>
    <row r="46" spans="2:25">
      <c r="B46" s="1993"/>
      <c r="C46" s="1993"/>
      <c r="D46" s="1993"/>
      <c r="E46" s="1993"/>
      <c r="F46" s="1993"/>
      <c r="G46" s="1993"/>
      <c r="H46" s="1993"/>
      <c r="I46" s="1993"/>
      <c r="J46" s="1993"/>
      <c r="K46" s="1993"/>
      <c r="L46" s="1993"/>
      <c r="M46" s="1993"/>
      <c r="N46" s="1993"/>
      <c r="O46" s="1993"/>
      <c r="P46" s="1993"/>
      <c r="Q46" s="1993"/>
      <c r="R46" s="1993"/>
      <c r="S46" s="1993"/>
      <c r="T46" s="1993"/>
      <c r="U46" s="1993"/>
      <c r="V46" s="1993"/>
      <c r="W46" s="1993"/>
      <c r="X46" s="1993"/>
      <c r="Y46" s="1993"/>
    </row>
    <row r="47" spans="2:25">
      <c r="B47" s="1993"/>
      <c r="C47" s="1993"/>
      <c r="D47" s="1993"/>
      <c r="E47" s="1993"/>
      <c r="F47" s="1993"/>
      <c r="G47" s="1993"/>
      <c r="H47" s="1993"/>
      <c r="I47" s="1993"/>
      <c r="J47" s="1993"/>
      <c r="K47" s="1993"/>
      <c r="L47" s="1993"/>
      <c r="M47" s="1993"/>
      <c r="N47" s="1993"/>
      <c r="O47" s="1993"/>
      <c r="P47" s="1993"/>
      <c r="Q47" s="1993"/>
      <c r="R47" s="1993"/>
      <c r="S47" s="1993"/>
      <c r="T47" s="1993"/>
      <c r="U47" s="1993"/>
      <c r="V47" s="1993"/>
      <c r="W47" s="1993"/>
      <c r="X47" s="1993"/>
      <c r="Y47" s="1993"/>
    </row>
    <row r="48" spans="2:25">
      <c r="B48" s="1993"/>
      <c r="C48" s="1993"/>
      <c r="D48" s="1993"/>
      <c r="E48" s="1993"/>
      <c r="F48" s="1993"/>
      <c r="G48" s="1993"/>
      <c r="H48" s="1993"/>
      <c r="I48" s="1993"/>
      <c r="J48" s="1993"/>
      <c r="K48" s="1993"/>
      <c r="L48" s="1993"/>
      <c r="M48" s="1993"/>
      <c r="N48" s="1993"/>
      <c r="O48" s="1993"/>
      <c r="P48" s="1993"/>
      <c r="Q48" s="1993"/>
      <c r="R48" s="1993"/>
      <c r="S48" s="1993"/>
      <c r="T48" s="1993"/>
      <c r="U48" s="1993"/>
      <c r="V48" s="1993"/>
      <c r="W48" s="1993"/>
      <c r="X48" s="1993"/>
      <c r="Y48" s="1993"/>
    </row>
    <row r="49" spans="2:25">
      <c r="B49" s="1993"/>
      <c r="C49" s="1993"/>
      <c r="D49" s="1993"/>
      <c r="E49" s="1993"/>
      <c r="F49" s="1993"/>
      <c r="G49" s="1993"/>
      <c r="H49" s="1993"/>
      <c r="I49" s="1993"/>
      <c r="J49" s="1993"/>
      <c r="K49" s="1993"/>
      <c r="L49" s="1993"/>
      <c r="M49" s="1993"/>
      <c r="N49" s="1993"/>
      <c r="O49" s="1993"/>
      <c r="P49" s="1993"/>
      <c r="Q49" s="1993"/>
      <c r="R49" s="1993"/>
      <c r="S49" s="1993"/>
      <c r="T49" s="1993"/>
      <c r="U49" s="1993"/>
      <c r="V49" s="1993"/>
      <c r="W49" s="1993"/>
      <c r="X49" s="1993"/>
      <c r="Y49" s="1993"/>
    </row>
    <row r="50" spans="2:25">
      <c r="B50" s="1993"/>
      <c r="C50" s="1993"/>
      <c r="D50" s="1993"/>
      <c r="E50" s="1993"/>
      <c r="F50" s="1993"/>
      <c r="G50" s="1993"/>
      <c r="H50" s="1993"/>
      <c r="I50" s="1993"/>
      <c r="J50" s="1993"/>
      <c r="K50" s="1993"/>
      <c r="L50" s="1993"/>
      <c r="M50" s="1993"/>
      <c r="N50" s="1993"/>
      <c r="O50" s="1993"/>
      <c r="P50" s="1993"/>
      <c r="Q50" s="1993"/>
      <c r="R50" s="1993"/>
      <c r="S50" s="1993"/>
      <c r="T50" s="1993"/>
      <c r="U50" s="1993"/>
      <c r="V50" s="1993"/>
      <c r="W50" s="1993"/>
      <c r="X50" s="1993"/>
      <c r="Y50" s="1993"/>
    </row>
    <row r="51" spans="2:25">
      <c r="B51" s="1993"/>
      <c r="C51" s="1993"/>
      <c r="D51" s="1993"/>
      <c r="E51" s="1993"/>
      <c r="F51" s="1993"/>
      <c r="G51" s="1993"/>
      <c r="H51" s="1993"/>
      <c r="I51" s="1993"/>
      <c r="J51" s="1993"/>
      <c r="K51" s="1993"/>
      <c r="L51" s="1993"/>
      <c r="M51" s="1993"/>
      <c r="N51" s="1993"/>
      <c r="O51" s="1993"/>
      <c r="P51" s="1993"/>
      <c r="Q51" s="1993"/>
      <c r="R51" s="1993"/>
      <c r="S51" s="1993"/>
      <c r="T51" s="1993"/>
      <c r="U51" s="1993"/>
      <c r="V51" s="1993"/>
      <c r="W51" s="1993"/>
      <c r="X51" s="1993"/>
      <c r="Y51" s="1993"/>
    </row>
    <row r="52" spans="2:25">
      <c r="B52" s="1993"/>
      <c r="C52" s="1993"/>
      <c r="D52" s="1993"/>
      <c r="E52" s="1993"/>
      <c r="F52" s="1993"/>
      <c r="G52" s="1993"/>
      <c r="H52" s="1993"/>
      <c r="I52" s="1993"/>
      <c r="J52" s="1993"/>
      <c r="K52" s="1993"/>
      <c r="L52" s="1993"/>
      <c r="M52" s="1993"/>
      <c r="N52" s="1993"/>
      <c r="O52" s="1993"/>
      <c r="P52" s="1993"/>
      <c r="Q52" s="1993"/>
      <c r="R52" s="1993"/>
      <c r="S52" s="1993"/>
      <c r="T52" s="1993"/>
      <c r="U52" s="1993"/>
      <c r="V52" s="1993"/>
      <c r="W52" s="1993"/>
      <c r="X52" s="1993"/>
      <c r="Y52" s="1993"/>
    </row>
    <row r="53" spans="2:25">
      <c r="B53" s="1993"/>
      <c r="C53" s="1993"/>
      <c r="D53" s="1993"/>
      <c r="E53" s="1993"/>
      <c r="F53" s="1993"/>
      <c r="G53" s="1993"/>
      <c r="H53" s="1993"/>
      <c r="I53" s="1993"/>
      <c r="J53" s="1993"/>
      <c r="K53" s="1993"/>
      <c r="L53" s="1993"/>
      <c r="M53" s="1993"/>
      <c r="N53" s="1993"/>
      <c r="O53" s="1993"/>
      <c r="P53" s="1993"/>
      <c r="Q53" s="1993"/>
      <c r="R53" s="1993"/>
      <c r="S53" s="1993"/>
      <c r="T53" s="1993"/>
      <c r="U53" s="1993"/>
      <c r="V53" s="1993"/>
      <c r="W53" s="1993"/>
      <c r="X53" s="1993"/>
      <c r="Y53" s="1993"/>
    </row>
    <row r="54" spans="2:25">
      <c r="B54" s="1993"/>
      <c r="C54" s="1993"/>
      <c r="D54" s="1993"/>
      <c r="E54" s="1993"/>
      <c r="F54" s="1993"/>
      <c r="G54" s="1993"/>
      <c r="H54" s="1993"/>
      <c r="I54" s="1993"/>
      <c r="J54" s="1993"/>
      <c r="K54" s="1993"/>
      <c r="L54" s="1993"/>
      <c r="M54" s="1993"/>
      <c r="N54" s="1993"/>
      <c r="O54" s="1993"/>
      <c r="P54" s="1993"/>
      <c r="Q54" s="1993"/>
      <c r="R54" s="1993"/>
      <c r="S54" s="1993"/>
      <c r="T54" s="1993"/>
      <c r="U54" s="1993"/>
      <c r="V54" s="1993"/>
      <c r="W54" s="1993"/>
      <c r="X54" s="1993"/>
      <c r="Y54" s="1993"/>
    </row>
    <row r="55" spans="2:25">
      <c r="B55" s="1993"/>
      <c r="C55" s="1993"/>
      <c r="D55" s="1993"/>
      <c r="E55" s="1993"/>
      <c r="F55" s="1993"/>
      <c r="G55" s="1993"/>
      <c r="H55" s="1993"/>
      <c r="I55" s="1993"/>
      <c r="J55" s="1993"/>
      <c r="K55" s="1993"/>
      <c r="L55" s="1993"/>
      <c r="M55" s="1993"/>
      <c r="N55" s="1993"/>
      <c r="O55" s="1993"/>
      <c r="P55" s="1993"/>
      <c r="Q55" s="1993"/>
      <c r="R55" s="1993"/>
      <c r="S55" s="1993"/>
      <c r="T55" s="1993"/>
      <c r="U55" s="1993"/>
      <c r="V55" s="1993"/>
      <c r="W55" s="1993"/>
      <c r="X55" s="1993"/>
      <c r="Y55" s="1993"/>
    </row>
    <row r="56" spans="2:25">
      <c r="B56" s="1993"/>
      <c r="C56" s="1993"/>
      <c r="D56" s="1993"/>
      <c r="E56" s="1993"/>
      <c r="F56" s="1993"/>
      <c r="G56" s="1993"/>
      <c r="H56" s="1993"/>
      <c r="I56" s="1993"/>
      <c r="J56" s="1993"/>
      <c r="K56" s="1993"/>
      <c r="L56" s="1993"/>
      <c r="M56" s="1993"/>
      <c r="N56" s="1993"/>
      <c r="O56" s="1993"/>
      <c r="P56" s="1993"/>
      <c r="Q56" s="1993"/>
      <c r="R56" s="1993"/>
      <c r="S56" s="1993"/>
      <c r="T56" s="1993"/>
      <c r="U56" s="1993"/>
      <c r="V56" s="1993"/>
      <c r="W56" s="1993"/>
      <c r="X56" s="1993"/>
      <c r="Y56" s="1993"/>
    </row>
    <row r="57" spans="2:25">
      <c r="B57" s="1993"/>
      <c r="C57" s="1993"/>
      <c r="D57" s="1993"/>
      <c r="E57" s="1993"/>
      <c r="F57" s="1993"/>
      <c r="G57" s="1993"/>
      <c r="H57" s="1993"/>
      <c r="I57" s="1993"/>
      <c r="J57" s="1993"/>
      <c r="K57" s="1993"/>
      <c r="L57" s="1993"/>
      <c r="M57" s="1993"/>
      <c r="N57" s="1993"/>
      <c r="O57" s="1993"/>
      <c r="P57" s="1993"/>
      <c r="Q57" s="1993"/>
      <c r="R57" s="1993"/>
      <c r="S57" s="1993"/>
      <c r="T57" s="1993"/>
      <c r="U57" s="1993"/>
      <c r="V57" s="1993"/>
      <c r="W57" s="1993"/>
      <c r="X57" s="1993"/>
      <c r="Y57" s="1993"/>
    </row>
    <row r="58" spans="2:25">
      <c r="B58" s="1993"/>
      <c r="C58" s="1993"/>
      <c r="D58" s="1993"/>
      <c r="E58" s="1993"/>
      <c r="F58" s="1993"/>
      <c r="G58" s="1993"/>
      <c r="H58" s="1993"/>
      <c r="I58" s="1993"/>
      <c r="J58" s="1993"/>
      <c r="K58" s="1993"/>
      <c r="L58" s="1993"/>
      <c r="M58" s="1993"/>
      <c r="N58" s="1993"/>
      <c r="O58" s="1993"/>
      <c r="P58" s="1993"/>
      <c r="Q58" s="1993"/>
      <c r="R58" s="1993"/>
      <c r="S58" s="1993"/>
      <c r="T58" s="1993"/>
      <c r="U58" s="1993"/>
      <c r="V58" s="1993"/>
      <c r="W58" s="1993"/>
      <c r="X58" s="1993"/>
      <c r="Y58" s="1993"/>
    </row>
    <row r="59" spans="2:25">
      <c r="B59" s="1993"/>
      <c r="C59" s="1993"/>
      <c r="D59" s="1993"/>
      <c r="E59" s="1993"/>
      <c r="F59" s="1993"/>
      <c r="G59" s="1993"/>
      <c r="H59" s="1993"/>
      <c r="I59" s="1993"/>
      <c r="J59" s="1993"/>
      <c r="K59" s="1993"/>
      <c r="L59" s="1993"/>
      <c r="M59" s="1993"/>
      <c r="N59" s="1993"/>
      <c r="O59" s="1993"/>
      <c r="P59" s="1993"/>
      <c r="Q59" s="1993"/>
      <c r="R59" s="1993"/>
      <c r="S59" s="1993"/>
      <c r="T59" s="1993"/>
      <c r="U59" s="1993"/>
      <c r="V59" s="1993"/>
      <c r="W59" s="1993"/>
      <c r="X59" s="1993"/>
      <c r="Y59" s="1993"/>
    </row>
    <row r="60" spans="2:25">
      <c r="B60" s="1993"/>
      <c r="C60" s="1993"/>
      <c r="D60" s="1993"/>
      <c r="E60" s="1993"/>
      <c r="F60" s="1993"/>
      <c r="G60" s="1993"/>
      <c r="H60" s="1993"/>
      <c r="I60" s="1993"/>
      <c r="J60" s="1993"/>
      <c r="K60" s="1993"/>
      <c r="L60" s="1993"/>
      <c r="M60" s="1993"/>
      <c r="N60" s="1993"/>
      <c r="O60" s="1993"/>
      <c r="P60" s="1993"/>
      <c r="Q60" s="1993"/>
      <c r="R60" s="1993"/>
      <c r="S60" s="1993"/>
      <c r="T60" s="1993"/>
      <c r="U60" s="1993"/>
      <c r="V60" s="1993"/>
      <c r="W60" s="1993"/>
      <c r="X60" s="1993"/>
      <c r="Y60" s="1993"/>
    </row>
    <row r="61" spans="2:25">
      <c r="B61" s="1993"/>
      <c r="C61" s="1993"/>
      <c r="D61" s="1993"/>
      <c r="E61" s="1993"/>
      <c r="F61" s="1993"/>
      <c r="G61" s="1993"/>
      <c r="H61" s="1993"/>
      <c r="I61" s="1993"/>
      <c r="J61" s="1993"/>
      <c r="K61" s="1993"/>
      <c r="L61" s="1993"/>
      <c r="M61" s="1993"/>
      <c r="N61" s="1993"/>
      <c r="O61" s="1993"/>
      <c r="P61" s="1993"/>
      <c r="Q61" s="1993"/>
      <c r="R61" s="1993"/>
      <c r="S61" s="1993"/>
      <c r="T61" s="1993"/>
      <c r="U61" s="1993"/>
      <c r="V61" s="1993"/>
      <c r="W61" s="1993"/>
      <c r="X61" s="1993"/>
      <c r="Y61" s="1993"/>
    </row>
    <row r="62" spans="2:25">
      <c r="B62" s="1993"/>
      <c r="C62" s="1993"/>
      <c r="D62" s="1993"/>
      <c r="E62" s="1993"/>
      <c r="F62" s="1993"/>
      <c r="G62" s="1993"/>
      <c r="H62" s="1993"/>
      <c r="I62" s="1993"/>
      <c r="J62" s="1993"/>
      <c r="K62" s="1993"/>
      <c r="L62" s="1993"/>
      <c r="M62" s="1993"/>
      <c r="N62" s="1993"/>
      <c r="O62" s="1993"/>
      <c r="P62" s="1993"/>
      <c r="Q62" s="1993"/>
      <c r="R62" s="1993"/>
      <c r="S62" s="1993"/>
      <c r="T62" s="1993"/>
      <c r="U62" s="1993"/>
      <c r="V62" s="1993"/>
      <c r="W62" s="1993"/>
      <c r="X62" s="1993"/>
      <c r="Y62" s="1993"/>
    </row>
    <row r="63" spans="2:25">
      <c r="B63" s="1993"/>
      <c r="C63" s="1993"/>
      <c r="D63" s="1993"/>
      <c r="E63" s="1993"/>
      <c r="F63" s="1993"/>
      <c r="G63" s="1993"/>
      <c r="H63" s="1993"/>
      <c r="I63" s="1993"/>
      <c r="J63" s="1993"/>
      <c r="K63" s="1993"/>
      <c r="L63" s="1993"/>
      <c r="M63" s="1993"/>
      <c r="N63" s="1993"/>
      <c r="O63" s="1993"/>
      <c r="P63" s="1993"/>
      <c r="Q63" s="1993"/>
      <c r="R63" s="1993"/>
      <c r="S63" s="1993"/>
      <c r="T63" s="1993"/>
      <c r="U63" s="1993"/>
      <c r="V63" s="1993"/>
      <c r="W63" s="1993"/>
      <c r="X63" s="1993"/>
      <c r="Y63" s="1993"/>
    </row>
    <row r="64" spans="2:25">
      <c r="B64" s="1993"/>
      <c r="C64" s="1993"/>
      <c r="D64" s="1993"/>
      <c r="E64" s="1993"/>
      <c r="F64" s="1993"/>
      <c r="G64" s="1993"/>
      <c r="H64" s="1993"/>
      <c r="I64" s="1993"/>
      <c r="J64" s="1993"/>
      <c r="K64" s="1993"/>
      <c r="L64" s="1993"/>
      <c r="M64" s="1993"/>
      <c r="N64" s="1993"/>
      <c r="O64" s="1993"/>
      <c r="P64" s="1993"/>
      <c r="Q64" s="1993"/>
      <c r="R64" s="1993"/>
      <c r="S64" s="1993"/>
      <c r="T64" s="1993"/>
      <c r="U64" s="1993"/>
      <c r="V64" s="1993"/>
      <c r="W64" s="1993"/>
      <c r="X64" s="1993"/>
      <c r="Y64" s="1993"/>
    </row>
    <row r="65" spans="2:25">
      <c r="B65" s="1993"/>
      <c r="C65" s="1993"/>
      <c r="D65" s="1993"/>
      <c r="E65" s="1993"/>
      <c r="F65" s="1993"/>
      <c r="G65" s="1993"/>
      <c r="H65" s="1993"/>
      <c r="I65" s="1993"/>
      <c r="J65" s="1993"/>
      <c r="K65" s="1993"/>
      <c r="L65" s="1993"/>
      <c r="M65" s="1993"/>
      <c r="N65" s="1993"/>
      <c r="O65" s="1993"/>
      <c r="P65" s="1993"/>
      <c r="Q65" s="1993"/>
      <c r="R65" s="1993"/>
      <c r="S65" s="1993"/>
      <c r="T65" s="1993"/>
      <c r="U65" s="1993"/>
      <c r="V65" s="1993"/>
      <c r="W65" s="1993"/>
      <c r="X65" s="1993"/>
      <c r="Y65" s="1993"/>
    </row>
    <row r="66" spans="2:25">
      <c r="B66" s="1993"/>
      <c r="C66" s="1993"/>
      <c r="D66" s="1993"/>
      <c r="E66" s="1993"/>
      <c r="F66" s="1993"/>
      <c r="G66" s="1993"/>
      <c r="H66" s="1993"/>
      <c r="I66" s="1993"/>
      <c r="J66" s="1993"/>
      <c r="K66" s="1993"/>
      <c r="L66" s="1993"/>
      <c r="M66" s="1993"/>
      <c r="N66" s="1993"/>
      <c r="O66" s="1993"/>
      <c r="P66" s="1993"/>
      <c r="Q66" s="1993"/>
      <c r="R66" s="1993"/>
      <c r="S66" s="1993"/>
      <c r="T66" s="1993"/>
      <c r="U66" s="1993"/>
      <c r="V66" s="1993"/>
      <c r="W66" s="1993"/>
      <c r="X66" s="1993"/>
      <c r="Y66" s="1993"/>
    </row>
    <row r="67" spans="2:25">
      <c r="B67" s="1993"/>
      <c r="C67" s="1993"/>
      <c r="D67" s="1993"/>
      <c r="E67" s="1993"/>
      <c r="F67" s="1993"/>
      <c r="G67" s="1993"/>
      <c r="H67" s="1993"/>
      <c r="I67" s="1993"/>
      <c r="J67" s="1993"/>
      <c r="K67" s="1993"/>
      <c r="L67" s="1993"/>
      <c r="M67" s="1993"/>
      <c r="N67" s="1993"/>
      <c r="O67" s="1993"/>
      <c r="P67" s="1993"/>
      <c r="Q67" s="1993"/>
      <c r="R67" s="1993"/>
      <c r="S67" s="1993"/>
      <c r="T67" s="1993"/>
      <c r="U67" s="1993"/>
      <c r="V67" s="1993"/>
      <c r="W67" s="1993"/>
      <c r="X67" s="1993"/>
      <c r="Y67" s="1993"/>
    </row>
    <row r="68" spans="2:25">
      <c r="B68" s="1993"/>
      <c r="C68" s="1993"/>
      <c r="D68" s="1993"/>
      <c r="E68" s="1993"/>
      <c r="F68" s="1993"/>
      <c r="G68" s="1993"/>
      <c r="H68" s="1993"/>
      <c r="I68" s="1993"/>
      <c r="J68" s="1993"/>
      <c r="K68" s="1993"/>
      <c r="L68" s="1993"/>
      <c r="M68" s="1993"/>
      <c r="N68" s="1993"/>
      <c r="O68" s="1993"/>
      <c r="P68" s="1993"/>
      <c r="Q68" s="1993"/>
      <c r="R68" s="1993"/>
      <c r="S68" s="1993"/>
      <c r="T68" s="1993"/>
      <c r="U68" s="1993"/>
      <c r="V68" s="1993"/>
      <c r="W68" s="1993"/>
      <c r="X68" s="1993"/>
      <c r="Y68" s="1993"/>
    </row>
    <row r="69" spans="2:25">
      <c r="B69" s="1993"/>
      <c r="C69" s="1993"/>
      <c r="D69" s="1993"/>
      <c r="E69" s="1993"/>
      <c r="F69" s="1993"/>
      <c r="G69" s="1993"/>
      <c r="H69" s="1993"/>
      <c r="I69" s="1993"/>
      <c r="J69" s="1993"/>
      <c r="K69" s="1993"/>
      <c r="L69" s="1993"/>
      <c r="M69" s="1993"/>
      <c r="N69" s="1993"/>
      <c r="O69" s="1993"/>
      <c r="P69" s="1993"/>
      <c r="Q69" s="1993"/>
      <c r="R69" s="1993"/>
      <c r="S69" s="1993"/>
      <c r="T69" s="1993"/>
      <c r="U69" s="1993"/>
      <c r="V69" s="1993"/>
      <c r="W69" s="1993"/>
      <c r="X69" s="1993"/>
      <c r="Y69" s="1993"/>
    </row>
    <row r="70" spans="2:25">
      <c r="B70" s="1993"/>
      <c r="C70" s="1993"/>
      <c r="D70" s="1993"/>
      <c r="E70" s="1993"/>
      <c r="F70" s="1993"/>
      <c r="G70" s="1993"/>
      <c r="H70" s="1993"/>
      <c r="I70" s="1993"/>
      <c r="J70" s="1993"/>
      <c r="K70" s="1993"/>
      <c r="L70" s="1993"/>
      <c r="M70" s="1993"/>
      <c r="N70" s="1993"/>
      <c r="O70" s="1993"/>
      <c r="P70" s="1993"/>
      <c r="Q70" s="1993"/>
      <c r="R70" s="1993"/>
      <c r="S70" s="1993"/>
      <c r="T70" s="1993"/>
      <c r="U70" s="1993"/>
      <c r="V70" s="1993"/>
      <c r="W70" s="1993"/>
      <c r="X70" s="1993"/>
      <c r="Y70" s="1993"/>
    </row>
    <row r="71" spans="2:25">
      <c r="B71" s="1993"/>
      <c r="C71" s="1993"/>
      <c r="D71" s="1993"/>
      <c r="E71" s="1993"/>
      <c r="F71" s="1993"/>
      <c r="G71" s="1993"/>
      <c r="H71" s="1993"/>
      <c r="I71" s="1993"/>
      <c r="J71" s="1993"/>
      <c r="K71" s="1993"/>
      <c r="L71" s="1993"/>
      <c r="M71" s="1993"/>
      <c r="N71" s="1993"/>
      <c r="O71" s="1993"/>
      <c r="P71" s="1993"/>
      <c r="Q71" s="1993"/>
      <c r="R71" s="1993"/>
      <c r="S71" s="1993"/>
      <c r="T71" s="1993"/>
      <c r="U71" s="1993"/>
      <c r="V71" s="1993"/>
      <c r="W71" s="1993"/>
      <c r="X71" s="1993"/>
      <c r="Y71" s="1993"/>
    </row>
    <row r="72" spans="2:25">
      <c r="B72" s="1993"/>
      <c r="C72" s="1993"/>
      <c r="D72" s="1993"/>
      <c r="E72" s="1993"/>
      <c r="F72" s="1993"/>
      <c r="G72" s="1993"/>
      <c r="H72" s="1993"/>
      <c r="I72" s="1993"/>
      <c r="J72" s="1993"/>
      <c r="K72" s="1993"/>
      <c r="L72" s="1993"/>
      <c r="M72" s="1993"/>
      <c r="N72" s="1993"/>
      <c r="O72" s="1993"/>
      <c r="P72" s="1993"/>
      <c r="Q72" s="1993"/>
      <c r="R72" s="1993"/>
      <c r="S72" s="1993"/>
      <c r="T72" s="1993"/>
      <c r="U72" s="1993"/>
      <c r="V72" s="1993"/>
      <c r="W72" s="1993"/>
      <c r="X72" s="1993"/>
      <c r="Y72" s="1993"/>
    </row>
    <row r="73" spans="2:25">
      <c r="B73" s="1993"/>
      <c r="C73" s="1993"/>
      <c r="D73" s="1993"/>
      <c r="E73" s="1993"/>
      <c r="F73" s="1993"/>
      <c r="G73" s="1993"/>
      <c r="H73" s="1993"/>
      <c r="I73" s="1993"/>
      <c r="J73" s="1993"/>
      <c r="K73" s="1993"/>
      <c r="L73" s="1993"/>
      <c r="M73" s="1993"/>
      <c r="N73" s="1993"/>
      <c r="O73" s="1993"/>
      <c r="P73" s="1993"/>
      <c r="Q73" s="1993"/>
      <c r="R73" s="1993"/>
      <c r="S73" s="1993"/>
      <c r="T73" s="1993"/>
      <c r="U73" s="1993"/>
      <c r="V73" s="1993"/>
      <c r="W73" s="1993"/>
      <c r="X73" s="1993"/>
      <c r="Y73" s="1993"/>
    </row>
  </sheetData>
  <dataConsolidate/>
  <printOptions horizontalCentered="1"/>
  <pageMargins left="0.25" right="0.25" top="0.5" bottom="0.25" header="0.5" footer="0.25"/>
  <pageSetup scale="50" firstPageNumber="45"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zoomScaleNormal="100" workbookViewId="0"/>
  </sheetViews>
  <sheetFormatPr defaultColWidth="8.84375" defaultRowHeight="15.5"/>
  <cols>
    <col min="1" max="1" width="2.07421875" style="303" customWidth="1"/>
    <col min="2" max="4" width="9.84375" style="303" customWidth="1"/>
    <col min="5" max="5" width="10.4609375" style="303" customWidth="1"/>
    <col min="6" max="6" width="14.84375" style="303" customWidth="1"/>
    <col min="7" max="7" width="1.07421875" style="303" customWidth="1"/>
    <col min="8" max="8" width="16.84375" style="303" customWidth="1"/>
    <col min="9" max="9" width="1.07421875" style="303" customWidth="1"/>
    <col min="10" max="10" width="16.84375" style="303" bestFit="1" customWidth="1"/>
    <col min="11" max="11" width="9.84375" style="303" customWidth="1"/>
    <col min="12" max="12" width="15.84375" style="303" customWidth="1"/>
    <col min="13" max="16384" width="8.84375" style="303"/>
  </cols>
  <sheetData>
    <row r="1" spans="2:12">
      <c r="B1" s="899" t="s">
        <v>97</v>
      </c>
    </row>
    <row r="2" spans="2:12">
      <c r="B2" s="355"/>
    </row>
    <row r="3" spans="2:12">
      <c r="B3" s="304" t="s">
        <v>98</v>
      </c>
      <c r="J3" s="430" t="s">
        <v>898</v>
      </c>
    </row>
    <row r="4" spans="2:12">
      <c r="B4" s="356" t="s">
        <v>899</v>
      </c>
    </row>
    <row r="5" spans="2:12">
      <c r="B5" s="658" t="str">
        <f>'Sch 1 '!A8</f>
        <v>FOR THE MONTH OF APRIL 2026</v>
      </c>
      <c r="C5" s="659"/>
      <c r="D5" s="659"/>
      <c r="E5" s="659"/>
      <c r="F5" s="659"/>
      <c r="G5" s="659"/>
      <c r="H5" s="659"/>
      <c r="I5" s="659"/>
      <c r="J5" s="659"/>
      <c r="K5" s="659"/>
      <c r="L5" s="659"/>
    </row>
    <row r="6" spans="2:12">
      <c r="B6" s="658" t="s">
        <v>900</v>
      </c>
      <c r="C6" s="659"/>
      <c r="D6" s="659"/>
      <c r="E6" s="659"/>
      <c r="F6" s="659"/>
      <c r="G6" s="659"/>
      <c r="H6" s="659"/>
      <c r="I6" s="659"/>
      <c r="J6" s="659"/>
      <c r="K6" s="659"/>
      <c r="L6" s="659"/>
    </row>
    <row r="7" spans="2:12" ht="12.65" customHeight="1">
      <c r="B7" s="658" t="s">
        <v>102</v>
      </c>
      <c r="C7" s="660"/>
      <c r="D7" s="660"/>
      <c r="E7" s="660"/>
      <c r="F7" s="660"/>
      <c r="G7" s="660"/>
      <c r="H7" s="660"/>
      <c r="I7" s="660"/>
      <c r="J7" s="660"/>
      <c r="K7" s="660"/>
      <c r="L7" s="660"/>
    </row>
    <row r="8" spans="2:12">
      <c r="B8" s="108"/>
      <c r="G8" s="108"/>
      <c r="I8" s="108"/>
    </row>
    <row r="9" spans="2:12">
      <c r="B9" s="108"/>
      <c r="F9" s="109" t="s">
        <v>109</v>
      </c>
      <c r="G9" s="108"/>
      <c r="H9" s="110" t="s">
        <v>901</v>
      </c>
      <c r="I9" s="108"/>
      <c r="J9" s="109" t="s">
        <v>902</v>
      </c>
    </row>
    <row r="10" spans="2:12">
      <c r="B10" s="108"/>
      <c r="F10" s="110" t="str">
        <f>Footnotes!$O$3</f>
        <v>APRIL 2026</v>
      </c>
      <c r="G10" s="108"/>
      <c r="H10" s="110" t="s">
        <v>903</v>
      </c>
      <c r="I10" s="108"/>
      <c r="J10" s="110" t="s">
        <v>904</v>
      </c>
    </row>
    <row r="11" spans="2:12">
      <c r="B11" s="108"/>
      <c r="F11" s="628"/>
      <c r="G11" s="108"/>
      <c r="H11" s="628" t="s">
        <v>103</v>
      </c>
      <c r="I11" s="108"/>
      <c r="J11" s="628"/>
    </row>
    <row r="12" spans="2:12">
      <c r="B12" s="111" t="s">
        <v>905</v>
      </c>
      <c r="G12" s="108"/>
      <c r="H12" s="303" t="s">
        <v>103</v>
      </c>
      <c r="I12" s="108"/>
    </row>
    <row r="13" spans="2:12">
      <c r="B13" s="108"/>
      <c r="G13" s="108"/>
      <c r="I13" s="108"/>
    </row>
    <row r="14" spans="2:12">
      <c r="B14" s="279" t="s">
        <v>906</v>
      </c>
      <c r="F14" s="497">
        <v>90306.6</v>
      </c>
      <c r="G14" s="497"/>
      <c r="H14" s="875">
        <v>90306.6</v>
      </c>
      <c r="I14" s="497"/>
      <c r="J14" s="497">
        <v>89456.2</v>
      </c>
    </row>
    <row r="15" spans="2:12">
      <c r="B15" s="279" t="s">
        <v>907</v>
      </c>
      <c r="F15" s="847">
        <v>3.696E-2</v>
      </c>
      <c r="G15" s="301"/>
      <c r="H15" s="876">
        <v>3.696E-2</v>
      </c>
      <c r="I15" s="301"/>
      <c r="J15" s="847">
        <v>4.3650000000000001E-2</v>
      </c>
    </row>
    <row r="16" spans="2:12">
      <c r="B16" s="301" t="s">
        <v>908</v>
      </c>
      <c r="F16" s="848">
        <v>276.98099999999999</v>
      </c>
      <c r="G16" s="877"/>
      <c r="H16" s="878">
        <v>276.98099999999999</v>
      </c>
      <c r="I16" s="369"/>
      <c r="J16" s="848">
        <v>318.69200000000001</v>
      </c>
    </row>
    <row r="17" spans="2:11">
      <c r="B17" s="108"/>
      <c r="K17" s="108"/>
    </row>
    <row r="18" spans="2:11">
      <c r="B18" s="108"/>
      <c r="K18" s="108"/>
    </row>
    <row r="19" spans="2:11" ht="15" customHeight="1">
      <c r="B19" s="108"/>
      <c r="K19" s="108"/>
    </row>
    <row r="20" spans="2:11" ht="18">
      <c r="B20" s="359" t="s">
        <v>909</v>
      </c>
      <c r="C20" s="360"/>
      <c r="D20" s="360"/>
      <c r="K20" s="108"/>
    </row>
    <row r="21" spans="2:11">
      <c r="B21" s="108"/>
      <c r="G21" s="257"/>
      <c r="H21" s="257" t="str">
        <f>F10</f>
        <v>APRIL 2026</v>
      </c>
      <c r="I21" s="680"/>
      <c r="J21" s="680" t="str">
        <f>UPPER(TEXT(H21-365,"MMMM YYYY"))</f>
        <v>APRIL 2025</v>
      </c>
      <c r="K21" s="1653"/>
    </row>
    <row r="22" spans="2:11">
      <c r="B22" s="108"/>
      <c r="C22" s="361" t="s">
        <v>910</v>
      </c>
      <c r="E22" s="301" t="s">
        <v>103</v>
      </c>
      <c r="G22" s="362"/>
      <c r="H22" s="1259" t="s">
        <v>911</v>
      </c>
      <c r="I22" s="362"/>
      <c r="J22" s="1259" t="s">
        <v>911</v>
      </c>
      <c r="K22" s="108"/>
    </row>
    <row r="23" spans="2:11">
      <c r="B23" s="108"/>
      <c r="C23" s="301" t="s">
        <v>912</v>
      </c>
      <c r="G23" s="498"/>
      <c r="H23" s="499">
        <v>54745.7</v>
      </c>
      <c r="I23" s="498"/>
      <c r="J23" s="499">
        <v>62654.8</v>
      </c>
      <c r="K23" s="108"/>
    </row>
    <row r="24" spans="2:11">
      <c r="B24" s="108"/>
      <c r="C24" s="301" t="s">
        <v>913</v>
      </c>
      <c r="G24" s="498"/>
      <c r="H24" s="500">
        <v>709.5</v>
      </c>
      <c r="I24" s="498"/>
      <c r="J24" s="500">
        <v>219.4</v>
      </c>
      <c r="K24" s="108"/>
    </row>
    <row r="25" spans="2:11">
      <c r="B25" s="108"/>
      <c r="C25" s="301" t="s">
        <v>914</v>
      </c>
      <c r="G25" s="498"/>
      <c r="H25" s="500">
        <v>916</v>
      </c>
      <c r="I25" s="498"/>
      <c r="J25" s="500">
        <v>800</v>
      </c>
      <c r="K25" s="108"/>
    </row>
    <row r="26" spans="2:11">
      <c r="B26" s="108"/>
      <c r="C26" s="301" t="s">
        <v>915</v>
      </c>
      <c r="G26" s="501"/>
      <c r="H26" s="500">
        <v>34138.9</v>
      </c>
      <c r="I26" s="501"/>
      <c r="J26" s="500">
        <v>28765.9</v>
      </c>
      <c r="K26" s="108" t="s">
        <v>103</v>
      </c>
    </row>
    <row r="27" spans="2:11">
      <c r="B27" s="108"/>
      <c r="C27" s="301" t="s">
        <v>916</v>
      </c>
      <c r="G27" s="501"/>
      <c r="H27" s="500">
        <v>3388.5</v>
      </c>
      <c r="I27" s="501"/>
      <c r="J27" s="500">
        <v>3218.3</v>
      </c>
      <c r="K27" s="108" t="s">
        <v>103</v>
      </c>
    </row>
    <row r="28" spans="2:11">
      <c r="B28" s="108"/>
      <c r="C28" s="301" t="s">
        <v>917</v>
      </c>
      <c r="G28" s="501"/>
      <c r="H28" s="500">
        <v>13</v>
      </c>
      <c r="I28" s="501"/>
      <c r="J28" s="500">
        <v>53</v>
      </c>
      <c r="K28" s="108"/>
    </row>
    <row r="29" spans="2:11" ht="16" thickBot="1">
      <c r="B29" s="108"/>
      <c r="G29" s="112"/>
      <c r="H29" s="629">
        <f>ROUND(SUM(H23:H28),1)</f>
        <v>93911.6</v>
      </c>
      <c r="I29" s="112"/>
      <c r="J29" s="629">
        <f>ROUND(SUM(J23:J28),1)</f>
        <v>95711.4</v>
      </c>
      <c r="K29" s="108"/>
    </row>
    <row r="30" spans="2:11" ht="16" thickTop="1">
      <c r="B30" s="108"/>
      <c r="G30" s="502"/>
      <c r="H30" s="502"/>
      <c r="I30" s="502"/>
      <c r="K30" s="108"/>
    </row>
    <row r="31" spans="2:11">
      <c r="B31" s="108"/>
      <c r="K31" s="108"/>
    </row>
    <row r="32" spans="2:11">
      <c r="B32" s="111"/>
      <c r="K32" s="108"/>
    </row>
    <row r="33" spans="2:12" ht="192.75" customHeight="1">
      <c r="B33" s="2076" t="s">
        <v>918</v>
      </c>
      <c r="C33" s="2076"/>
      <c r="D33" s="2076"/>
      <c r="E33" s="2076"/>
      <c r="F33" s="2076"/>
      <c r="G33" s="2076"/>
      <c r="H33" s="2076"/>
      <c r="I33" s="2076"/>
      <c r="J33" s="2076"/>
      <c r="K33" s="108"/>
    </row>
    <row r="35" spans="2:12" ht="15" customHeight="1">
      <c r="B35" s="269" t="s">
        <v>919</v>
      </c>
      <c r="C35" s="302"/>
      <c r="D35" s="302"/>
      <c r="E35" s="302"/>
      <c r="F35" s="302"/>
      <c r="G35" s="302"/>
      <c r="H35" s="302"/>
      <c r="I35" s="302"/>
      <c r="J35" s="302"/>
      <c r="K35" s="302"/>
      <c r="L35" s="302"/>
    </row>
    <row r="36" spans="2:12" ht="17.25" customHeight="1">
      <c r="B36" s="300"/>
      <c r="L36" s="108"/>
    </row>
    <row r="37" spans="2:12">
      <c r="B37" s="301"/>
      <c r="C37" s="301"/>
      <c r="L37" s="108"/>
    </row>
    <row r="38" spans="2:12">
      <c r="B38" s="300"/>
      <c r="C38" s="301"/>
      <c r="L38" s="108"/>
    </row>
    <row r="39" spans="2:12">
      <c r="B39" s="108"/>
      <c r="C39" s="301" t="s">
        <v>103</v>
      </c>
      <c r="D39" s="108"/>
      <c r="E39" s="108"/>
      <c r="F39" s="108"/>
      <c r="G39" s="108"/>
      <c r="H39" s="108"/>
      <c r="I39" s="108"/>
      <c r="J39" s="108"/>
    </row>
    <row r="40" spans="2:12">
      <c r="C40" s="301" t="s">
        <v>103</v>
      </c>
    </row>
  </sheetData>
  <mergeCells count="1">
    <mergeCell ref="B33:J33"/>
  </mergeCells>
  <printOptions horizontalCentered="1"/>
  <pageMargins left="0.5" right="0.5" top="1" bottom="0.5" header="0.5" footer="0.25"/>
  <pageSetup scale="71" firstPageNumber="46"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6"/>
  <sheetViews>
    <sheetView showGridLines="0" zoomScale="70" zoomScaleNormal="70" workbookViewId="0"/>
  </sheetViews>
  <sheetFormatPr defaultColWidth="8.84375" defaultRowHeight="15.5"/>
  <cols>
    <col min="1" max="1" width="45.4609375" style="167" customWidth="1"/>
    <col min="2" max="2" width="17" style="564" customWidth="1"/>
    <col min="3" max="3" width="1.84375" style="564" customWidth="1"/>
    <col min="4" max="4" width="17" style="564" customWidth="1"/>
    <col min="5" max="5" width="1.84375" style="563" customWidth="1"/>
    <col min="6" max="6" width="17" style="564" customWidth="1"/>
    <col min="7" max="7" width="1.84375" style="563" customWidth="1"/>
    <col min="8" max="8" width="17" style="564" customWidth="1"/>
    <col min="9" max="9" width="1.84375" style="605" customWidth="1"/>
    <col min="10" max="10" width="17" style="595" customWidth="1"/>
    <col min="11" max="11" width="1.84375" style="595" customWidth="1"/>
    <col min="12" max="12" width="17" style="595" customWidth="1"/>
    <col min="13" max="13" width="1.84375" style="605" customWidth="1"/>
    <col min="14" max="14" width="17" style="595" customWidth="1"/>
    <col min="15" max="15" width="1.84375" style="605" customWidth="1"/>
    <col min="16" max="16" width="17" style="595" customWidth="1"/>
    <col min="17" max="17" width="1.84375" style="605" customWidth="1"/>
    <col min="18" max="18" width="17" style="595" customWidth="1"/>
    <col min="19" max="19" width="1.84375" style="605" customWidth="1"/>
    <col min="20" max="20" width="17" style="595" customWidth="1"/>
    <col min="21" max="21" width="1.84375" style="605" customWidth="1"/>
    <col min="22" max="22" width="17" style="595" customWidth="1"/>
    <col min="23" max="23" width="1.84375" style="605" customWidth="1"/>
    <col min="24" max="24" width="17" style="595" customWidth="1"/>
    <col min="25" max="25" width="1.84375" style="605" customWidth="1"/>
    <col min="26" max="26" width="18.84375" style="606" customWidth="1"/>
    <col min="27" max="27" width="1.53515625" style="483" customWidth="1"/>
    <col min="28" max="28" width="18.84375" style="167" bestFit="1" customWidth="1"/>
    <col min="29" max="29" width="12.84375" style="167" bestFit="1" customWidth="1"/>
    <col min="30" max="16384" width="8.84375" style="167"/>
  </cols>
  <sheetData>
    <row r="1" spans="1:33">
      <c r="A1" s="265" t="s">
        <v>97</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880"/>
      <c r="AB1" s="479"/>
      <c r="AC1" s="479"/>
      <c r="AD1" s="479"/>
      <c r="AE1" s="479"/>
      <c r="AF1" s="479"/>
      <c r="AG1" s="479"/>
    </row>
    <row r="2" spans="1:33">
      <c r="A2" s="265"/>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880"/>
      <c r="AB2" s="479"/>
      <c r="AC2" s="479"/>
      <c r="AD2" s="479"/>
      <c r="AE2" s="479"/>
      <c r="AF2" s="479"/>
      <c r="AG2" s="479"/>
    </row>
    <row r="3" spans="1:33" ht="17.899999999999999" customHeight="1">
      <c r="A3" s="347" t="s">
        <v>98</v>
      </c>
      <c r="B3" s="164"/>
      <c r="C3" s="164"/>
      <c r="D3" s="165"/>
      <c r="E3" s="166"/>
      <c r="F3" s="165"/>
      <c r="G3" s="166"/>
      <c r="H3" s="165"/>
      <c r="I3" s="166"/>
      <c r="K3" s="164"/>
      <c r="L3" s="596"/>
      <c r="M3" s="164"/>
      <c r="N3" s="165"/>
      <c r="O3" s="166"/>
      <c r="P3" s="165"/>
      <c r="Q3" s="166"/>
      <c r="R3" s="165"/>
      <c r="S3" s="166"/>
      <c r="T3" s="165"/>
      <c r="U3" s="166"/>
      <c r="V3" s="165"/>
      <c r="W3" s="166"/>
      <c r="X3" s="165"/>
      <c r="Y3" s="166"/>
      <c r="Z3" s="597" t="s">
        <v>920</v>
      </c>
      <c r="AA3" s="881"/>
      <c r="AC3" s="164"/>
      <c r="AE3" s="164"/>
    </row>
    <row r="4" spans="1:33" ht="17.899999999999999" customHeight="1">
      <c r="A4" s="347" t="s">
        <v>921</v>
      </c>
      <c r="B4" s="480"/>
      <c r="C4" s="480"/>
      <c r="D4" s="168"/>
      <c r="E4" s="166"/>
      <c r="F4" s="480"/>
      <c r="G4" s="166"/>
      <c r="H4" s="480"/>
      <c r="I4" s="166"/>
      <c r="J4" s="480"/>
      <c r="K4" s="480"/>
      <c r="L4" s="480"/>
      <c r="M4" s="169"/>
      <c r="N4" s="480"/>
      <c r="O4" s="166"/>
      <c r="P4" s="480"/>
      <c r="Q4" s="166"/>
      <c r="R4" s="480"/>
      <c r="S4" s="166"/>
      <c r="T4" s="480"/>
      <c r="U4" s="166"/>
      <c r="V4" s="480"/>
      <c r="W4" s="166"/>
      <c r="X4" s="480"/>
      <c r="Y4" s="166"/>
      <c r="Z4" s="598"/>
      <c r="AA4" s="881"/>
      <c r="AC4" s="164"/>
    </row>
    <row r="5" spans="1:33" ht="17.899999999999999" customHeight="1">
      <c r="A5" s="348" t="s">
        <v>922</v>
      </c>
      <c r="B5" s="480"/>
      <c r="C5" s="480"/>
      <c r="D5" s="480"/>
      <c r="E5" s="166"/>
      <c r="F5" s="480"/>
      <c r="G5" s="166"/>
      <c r="H5" s="480"/>
      <c r="I5" s="166"/>
      <c r="J5" s="480"/>
      <c r="K5" s="480"/>
      <c r="L5" s="480"/>
      <c r="M5" s="169"/>
      <c r="N5" s="480"/>
      <c r="O5" s="166"/>
      <c r="P5" s="480"/>
      <c r="Q5" s="166"/>
      <c r="R5" s="480"/>
      <c r="S5" s="166"/>
      <c r="T5" s="480"/>
      <c r="U5" s="166"/>
      <c r="V5" s="480"/>
      <c r="W5" s="166"/>
      <c r="X5" s="480"/>
      <c r="Y5" s="166"/>
      <c r="Z5" s="598"/>
    </row>
    <row r="6" spans="1:33" ht="17.899999999999999" customHeight="1">
      <c r="A6" s="171" t="str">
        <f>'Cashflow Governmental'!A6</f>
        <v>FISCAL YEAR 2026-2027</v>
      </c>
      <c r="B6" s="480"/>
      <c r="C6" s="480"/>
      <c r="D6" s="173"/>
      <c r="E6" s="166"/>
      <c r="F6" s="480"/>
      <c r="G6" s="166"/>
      <c r="H6" s="480"/>
      <c r="I6" s="166"/>
      <c r="J6" s="480"/>
      <c r="K6" s="480"/>
      <c r="L6" s="480"/>
      <c r="M6" s="169"/>
      <c r="N6" s="480"/>
      <c r="O6" s="166"/>
      <c r="P6" s="480"/>
      <c r="Q6" s="166"/>
      <c r="R6" s="480"/>
      <c r="S6" s="166"/>
      <c r="T6" s="480"/>
      <c r="U6" s="166"/>
      <c r="V6" s="480"/>
      <c r="W6" s="166"/>
      <c r="X6" s="480"/>
      <c r="Y6" s="166"/>
      <c r="Z6" s="598"/>
    </row>
    <row r="7" spans="1:33" ht="18">
      <c r="A7" s="172"/>
      <c r="B7" s="480"/>
      <c r="C7" s="480"/>
      <c r="D7" s="480"/>
      <c r="E7" s="166"/>
      <c r="F7" s="480"/>
      <c r="G7" s="166"/>
      <c r="H7" s="480"/>
      <c r="I7" s="166"/>
      <c r="J7" s="480"/>
      <c r="K7" s="480"/>
      <c r="L7" s="480"/>
      <c r="M7" s="169"/>
      <c r="N7" s="480"/>
      <c r="O7" s="166"/>
      <c r="P7" s="480"/>
      <c r="Q7" s="166"/>
      <c r="R7" s="482"/>
      <c r="S7" s="166"/>
      <c r="T7" s="482"/>
      <c r="U7" s="166"/>
      <c r="V7" s="482"/>
      <c r="W7" s="166"/>
      <c r="X7" s="482"/>
      <c r="Y7" s="166"/>
      <c r="Z7" s="598"/>
    </row>
    <row r="8" spans="1:33">
      <c r="A8" s="163"/>
      <c r="B8" s="480"/>
      <c r="C8" s="480"/>
      <c r="D8" s="480"/>
      <c r="E8" s="166"/>
      <c r="F8" s="480"/>
      <c r="G8" s="166"/>
      <c r="H8" s="480"/>
      <c r="I8" s="166"/>
      <c r="J8" s="480"/>
      <c r="K8" s="480"/>
      <c r="L8" s="480"/>
      <c r="M8" s="166"/>
      <c r="N8" s="480"/>
      <c r="O8" s="166"/>
      <c r="P8" s="480"/>
      <c r="Q8" s="166"/>
      <c r="R8" s="480"/>
      <c r="S8" s="166"/>
      <c r="T8" s="480"/>
      <c r="U8" s="166"/>
      <c r="V8" s="480"/>
      <c r="W8" s="166"/>
      <c r="X8" s="480"/>
      <c r="Y8" s="166"/>
      <c r="Z8" s="1673"/>
      <c r="AA8" s="175"/>
    </row>
    <row r="9" spans="1:33">
      <c r="A9" s="483"/>
      <c r="B9" s="373" t="str">
        <f>'Cashflow Governmental'!C13</f>
        <v>2026</v>
      </c>
      <c r="C9" s="176"/>
      <c r="D9" s="176"/>
      <c r="E9" s="169"/>
      <c r="F9" s="176"/>
      <c r="G9" s="169"/>
      <c r="H9" s="176"/>
      <c r="I9" s="169"/>
      <c r="J9" s="176"/>
      <c r="K9" s="176"/>
      <c r="L9" s="177"/>
      <c r="M9" s="169"/>
      <c r="N9" s="177"/>
      <c r="O9" s="169"/>
      <c r="P9" s="177"/>
      <c r="Q9" s="169"/>
      <c r="R9" s="177"/>
      <c r="S9" s="169"/>
      <c r="T9" s="373">
        <f>'Cashflow Governmental'!U13</f>
        <v>2027</v>
      </c>
      <c r="U9" s="169"/>
      <c r="V9" s="177"/>
      <c r="W9" s="169"/>
      <c r="X9" s="177"/>
      <c r="Y9" s="169"/>
      <c r="Z9" s="177" t="str">
        <f>'Sch 5 '!$K$11</f>
        <v>1 MONTH ENDED</v>
      </c>
      <c r="AA9" s="177"/>
    </row>
    <row r="10" spans="1:33">
      <c r="A10" s="483"/>
      <c r="B10" s="178" t="s">
        <v>329</v>
      </c>
      <c r="C10" s="178"/>
      <c r="D10" s="177" t="s">
        <v>330</v>
      </c>
      <c r="E10" s="169"/>
      <c r="F10" s="177" t="s">
        <v>331</v>
      </c>
      <c r="G10" s="169"/>
      <c r="H10" s="177" t="s">
        <v>332</v>
      </c>
      <c r="I10" s="169"/>
      <c r="J10" s="657" t="s">
        <v>333</v>
      </c>
      <c r="K10" s="179"/>
      <c r="L10" s="177" t="s">
        <v>445</v>
      </c>
      <c r="M10" s="169"/>
      <c r="N10" s="177" t="s">
        <v>446</v>
      </c>
      <c r="O10" s="169"/>
      <c r="P10" s="177" t="s">
        <v>336</v>
      </c>
      <c r="Q10" s="169"/>
      <c r="R10" s="177" t="s">
        <v>337</v>
      </c>
      <c r="S10" s="169"/>
      <c r="T10" s="177" t="s">
        <v>338</v>
      </c>
      <c r="U10" s="169"/>
      <c r="V10" s="177" t="s">
        <v>339</v>
      </c>
      <c r="W10" s="169"/>
      <c r="X10" s="177" t="s">
        <v>447</v>
      </c>
      <c r="Y10" s="169"/>
      <c r="Z10" s="180" t="str">
        <f>'Sch 5 '!$K$12</f>
        <v>APRIL 30, 2026</v>
      </c>
      <c r="AA10" s="180"/>
    </row>
    <row r="11" spans="1:33">
      <c r="A11" s="483"/>
      <c r="B11" s="613" t="s">
        <v>103</v>
      </c>
      <c r="C11" s="484"/>
      <c r="D11" s="613"/>
      <c r="E11" s="485"/>
      <c r="F11" s="613"/>
      <c r="G11" s="485"/>
      <c r="H11" s="613"/>
      <c r="I11" s="485"/>
      <c r="J11" s="613"/>
      <c r="K11" s="179"/>
      <c r="L11" s="613"/>
      <c r="M11" s="485"/>
      <c r="N11" s="613"/>
      <c r="O11" s="485"/>
      <c r="P11" s="613"/>
      <c r="Q11" s="485"/>
      <c r="R11" s="613"/>
      <c r="S11" s="485"/>
      <c r="T11" s="613"/>
      <c r="U11" s="485"/>
      <c r="V11" s="613"/>
      <c r="W11" s="485"/>
      <c r="X11" s="613"/>
      <c r="Y11" s="485"/>
      <c r="Z11" s="1086" t="s">
        <v>103</v>
      </c>
    </row>
    <row r="12" spans="1:33" s="182" customFormat="1">
      <c r="A12" s="185" t="s">
        <v>923</v>
      </c>
      <c r="B12" s="181">
        <v>449121155</v>
      </c>
      <c r="C12" s="181"/>
      <c r="D12" s="181"/>
      <c r="E12" s="486"/>
      <c r="F12" s="181"/>
      <c r="G12" s="486"/>
      <c r="H12" s="181"/>
      <c r="I12" s="486"/>
      <c r="J12" s="181"/>
      <c r="K12" s="181"/>
      <c r="L12" s="181"/>
      <c r="M12" s="179"/>
      <c r="N12" s="181"/>
      <c r="O12" s="181"/>
      <c r="P12" s="181"/>
      <c r="Q12" s="181"/>
      <c r="R12" s="181"/>
      <c r="S12" s="181"/>
      <c r="T12" s="181"/>
      <c r="U12" s="181"/>
      <c r="V12" s="181"/>
      <c r="W12" s="181"/>
      <c r="X12" s="181"/>
      <c r="Y12" s="181"/>
      <c r="Z12" s="181">
        <f>+B12</f>
        <v>449121155</v>
      </c>
      <c r="AA12" s="882"/>
      <c r="AB12" s="1654"/>
    </row>
    <row r="13" spans="1:33">
      <c r="A13" s="487"/>
      <c r="B13" s="488"/>
      <c r="C13" s="488"/>
      <c r="D13" s="488"/>
      <c r="E13" s="488"/>
      <c r="F13" s="488"/>
      <c r="G13" s="488"/>
      <c r="H13" s="488"/>
      <c r="I13" s="488"/>
      <c r="J13" s="488"/>
      <c r="K13" s="179"/>
      <c r="L13" s="488"/>
      <c r="M13" s="488"/>
      <c r="N13" s="488"/>
      <c r="O13" s="488"/>
      <c r="P13" s="488"/>
      <c r="Q13" s="488"/>
      <c r="R13" s="488"/>
      <c r="S13" s="488"/>
      <c r="T13" s="488"/>
      <c r="U13" s="488"/>
      <c r="V13" s="488"/>
      <c r="W13" s="488"/>
      <c r="X13" s="488"/>
      <c r="Y13" s="488"/>
      <c r="Z13" s="599"/>
      <c r="AB13" s="1654"/>
    </row>
    <row r="14" spans="1:33">
      <c r="A14" s="183" t="s">
        <v>114</v>
      </c>
      <c r="B14" s="488"/>
      <c r="C14" s="488"/>
      <c r="D14" s="488"/>
      <c r="E14" s="488"/>
      <c r="F14" s="488"/>
      <c r="G14" s="488"/>
      <c r="H14" s="488"/>
      <c r="I14" s="488"/>
      <c r="J14" s="488"/>
      <c r="K14" s="488"/>
      <c r="L14" s="488"/>
      <c r="M14" s="488"/>
      <c r="N14" s="488"/>
      <c r="O14" s="488"/>
      <c r="P14" s="488"/>
      <c r="Q14" s="488"/>
      <c r="R14" s="488"/>
      <c r="S14" s="488"/>
      <c r="T14" s="488"/>
      <c r="U14" s="488"/>
      <c r="V14" s="488"/>
      <c r="W14" s="488"/>
      <c r="X14" s="488"/>
      <c r="Y14" s="488"/>
      <c r="Z14" s="599"/>
      <c r="AB14" s="1654"/>
    </row>
    <row r="15" spans="1:33">
      <c r="A15" s="349" t="s">
        <v>924</v>
      </c>
      <c r="B15" s="490">
        <f>Z15</f>
        <v>52851229</v>
      </c>
      <c r="C15" s="490"/>
      <c r="D15" s="490"/>
      <c r="E15" s="490"/>
      <c r="F15" s="490"/>
      <c r="G15" s="490"/>
      <c r="H15" s="490"/>
      <c r="I15" s="490"/>
      <c r="J15" s="490"/>
      <c r="K15" s="490"/>
      <c r="L15" s="490"/>
      <c r="M15" s="488"/>
      <c r="N15" s="490"/>
      <c r="O15" s="490"/>
      <c r="P15" s="490"/>
      <c r="Q15" s="490"/>
      <c r="R15" s="490"/>
      <c r="S15" s="490"/>
      <c r="T15" s="490"/>
      <c r="U15" s="490"/>
      <c r="V15" s="490"/>
      <c r="W15" s="490"/>
      <c r="X15" s="490"/>
      <c r="Y15" s="490"/>
      <c r="Z15" s="490">
        <v>52851229</v>
      </c>
      <c r="AB15" s="1654"/>
    </row>
    <row r="16" spans="1:33">
      <c r="A16" s="349" t="s">
        <v>925</v>
      </c>
      <c r="B16" s="490">
        <f t="shared" ref="B16:B24" si="0">Z16</f>
        <v>1127000</v>
      </c>
      <c r="C16" s="490"/>
      <c r="D16" s="490"/>
      <c r="E16" s="490"/>
      <c r="F16" s="490"/>
      <c r="G16" s="490"/>
      <c r="H16" s="490"/>
      <c r="I16" s="490"/>
      <c r="J16" s="490"/>
      <c r="K16" s="490"/>
      <c r="L16" s="490"/>
      <c r="M16" s="488"/>
      <c r="N16" s="490"/>
      <c r="O16" s="490"/>
      <c r="P16" s="490"/>
      <c r="Q16" s="490"/>
      <c r="R16" s="490"/>
      <c r="S16" s="490"/>
      <c r="T16" s="490"/>
      <c r="U16" s="490"/>
      <c r="V16" s="490"/>
      <c r="W16" s="490"/>
      <c r="X16" s="490"/>
      <c r="Y16" s="490"/>
      <c r="Z16" s="490">
        <v>1127000</v>
      </c>
      <c r="AB16" s="1654"/>
    </row>
    <row r="17" spans="1:28">
      <c r="A17" s="349" t="s">
        <v>926</v>
      </c>
      <c r="B17" s="490">
        <f t="shared" si="0"/>
        <v>276404</v>
      </c>
      <c r="C17" s="490"/>
      <c r="D17" s="490"/>
      <c r="E17" s="490"/>
      <c r="F17" s="490"/>
      <c r="G17" s="490"/>
      <c r="H17" s="490"/>
      <c r="I17" s="490"/>
      <c r="J17" s="490"/>
      <c r="K17" s="490"/>
      <c r="L17" s="490"/>
      <c r="M17" s="488"/>
      <c r="N17" s="490"/>
      <c r="O17" s="490"/>
      <c r="P17" s="490"/>
      <c r="Q17" s="490"/>
      <c r="R17" s="490"/>
      <c r="S17" s="490"/>
      <c r="T17" s="490"/>
      <c r="U17" s="490"/>
      <c r="V17" s="490"/>
      <c r="W17" s="490"/>
      <c r="X17" s="490"/>
      <c r="Y17" s="490"/>
      <c r="Z17" s="490">
        <v>276404</v>
      </c>
      <c r="AB17" s="1654"/>
    </row>
    <row r="18" spans="1:28">
      <c r="A18" s="349" t="s">
        <v>927</v>
      </c>
      <c r="B18" s="490">
        <f t="shared" si="0"/>
        <v>2590112</v>
      </c>
      <c r="C18" s="490"/>
      <c r="D18" s="490"/>
      <c r="E18" s="490"/>
      <c r="F18" s="490"/>
      <c r="G18" s="490"/>
      <c r="H18" s="490"/>
      <c r="I18" s="490"/>
      <c r="J18" s="490"/>
      <c r="K18" s="490"/>
      <c r="L18" s="490"/>
      <c r="M18" s="488"/>
      <c r="N18" s="490"/>
      <c r="O18" s="490"/>
      <c r="P18" s="490"/>
      <c r="Q18" s="490"/>
      <c r="R18" s="490"/>
      <c r="S18" s="490"/>
      <c r="T18" s="490"/>
      <c r="U18" s="490"/>
      <c r="V18" s="490"/>
      <c r="W18" s="490"/>
      <c r="X18" s="490"/>
      <c r="Y18" s="490"/>
      <c r="Z18" s="490">
        <v>2590112</v>
      </c>
      <c r="AB18" s="1654"/>
    </row>
    <row r="19" spans="1:28">
      <c r="A19" s="349" t="s">
        <v>928</v>
      </c>
      <c r="B19" s="490">
        <f t="shared" si="0"/>
        <v>563672523</v>
      </c>
      <c r="C19" s="490"/>
      <c r="D19" s="490"/>
      <c r="E19" s="490"/>
      <c r="F19" s="490"/>
      <c r="G19" s="490"/>
      <c r="H19" s="490"/>
      <c r="I19" s="490"/>
      <c r="J19" s="490"/>
      <c r="K19" s="490"/>
      <c r="L19" s="490"/>
      <c r="M19" s="488"/>
      <c r="N19" s="490"/>
      <c r="O19" s="490"/>
      <c r="P19" s="490"/>
      <c r="Q19" s="490"/>
      <c r="R19" s="490"/>
      <c r="S19" s="490"/>
      <c r="T19" s="490"/>
      <c r="U19" s="490"/>
      <c r="V19" s="490"/>
      <c r="W19" s="490"/>
      <c r="X19" s="490"/>
      <c r="Y19" s="490"/>
      <c r="Z19" s="490">
        <v>563672523</v>
      </c>
      <c r="AB19" s="1654"/>
    </row>
    <row r="20" spans="1:28">
      <c r="A20" s="349" t="s">
        <v>929</v>
      </c>
      <c r="B20" s="490">
        <f t="shared" si="0"/>
        <v>30000</v>
      </c>
      <c r="C20" s="492"/>
      <c r="D20" s="490"/>
      <c r="E20" s="490"/>
      <c r="F20" s="490"/>
      <c r="G20" s="490"/>
      <c r="H20" s="490"/>
      <c r="I20" s="490"/>
      <c r="J20" s="490"/>
      <c r="K20" s="494"/>
      <c r="L20" s="490"/>
      <c r="M20" s="488"/>
      <c r="N20" s="490"/>
      <c r="O20" s="490"/>
      <c r="P20" s="490"/>
      <c r="Q20" s="490"/>
      <c r="R20" s="490"/>
      <c r="S20" s="490"/>
      <c r="T20" s="490"/>
      <c r="U20" s="490"/>
      <c r="V20" s="490"/>
      <c r="W20" s="492"/>
      <c r="X20" s="490"/>
      <c r="Y20" s="490"/>
      <c r="Z20" s="490">
        <v>30000</v>
      </c>
      <c r="AB20" s="1654"/>
    </row>
    <row r="21" spans="1:28">
      <c r="A21" s="349" t="s">
        <v>930</v>
      </c>
      <c r="B21" s="490">
        <f t="shared" si="0"/>
        <v>1106421</v>
      </c>
      <c r="C21" s="492"/>
      <c r="D21" s="490"/>
      <c r="E21" s="490"/>
      <c r="F21" s="490"/>
      <c r="G21" s="490"/>
      <c r="H21" s="490"/>
      <c r="I21" s="490"/>
      <c r="J21" s="490"/>
      <c r="K21" s="494"/>
      <c r="L21" s="490"/>
      <c r="M21" s="488"/>
      <c r="N21" s="490"/>
      <c r="O21" s="490"/>
      <c r="P21" s="490"/>
      <c r="Q21" s="490"/>
      <c r="R21" s="490"/>
      <c r="S21" s="490"/>
      <c r="T21" s="490"/>
      <c r="U21" s="490"/>
      <c r="V21" s="490"/>
      <c r="W21" s="492"/>
      <c r="X21" s="490"/>
      <c r="Y21" s="490"/>
      <c r="Z21" s="490">
        <v>1106421</v>
      </c>
      <c r="AB21" s="1654"/>
    </row>
    <row r="22" spans="1:28">
      <c r="A22" s="349" t="s">
        <v>931</v>
      </c>
      <c r="B22" s="490">
        <f t="shared" si="0"/>
        <v>0</v>
      </c>
      <c r="C22" s="492"/>
      <c r="D22" s="490"/>
      <c r="E22" s="490"/>
      <c r="F22" s="490"/>
      <c r="G22" s="490"/>
      <c r="H22" s="490"/>
      <c r="I22" s="490"/>
      <c r="J22" s="490"/>
      <c r="K22" s="494"/>
      <c r="L22" s="490"/>
      <c r="M22" s="488"/>
      <c r="N22" s="490"/>
      <c r="O22" s="490"/>
      <c r="P22" s="490"/>
      <c r="Q22" s="490"/>
      <c r="R22" s="490"/>
      <c r="S22" s="490"/>
      <c r="T22" s="490"/>
      <c r="U22" s="490"/>
      <c r="V22" s="490"/>
      <c r="W22" s="492"/>
      <c r="X22" s="490"/>
      <c r="Y22" s="490"/>
      <c r="Z22" s="490">
        <v>0</v>
      </c>
      <c r="AB22" s="1654"/>
    </row>
    <row r="23" spans="1:28">
      <c r="A23" s="350" t="s">
        <v>932</v>
      </c>
      <c r="B23" s="490">
        <f t="shared" si="0"/>
        <v>0</v>
      </c>
      <c r="C23" s="492"/>
      <c r="D23" s="490"/>
      <c r="E23" s="490"/>
      <c r="F23" s="490"/>
      <c r="G23" s="490"/>
      <c r="H23" s="490"/>
      <c r="I23" s="490"/>
      <c r="J23" s="490"/>
      <c r="K23" s="494"/>
      <c r="L23" s="490"/>
      <c r="M23" s="488"/>
      <c r="N23" s="490"/>
      <c r="O23" s="490"/>
      <c r="P23" s="490"/>
      <c r="Q23" s="490"/>
      <c r="R23" s="490"/>
      <c r="S23" s="490"/>
      <c r="T23" s="490"/>
      <c r="U23" s="490"/>
      <c r="V23" s="490"/>
      <c r="W23" s="492"/>
      <c r="X23" s="490"/>
      <c r="Y23" s="490"/>
      <c r="Z23" s="490">
        <v>0</v>
      </c>
      <c r="AB23" s="1654"/>
    </row>
    <row r="24" spans="1:28">
      <c r="A24" s="349" t="s">
        <v>933</v>
      </c>
      <c r="B24" s="490">
        <f t="shared" si="0"/>
        <v>0</v>
      </c>
      <c r="C24" s="494"/>
      <c r="D24" s="490"/>
      <c r="E24" s="490"/>
      <c r="F24" s="490"/>
      <c r="G24" s="490"/>
      <c r="H24" s="490"/>
      <c r="I24" s="490"/>
      <c r="J24" s="490"/>
      <c r="K24" s="490"/>
      <c r="L24" s="490"/>
      <c r="M24" s="488"/>
      <c r="N24" s="490"/>
      <c r="O24" s="490"/>
      <c r="P24" s="490"/>
      <c r="Q24" s="490"/>
      <c r="R24" s="490"/>
      <c r="S24" s="490"/>
      <c r="T24" s="490"/>
      <c r="U24" s="490"/>
      <c r="V24" s="490"/>
      <c r="W24" s="490"/>
      <c r="X24" s="490"/>
      <c r="Y24" s="490"/>
      <c r="Z24" s="1674">
        <v>0</v>
      </c>
      <c r="AB24" s="1654"/>
    </row>
    <row r="25" spans="1:28" s="182" customFormat="1">
      <c r="A25" s="183" t="s">
        <v>427</v>
      </c>
      <c r="B25" s="594">
        <f>ROUND(SUM(B15:B24),0)</f>
        <v>621653689</v>
      </c>
      <c r="C25" s="184"/>
      <c r="D25" s="594">
        <f>ROUND(SUM(D15:D24),0)</f>
        <v>0</v>
      </c>
      <c r="E25" s="184"/>
      <c r="F25" s="1200">
        <f>ROUND(SUM(F15:F24),0)</f>
        <v>0</v>
      </c>
      <c r="G25" s="184"/>
      <c r="H25" s="1200">
        <f>ROUND(SUM(H15:H24),0)</f>
        <v>0</v>
      </c>
      <c r="I25" s="184"/>
      <c r="J25" s="594">
        <f>ROUND(SUM(J15:J24),0)</f>
        <v>0</v>
      </c>
      <c r="K25" s="184"/>
      <c r="L25" s="594">
        <f>ROUND(SUM(L15:L24),0)</f>
        <v>0</v>
      </c>
      <c r="M25" s="179"/>
      <c r="N25" s="594">
        <f>ROUND(SUM(N15:N24),0)</f>
        <v>0</v>
      </c>
      <c r="O25" s="184"/>
      <c r="P25" s="594">
        <f>ROUND(SUM(P15:P24),0)</f>
        <v>0</v>
      </c>
      <c r="Q25" s="184"/>
      <c r="R25" s="594">
        <f>ROUND(SUM(R15:R24),0)</f>
        <v>0</v>
      </c>
      <c r="S25" s="184"/>
      <c r="T25" s="594">
        <f>ROUND(SUM(T15:T24),0)</f>
        <v>0</v>
      </c>
      <c r="U25" s="184"/>
      <c r="V25" s="594">
        <f>ROUND(SUM(V15:V24),0)</f>
        <v>0</v>
      </c>
      <c r="W25" s="184"/>
      <c r="X25" s="594">
        <f>ROUND(SUM(X15:X24),0)</f>
        <v>0</v>
      </c>
      <c r="Y25" s="184"/>
      <c r="Z25" s="594">
        <f>ROUND(SUM(Z15:Z24),0)</f>
        <v>621653689</v>
      </c>
      <c r="AA25" s="882"/>
      <c r="AB25" s="1655"/>
    </row>
    <row r="26" spans="1:28">
      <c r="A26" s="487"/>
      <c r="B26" s="490"/>
      <c r="C26" s="490"/>
      <c r="D26" s="490"/>
      <c r="E26" s="490"/>
      <c r="F26" s="490"/>
      <c r="G26" s="490"/>
      <c r="H26" s="490"/>
      <c r="I26" s="490"/>
      <c r="J26" s="490"/>
      <c r="K26" s="490"/>
      <c r="L26" s="490"/>
      <c r="M26" s="488"/>
      <c r="N26" s="490"/>
      <c r="O26" s="490"/>
      <c r="P26" s="490"/>
      <c r="Q26" s="490"/>
      <c r="R26" s="490"/>
      <c r="S26" s="490"/>
      <c r="T26" s="490"/>
      <c r="U26" s="490"/>
      <c r="V26" s="490"/>
      <c r="W26" s="490"/>
      <c r="X26" s="490"/>
      <c r="Y26" s="490"/>
      <c r="Z26" s="491"/>
      <c r="AB26" s="1654"/>
    </row>
    <row r="27" spans="1:28">
      <c r="A27" s="183" t="s">
        <v>122</v>
      </c>
      <c r="B27" s="490"/>
      <c r="C27" s="490"/>
      <c r="D27" s="490"/>
      <c r="E27" s="490"/>
      <c r="F27" s="490"/>
      <c r="G27" s="490"/>
      <c r="H27" s="490"/>
      <c r="I27" s="490"/>
      <c r="J27" s="490"/>
      <c r="K27" s="490"/>
      <c r="L27" s="490"/>
      <c r="M27" s="488"/>
      <c r="N27" s="490"/>
      <c r="O27" s="490"/>
      <c r="P27" s="490"/>
      <c r="Q27" s="490"/>
      <c r="R27" s="490"/>
      <c r="S27" s="490"/>
      <c r="T27" s="490"/>
      <c r="U27" s="490"/>
      <c r="V27" s="490"/>
      <c r="W27" s="490"/>
      <c r="X27" s="490"/>
      <c r="Y27" s="490"/>
      <c r="Z27" s="491"/>
      <c r="AB27" s="1654"/>
    </row>
    <row r="28" spans="1:28">
      <c r="A28" s="349" t="s">
        <v>934</v>
      </c>
      <c r="B28" s="490">
        <f>Z28</f>
        <v>430848373</v>
      </c>
      <c r="C28" s="490"/>
      <c r="D28" s="490"/>
      <c r="E28" s="490"/>
      <c r="F28" s="490"/>
      <c r="G28" s="490"/>
      <c r="H28" s="490"/>
      <c r="I28" s="490"/>
      <c r="J28" s="490"/>
      <c r="K28" s="490"/>
      <c r="L28" s="490"/>
      <c r="M28" s="488"/>
      <c r="N28" s="490"/>
      <c r="O28" s="490"/>
      <c r="P28" s="490"/>
      <c r="Q28" s="490"/>
      <c r="R28" s="490"/>
      <c r="S28" s="490"/>
      <c r="T28" s="490"/>
      <c r="U28" s="490"/>
      <c r="V28" s="490"/>
      <c r="W28" s="490"/>
      <c r="X28" s="490"/>
      <c r="Y28" s="490"/>
      <c r="Z28" s="490">
        <v>430848373</v>
      </c>
      <c r="AB28" s="1654"/>
    </row>
    <row r="29" spans="1:28">
      <c r="A29" s="349" t="s">
        <v>935</v>
      </c>
      <c r="B29" s="490">
        <f t="shared" ref="B29:B32" si="1">Z29</f>
        <v>2862</v>
      </c>
      <c r="C29" s="490"/>
      <c r="D29" s="490"/>
      <c r="E29" s="490"/>
      <c r="F29" s="490"/>
      <c r="G29" s="490"/>
      <c r="H29" s="490"/>
      <c r="I29" s="490"/>
      <c r="J29" s="490"/>
      <c r="K29" s="490"/>
      <c r="L29" s="490"/>
      <c r="M29" s="488"/>
      <c r="N29" s="490"/>
      <c r="O29" s="490"/>
      <c r="P29" s="490"/>
      <c r="Q29" s="490"/>
      <c r="R29" s="490"/>
      <c r="S29" s="490"/>
      <c r="T29" s="490"/>
      <c r="U29" s="490"/>
      <c r="V29" s="490"/>
      <c r="W29" s="490"/>
      <c r="X29" s="490"/>
      <c r="Y29" s="490"/>
      <c r="Z29" s="490">
        <v>2862</v>
      </c>
      <c r="AB29" s="1655"/>
    </row>
    <row r="30" spans="1:28">
      <c r="A30" s="349" t="s">
        <v>936</v>
      </c>
      <c r="B30" s="490">
        <f t="shared" si="1"/>
        <v>2088362</v>
      </c>
      <c r="C30" s="490"/>
      <c r="D30" s="490"/>
      <c r="E30" s="490"/>
      <c r="F30" s="490"/>
      <c r="G30" s="490"/>
      <c r="H30" s="490"/>
      <c r="I30" s="490"/>
      <c r="J30" s="490"/>
      <c r="K30" s="490"/>
      <c r="L30" s="490"/>
      <c r="M30" s="488"/>
      <c r="N30" s="490"/>
      <c r="O30" s="490"/>
      <c r="P30" s="490"/>
      <c r="Q30" s="490"/>
      <c r="R30" s="490"/>
      <c r="S30" s="490"/>
      <c r="T30" s="490"/>
      <c r="U30" s="490"/>
      <c r="V30" s="490"/>
      <c r="W30" s="490"/>
      <c r="X30" s="490"/>
      <c r="Y30" s="490"/>
      <c r="Z30" s="490">
        <v>2088362</v>
      </c>
      <c r="AB30" s="1654"/>
    </row>
    <row r="31" spans="1:28">
      <c r="A31" s="349" t="s">
        <v>937</v>
      </c>
      <c r="B31" s="490">
        <f t="shared" si="1"/>
        <v>1226927</v>
      </c>
      <c r="C31" s="490"/>
      <c r="D31" s="490"/>
      <c r="E31" s="490"/>
      <c r="F31" s="490"/>
      <c r="G31" s="490"/>
      <c r="H31" s="490"/>
      <c r="I31" s="490"/>
      <c r="J31" s="490"/>
      <c r="K31" s="490"/>
      <c r="L31" s="490"/>
      <c r="M31" s="488"/>
      <c r="N31" s="490"/>
      <c r="O31" s="490"/>
      <c r="P31" s="490"/>
      <c r="Q31" s="490"/>
      <c r="R31" s="490"/>
      <c r="S31" s="490"/>
      <c r="T31" s="490"/>
      <c r="U31" s="490"/>
      <c r="V31" s="490"/>
      <c r="W31" s="490"/>
      <c r="X31" s="490"/>
      <c r="Y31" s="490"/>
      <c r="Z31" s="490">
        <v>1226927</v>
      </c>
      <c r="AB31" s="1654"/>
    </row>
    <row r="32" spans="1:28">
      <c r="A32" s="349" t="s">
        <v>938</v>
      </c>
      <c r="B32" s="490">
        <f t="shared" si="1"/>
        <v>0</v>
      </c>
      <c r="C32" s="490"/>
      <c r="D32" s="490"/>
      <c r="E32" s="490"/>
      <c r="F32" s="490"/>
      <c r="G32" s="490"/>
      <c r="H32" s="490"/>
      <c r="I32" s="490"/>
      <c r="J32" s="490"/>
      <c r="K32" s="490"/>
      <c r="L32" s="490"/>
      <c r="M32" s="488"/>
      <c r="N32" s="490"/>
      <c r="O32" s="490"/>
      <c r="P32" s="490"/>
      <c r="Q32" s="490"/>
      <c r="R32" s="490"/>
      <c r="S32" s="490"/>
      <c r="T32" s="490"/>
      <c r="U32" s="490"/>
      <c r="V32" s="490"/>
      <c r="W32" s="490"/>
      <c r="X32" s="490"/>
      <c r="Y32" s="490"/>
      <c r="Z32" s="490">
        <v>0</v>
      </c>
      <c r="AB32" s="1654"/>
    </row>
    <row r="33" spans="1:28">
      <c r="A33" s="183" t="s">
        <v>457</v>
      </c>
      <c r="B33" s="594">
        <f>ROUND(SUM(B28:B32),0)</f>
        <v>434166524</v>
      </c>
      <c r="C33" s="490"/>
      <c r="D33" s="594">
        <f>ROUND(SUM(D28:D32),0)</f>
        <v>0</v>
      </c>
      <c r="E33" s="490"/>
      <c r="F33" s="594">
        <f>ROUND(SUM(F28:F32),0)</f>
        <v>0</v>
      </c>
      <c r="G33" s="490"/>
      <c r="H33" s="594">
        <f>ROUND(SUM(H28:H32),0)</f>
        <v>0</v>
      </c>
      <c r="I33" s="490"/>
      <c r="J33" s="594">
        <f>ROUND(SUM(J28:J32),0)</f>
        <v>0</v>
      </c>
      <c r="K33" s="490"/>
      <c r="L33" s="594">
        <f>ROUND(SUM(L28:L32),0)</f>
        <v>0</v>
      </c>
      <c r="M33" s="488"/>
      <c r="N33" s="594">
        <f>ROUND(SUM(N28:N32),0)</f>
        <v>0</v>
      </c>
      <c r="O33" s="490"/>
      <c r="P33" s="594">
        <f>ROUND(SUM(P28:P32),0)</f>
        <v>0</v>
      </c>
      <c r="Q33" s="490"/>
      <c r="R33" s="594">
        <f>ROUND(SUM(R28:R32),0)</f>
        <v>0</v>
      </c>
      <c r="S33" s="490"/>
      <c r="T33" s="594">
        <f>ROUND(SUM(T28:T32),0)</f>
        <v>0</v>
      </c>
      <c r="U33" s="490"/>
      <c r="V33" s="594">
        <f>ROUND(SUM(V28:V32),0)</f>
        <v>0</v>
      </c>
      <c r="W33" s="490"/>
      <c r="X33" s="594">
        <f>ROUND(SUM(X28:X32),0)</f>
        <v>0</v>
      </c>
      <c r="Y33" s="490"/>
      <c r="Z33" s="594">
        <f>ROUND(SUM(Z28:Z32),0)</f>
        <v>434166524</v>
      </c>
      <c r="AB33" s="1654"/>
    </row>
    <row r="34" spans="1:28">
      <c r="A34" s="183"/>
      <c r="B34" s="490"/>
      <c r="C34" s="490"/>
      <c r="D34" s="490"/>
      <c r="E34" s="490"/>
      <c r="F34" s="492"/>
      <c r="G34" s="490"/>
      <c r="H34" s="492"/>
      <c r="I34" s="490"/>
      <c r="J34" s="490"/>
      <c r="K34" s="490"/>
      <c r="L34" s="490"/>
      <c r="M34" s="488"/>
      <c r="N34" s="490"/>
      <c r="O34" s="490"/>
      <c r="P34" s="490"/>
      <c r="Q34" s="490"/>
      <c r="R34" s="490"/>
      <c r="S34" s="490"/>
      <c r="T34" s="490"/>
      <c r="U34" s="490"/>
      <c r="V34" s="490"/>
      <c r="W34" s="490"/>
      <c r="X34" s="490"/>
      <c r="Y34" s="490"/>
      <c r="Z34" s="491"/>
      <c r="AB34" s="1654"/>
    </row>
    <row r="35" spans="1:28">
      <c r="A35" s="185" t="s">
        <v>939</v>
      </c>
      <c r="B35" s="492"/>
      <c r="C35" s="492"/>
      <c r="D35" s="492"/>
      <c r="E35" s="490"/>
      <c r="F35" s="495"/>
      <c r="G35" s="490"/>
      <c r="H35" s="492"/>
      <c r="I35" s="490"/>
      <c r="K35" s="490"/>
      <c r="L35" s="492"/>
      <c r="M35" s="488"/>
      <c r="N35" s="492"/>
      <c r="O35" s="490"/>
      <c r="P35" s="492"/>
      <c r="Q35" s="490"/>
      <c r="R35" s="492"/>
      <c r="S35" s="490"/>
      <c r="T35" s="492"/>
      <c r="U35" s="490"/>
      <c r="V35" s="492"/>
      <c r="W35" s="490"/>
      <c r="X35" s="492"/>
      <c r="Y35" s="490"/>
      <c r="Z35" s="491"/>
      <c r="AB35" s="1654"/>
    </row>
    <row r="36" spans="1:28">
      <c r="A36" s="349" t="s">
        <v>1488</v>
      </c>
      <c r="B36" s="492">
        <f>Z36</f>
        <v>0</v>
      </c>
      <c r="C36" s="492"/>
      <c r="D36" s="614"/>
      <c r="E36" s="490"/>
      <c r="F36" s="495"/>
      <c r="G36" s="490"/>
      <c r="H36" s="492"/>
      <c r="I36" s="490"/>
      <c r="J36" s="490"/>
      <c r="K36" s="490"/>
      <c r="L36" s="492"/>
      <c r="M36" s="488"/>
      <c r="N36" s="492"/>
      <c r="O36" s="490"/>
      <c r="P36" s="492"/>
      <c r="Q36" s="490"/>
      <c r="R36" s="492"/>
      <c r="S36" s="490"/>
      <c r="T36" s="492"/>
      <c r="U36" s="490"/>
      <c r="V36" s="492"/>
      <c r="W36" s="490"/>
      <c r="X36" s="492"/>
      <c r="Y36" s="490"/>
      <c r="Z36" s="831">
        <v>0</v>
      </c>
      <c r="AB36" s="1654"/>
    </row>
    <row r="37" spans="1:28">
      <c r="A37" s="349" t="s">
        <v>940</v>
      </c>
      <c r="B37" s="492">
        <f t="shared" ref="B37:B42" si="2">Z37</f>
        <v>0</v>
      </c>
      <c r="C37" s="492"/>
      <c r="D37" s="490"/>
      <c r="E37" s="490"/>
      <c r="F37" s="495"/>
      <c r="G37" s="490"/>
      <c r="H37" s="492"/>
      <c r="I37" s="490"/>
      <c r="J37" s="490"/>
      <c r="K37" s="490"/>
      <c r="L37" s="492"/>
      <c r="M37" s="488"/>
      <c r="N37" s="492"/>
      <c r="O37" s="490"/>
      <c r="P37" s="492"/>
      <c r="Q37" s="490"/>
      <c r="R37" s="492"/>
      <c r="S37" s="490"/>
      <c r="T37" s="492"/>
      <c r="U37" s="490"/>
      <c r="V37" s="492"/>
      <c r="W37" s="490"/>
      <c r="X37" s="492"/>
      <c r="Y37" s="490"/>
      <c r="Z37" s="490">
        <v>0</v>
      </c>
      <c r="AB37" s="1654"/>
    </row>
    <row r="38" spans="1:28">
      <c r="A38" s="349" t="s">
        <v>941</v>
      </c>
      <c r="B38" s="492">
        <f t="shared" si="2"/>
        <v>0</v>
      </c>
      <c r="C38" s="492"/>
      <c r="D38" s="490"/>
      <c r="E38" s="490"/>
      <c r="F38" s="495"/>
      <c r="G38" s="490"/>
      <c r="H38" s="492"/>
      <c r="I38" s="490"/>
      <c r="J38" s="490"/>
      <c r="K38" s="490"/>
      <c r="L38" s="492"/>
      <c r="M38" s="488"/>
      <c r="N38" s="492"/>
      <c r="O38" s="490"/>
      <c r="P38" s="492"/>
      <c r="Q38" s="490"/>
      <c r="R38" s="492"/>
      <c r="S38" s="490"/>
      <c r="T38" s="492"/>
      <c r="U38" s="490"/>
      <c r="V38" s="492"/>
      <c r="W38" s="490"/>
      <c r="X38" s="492"/>
      <c r="Y38" s="490"/>
      <c r="Z38" s="490">
        <v>0</v>
      </c>
      <c r="AB38" s="1654"/>
    </row>
    <row r="39" spans="1:28">
      <c r="A39" s="349" t="s">
        <v>942</v>
      </c>
      <c r="B39" s="492" t="str">
        <f t="shared" si="2"/>
        <v xml:space="preserve"> </v>
      </c>
      <c r="C39" s="600"/>
      <c r="D39" s="490"/>
      <c r="E39" s="600"/>
      <c r="F39" s="495"/>
      <c r="G39" s="600"/>
      <c r="H39" s="492"/>
      <c r="I39" s="600"/>
      <c r="K39" s="600"/>
      <c r="L39" s="492"/>
      <c r="M39" s="488"/>
      <c r="N39" s="492"/>
      <c r="O39" s="600"/>
      <c r="P39" s="492"/>
      <c r="Q39" s="600"/>
      <c r="R39" s="492"/>
      <c r="S39" s="600"/>
      <c r="T39" s="492"/>
      <c r="U39" s="600"/>
      <c r="V39" s="492"/>
      <c r="W39" s="600"/>
      <c r="X39" s="492"/>
      <c r="Y39" s="600"/>
      <c r="Z39" s="600" t="s">
        <v>103</v>
      </c>
      <c r="AB39" s="1654"/>
    </row>
    <row r="40" spans="1:28">
      <c r="A40" s="349" t="s">
        <v>943</v>
      </c>
      <c r="B40" s="492">
        <f t="shared" si="2"/>
        <v>0</v>
      </c>
      <c r="C40" s="492"/>
      <c r="D40" s="490"/>
      <c r="E40" s="490"/>
      <c r="F40" s="495"/>
      <c r="G40" s="490"/>
      <c r="H40" s="492"/>
      <c r="I40" s="490"/>
      <c r="J40" s="490"/>
      <c r="K40" s="490"/>
      <c r="L40" s="492"/>
      <c r="M40" s="488"/>
      <c r="N40" s="492"/>
      <c r="O40" s="490"/>
      <c r="P40" s="492"/>
      <c r="Q40" s="490"/>
      <c r="R40" s="492"/>
      <c r="S40" s="490"/>
      <c r="T40" s="492"/>
      <c r="U40" s="490"/>
      <c r="V40" s="492"/>
      <c r="W40" s="490"/>
      <c r="X40" s="492"/>
      <c r="Y40" s="490"/>
      <c r="Z40" s="490">
        <v>0</v>
      </c>
      <c r="AB40" s="1654"/>
    </row>
    <row r="41" spans="1:28">
      <c r="A41" s="349" t="s">
        <v>944</v>
      </c>
      <c r="B41" s="492">
        <f t="shared" si="2"/>
        <v>0</v>
      </c>
      <c r="C41" s="492"/>
      <c r="D41" s="490"/>
      <c r="E41" s="490"/>
      <c r="F41" s="495"/>
      <c r="G41" s="490"/>
      <c r="H41" s="492"/>
      <c r="I41" s="490"/>
      <c r="J41" s="490"/>
      <c r="K41" s="490"/>
      <c r="L41" s="492"/>
      <c r="M41" s="488"/>
      <c r="N41" s="492"/>
      <c r="O41" s="490"/>
      <c r="P41" s="492"/>
      <c r="Q41" s="490"/>
      <c r="R41" s="492"/>
      <c r="S41" s="490"/>
      <c r="T41" s="492"/>
      <c r="U41" s="490"/>
      <c r="V41" s="492"/>
      <c r="W41" s="490"/>
      <c r="X41" s="492"/>
      <c r="Y41" s="490"/>
      <c r="Z41" s="490">
        <v>0</v>
      </c>
      <c r="AB41" s="1654"/>
    </row>
    <row r="42" spans="1:28">
      <c r="A42" s="349" t="s">
        <v>945</v>
      </c>
      <c r="B42" s="492">
        <f t="shared" si="2"/>
        <v>3321324</v>
      </c>
      <c r="C42" s="492"/>
      <c r="D42" s="490"/>
      <c r="E42" s="490"/>
      <c r="F42" s="495"/>
      <c r="G42" s="490"/>
      <c r="H42" s="492"/>
      <c r="I42" s="490"/>
      <c r="J42" s="490"/>
      <c r="K42" s="490"/>
      <c r="L42" s="492"/>
      <c r="M42" s="488"/>
      <c r="N42" s="492"/>
      <c r="O42" s="490"/>
      <c r="P42" s="492"/>
      <c r="Q42" s="490"/>
      <c r="R42" s="492"/>
      <c r="S42" s="490"/>
      <c r="T42" s="492"/>
      <c r="U42" s="490"/>
      <c r="V42" s="492"/>
      <c r="W42" s="490"/>
      <c r="X42" s="492"/>
      <c r="Y42" s="490"/>
      <c r="Z42" s="490">
        <v>3321324</v>
      </c>
      <c r="AB42" s="1654"/>
    </row>
    <row r="43" spans="1:28">
      <c r="A43" s="183" t="s">
        <v>946</v>
      </c>
      <c r="B43" s="601">
        <f>ROUND(SUM(B36:B42),0)</f>
        <v>3321324</v>
      </c>
      <c r="C43" s="492"/>
      <c r="D43" s="601">
        <f>ROUND(SUM(D36:D42),0)</f>
        <v>0</v>
      </c>
      <c r="E43" s="490"/>
      <c r="F43" s="601">
        <f>ROUND(SUM(F36:F42),0)</f>
        <v>0</v>
      </c>
      <c r="G43" s="490"/>
      <c r="H43" s="601">
        <f>ROUND(SUM(H36:H42),0)</f>
        <v>0</v>
      </c>
      <c r="I43" s="490"/>
      <c r="J43" s="601">
        <f>ROUND(SUM(J36:J42),0)</f>
        <v>0</v>
      </c>
      <c r="K43" s="490"/>
      <c r="L43" s="601">
        <f>ROUND(SUM(L36:L42),0)</f>
        <v>0</v>
      </c>
      <c r="M43" s="488"/>
      <c r="N43" s="601">
        <f>ROUND(SUM(N36:N42),0)</f>
        <v>0</v>
      </c>
      <c r="O43" s="490"/>
      <c r="P43" s="601">
        <f>ROUND(SUM(P36:P42),0)</f>
        <v>0</v>
      </c>
      <c r="Q43" s="490"/>
      <c r="R43" s="601">
        <f>ROUND(SUM(R36:R42),0)</f>
        <v>0</v>
      </c>
      <c r="S43" s="490"/>
      <c r="T43" s="601">
        <f>ROUND(SUM(T36:T42),0)</f>
        <v>0</v>
      </c>
      <c r="U43" s="490"/>
      <c r="V43" s="601">
        <f>ROUND(SUM(V36:V42),0)</f>
        <v>0</v>
      </c>
      <c r="W43" s="490"/>
      <c r="X43" s="601">
        <f>ROUND(SUM(X36:X42),0)</f>
        <v>0</v>
      </c>
      <c r="Y43" s="490"/>
      <c r="Z43" s="601">
        <f>ROUND(SUM(Z36:Z42),0)</f>
        <v>3321324</v>
      </c>
      <c r="AB43" s="1654"/>
    </row>
    <row r="44" spans="1:28">
      <c r="B44" s="615"/>
      <c r="C44" s="492"/>
      <c r="D44" s="615"/>
      <c r="E44" s="490"/>
      <c r="F44" s="1174"/>
      <c r="G44" s="490"/>
      <c r="H44" s="1174"/>
      <c r="I44" s="490"/>
      <c r="J44" s="615"/>
      <c r="K44" s="490"/>
      <c r="L44" s="615"/>
      <c r="M44" s="488"/>
      <c r="N44" s="615"/>
      <c r="O44" s="490"/>
      <c r="P44" s="615"/>
      <c r="Q44" s="490"/>
      <c r="R44" s="615"/>
      <c r="S44" s="490"/>
      <c r="T44" s="615"/>
      <c r="U44" s="490"/>
      <c r="V44" s="615"/>
      <c r="W44" s="490"/>
      <c r="X44" s="615"/>
      <c r="Y44" s="490"/>
      <c r="Z44" s="1087"/>
      <c r="AB44" s="1654"/>
    </row>
    <row r="45" spans="1:28" s="182" customFormat="1">
      <c r="A45" s="183" t="s">
        <v>947</v>
      </c>
      <c r="B45" s="1088">
        <f>ROUND(B33-B43,0)</f>
        <v>430845200</v>
      </c>
      <c r="C45" s="184"/>
      <c r="D45" s="1088">
        <f>ROUND(D33-D43,0)</f>
        <v>0</v>
      </c>
      <c r="E45" s="184"/>
      <c r="F45" s="1088">
        <f>ROUND(F33-F43,0)</f>
        <v>0</v>
      </c>
      <c r="G45" s="184"/>
      <c r="H45" s="1088">
        <f>ROUND(H33-H43,0)</f>
        <v>0</v>
      </c>
      <c r="I45" s="184"/>
      <c r="J45" s="1088">
        <f>ROUND(J33-J43,0)</f>
        <v>0</v>
      </c>
      <c r="K45" s="184"/>
      <c r="L45" s="1088">
        <f>ROUND(L33-L43,0)</f>
        <v>0</v>
      </c>
      <c r="M45" s="179"/>
      <c r="N45" s="1088">
        <f>ROUND(N33-N43,0)</f>
        <v>0</v>
      </c>
      <c r="O45" s="184"/>
      <c r="P45" s="1088">
        <f>ROUND(P33-P43,0)</f>
        <v>0</v>
      </c>
      <c r="Q45" s="184"/>
      <c r="R45" s="1088">
        <f>ROUND(R33-R43,0)</f>
        <v>0</v>
      </c>
      <c r="S45" s="184"/>
      <c r="T45" s="1088">
        <f>ROUND(T33-T43,0)</f>
        <v>0</v>
      </c>
      <c r="U45" s="184"/>
      <c r="V45" s="1088">
        <f>ROUND(V33-V43,0)</f>
        <v>0</v>
      </c>
      <c r="W45" s="184"/>
      <c r="X45" s="1088">
        <f>ROUND(X33-X43,0)</f>
        <v>0</v>
      </c>
      <c r="Y45" s="184"/>
      <c r="Z45" s="1088">
        <f>ROUND(Z33-Z43,0)</f>
        <v>430845200</v>
      </c>
      <c r="AA45" s="882"/>
      <c r="AB45" s="1655"/>
    </row>
    <row r="46" spans="1:28">
      <c r="A46" s="487"/>
      <c r="B46" s="488"/>
      <c r="C46" s="488"/>
      <c r="D46" s="488"/>
      <c r="E46" s="488"/>
      <c r="F46" s="488"/>
      <c r="G46" s="488"/>
      <c r="H46" s="488"/>
      <c r="I46" s="488"/>
      <c r="J46" s="488"/>
      <c r="K46" s="488"/>
      <c r="L46" s="488"/>
      <c r="M46" s="488"/>
      <c r="N46" s="488"/>
      <c r="O46" s="488"/>
      <c r="P46" s="488"/>
      <c r="Q46" s="488"/>
      <c r="R46" s="488"/>
      <c r="S46" s="488"/>
      <c r="T46" s="488"/>
      <c r="U46" s="488"/>
      <c r="V46" s="488"/>
      <c r="W46" s="488"/>
      <c r="X46" s="488"/>
      <c r="Y46" s="488"/>
      <c r="Z46" s="602"/>
      <c r="AB46" s="1654"/>
    </row>
    <row r="47" spans="1:28" s="182" customFormat="1" ht="16" thickBot="1">
      <c r="A47" s="185" t="s">
        <v>948</v>
      </c>
      <c r="B47" s="820">
        <f>ROUND(B12+B25-B45,0)</f>
        <v>639929644</v>
      </c>
      <c r="C47" s="181"/>
      <c r="D47" s="820">
        <f>ROUND(D12+D25-D45,0)</f>
        <v>0</v>
      </c>
      <c r="E47" s="486"/>
      <c r="F47" s="820">
        <f>ROUND(F12+F25-F45,0)</f>
        <v>0</v>
      </c>
      <c r="G47" s="486"/>
      <c r="H47" s="820">
        <f>ROUND(H12+H25-H45,0)</f>
        <v>0</v>
      </c>
      <c r="I47" s="486"/>
      <c r="J47" s="820">
        <f>ROUND(J12+J25-J45,0)</f>
        <v>0</v>
      </c>
      <c r="K47" s="181"/>
      <c r="L47" s="820">
        <f>ROUND(L12+L25-L45,0)</f>
        <v>0</v>
      </c>
      <c r="M47" s="179"/>
      <c r="N47" s="820">
        <f>ROUND(N12+N25-N45,0)</f>
        <v>0</v>
      </c>
      <c r="O47" s="181"/>
      <c r="P47" s="820">
        <f>ROUND(P12+P25-P45,0)</f>
        <v>0</v>
      </c>
      <c r="Q47" s="181"/>
      <c r="R47" s="820">
        <f>ROUND(R12+R25-R45,0)</f>
        <v>0</v>
      </c>
      <c r="S47" s="181"/>
      <c r="T47" s="820">
        <f>ROUND(T12+T25-T45,0)</f>
        <v>0</v>
      </c>
      <c r="U47" s="181"/>
      <c r="V47" s="820">
        <f>ROUND(V12+V25-V45,0)</f>
        <v>0</v>
      </c>
      <c r="W47" s="181"/>
      <c r="X47" s="820">
        <f>ROUND(X12+X25-X45,0)</f>
        <v>0</v>
      </c>
      <c r="Y47" s="181"/>
      <c r="Z47" s="820">
        <f>ROUND(Z12+Z25-Z45,0)</f>
        <v>639929644</v>
      </c>
      <c r="AA47" s="882"/>
      <c r="AB47" s="1654"/>
    </row>
    <row r="48" spans="1:28" ht="16" thickTop="1">
      <c r="A48" s="487"/>
      <c r="B48" s="484"/>
      <c r="C48" s="484"/>
      <c r="D48" s="484"/>
      <c r="E48" s="485"/>
      <c r="G48" s="485"/>
      <c r="H48" s="484"/>
      <c r="I48" s="485"/>
      <c r="J48" s="484"/>
      <c r="K48" s="484"/>
      <c r="L48" s="484"/>
      <c r="M48" s="485"/>
      <c r="N48" s="484"/>
      <c r="O48" s="485"/>
      <c r="P48" s="484"/>
      <c r="Q48" s="485"/>
      <c r="R48" s="484"/>
      <c r="S48" s="485"/>
      <c r="T48" s="484"/>
      <c r="U48" s="485"/>
      <c r="V48" s="484"/>
      <c r="W48" s="485"/>
      <c r="X48" s="484"/>
      <c r="Y48" s="485"/>
      <c r="Z48" s="602"/>
    </row>
    <row r="49" spans="1:26">
      <c r="A49" s="186"/>
      <c r="B49" s="484"/>
      <c r="C49" s="484"/>
      <c r="D49" s="484"/>
      <c r="E49" s="485"/>
      <c r="F49" s="484"/>
      <c r="G49" s="485"/>
      <c r="H49" s="484"/>
      <c r="I49" s="485"/>
      <c r="J49" s="484"/>
      <c r="K49" s="484"/>
      <c r="L49" s="484"/>
      <c r="M49" s="485"/>
      <c r="N49" s="484"/>
      <c r="O49" s="485"/>
      <c r="P49" s="484"/>
      <c r="Q49" s="485"/>
      <c r="R49" s="484"/>
      <c r="S49" s="485"/>
      <c r="T49" s="484"/>
      <c r="U49" s="485"/>
      <c r="V49" s="484"/>
      <c r="W49" s="485"/>
      <c r="X49" s="484"/>
      <c r="Y49" s="485"/>
      <c r="Z49" s="182"/>
    </row>
    <row r="50" spans="1:26">
      <c r="Z50" s="606" t="s">
        <v>103</v>
      </c>
    </row>
    <row r="51" spans="1:26" ht="17.5">
      <c r="A51" s="603"/>
      <c r="B51" s="480"/>
      <c r="C51" s="480"/>
      <c r="D51" s="480"/>
      <c r="E51" s="166"/>
      <c r="F51" s="480"/>
      <c r="G51" s="166"/>
      <c r="H51" s="480"/>
      <c r="I51" s="166"/>
      <c r="J51" s="480"/>
      <c r="K51" s="480"/>
      <c r="L51" s="480"/>
      <c r="M51" s="485"/>
      <c r="N51" s="480"/>
      <c r="O51" s="166"/>
      <c r="P51" s="480"/>
      <c r="Q51" s="166"/>
      <c r="R51" s="480"/>
      <c r="S51" s="166"/>
      <c r="T51" s="480"/>
      <c r="U51" s="166"/>
      <c r="V51" s="480"/>
      <c r="W51" s="166"/>
      <c r="X51" s="480"/>
      <c r="Y51" s="166"/>
      <c r="Z51" s="598" t="s">
        <v>103</v>
      </c>
    </row>
    <row r="52" spans="1:26">
      <c r="A52" s="483"/>
      <c r="B52" s="484"/>
      <c r="C52" s="484"/>
      <c r="D52" s="484"/>
      <c r="E52" s="485"/>
      <c r="F52" s="484"/>
      <c r="G52" s="485"/>
      <c r="H52" s="484"/>
      <c r="I52" s="485"/>
      <c r="J52" s="484"/>
      <c r="K52" s="484"/>
      <c r="L52" s="484"/>
      <c r="M52" s="485"/>
      <c r="N52" s="484"/>
      <c r="O52" s="485"/>
      <c r="P52" s="484"/>
      <c r="Q52" s="485"/>
      <c r="R52" s="484"/>
      <c r="S52" s="485"/>
      <c r="T52" s="484"/>
      <c r="U52" s="485"/>
      <c r="V52" s="484"/>
      <c r="W52" s="485"/>
      <c r="X52" s="484"/>
      <c r="Y52" s="485"/>
      <c r="Z52" s="599" t="s">
        <v>103</v>
      </c>
    </row>
    <row r="53" spans="1:26">
      <c r="A53" s="483"/>
      <c r="B53" s="484"/>
      <c r="C53" s="484"/>
      <c r="D53" s="484"/>
      <c r="E53" s="485"/>
      <c r="F53" s="484"/>
      <c r="G53" s="485"/>
      <c r="H53" s="484"/>
      <c r="I53" s="485"/>
      <c r="J53" s="484"/>
      <c r="K53" s="484"/>
      <c r="L53" s="484"/>
      <c r="M53" s="485"/>
      <c r="N53" s="484"/>
      <c r="O53" s="485"/>
      <c r="P53" s="484"/>
      <c r="Q53" s="485"/>
      <c r="R53" s="484"/>
      <c r="S53" s="485"/>
      <c r="T53" s="484"/>
      <c r="U53" s="485"/>
      <c r="V53" s="484"/>
      <c r="W53" s="485"/>
      <c r="X53" s="484"/>
      <c r="Y53" s="485"/>
      <c r="Z53" s="599" t="s">
        <v>103</v>
      </c>
    </row>
    <row r="54" spans="1:26">
      <c r="A54" s="163"/>
      <c r="B54" s="165"/>
      <c r="C54" s="165"/>
      <c r="D54" s="165"/>
      <c r="E54" s="166"/>
      <c r="F54" s="165"/>
      <c r="G54" s="166"/>
      <c r="H54" s="165"/>
      <c r="I54" s="166"/>
      <c r="J54" s="165"/>
      <c r="K54" s="165"/>
      <c r="L54" s="165"/>
      <c r="M54" s="166"/>
      <c r="N54" s="165"/>
      <c r="O54" s="166"/>
      <c r="P54" s="165"/>
      <c r="Q54" s="166"/>
      <c r="R54" s="165"/>
      <c r="S54" s="166"/>
      <c r="T54" s="165"/>
      <c r="U54" s="166"/>
      <c r="V54" s="165"/>
      <c r="W54" s="166"/>
      <c r="X54" s="165"/>
      <c r="Y54" s="166"/>
      <c r="Z54" s="604" t="s">
        <v>103</v>
      </c>
    </row>
    <row r="55" spans="1:26">
      <c r="A55" s="163"/>
      <c r="B55" s="165"/>
      <c r="C55" s="165"/>
      <c r="D55" s="165"/>
      <c r="E55" s="166"/>
      <c r="F55" s="165"/>
      <c r="G55" s="166"/>
      <c r="H55" s="165"/>
      <c r="I55" s="166"/>
      <c r="J55" s="165"/>
      <c r="K55" s="165"/>
      <c r="L55" s="165"/>
      <c r="M55" s="166"/>
      <c r="N55" s="165"/>
      <c r="O55" s="166"/>
      <c r="P55" s="165"/>
      <c r="Q55" s="166"/>
      <c r="R55" s="165"/>
      <c r="S55" s="166"/>
      <c r="T55" s="165"/>
      <c r="U55" s="166"/>
      <c r="V55" s="165"/>
      <c r="W55" s="166"/>
      <c r="X55" s="165"/>
      <c r="Y55" s="166"/>
      <c r="Z55" s="604"/>
    </row>
    <row r="56" spans="1:26">
      <c r="A56" s="163"/>
      <c r="B56" s="165"/>
      <c r="C56" s="165"/>
      <c r="D56" s="165"/>
      <c r="E56" s="166"/>
      <c r="F56" s="165"/>
      <c r="G56" s="166"/>
      <c r="H56" s="165"/>
      <c r="I56" s="166"/>
      <c r="J56" s="165"/>
      <c r="K56" s="165"/>
      <c r="L56" s="165"/>
      <c r="M56" s="166"/>
      <c r="N56" s="165"/>
      <c r="O56" s="166"/>
      <c r="P56" s="165"/>
      <c r="Q56" s="166"/>
      <c r="R56" s="165"/>
      <c r="S56" s="166"/>
      <c r="T56" s="165"/>
      <c r="U56" s="166"/>
      <c r="V56" s="165"/>
      <c r="W56" s="166"/>
      <c r="X56" s="165"/>
      <c r="Y56" s="166"/>
      <c r="Z56" s="604"/>
    </row>
    <row r="57" spans="1:26">
      <c r="A57" s="163"/>
      <c r="B57" s="165"/>
      <c r="C57" s="165"/>
      <c r="D57" s="165"/>
      <c r="E57" s="166"/>
      <c r="F57" s="165"/>
      <c r="G57" s="166"/>
      <c r="H57" s="165"/>
      <c r="I57" s="166"/>
      <c r="J57" s="165"/>
      <c r="K57" s="165"/>
      <c r="L57" s="165"/>
      <c r="M57" s="166"/>
      <c r="N57" s="165"/>
      <c r="O57" s="166"/>
      <c r="P57" s="165"/>
      <c r="Q57" s="166"/>
      <c r="R57" s="165"/>
      <c r="S57" s="166"/>
      <c r="T57" s="165"/>
      <c r="U57" s="166"/>
      <c r="V57" s="165"/>
      <c r="W57" s="166"/>
      <c r="X57" s="165"/>
      <c r="Y57" s="166"/>
      <c r="Z57" s="604"/>
    </row>
    <row r="58" spans="1:26">
      <c r="A58" s="163"/>
      <c r="B58" s="165"/>
      <c r="C58" s="165"/>
      <c r="D58" s="165"/>
      <c r="E58" s="166"/>
      <c r="F58" s="165"/>
      <c r="G58" s="166"/>
      <c r="H58" s="165"/>
      <c r="I58" s="166"/>
      <c r="J58" s="165"/>
      <c r="K58" s="165"/>
      <c r="L58" s="165"/>
      <c r="M58" s="166"/>
      <c r="N58" s="165"/>
      <c r="O58" s="166"/>
      <c r="P58" s="165"/>
      <c r="Q58" s="166"/>
      <c r="R58" s="165"/>
      <c r="S58" s="166"/>
      <c r="T58" s="165"/>
      <c r="U58" s="166"/>
      <c r="V58" s="165"/>
      <c r="W58" s="166"/>
      <c r="X58" s="165"/>
      <c r="Y58" s="166"/>
      <c r="Z58" s="604"/>
    </row>
    <row r="59" spans="1:26">
      <c r="A59" s="163"/>
      <c r="B59" s="165"/>
      <c r="C59" s="165"/>
      <c r="D59" s="165"/>
      <c r="E59" s="166"/>
      <c r="F59" s="165"/>
      <c r="G59" s="166"/>
      <c r="H59" s="165"/>
      <c r="I59" s="166"/>
      <c r="J59" s="165"/>
      <c r="K59" s="165"/>
      <c r="L59" s="165"/>
      <c r="M59" s="166"/>
      <c r="N59" s="165"/>
      <c r="O59" s="166"/>
      <c r="P59" s="165"/>
      <c r="Q59" s="166"/>
      <c r="R59" s="165"/>
      <c r="S59" s="166"/>
      <c r="T59" s="165"/>
      <c r="U59" s="166"/>
      <c r="V59" s="165"/>
      <c r="W59" s="166"/>
      <c r="X59" s="165"/>
      <c r="Y59" s="166"/>
      <c r="Z59" s="604"/>
    </row>
    <row r="60" spans="1:26">
      <c r="A60" s="163"/>
      <c r="B60" s="165"/>
      <c r="C60" s="165"/>
      <c r="D60" s="165"/>
      <c r="E60" s="166"/>
      <c r="F60" s="165"/>
      <c r="G60" s="166"/>
      <c r="H60" s="165"/>
      <c r="I60" s="166"/>
      <c r="J60" s="165"/>
      <c r="K60" s="165"/>
      <c r="L60" s="165"/>
      <c r="M60" s="166"/>
      <c r="N60" s="165"/>
      <c r="O60" s="166"/>
      <c r="P60" s="165"/>
      <c r="Q60" s="166"/>
      <c r="R60" s="165"/>
      <c r="S60" s="166"/>
      <c r="T60" s="165"/>
      <c r="U60" s="166"/>
      <c r="V60" s="165"/>
      <c r="W60" s="166"/>
      <c r="X60" s="165"/>
      <c r="Y60" s="166"/>
      <c r="Z60" s="604"/>
    </row>
    <row r="61" spans="1:26">
      <c r="A61" s="163"/>
      <c r="B61" s="165"/>
      <c r="C61" s="165"/>
      <c r="D61" s="165"/>
      <c r="E61" s="166"/>
      <c r="F61" s="165"/>
      <c r="G61" s="166"/>
      <c r="H61" s="165"/>
      <c r="I61" s="166"/>
      <c r="J61" s="165"/>
      <c r="K61" s="165"/>
      <c r="L61" s="165"/>
      <c r="M61" s="166"/>
      <c r="N61" s="165"/>
      <c r="O61" s="166"/>
      <c r="P61" s="165"/>
      <c r="Q61" s="166"/>
      <c r="R61" s="165"/>
      <c r="S61" s="166"/>
      <c r="T61" s="165"/>
      <c r="U61" s="166"/>
      <c r="V61" s="165"/>
      <c r="W61" s="166"/>
      <c r="X61" s="165"/>
      <c r="Y61" s="166"/>
      <c r="Z61" s="604"/>
    </row>
    <row r="62" spans="1:26">
      <c r="A62" s="163"/>
      <c r="B62" s="165"/>
      <c r="C62" s="165"/>
      <c r="D62" s="165"/>
      <c r="E62" s="166"/>
      <c r="F62" s="165"/>
      <c r="G62" s="166"/>
      <c r="H62" s="165"/>
      <c r="I62" s="166"/>
      <c r="J62" s="165"/>
      <c r="K62" s="165"/>
      <c r="L62" s="165"/>
      <c r="M62" s="166"/>
      <c r="N62" s="165"/>
      <c r="O62" s="166"/>
      <c r="P62" s="165"/>
      <c r="Q62" s="166"/>
      <c r="R62" s="165"/>
      <c r="S62" s="166"/>
      <c r="T62" s="165"/>
      <c r="U62" s="166"/>
      <c r="V62" s="165"/>
      <c r="W62" s="166"/>
      <c r="X62" s="165"/>
      <c r="Y62" s="166"/>
      <c r="Z62" s="604"/>
    </row>
    <row r="63" spans="1:26">
      <c r="A63" s="163"/>
      <c r="B63" s="165"/>
      <c r="C63" s="165"/>
      <c r="D63" s="165"/>
      <c r="E63" s="166"/>
      <c r="F63" s="165"/>
      <c r="G63" s="166"/>
      <c r="H63" s="165"/>
      <c r="I63" s="166"/>
      <c r="J63" s="165"/>
      <c r="K63" s="165"/>
      <c r="L63" s="165"/>
      <c r="M63" s="166"/>
      <c r="N63" s="165"/>
      <c r="O63" s="166"/>
      <c r="P63" s="165"/>
      <c r="Q63" s="166"/>
      <c r="R63" s="165"/>
      <c r="S63" s="166"/>
      <c r="T63" s="165"/>
      <c r="U63" s="166"/>
      <c r="V63" s="165"/>
      <c r="W63" s="166"/>
      <c r="X63" s="165"/>
      <c r="Y63" s="166"/>
      <c r="Z63" s="604"/>
    </row>
    <row r="64" spans="1:26">
      <c r="A64" s="163"/>
      <c r="B64" s="165"/>
      <c r="C64" s="165"/>
      <c r="D64" s="165"/>
      <c r="E64" s="166"/>
      <c r="F64" s="165"/>
      <c r="G64" s="166"/>
      <c r="H64" s="165"/>
      <c r="I64" s="166"/>
      <c r="J64" s="165"/>
      <c r="K64" s="165"/>
      <c r="L64" s="165"/>
      <c r="M64" s="166"/>
      <c r="N64" s="165"/>
      <c r="O64" s="166"/>
      <c r="P64" s="165"/>
      <c r="Q64" s="166"/>
      <c r="R64" s="165"/>
      <c r="S64" s="166"/>
      <c r="T64" s="165"/>
      <c r="U64" s="166"/>
      <c r="V64" s="165"/>
      <c r="W64" s="166"/>
      <c r="X64" s="165"/>
      <c r="Y64" s="166"/>
      <c r="Z64" s="604"/>
    </row>
    <row r="65" spans="1:26">
      <c r="A65" s="163"/>
      <c r="B65" s="165"/>
      <c r="C65" s="165"/>
      <c r="D65" s="165"/>
      <c r="E65" s="166"/>
      <c r="F65" s="165"/>
      <c r="G65" s="166"/>
      <c r="H65" s="165"/>
      <c r="I65" s="166"/>
      <c r="J65" s="165"/>
      <c r="K65" s="165"/>
      <c r="L65" s="165"/>
      <c r="M65" s="166"/>
      <c r="N65" s="165"/>
      <c r="O65" s="166"/>
      <c r="P65" s="165"/>
      <c r="Q65" s="166"/>
      <c r="R65" s="165"/>
      <c r="S65" s="166"/>
      <c r="T65" s="165"/>
      <c r="U65" s="166"/>
      <c r="V65" s="165"/>
      <c r="W65" s="166"/>
      <c r="X65" s="165"/>
      <c r="Y65" s="166"/>
      <c r="Z65" s="604"/>
    </row>
    <row r="66" spans="1:26">
      <c r="A66" s="163"/>
      <c r="B66" s="165"/>
      <c r="C66" s="165"/>
      <c r="D66" s="165"/>
      <c r="E66" s="166"/>
      <c r="F66" s="165"/>
      <c r="G66" s="166"/>
      <c r="H66" s="165"/>
      <c r="I66" s="166"/>
      <c r="J66" s="165"/>
      <c r="K66" s="165"/>
      <c r="L66" s="165"/>
      <c r="M66" s="166"/>
      <c r="N66" s="165"/>
      <c r="O66" s="166"/>
      <c r="P66" s="165"/>
      <c r="Q66" s="166"/>
      <c r="R66" s="165"/>
      <c r="S66" s="166"/>
      <c r="T66" s="165"/>
      <c r="U66" s="166"/>
      <c r="V66" s="165"/>
      <c r="W66" s="166"/>
      <c r="X66" s="165"/>
      <c r="Y66" s="166"/>
      <c r="Z66" s="604"/>
    </row>
    <row r="67" spans="1:26">
      <c r="A67" s="163"/>
      <c r="B67" s="165"/>
      <c r="C67" s="165"/>
      <c r="D67" s="165"/>
      <c r="E67" s="166"/>
      <c r="F67" s="165"/>
      <c r="G67" s="166"/>
      <c r="H67" s="165"/>
      <c r="I67" s="166"/>
      <c r="J67" s="165"/>
      <c r="K67" s="165"/>
      <c r="L67" s="165"/>
      <c r="M67" s="166"/>
      <c r="N67" s="165"/>
      <c r="O67" s="166"/>
      <c r="P67" s="165"/>
      <c r="Q67" s="166"/>
      <c r="R67" s="165"/>
      <c r="S67" s="166"/>
      <c r="T67" s="165"/>
      <c r="U67" s="166"/>
      <c r="V67" s="165"/>
      <c r="W67" s="166"/>
      <c r="X67" s="165"/>
      <c r="Y67" s="166"/>
      <c r="Z67" s="604"/>
    </row>
    <row r="68" spans="1:26">
      <c r="A68" s="163"/>
      <c r="B68" s="165"/>
      <c r="C68" s="165"/>
      <c r="D68" s="165"/>
      <c r="E68" s="166"/>
      <c r="F68" s="165"/>
      <c r="G68" s="166"/>
      <c r="H68" s="165"/>
      <c r="I68" s="166"/>
      <c r="J68" s="165"/>
      <c r="K68" s="165"/>
      <c r="L68" s="165"/>
      <c r="M68" s="166"/>
      <c r="N68" s="165"/>
      <c r="O68" s="166"/>
      <c r="P68" s="165"/>
      <c r="Q68" s="166"/>
      <c r="R68" s="165"/>
      <c r="S68" s="166"/>
      <c r="T68" s="165"/>
      <c r="U68" s="166"/>
      <c r="V68" s="165"/>
      <c r="W68" s="166"/>
      <c r="X68" s="165"/>
      <c r="Y68" s="166"/>
      <c r="Z68" s="604"/>
    </row>
    <row r="69" spans="1:26">
      <c r="A69" s="163"/>
      <c r="B69" s="165"/>
      <c r="C69" s="165"/>
      <c r="D69" s="165"/>
      <c r="E69" s="166"/>
      <c r="F69" s="165"/>
      <c r="G69" s="166"/>
      <c r="H69" s="165"/>
      <c r="I69" s="166"/>
      <c r="J69" s="165"/>
      <c r="K69" s="165"/>
      <c r="L69" s="165"/>
      <c r="M69" s="166"/>
      <c r="N69" s="165"/>
      <c r="O69" s="166"/>
      <c r="P69" s="165"/>
      <c r="Q69" s="166"/>
      <c r="R69" s="165"/>
      <c r="S69" s="166"/>
      <c r="T69" s="165"/>
      <c r="U69" s="166"/>
      <c r="V69" s="165"/>
      <c r="W69" s="166"/>
      <c r="X69" s="165"/>
      <c r="Y69" s="166"/>
      <c r="Z69" s="604"/>
    </row>
    <row r="70" spans="1:26">
      <c r="A70" s="163"/>
      <c r="B70" s="165"/>
      <c r="C70" s="165"/>
      <c r="D70" s="165"/>
      <c r="E70" s="166"/>
      <c r="F70" s="165"/>
      <c r="G70" s="166"/>
      <c r="H70" s="165"/>
      <c r="I70" s="166"/>
      <c r="J70" s="165"/>
      <c r="K70" s="165"/>
      <c r="L70" s="165"/>
      <c r="M70" s="166"/>
      <c r="N70" s="165"/>
      <c r="O70" s="166"/>
      <c r="P70" s="165"/>
      <c r="Q70" s="166"/>
      <c r="R70" s="165"/>
      <c r="S70" s="166"/>
      <c r="T70" s="165"/>
      <c r="U70" s="166"/>
      <c r="V70" s="165"/>
      <c r="W70" s="166"/>
      <c r="X70" s="165"/>
      <c r="Y70" s="166"/>
      <c r="Z70" s="604"/>
    </row>
    <row r="71" spans="1:26">
      <c r="A71" s="163"/>
      <c r="B71" s="165"/>
      <c r="C71" s="165"/>
      <c r="D71" s="165"/>
      <c r="E71" s="166"/>
      <c r="F71" s="165"/>
      <c r="G71" s="166"/>
      <c r="H71" s="165"/>
      <c r="I71" s="166"/>
      <c r="J71" s="165"/>
      <c r="K71" s="165"/>
      <c r="L71" s="165"/>
      <c r="M71" s="166"/>
      <c r="N71" s="165"/>
      <c r="O71" s="166"/>
      <c r="P71" s="165"/>
      <c r="Q71" s="166"/>
      <c r="R71" s="165"/>
      <c r="S71" s="166"/>
      <c r="T71" s="165"/>
      <c r="U71" s="166"/>
      <c r="V71" s="165"/>
      <c r="W71" s="166"/>
      <c r="X71" s="165"/>
      <c r="Y71" s="166"/>
      <c r="Z71" s="604"/>
    </row>
    <row r="72" spans="1:26">
      <c r="A72" s="163"/>
      <c r="B72" s="165"/>
      <c r="C72" s="165"/>
      <c r="D72" s="165"/>
      <c r="E72" s="166"/>
      <c r="F72" s="165"/>
      <c r="G72" s="166"/>
      <c r="H72" s="165"/>
      <c r="I72" s="166"/>
      <c r="J72" s="165"/>
      <c r="K72" s="165"/>
      <c r="L72" s="165"/>
      <c r="M72" s="166"/>
      <c r="N72" s="165"/>
      <c r="O72" s="166"/>
      <c r="P72" s="165"/>
      <c r="Q72" s="166"/>
      <c r="R72" s="165"/>
      <c r="S72" s="166"/>
      <c r="T72" s="165"/>
      <c r="U72" s="166"/>
      <c r="V72" s="165"/>
      <c r="W72" s="166"/>
      <c r="X72" s="165"/>
      <c r="Y72" s="166"/>
      <c r="Z72" s="604"/>
    </row>
    <row r="73" spans="1:26">
      <c r="A73" s="163"/>
      <c r="B73" s="165"/>
      <c r="C73" s="165"/>
      <c r="D73" s="165"/>
      <c r="E73" s="166"/>
      <c r="F73" s="165"/>
      <c r="G73" s="166"/>
      <c r="H73" s="165"/>
      <c r="I73" s="166"/>
      <c r="J73" s="165"/>
      <c r="K73" s="165"/>
      <c r="L73" s="165"/>
      <c r="M73" s="166"/>
      <c r="N73" s="165"/>
      <c r="O73" s="166"/>
      <c r="P73" s="165"/>
      <c r="Q73" s="166"/>
      <c r="R73" s="165"/>
      <c r="S73" s="166"/>
      <c r="T73" s="165"/>
      <c r="U73" s="166"/>
      <c r="V73" s="165"/>
      <c r="W73" s="166"/>
      <c r="X73" s="165"/>
      <c r="Y73" s="166"/>
      <c r="Z73" s="604"/>
    </row>
    <row r="74" spans="1:26">
      <c r="A74" s="163"/>
      <c r="B74" s="165"/>
      <c r="C74" s="165"/>
      <c r="D74" s="165"/>
      <c r="E74" s="166"/>
      <c r="F74" s="165"/>
      <c r="G74" s="166"/>
      <c r="H74" s="165"/>
      <c r="I74" s="166"/>
      <c r="J74" s="165"/>
      <c r="K74" s="165"/>
      <c r="L74" s="165"/>
      <c r="M74" s="166"/>
      <c r="N74" s="165"/>
      <c r="O74" s="166"/>
      <c r="P74" s="165"/>
      <c r="Q74" s="166"/>
      <c r="R74" s="165"/>
      <c r="S74" s="166"/>
      <c r="T74" s="165"/>
      <c r="U74" s="166"/>
      <c r="V74" s="165"/>
      <c r="W74" s="166"/>
      <c r="X74" s="165"/>
      <c r="Y74" s="166"/>
      <c r="Z74" s="604"/>
    </row>
    <row r="75" spans="1:26">
      <c r="A75" s="163"/>
      <c r="B75" s="165"/>
      <c r="C75" s="165"/>
      <c r="D75" s="165"/>
      <c r="E75" s="166"/>
      <c r="F75" s="165"/>
      <c r="G75" s="166"/>
      <c r="H75" s="165"/>
      <c r="I75" s="166"/>
      <c r="J75" s="165"/>
      <c r="K75" s="165"/>
      <c r="L75" s="165"/>
      <c r="M75" s="166"/>
      <c r="N75" s="165"/>
      <c r="O75" s="166"/>
      <c r="P75" s="165"/>
      <c r="Q75" s="166"/>
      <c r="R75" s="165"/>
      <c r="S75" s="166"/>
      <c r="T75" s="165"/>
      <c r="U75" s="166"/>
      <c r="V75" s="165"/>
      <c r="W75" s="166"/>
      <c r="X75" s="165"/>
      <c r="Y75" s="166"/>
      <c r="Z75" s="604"/>
    </row>
    <row r="76" spans="1:26">
      <c r="A76" s="163"/>
      <c r="B76" s="165"/>
      <c r="C76" s="165"/>
      <c r="D76" s="165"/>
      <c r="E76" s="166"/>
      <c r="F76" s="165"/>
      <c r="G76" s="166"/>
      <c r="H76" s="165"/>
      <c r="I76" s="166"/>
      <c r="J76" s="165"/>
      <c r="K76" s="165"/>
      <c r="L76" s="165"/>
      <c r="M76" s="166"/>
      <c r="N76" s="165"/>
      <c r="O76" s="166"/>
      <c r="P76" s="165"/>
      <c r="Q76" s="166"/>
      <c r="R76" s="165"/>
      <c r="S76" s="166"/>
      <c r="T76" s="165"/>
      <c r="U76" s="166"/>
      <c r="V76" s="165"/>
      <c r="W76" s="166"/>
      <c r="X76" s="165"/>
      <c r="Y76" s="166"/>
      <c r="Z76" s="604"/>
    </row>
    <row r="77" spans="1:26">
      <c r="A77" s="163"/>
      <c r="B77" s="165"/>
      <c r="C77" s="165"/>
      <c r="D77" s="165"/>
      <c r="E77" s="166"/>
      <c r="F77" s="165"/>
      <c r="G77" s="166"/>
      <c r="H77" s="165"/>
      <c r="I77" s="166"/>
      <c r="J77" s="165"/>
      <c r="K77" s="165"/>
      <c r="L77" s="165"/>
      <c r="M77" s="166"/>
      <c r="N77" s="165"/>
      <c r="O77" s="166"/>
      <c r="P77" s="165"/>
      <c r="Q77" s="166"/>
      <c r="R77" s="165"/>
      <c r="S77" s="166"/>
      <c r="T77" s="165"/>
      <c r="U77" s="166"/>
      <c r="V77" s="165"/>
      <c r="W77" s="166"/>
      <c r="X77" s="165"/>
      <c r="Y77" s="166"/>
      <c r="Z77" s="604"/>
    </row>
    <row r="78" spans="1:26">
      <c r="A78" s="163"/>
      <c r="B78" s="165"/>
      <c r="C78" s="165"/>
      <c r="D78" s="165"/>
      <c r="E78" s="166"/>
      <c r="F78" s="165"/>
      <c r="G78" s="166"/>
      <c r="H78" s="165"/>
      <c r="I78" s="166"/>
      <c r="J78" s="165"/>
      <c r="K78" s="165"/>
      <c r="L78" s="165"/>
      <c r="M78" s="166"/>
      <c r="N78" s="165"/>
      <c r="O78" s="166"/>
      <c r="P78" s="165"/>
      <c r="Q78" s="166"/>
      <c r="R78" s="165"/>
      <c r="S78" s="166"/>
      <c r="T78" s="165"/>
      <c r="U78" s="166"/>
      <c r="V78" s="165"/>
      <c r="W78" s="166"/>
      <c r="X78" s="165"/>
      <c r="Y78" s="166"/>
      <c r="Z78" s="604"/>
    </row>
    <row r="79" spans="1:26">
      <c r="A79" s="163"/>
      <c r="B79" s="165"/>
      <c r="C79" s="165"/>
      <c r="D79" s="165"/>
      <c r="E79" s="166"/>
      <c r="F79" s="165"/>
      <c r="G79" s="166"/>
      <c r="H79" s="165"/>
      <c r="I79" s="166"/>
      <c r="J79" s="165"/>
      <c r="K79" s="165"/>
      <c r="L79" s="165"/>
      <c r="M79" s="166"/>
      <c r="N79" s="165"/>
      <c r="O79" s="166"/>
      <c r="P79" s="165"/>
      <c r="Q79" s="166"/>
      <c r="R79" s="165"/>
      <c r="S79" s="166"/>
      <c r="T79" s="165"/>
      <c r="U79" s="166"/>
      <c r="V79" s="165"/>
      <c r="W79" s="166"/>
      <c r="X79" s="165"/>
      <c r="Y79" s="166"/>
      <c r="Z79" s="604"/>
    </row>
    <row r="80" spans="1:26">
      <c r="A80" s="163"/>
      <c r="B80" s="165"/>
      <c r="C80" s="165"/>
      <c r="D80" s="165"/>
      <c r="E80" s="166"/>
      <c r="F80" s="165"/>
      <c r="G80" s="166"/>
      <c r="H80" s="165"/>
      <c r="I80" s="166"/>
      <c r="J80" s="165"/>
      <c r="K80" s="165"/>
      <c r="L80" s="165"/>
      <c r="M80" s="166"/>
      <c r="N80" s="165"/>
      <c r="O80" s="166"/>
      <c r="P80" s="165"/>
      <c r="Q80" s="166"/>
      <c r="R80" s="165"/>
      <c r="S80" s="166"/>
      <c r="T80" s="165"/>
      <c r="U80" s="166"/>
      <c r="V80" s="165"/>
      <c r="W80" s="166"/>
      <c r="X80" s="165"/>
      <c r="Y80" s="166"/>
      <c r="Z80" s="604"/>
    </row>
    <row r="81" spans="1:26">
      <c r="A81" s="163"/>
      <c r="B81" s="165"/>
      <c r="C81" s="165"/>
      <c r="D81" s="165"/>
      <c r="E81" s="166"/>
      <c r="F81" s="165"/>
      <c r="G81" s="166"/>
      <c r="H81" s="165"/>
      <c r="I81" s="166"/>
      <c r="J81" s="165"/>
      <c r="K81" s="165"/>
      <c r="L81" s="165"/>
      <c r="M81" s="166"/>
      <c r="N81" s="165"/>
      <c r="O81" s="166"/>
      <c r="P81" s="165"/>
      <c r="Q81" s="166"/>
      <c r="R81" s="165"/>
      <c r="S81" s="166"/>
      <c r="T81" s="165"/>
      <c r="U81" s="166"/>
      <c r="V81" s="165"/>
      <c r="W81" s="166"/>
      <c r="X81" s="165"/>
      <c r="Y81" s="166"/>
      <c r="Z81" s="604"/>
    </row>
    <row r="82" spans="1:26">
      <c r="A82" s="163"/>
      <c r="B82" s="165"/>
      <c r="C82" s="165"/>
      <c r="D82" s="165"/>
      <c r="E82" s="166"/>
      <c r="F82" s="165"/>
      <c r="G82" s="166"/>
      <c r="H82" s="165"/>
      <c r="I82" s="166"/>
      <c r="J82" s="165"/>
      <c r="K82" s="165"/>
      <c r="L82" s="165"/>
      <c r="M82" s="166"/>
      <c r="N82" s="165"/>
      <c r="O82" s="166"/>
      <c r="P82" s="165"/>
      <c r="Q82" s="166"/>
      <c r="R82" s="165"/>
      <c r="S82" s="166"/>
      <c r="T82" s="165"/>
      <c r="U82" s="166"/>
      <c r="V82" s="165"/>
      <c r="W82" s="166"/>
      <c r="X82" s="165"/>
      <c r="Y82" s="166"/>
      <c r="Z82" s="604"/>
    </row>
    <row r="83" spans="1:26">
      <c r="A83" s="163"/>
      <c r="B83" s="165"/>
      <c r="C83" s="165"/>
      <c r="D83" s="165"/>
      <c r="E83" s="166"/>
      <c r="F83" s="165"/>
      <c r="G83" s="166"/>
      <c r="H83" s="165"/>
      <c r="I83" s="166"/>
      <c r="J83" s="165"/>
      <c r="K83" s="165"/>
      <c r="L83" s="165"/>
      <c r="M83" s="166"/>
      <c r="N83" s="165"/>
      <c r="O83" s="166"/>
      <c r="P83" s="165"/>
      <c r="Q83" s="166"/>
      <c r="R83" s="165"/>
      <c r="S83" s="166"/>
      <c r="T83" s="165"/>
      <c r="U83" s="166"/>
      <c r="V83" s="165"/>
      <c r="W83" s="166"/>
      <c r="X83" s="165"/>
      <c r="Y83" s="166"/>
      <c r="Z83" s="604"/>
    </row>
    <row r="84" spans="1:26">
      <c r="A84" s="163"/>
      <c r="B84" s="165"/>
      <c r="C84" s="165"/>
      <c r="D84" s="165"/>
      <c r="E84" s="166"/>
      <c r="F84" s="165"/>
      <c r="G84" s="166"/>
      <c r="H84" s="165"/>
      <c r="I84" s="166"/>
      <c r="J84" s="165"/>
      <c r="K84" s="165"/>
      <c r="L84" s="165"/>
      <c r="M84" s="166"/>
      <c r="N84" s="165"/>
      <c r="O84" s="166"/>
      <c r="P84" s="165"/>
      <c r="Q84" s="166"/>
      <c r="R84" s="165"/>
      <c r="S84" s="166"/>
      <c r="T84" s="165"/>
      <c r="U84" s="166"/>
      <c r="V84" s="165"/>
      <c r="W84" s="166"/>
      <c r="X84" s="165"/>
      <c r="Y84" s="166"/>
      <c r="Z84" s="604"/>
    </row>
    <row r="85" spans="1:26">
      <c r="A85" s="163"/>
      <c r="B85" s="165"/>
      <c r="C85" s="165"/>
      <c r="D85" s="165"/>
      <c r="E85" s="166"/>
      <c r="F85" s="165"/>
      <c r="G85" s="166"/>
      <c r="H85" s="165"/>
      <c r="I85" s="166"/>
      <c r="J85" s="165"/>
      <c r="K85" s="165"/>
      <c r="L85" s="165"/>
      <c r="M85" s="166"/>
      <c r="N85" s="165"/>
      <c r="O85" s="166"/>
      <c r="P85" s="165"/>
      <c r="Q85" s="166"/>
      <c r="R85" s="165"/>
      <c r="S85" s="166"/>
      <c r="T85" s="165"/>
      <c r="U85" s="166"/>
      <c r="V85" s="165"/>
      <c r="W85" s="166"/>
      <c r="X85" s="165"/>
      <c r="Y85" s="166"/>
      <c r="Z85" s="604"/>
    </row>
    <row r="86" spans="1:26">
      <c r="A86" s="163"/>
      <c r="B86" s="165"/>
      <c r="C86" s="165"/>
      <c r="D86" s="165"/>
      <c r="E86" s="166"/>
      <c r="F86" s="165"/>
      <c r="G86" s="166"/>
      <c r="H86" s="165"/>
      <c r="I86" s="166"/>
      <c r="J86" s="165"/>
      <c r="K86" s="165"/>
      <c r="L86" s="165"/>
      <c r="M86" s="166"/>
      <c r="N86" s="165"/>
      <c r="O86" s="166"/>
      <c r="P86" s="165"/>
      <c r="Q86" s="166"/>
      <c r="R86" s="165"/>
      <c r="S86" s="166"/>
      <c r="T86" s="165"/>
      <c r="U86" s="166"/>
      <c r="V86" s="165"/>
      <c r="W86" s="166"/>
      <c r="X86" s="165"/>
      <c r="Y86" s="166"/>
      <c r="Z86" s="604"/>
    </row>
    <row r="87" spans="1:26">
      <c r="A87" s="163"/>
      <c r="B87" s="165"/>
      <c r="C87" s="165"/>
      <c r="D87" s="165"/>
      <c r="E87" s="166"/>
      <c r="F87" s="165"/>
      <c r="G87" s="166"/>
      <c r="H87" s="165"/>
      <c r="I87" s="166"/>
      <c r="J87" s="165"/>
      <c r="K87" s="165"/>
      <c r="L87" s="165"/>
      <c r="M87" s="166"/>
      <c r="N87" s="165"/>
      <c r="O87" s="166"/>
      <c r="P87" s="165"/>
      <c r="Q87" s="166"/>
      <c r="R87" s="165"/>
      <c r="S87" s="166"/>
      <c r="T87" s="165"/>
      <c r="U87" s="166"/>
      <c r="V87" s="165"/>
      <c r="W87" s="166"/>
      <c r="X87" s="165"/>
      <c r="Y87" s="166"/>
      <c r="Z87" s="604"/>
    </row>
    <row r="88" spans="1:26">
      <c r="A88" s="163"/>
      <c r="B88" s="165"/>
      <c r="C88" s="165"/>
      <c r="D88" s="165"/>
      <c r="E88" s="166"/>
      <c r="F88" s="165"/>
      <c r="G88" s="166"/>
      <c r="H88" s="165"/>
      <c r="I88" s="166"/>
      <c r="J88" s="165"/>
      <c r="K88" s="165"/>
      <c r="L88" s="165"/>
      <c r="M88" s="166"/>
      <c r="N88" s="165"/>
      <c r="O88" s="166"/>
      <c r="P88" s="165"/>
      <c r="Q88" s="166"/>
      <c r="R88" s="165"/>
      <c r="S88" s="166"/>
      <c r="T88" s="165"/>
      <c r="U88" s="166"/>
      <c r="V88" s="165"/>
      <c r="W88" s="166"/>
      <c r="X88" s="165"/>
      <c r="Y88" s="166"/>
      <c r="Z88" s="604"/>
    </row>
    <row r="89" spans="1:26">
      <c r="A89" s="163"/>
      <c r="B89" s="165"/>
      <c r="C89" s="165"/>
      <c r="D89" s="165"/>
      <c r="E89" s="166"/>
      <c r="F89" s="165"/>
      <c r="G89" s="166"/>
      <c r="H89" s="165"/>
      <c r="I89" s="166"/>
      <c r="J89" s="165"/>
      <c r="K89" s="165"/>
      <c r="L89" s="165"/>
      <c r="M89" s="166"/>
      <c r="N89" s="165"/>
      <c r="O89" s="166"/>
      <c r="P89" s="165"/>
      <c r="Q89" s="166"/>
      <c r="R89" s="165"/>
      <c r="S89" s="166"/>
      <c r="T89" s="165"/>
      <c r="U89" s="166"/>
      <c r="V89" s="165"/>
      <c r="W89" s="166"/>
      <c r="X89" s="165"/>
      <c r="Y89" s="166"/>
      <c r="Z89" s="604"/>
    </row>
    <row r="90" spans="1:26">
      <c r="A90" s="163"/>
      <c r="B90" s="165"/>
      <c r="C90" s="165"/>
      <c r="D90" s="165"/>
      <c r="E90" s="166"/>
      <c r="F90" s="165"/>
      <c r="G90" s="166"/>
      <c r="H90" s="165"/>
      <c r="I90" s="166"/>
      <c r="J90" s="165"/>
      <c r="K90" s="165"/>
      <c r="L90" s="165"/>
      <c r="M90" s="166"/>
      <c r="N90" s="165"/>
      <c r="O90" s="166"/>
      <c r="P90" s="165"/>
      <c r="Q90" s="166"/>
      <c r="R90" s="165"/>
      <c r="S90" s="166"/>
      <c r="T90" s="165"/>
      <c r="U90" s="166"/>
      <c r="V90" s="165"/>
      <c r="W90" s="166"/>
      <c r="X90" s="165"/>
      <c r="Y90" s="166"/>
      <c r="Z90" s="604"/>
    </row>
    <row r="91" spans="1:26">
      <c r="A91" s="163"/>
      <c r="B91" s="165"/>
      <c r="C91" s="165"/>
      <c r="D91" s="165"/>
      <c r="E91" s="166"/>
      <c r="F91" s="165"/>
      <c r="G91" s="166"/>
      <c r="H91" s="165"/>
      <c r="I91" s="166"/>
      <c r="J91" s="165"/>
      <c r="K91" s="165"/>
      <c r="L91" s="165"/>
      <c r="M91" s="166"/>
      <c r="N91" s="165"/>
      <c r="O91" s="166"/>
      <c r="P91" s="165"/>
      <c r="Q91" s="166"/>
      <c r="R91" s="165"/>
      <c r="S91" s="166"/>
      <c r="T91" s="165"/>
      <c r="U91" s="166"/>
      <c r="V91" s="165"/>
      <c r="W91" s="166"/>
      <c r="X91" s="165"/>
      <c r="Y91" s="166"/>
      <c r="Z91" s="604"/>
    </row>
    <row r="92" spans="1:26">
      <c r="A92" s="163"/>
      <c r="B92" s="165"/>
      <c r="C92" s="165"/>
      <c r="D92" s="165"/>
      <c r="E92" s="166"/>
      <c r="F92" s="165"/>
      <c r="G92" s="166"/>
      <c r="H92" s="165"/>
      <c r="I92" s="166"/>
      <c r="J92" s="165"/>
      <c r="K92" s="165"/>
      <c r="L92" s="165"/>
      <c r="M92" s="166"/>
      <c r="N92" s="165"/>
      <c r="O92" s="166"/>
      <c r="P92" s="165"/>
      <c r="Q92" s="166"/>
      <c r="R92" s="165"/>
      <c r="S92" s="166"/>
      <c r="T92" s="165"/>
      <c r="U92" s="166"/>
      <c r="V92" s="165"/>
      <c r="W92" s="166"/>
      <c r="X92" s="165"/>
      <c r="Y92" s="166"/>
      <c r="Z92" s="604"/>
    </row>
    <row r="93" spans="1:26">
      <c r="A93" s="163"/>
      <c r="B93" s="165"/>
      <c r="C93" s="165"/>
      <c r="D93" s="165"/>
      <c r="E93" s="166"/>
      <c r="F93" s="165"/>
      <c r="G93" s="166"/>
      <c r="H93" s="165"/>
      <c r="I93" s="166"/>
      <c r="J93" s="165"/>
      <c r="K93" s="165"/>
      <c r="L93" s="165"/>
      <c r="M93" s="166"/>
      <c r="N93" s="165"/>
      <c r="O93" s="166"/>
      <c r="P93" s="165"/>
      <c r="Q93" s="166"/>
      <c r="R93" s="165"/>
      <c r="S93" s="166"/>
      <c r="T93" s="165"/>
      <c r="U93" s="166"/>
      <c r="V93" s="165"/>
      <c r="W93" s="166"/>
      <c r="X93" s="165"/>
      <c r="Y93" s="166"/>
      <c r="Z93" s="604"/>
    </row>
    <row r="94" spans="1:26">
      <c r="A94" s="163"/>
      <c r="B94" s="165"/>
      <c r="C94" s="165"/>
      <c r="D94" s="165"/>
      <c r="E94" s="166"/>
      <c r="F94" s="165"/>
      <c r="G94" s="166"/>
      <c r="H94" s="165"/>
      <c r="I94" s="166"/>
      <c r="J94" s="165"/>
      <c r="K94" s="165"/>
      <c r="L94" s="165"/>
      <c r="M94" s="166"/>
      <c r="N94" s="165"/>
      <c r="O94" s="166"/>
      <c r="P94" s="165"/>
      <c r="Q94" s="166"/>
      <c r="R94" s="165"/>
      <c r="S94" s="166"/>
      <c r="T94" s="165"/>
      <c r="U94" s="166"/>
      <c r="V94" s="165"/>
      <c r="W94" s="166"/>
      <c r="X94" s="165"/>
      <c r="Y94" s="166"/>
      <c r="Z94" s="604"/>
    </row>
    <row r="95" spans="1:26">
      <c r="A95" s="163"/>
      <c r="B95" s="165"/>
      <c r="C95" s="165"/>
      <c r="D95" s="165"/>
      <c r="E95" s="166"/>
      <c r="F95" s="165"/>
      <c r="G95" s="166"/>
      <c r="H95" s="165"/>
      <c r="I95" s="166"/>
      <c r="J95" s="165"/>
      <c r="K95" s="165"/>
      <c r="L95" s="165"/>
      <c r="M95" s="166"/>
      <c r="N95" s="165"/>
      <c r="O95" s="166"/>
      <c r="P95" s="165"/>
      <c r="Q95" s="166"/>
      <c r="R95" s="165"/>
      <c r="S95" s="166"/>
      <c r="T95" s="165"/>
      <c r="U95" s="166"/>
      <c r="V95" s="165"/>
      <c r="W95" s="166"/>
      <c r="X95" s="165"/>
      <c r="Y95" s="166"/>
      <c r="Z95" s="604"/>
    </row>
    <row r="96" spans="1:26">
      <c r="A96" s="163"/>
      <c r="B96" s="165"/>
      <c r="C96" s="165"/>
      <c r="D96" s="165"/>
      <c r="E96" s="166"/>
      <c r="F96" s="165"/>
      <c r="G96" s="166"/>
      <c r="H96" s="165"/>
      <c r="I96" s="166"/>
      <c r="J96" s="165"/>
      <c r="K96" s="165"/>
      <c r="L96" s="165"/>
      <c r="M96" s="166"/>
      <c r="N96" s="165"/>
      <c r="O96" s="166"/>
      <c r="P96" s="165"/>
      <c r="Q96" s="166"/>
      <c r="R96" s="165"/>
      <c r="S96" s="166"/>
      <c r="T96" s="165"/>
      <c r="U96" s="166"/>
      <c r="V96" s="165"/>
      <c r="W96" s="166"/>
      <c r="X96" s="165"/>
      <c r="Y96" s="166"/>
      <c r="Z96" s="604"/>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zoomScaleNormal="100" workbookViewId="0"/>
  </sheetViews>
  <sheetFormatPr defaultColWidth="8.84375" defaultRowHeight="12.5"/>
  <cols>
    <col min="1" max="1" width="54.84375" style="375" customWidth="1"/>
    <col min="2" max="2" width="22.07421875" style="375" customWidth="1"/>
    <col min="3" max="3" width="24.84375" style="375" customWidth="1"/>
    <col min="4" max="4" width="30.84375" style="375" customWidth="1"/>
    <col min="5" max="5" width="2" style="375" customWidth="1"/>
    <col min="6" max="6" width="13" style="661" bestFit="1" customWidth="1"/>
    <col min="7" max="16384" width="8.84375" style="375"/>
  </cols>
  <sheetData>
    <row r="1" spans="1:6">
      <c r="A1" s="842" t="s">
        <v>97</v>
      </c>
      <c r="B1" s="567"/>
      <c r="C1" s="567"/>
      <c r="D1" s="567"/>
      <c r="E1" s="376"/>
    </row>
    <row r="2" spans="1:6">
      <c r="A2" s="843"/>
      <c r="B2" s="567"/>
      <c r="C2" s="567"/>
      <c r="D2" s="547"/>
      <c r="E2" s="376"/>
    </row>
    <row r="3" spans="1:6" s="259" customFormat="1" ht="15.5">
      <c r="A3" s="261" t="s">
        <v>949</v>
      </c>
      <c r="B3" s="567"/>
      <c r="C3" s="567"/>
      <c r="D3" s="874" t="s">
        <v>950</v>
      </c>
      <c r="E3" s="831"/>
      <c r="F3" s="662"/>
    </row>
    <row r="4" spans="1:6" s="259" customFormat="1" ht="15.5">
      <c r="A4" s="261" t="s">
        <v>951</v>
      </c>
      <c r="B4" s="567"/>
      <c r="C4" s="567"/>
      <c r="D4" s="567"/>
      <c r="E4" s="831"/>
      <c r="F4" s="662"/>
    </row>
    <row r="5" spans="1:6" s="259" customFormat="1" ht="15.5">
      <c r="A5" s="261" t="s">
        <v>952</v>
      </c>
      <c r="B5" s="567"/>
      <c r="C5" s="567"/>
      <c r="D5" s="567"/>
      <c r="E5" s="831"/>
      <c r="F5" s="662"/>
    </row>
    <row r="6" spans="1:6" s="259" customFormat="1" ht="15.5">
      <c r="A6" s="558" t="str">
        <f>'HCRA '!A6</f>
        <v>FISCAL YEAR 2026-2027</v>
      </c>
      <c r="B6" s="567"/>
      <c r="C6" s="567"/>
      <c r="D6" s="567"/>
      <c r="E6" s="831"/>
      <c r="F6" s="662"/>
    </row>
    <row r="7" spans="1:6" ht="13">
      <c r="A7" s="558"/>
      <c r="B7" s="567"/>
      <c r="C7" s="567"/>
      <c r="D7" s="567"/>
      <c r="E7" s="376"/>
    </row>
    <row r="8" spans="1:6" ht="27" customHeight="1">
      <c r="A8" s="903" t="s">
        <v>953</v>
      </c>
      <c r="B8" s="903" t="s">
        <v>954</v>
      </c>
      <c r="C8" s="1658" t="str">
        <f>PROPER('Sch 5 '!E12)</f>
        <v>April</v>
      </c>
      <c r="D8" s="1272" t="str">
        <f>PROPER('Cashflow Governmental'!AB12)&amp; ", 2026"&amp; " (**)"</f>
        <v>1 Month Ended April 30, 2026 (**)</v>
      </c>
      <c r="E8" s="832"/>
    </row>
    <row r="9" spans="1:6" s="259" customFormat="1" ht="13">
      <c r="A9" s="914" t="s">
        <v>955</v>
      </c>
      <c r="B9" s="919">
        <v>3840000</v>
      </c>
      <c r="C9" s="919">
        <v>162543.99</v>
      </c>
      <c r="D9" s="919">
        <v>162543.99</v>
      </c>
      <c r="E9" s="585"/>
      <c r="F9" s="662"/>
    </row>
    <row r="10" spans="1:6" s="259" customFormat="1" ht="15.5">
      <c r="A10" s="910" t="s">
        <v>956</v>
      </c>
      <c r="B10" s="342">
        <v>3840000</v>
      </c>
      <c r="C10" s="342">
        <v>162543.99</v>
      </c>
      <c r="D10" s="342">
        <v>162543.99</v>
      </c>
      <c r="E10" s="833"/>
      <c r="F10" s="662"/>
    </row>
    <row r="11" spans="1:6" s="259" customFormat="1" ht="13">
      <c r="A11" s="914" t="s">
        <v>957</v>
      </c>
      <c r="B11" s="915">
        <v>3219861000</v>
      </c>
      <c r="C11" s="915">
        <v>74922651.469999999</v>
      </c>
      <c r="D11" s="915">
        <v>74922651.469999999</v>
      </c>
      <c r="E11" s="585"/>
      <c r="F11" s="662"/>
    </row>
    <row r="12" spans="1:6" s="259" customFormat="1">
      <c r="A12" s="910" t="s">
        <v>958</v>
      </c>
      <c r="B12" s="342">
        <v>3219861000</v>
      </c>
      <c r="C12" s="342">
        <v>74922651.469999999</v>
      </c>
      <c r="D12" s="342">
        <v>74922651.469999999</v>
      </c>
      <c r="E12" s="585"/>
      <c r="F12" s="662"/>
    </row>
    <row r="13" spans="1:6" s="259" customFormat="1" ht="13">
      <c r="A13" s="914" t="s">
        <v>959</v>
      </c>
      <c r="B13" s="915">
        <v>292429000</v>
      </c>
      <c r="C13" s="915">
        <v>1598093.09</v>
      </c>
      <c r="D13" s="915">
        <v>1598093.09</v>
      </c>
      <c r="E13" s="585"/>
      <c r="F13" s="662"/>
    </row>
    <row r="14" spans="1:6" s="259" customFormat="1">
      <c r="A14" s="910" t="s">
        <v>960</v>
      </c>
      <c r="B14" s="342">
        <v>292429000</v>
      </c>
      <c r="C14" s="342">
        <v>1598093.09</v>
      </c>
      <c r="D14" s="342">
        <v>1598093.09</v>
      </c>
      <c r="E14" s="585"/>
      <c r="F14" s="662"/>
    </row>
    <row r="15" spans="1:6" s="259" customFormat="1" ht="13">
      <c r="A15" s="914" t="s">
        <v>961</v>
      </c>
      <c r="B15" s="915">
        <v>2031538059.03</v>
      </c>
      <c r="C15" s="915">
        <v>1064366.94</v>
      </c>
      <c r="D15" s="915">
        <v>1064366.94</v>
      </c>
      <c r="E15" s="585"/>
      <c r="F15" s="662"/>
    </row>
    <row r="16" spans="1:6" s="259" customFormat="1">
      <c r="A16" s="910" t="s">
        <v>962</v>
      </c>
      <c r="B16" s="342">
        <v>173800000</v>
      </c>
      <c r="C16" s="342">
        <v>0</v>
      </c>
      <c r="D16" s="342">
        <v>0</v>
      </c>
      <c r="E16" s="585"/>
      <c r="F16" s="662"/>
    </row>
    <row r="17" spans="1:6" s="259" customFormat="1" ht="13">
      <c r="A17" s="914" t="s">
        <v>963</v>
      </c>
      <c r="B17" s="915">
        <v>3537000</v>
      </c>
      <c r="C17" s="915">
        <v>0</v>
      </c>
      <c r="D17" s="915">
        <v>0</v>
      </c>
      <c r="E17" s="585"/>
      <c r="F17" s="662"/>
    </row>
    <row r="18" spans="1:6" s="259" customFormat="1">
      <c r="A18" s="910" t="s">
        <v>964</v>
      </c>
      <c r="B18" s="342">
        <v>11962000</v>
      </c>
      <c r="C18" s="342">
        <v>0</v>
      </c>
      <c r="D18" s="342">
        <v>0</v>
      </c>
      <c r="E18" s="585"/>
      <c r="F18" s="662"/>
    </row>
    <row r="19" spans="1:6" s="259" customFormat="1">
      <c r="A19" s="910" t="s">
        <v>965</v>
      </c>
      <c r="B19" s="342">
        <v>48940600</v>
      </c>
      <c r="C19" s="342">
        <v>0</v>
      </c>
      <c r="D19" s="342">
        <v>0</v>
      </c>
      <c r="E19" s="585"/>
      <c r="F19" s="662"/>
    </row>
    <row r="20" spans="1:6" s="259" customFormat="1">
      <c r="A20" s="910" t="s">
        <v>966</v>
      </c>
      <c r="B20" s="342">
        <v>108800000</v>
      </c>
      <c r="C20" s="342">
        <v>0</v>
      </c>
      <c r="D20" s="342">
        <v>0</v>
      </c>
      <c r="E20" s="585"/>
      <c r="F20" s="662"/>
    </row>
    <row r="21" spans="1:6" s="259" customFormat="1">
      <c r="A21" s="910" t="s">
        <v>967</v>
      </c>
      <c r="B21" s="342">
        <v>4988000</v>
      </c>
      <c r="C21" s="342">
        <v>0</v>
      </c>
      <c r="D21" s="342">
        <v>0</v>
      </c>
      <c r="E21" s="585"/>
      <c r="F21" s="662"/>
    </row>
    <row r="22" spans="1:6" s="259" customFormat="1">
      <c r="A22" s="910" t="s">
        <v>968</v>
      </c>
      <c r="B22" s="342">
        <v>10335000</v>
      </c>
      <c r="C22" s="342">
        <v>0</v>
      </c>
      <c r="D22" s="342">
        <v>0</v>
      </c>
      <c r="E22" s="585"/>
      <c r="F22" s="662"/>
    </row>
    <row r="23" spans="1:6" s="259" customFormat="1">
      <c r="A23" s="910" t="s">
        <v>969</v>
      </c>
      <c r="B23" s="342">
        <v>4920000</v>
      </c>
      <c r="C23" s="342">
        <v>155658.64000000001</v>
      </c>
      <c r="D23" s="342">
        <v>155658.64000000001</v>
      </c>
      <c r="E23" s="585"/>
      <c r="F23" s="662"/>
    </row>
    <row r="24" spans="1:6" s="259" customFormat="1">
      <c r="A24" s="910" t="s">
        <v>970</v>
      </c>
      <c r="B24" s="342">
        <v>139200000</v>
      </c>
      <c r="C24" s="342">
        <v>0</v>
      </c>
      <c r="D24" s="342">
        <v>0</v>
      </c>
      <c r="E24" s="585"/>
      <c r="F24" s="662"/>
    </row>
    <row r="25" spans="1:6" s="259" customFormat="1">
      <c r="A25" s="910" t="s">
        <v>971</v>
      </c>
      <c r="B25" s="342">
        <v>18320000</v>
      </c>
      <c r="C25" s="342">
        <v>0</v>
      </c>
      <c r="D25" s="342">
        <v>0</v>
      </c>
      <c r="E25" s="585"/>
      <c r="F25" s="662"/>
    </row>
    <row r="26" spans="1:6" s="259" customFormat="1">
      <c r="A26" s="910" t="s">
        <v>972</v>
      </c>
      <c r="B26" s="342">
        <v>9555000</v>
      </c>
      <c r="C26" s="342">
        <v>0</v>
      </c>
      <c r="D26" s="342">
        <v>0</v>
      </c>
      <c r="E26" s="585"/>
      <c r="F26" s="662"/>
    </row>
    <row r="27" spans="1:6" s="259" customFormat="1">
      <c r="A27" s="910" t="s">
        <v>973</v>
      </c>
      <c r="B27" s="342">
        <v>373000000</v>
      </c>
      <c r="C27" s="342">
        <v>0</v>
      </c>
      <c r="D27" s="342">
        <v>0</v>
      </c>
      <c r="E27" s="376"/>
      <c r="F27" s="662"/>
    </row>
    <row r="28" spans="1:6" s="259" customFormat="1">
      <c r="A28" s="910" t="s">
        <v>974</v>
      </c>
      <c r="B28" s="342">
        <v>11500000</v>
      </c>
      <c r="C28" s="342">
        <v>52165.11</v>
      </c>
      <c r="D28" s="342">
        <v>52165.11</v>
      </c>
      <c r="E28" s="376"/>
      <c r="F28" s="662"/>
    </row>
    <row r="29" spans="1:6">
      <c r="A29" s="910" t="s">
        <v>975</v>
      </c>
      <c r="B29" s="342">
        <v>50153000</v>
      </c>
      <c r="C29" s="342">
        <v>201028.09000000003</v>
      </c>
      <c r="D29" s="342">
        <v>201028.09000000003</v>
      </c>
      <c r="E29" s="376"/>
    </row>
    <row r="30" spans="1:6">
      <c r="A30" s="910" t="s">
        <v>976</v>
      </c>
      <c r="B30" s="342">
        <v>575000</v>
      </c>
      <c r="C30" s="342">
        <v>0</v>
      </c>
      <c r="D30" s="342">
        <v>0</v>
      </c>
      <c r="E30" s="376"/>
    </row>
    <row r="31" spans="1:6">
      <c r="A31" s="910" t="s">
        <v>977</v>
      </c>
      <c r="B31" s="342">
        <v>262100000</v>
      </c>
      <c r="C31" s="342">
        <v>0</v>
      </c>
      <c r="D31" s="342">
        <v>0</v>
      </c>
      <c r="E31" s="376"/>
    </row>
    <row r="32" spans="1:6">
      <c r="A32" s="910" t="s">
        <v>978</v>
      </c>
      <c r="B32" s="342">
        <v>99717000</v>
      </c>
      <c r="C32" s="342">
        <v>488321.99</v>
      </c>
      <c r="D32" s="342">
        <v>488321.99</v>
      </c>
      <c r="E32" s="376"/>
    </row>
    <row r="33" spans="1:5" ht="13">
      <c r="A33" s="910" t="s">
        <v>979</v>
      </c>
      <c r="B33" s="342">
        <v>974000</v>
      </c>
      <c r="C33" s="342">
        <v>0</v>
      </c>
      <c r="D33" s="342">
        <v>0</v>
      </c>
      <c r="E33" s="834"/>
    </row>
    <row r="34" spans="1:5">
      <c r="A34" s="910" t="s">
        <v>980</v>
      </c>
      <c r="B34" s="342">
        <v>13520000</v>
      </c>
      <c r="C34" s="342">
        <v>0</v>
      </c>
      <c r="D34" s="342">
        <v>0</v>
      </c>
      <c r="E34" s="376"/>
    </row>
    <row r="35" spans="1:5">
      <c r="A35" s="910" t="s">
        <v>981</v>
      </c>
      <c r="B35" s="342">
        <v>2849000</v>
      </c>
      <c r="C35" s="342">
        <v>0</v>
      </c>
      <c r="D35" s="342">
        <v>0</v>
      </c>
      <c r="E35" s="376"/>
    </row>
    <row r="36" spans="1:5">
      <c r="A36" s="910" t="s">
        <v>982</v>
      </c>
      <c r="B36" s="342">
        <v>110926000</v>
      </c>
      <c r="C36" s="342">
        <v>0</v>
      </c>
      <c r="D36" s="342">
        <v>0</v>
      </c>
      <c r="E36" s="376"/>
    </row>
    <row r="37" spans="1:5">
      <c r="A37" s="910" t="s">
        <v>983</v>
      </c>
      <c r="B37" s="342">
        <v>50000</v>
      </c>
      <c r="C37" s="342">
        <v>0</v>
      </c>
      <c r="D37" s="342">
        <v>0</v>
      </c>
      <c r="E37" s="376"/>
    </row>
    <row r="38" spans="1:5">
      <c r="A38" s="910" t="s">
        <v>984</v>
      </c>
      <c r="B38" s="342">
        <v>15950000</v>
      </c>
      <c r="C38" s="342">
        <v>0</v>
      </c>
      <c r="D38" s="342">
        <v>0</v>
      </c>
      <c r="E38" s="376"/>
    </row>
    <row r="39" spans="1:5">
      <c r="A39" s="910" t="s">
        <v>985</v>
      </c>
      <c r="B39" s="342">
        <v>37640000</v>
      </c>
      <c r="C39" s="342">
        <v>167193.10999999999</v>
      </c>
      <c r="D39" s="342">
        <v>167193.10999999999</v>
      </c>
      <c r="E39" s="376"/>
    </row>
    <row r="40" spans="1:5">
      <c r="A40" s="910" t="s">
        <v>986</v>
      </c>
      <c r="B40" s="342">
        <v>4400400</v>
      </c>
      <c r="C40" s="342">
        <v>0</v>
      </c>
      <c r="D40" s="342">
        <v>0</v>
      </c>
      <c r="E40" s="376"/>
    </row>
    <row r="41" spans="1:5">
      <c r="A41" s="910" t="s">
        <v>987</v>
      </c>
      <c r="B41" s="342">
        <v>11610000</v>
      </c>
      <c r="C41" s="342">
        <v>0</v>
      </c>
      <c r="D41" s="342">
        <v>0</v>
      </c>
      <c r="E41" s="376"/>
    </row>
    <row r="42" spans="1:5">
      <c r="A42" s="910" t="s">
        <v>988</v>
      </c>
      <c r="B42" s="342">
        <v>4230000</v>
      </c>
      <c r="C42" s="342">
        <v>0</v>
      </c>
      <c r="D42" s="342">
        <v>0</v>
      </c>
      <c r="E42" s="376"/>
    </row>
    <row r="43" spans="1:5">
      <c r="A43" s="910" t="s">
        <v>989</v>
      </c>
      <c r="B43" s="342">
        <v>8460000</v>
      </c>
      <c r="C43" s="342">
        <v>0</v>
      </c>
      <c r="D43" s="342">
        <v>0</v>
      </c>
      <c r="E43" s="376"/>
    </row>
    <row r="44" spans="1:5">
      <c r="A44" s="910" t="s">
        <v>990</v>
      </c>
      <c r="B44" s="342">
        <v>489526059.02999997</v>
      </c>
      <c r="C44" s="342">
        <v>0</v>
      </c>
      <c r="D44" s="342">
        <v>0</v>
      </c>
      <c r="E44" s="376"/>
    </row>
    <row r="45" spans="1:5" ht="13">
      <c r="A45" s="914" t="s">
        <v>991</v>
      </c>
      <c r="B45" s="915">
        <v>10936649000</v>
      </c>
      <c r="C45" s="915">
        <v>350000000</v>
      </c>
      <c r="D45" s="915">
        <v>350000000</v>
      </c>
      <c r="E45" s="376"/>
    </row>
    <row r="46" spans="1:5">
      <c r="A46" s="910" t="s">
        <v>992</v>
      </c>
      <c r="B46" s="342">
        <v>100000000</v>
      </c>
      <c r="C46" s="342">
        <v>0</v>
      </c>
      <c r="D46" s="342">
        <v>0</v>
      </c>
      <c r="E46" s="376"/>
    </row>
    <row r="47" spans="1:5">
      <c r="A47" s="910" t="s">
        <v>993</v>
      </c>
      <c r="B47" s="342">
        <v>1262200000</v>
      </c>
      <c r="C47" s="342">
        <v>0</v>
      </c>
      <c r="D47" s="342">
        <v>0</v>
      </c>
      <c r="E47" s="376"/>
    </row>
    <row r="48" spans="1:5">
      <c r="A48" s="910" t="s">
        <v>994</v>
      </c>
      <c r="B48" s="342">
        <v>9280049000</v>
      </c>
      <c r="C48" s="342">
        <v>350000000</v>
      </c>
      <c r="D48" s="342">
        <v>350000000</v>
      </c>
      <c r="E48" s="376"/>
    </row>
    <row r="49" spans="1:6">
      <c r="A49" s="910" t="s">
        <v>995</v>
      </c>
      <c r="B49" s="342">
        <v>272000000</v>
      </c>
      <c r="C49" s="342">
        <v>0</v>
      </c>
      <c r="D49" s="342">
        <v>0</v>
      </c>
      <c r="E49" s="376"/>
    </row>
    <row r="50" spans="1:6">
      <c r="A50" s="910" t="s">
        <v>996</v>
      </c>
      <c r="B50" s="342">
        <v>22400000</v>
      </c>
      <c r="C50" s="342">
        <v>0</v>
      </c>
      <c r="D50" s="342">
        <v>0</v>
      </c>
      <c r="E50" s="376"/>
    </row>
    <row r="51" spans="1:6" ht="13">
      <c r="A51" s="914" t="s">
        <v>997</v>
      </c>
      <c r="B51" s="915">
        <v>32343000</v>
      </c>
      <c r="C51" s="915">
        <v>954393.83</v>
      </c>
      <c r="D51" s="915">
        <v>954393.83</v>
      </c>
      <c r="E51" s="376"/>
    </row>
    <row r="52" spans="1:6">
      <c r="A52" s="910" t="s">
        <v>998</v>
      </c>
      <c r="B52" s="342">
        <v>32343000</v>
      </c>
      <c r="C52" s="342">
        <v>954393.83</v>
      </c>
      <c r="D52" s="342">
        <v>954393.83</v>
      </c>
      <c r="E52" s="376"/>
    </row>
    <row r="53" spans="1:6" ht="13">
      <c r="A53" s="914" t="s">
        <v>999</v>
      </c>
      <c r="B53" s="915">
        <v>917000</v>
      </c>
      <c r="C53" s="915">
        <v>0</v>
      </c>
      <c r="D53" s="915">
        <v>0</v>
      </c>
      <c r="E53" s="376"/>
    </row>
    <row r="54" spans="1:6">
      <c r="A54" s="910" t="s">
        <v>1000</v>
      </c>
      <c r="B54" s="342">
        <v>917000</v>
      </c>
      <c r="C54" s="342">
        <v>0</v>
      </c>
      <c r="D54" s="342">
        <v>0</v>
      </c>
      <c r="E54" s="376"/>
    </row>
    <row r="55" spans="1:6" ht="13">
      <c r="A55" s="914" t="s">
        <v>1001</v>
      </c>
      <c r="B55" s="915">
        <v>84144000</v>
      </c>
      <c r="C55" s="915">
        <v>1496328.04</v>
      </c>
      <c r="D55" s="915">
        <v>1496328.04</v>
      </c>
      <c r="E55" s="376"/>
    </row>
    <row r="56" spans="1:6">
      <c r="A56" s="910" t="s">
        <v>1002</v>
      </c>
      <c r="B56" s="342">
        <v>84144000</v>
      </c>
      <c r="C56" s="342">
        <v>1496328.04</v>
      </c>
      <c r="D56" s="342">
        <v>1496328.04</v>
      </c>
      <c r="E56" s="376"/>
    </row>
    <row r="57" spans="1:6" ht="13">
      <c r="A57" s="914" t="s">
        <v>1003</v>
      </c>
      <c r="B57" s="915">
        <v>4525000</v>
      </c>
      <c r="C57" s="915">
        <v>646206.02</v>
      </c>
      <c r="D57" s="915">
        <v>646206.02</v>
      </c>
      <c r="E57" s="376"/>
    </row>
    <row r="58" spans="1:6">
      <c r="A58" s="910" t="s">
        <v>1003</v>
      </c>
      <c r="B58" s="342">
        <v>4525000</v>
      </c>
      <c r="C58" s="342">
        <v>646206.02</v>
      </c>
      <c r="D58" s="342">
        <v>646206.02</v>
      </c>
      <c r="E58" s="376"/>
    </row>
    <row r="59" spans="1:6" ht="13">
      <c r="A59" s="929" t="s">
        <v>1004</v>
      </c>
      <c r="B59" s="931">
        <v>16606246059.030001</v>
      </c>
      <c r="C59" s="931">
        <v>430844583.38</v>
      </c>
      <c r="D59" s="931">
        <v>430844583.38</v>
      </c>
      <c r="E59" s="376"/>
    </row>
    <row r="60" spans="1:6" ht="15" customHeight="1">
      <c r="A60" s="911" t="s">
        <v>1005</v>
      </c>
      <c r="B60" s="930"/>
      <c r="C60" s="904">
        <v>3321324.27</v>
      </c>
      <c r="D60" s="904">
        <v>3321324.27</v>
      </c>
      <c r="E60" s="376"/>
      <c r="F60" s="661" t="s">
        <v>103</v>
      </c>
    </row>
    <row r="61" spans="1:6" ht="15.65" customHeight="1">
      <c r="A61" s="911" t="s">
        <v>1006</v>
      </c>
      <c r="B61" s="930"/>
      <c r="C61" s="904">
        <v>0</v>
      </c>
      <c r="D61" s="904">
        <v>0</v>
      </c>
      <c r="E61" s="376"/>
    </row>
    <row r="62" spans="1:6" ht="12.75" customHeight="1">
      <c r="A62" s="911" t="s">
        <v>1007</v>
      </c>
      <c r="B62" s="904"/>
      <c r="C62" s="904">
        <v>0</v>
      </c>
      <c r="D62" s="904">
        <v>0</v>
      </c>
      <c r="E62" s="835"/>
    </row>
    <row r="63" spans="1:6">
      <c r="A63" s="911" t="s">
        <v>1008</v>
      </c>
      <c r="B63" s="904"/>
      <c r="C63" s="904">
        <v>616.9</v>
      </c>
      <c r="D63" s="904">
        <v>616.9</v>
      </c>
      <c r="E63" s="376"/>
    </row>
    <row r="64" spans="1:6" ht="13.5" thickBot="1">
      <c r="A64" s="905" t="s">
        <v>1009</v>
      </c>
      <c r="B64" s="1271">
        <v>16606246059.030001</v>
      </c>
      <c r="C64" s="1271">
        <v>434166524.54999995</v>
      </c>
      <c r="D64" s="1271">
        <v>434166524.54999995</v>
      </c>
      <c r="E64" s="376"/>
    </row>
    <row r="65" spans="1:5" ht="13" thickTop="1">
      <c r="A65" s="567"/>
      <c r="B65" s="904"/>
      <c r="C65" s="904"/>
      <c r="D65" s="904"/>
      <c r="E65" s="376"/>
    </row>
    <row r="66" spans="1:5">
      <c r="A66" s="906" t="s">
        <v>1526</v>
      </c>
      <c r="B66" s="567"/>
      <c r="C66" s="567"/>
      <c r="D66" s="567"/>
      <c r="E66" s="376"/>
    </row>
    <row r="67" spans="1:5">
      <c r="A67" s="906" t="s">
        <v>1494</v>
      </c>
      <c r="B67" s="567"/>
      <c r="C67" s="567"/>
      <c r="D67" s="567"/>
      <c r="E67" s="376"/>
    </row>
    <row r="68" spans="1:5" ht="13.4" customHeight="1">
      <c r="A68" s="907" t="s">
        <v>1010</v>
      </c>
      <c r="B68" s="567"/>
      <c r="C68" s="567"/>
      <c r="D68" s="567"/>
    </row>
    <row r="69" spans="1:5" ht="12.75" customHeight="1">
      <c r="A69" s="908" t="s">
        <v>1011</v>
      </c>
      <c r="B69" s="567"/>
      <c r="C69" s="567"/>
      <c r="D69" s="909"/>
    </row>
    <row r="70" spans="1:5">
      <c r="A70" s="908" t="s">
        <v>1012</v>
      </c>
      <c r="B70" s="567"/>
      <c r="C70" s="567"/>
      <c r="D70" s="904"/>
    </row>
    <row r="71" spans="1:5">
      <c r="B71" s="377"/>
      <c r="C71" s="377"/>
    </row>
    <row r="72" spans="1:5">
      <c r="C72" s="904"/>
      <c r="D72" s="904"/>
    </row>
    <row r="73" spans="1:5">
      <c r="C73" s="904"/>
      <c r="D73" s="904"/>
    </row>
    <row r="74" spans="1:5">
      <c r="C74" s="904"/>
      <c r="D74" s="904"/>
    </row>
    <row r="75" spans="1:5">
      <c r="C75" s="941"/>
      <c r="D75" s="941"/>
    </row>
    <row r="76" spans="1:5" ht="12.75" customHeight="1">
      <c r="C76" s="904"/>
      <c r="D76" s="904"/>
    </row>
    <row r="77" spans="1:5" ht="12.75" customHeight="1">
      <c r="C77" s="904" t="s">
        <v>103</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I54"/>
  <sheetViews>
    <sheetView showGridLines="0" zoomScale="90" workbookViewId="0"/>
  </sheetViews>
  <sheetFormatPr defaultColWidth="8.84375" defaultRowHeight="15" customHeight="1"/>
  <cols>
    <col min="1" max="1" width="55.07421875" style="441" customWidth="1"/>
    <col min="2" max="2" width="4.84375" style="441" customWidth="1"/>
    <col min="3" max="3" width="1.84375" style="442" customWidth="1"/>
    <col min="4" max="4" width="20.84375" style="442" customWidth="1"/>
    <col min="5" max="6" width="1.84375" style="442" customWidth="1"/>
    <col min="7" max="7" width="20.84375" style="442" customWidth="1"/>
    <col min="8" max="8" width="8.84375" style="442"/>
    <col min="9" max="9" width="20.84375" style="441" customWidth="1"/>
    <col min="10" max="16384" width="8.84375" style="441"/>
  </cols>
  <sheetData>
    <row r="1" spans="1:9" ht="15" customHeight="1">
      <c r="A1" s="265" t="s">
        <v>97</v>
      </c>
    </row>
    <row r="2" spans="1:9" ht="15" customHeight="1">
      <c r="A2" s="464"/>
    </row>
    <row r="3" spans="1:9" ht="15" customHeight="1">
      <c r="G3" s="506" t="s">
        <v>1013</v>
      </c>
    </row>
    <row r="4" spans="1:9" ht="19.5" customHeight="1">
      <c r="A4" s="507" t="s">
        <v>949</v>
      </c>
      <c r="B4" s="456"/>
      <c r="C4" s="456"/>
      <c r="D4" s="456"/>
      <c r="E4" s="456"/>
      <c r="F4" s="508"/>
      <c r="G4" s="508"/>
    </row>
    <row r="5" spans="1:9" ht="19.5" customHeight="1">
      <c r="A5" s="507" t="s">
        <v>1014</v>
      </c>
      <c r="B5" s="507"/>
      <c r="C5" s="507"/>
      <c r="D5" s="507"/>
      <c r="E5" s="507"/>
      <c r="F5" s="507"/>
      <c r="G5" s="507"/>
    </row>
    <row r="6" spans="1:9" ht="19.5" customHeight="1">
      <c r="A6" s="507" t="str">
        <f>'HCRA PROG DISB'!A6</f>
        <v>FISCAL YEAR 2026-2027</v>
      </c>
      <c r="B6" s="664"/>
      <c r="C6" s="664"/>
      <c r="D6" s="664"/>
      <c r="E6" s="664"/>
      <c r="F6" s="507"/>
      <c r="G6" s="507"/>
    </row>
    <row r="7" spans="1:9" ht="15" customHeight="1">
      <c r="A7" s="665"/>
      <c r="B7" s="665"/>
      <c r="C7" s="665"/>
      <c r="D7" s="665"/>
      <c r="E7" s="665"/>
      <c r="F7" s="509"/>
      <c r="G7" s="509"/>
    </row>
    <row r="8" spans="1:9" ht="15" customHeight="1">
      <c r="A8" s="465"/>
      <c r="B8" s="466"/>
      <c r="C8" s="467"/>
      <c r="D8" s="447"/>
      <c r="E8" s="447"/>
      <c r="F8" s="510"/>
      <c r="G8" s="451"/>
    </row>
    <row r="9" spans="1:9" s="450" customFormat="1" ht="15" customHeight="1">
      <c r="A9" s="448"/>
      <c r="B9" s="448"/>
      <c r="C9" s="582"/>
      <c r="D9" s="582">
        <v>2026</v>
      </c>
      <c r="E9" s="582"/>
      <c r="F9" s="449"/>
      <c r="G9" s="449"/>
      <c r="H9" s="449"/>
    </row>
    <row r="10" spans="1:9" ht="15" customHeight="1">
      <c r="C10" s="451"/>
      <c r="D10" s="1250" t="s">
        <v>329</v>
      </c>
      <c r="E10" s="451"/>
      <c r="G10" s="451" t="str">
        <f>RIGHT(A6,9)</f>
        <v>2026-2027</v>
      </c>
    </row>
    <row r="11" spans="1:9" ht="15" customHeight="1">
      <c r="G11" s="623"/>
    </row>
    <row r="12" spans="1:9" s="450" customFormat="1" ht="15" customHeight="1">
      <c r="A12" s="450" t="s">
        <v>923</v>
      </c>
      <c r="C12" s="452"/>
      <c r="D12" s="452">
        <v>504108620.02999997</v>
      </c>
      <c r="E12" s="452"/>
      <c r="F12" s="468"/>
      <c r="G12" s="452">
        <f>D12</f>
        <v>504108620.02999997</v>
      </c>
      <c r="H12" s="449"/>
    </row>
    <row r="13" spans="1:9" ht="15" customHeight="1">
      <c r="A13" s="450"/>
      <c r="F13" s="469"/>
      <c r="G13" s="455"/>
    </row>
    <row r="14" spans="1:9" ht="15" customHeight="1">
      <c r="A14" s="450" t="s">
        <v>114</v>
      </c>
      <c r="C14" s="455"/>
      <c r="D14" s="455"/>
      <c r="E14" s="455"/>
      <c r="F14" s="470"/>
      <c r="G14" s="455"/>
    </row>
    <row r="15" spans="1:9" ht="15" customHeight="1">
      <c r="A15" s="441" t="s">
        <v>1015</v>
      </c>
      <c r="C15" s="455"/>
      <c r="D15" s="455">
        <v>505874661.23000002</v>
      </c>
      <c r="E15" s="455"/>
      <c r="F15" s="470"/>
      <c r="G15" s="455">
        <f t="shared" ref="G15:G22" si="0">SUM(D15:F15)</f>
        <v>505874661.23000002</v>
      </c>
      <c r="I15" s="455"/>
    </row>
    <row r="16" spans="1:9" ht="15" customHeight="1">
      <c r="A16" s="441" t="s">
        <v>1016</v>
      </c>
      <c r="C16" s="455"/>
      <c r="D16" s="455">
        <v>92790517.180000007</v>
      </c>
      <c r="E16" s="455"/>
      <c r="F16" s="470"/>
      <c r="G16" s="455">
        <f t="shared" si="0"/>
        <v>92790517.180000007</v>
      </c>
      <c r="I16" s="455"/>
    </row>
    <row r="17" spans="1:9" ht="15" customHeight="1">
      <c r="A17" s="441" t="s">
        <v>1017</v>
      </c>
      <c r="C17" s="455"/>
      <c r="D17" s="455">
        <v>9910594.9800000004</v>
      </c>
      <c r="E17" s="455"/>
      <c r="F17" s="470"/>
      <c r="G17" s="455">
        <f t="shared" si="0"/>
        <v>9910594.9800000004</v>
      </c>
      <c r="I17" s="455"/>
    </row>
    <row r="18" spans="1:9" ht="15" customHeight="1">
      <c r="A18" s="441" t="s">
        <v>1018</v>
      </c>
      <c r="C18" s="455"/>
      <c r="D18" s="455">
        <v>43795335</v>
      </c>
      <c r="E18" s="455"/>
      <c r="F18" s="470"/>
      <c r="G18" s="455">
        <f t="shared" si="0"/>
        <v>43795335</v>
      </c>
      <c r="I18" s="455"/>
    </row>
    <row r="19" spans="1:9" ht="15.5">
      <c r="A19" s="441" t="s">
        <v>1019</v>
      </c>
      <c r="C19" s="332"/>
      <c r="D19" s="332">
        <v>0</v>
      </c>
      <c r="E19" s="332"/>
      <c r="F19" s="470"/>
      <c r="G19" s="455">
        <f t="shared" si="0"/>
        <v>0</v>
      </c>
      <c r="I19" s="455"/>
    </row>
    <row r="20" spans="1:9" ht="15" customHeight="1">
      <c r="A20" s="441" t="s">
        <v>1020</v>
      </c>
      <c r="C20" s="455"/>
      <c r="D20" s="455">
        <v>380783.06</v>
      </c>
      <c r="E20" s="455"/>
      <c r="F20" s="470"/>
      <c r="G20" s="455">
        <f t="shared" si="0"/>
        <v>380783.06</v>
      </c>
      <c r="I20" s="455"/>
    </row>
    <row r="21" spans="1:9" ht="15" customHeight="1">
      <c r="A21" s="441" t="s">
        <v>1496</v>
      </c>
      <c r="C21" s="455"/>
      <c r="D21" s="455">
        <v>0</v>
      </c>
      <c r="E21" s="1334"/>
      <c r="F21" s="455"/>
      <c r="G21" s="455">
        <f t="shared" si="0"/>
        <v>0</v>
      </c>
      <c r="I21" s="455"/>
    </row>
    <row r="22" spans="1:9" ht="15" customHeight="1">
      <c r="A22" s="441" t="s">
        <v>1021</v>
      </c>
      <c r="C22" s="459"/>
      <c r="D22" s="1251">
        <v>10655257.810000001</v>
      </c>
      <c r="E22" s="459"/>
      <c r="F22" s="471"/>
      <c r="G22" s="455">
        <f t="shared" si="0"/>
        <v>10655257.810000001</v>
      </c>
      <c r="I22" s="455"/>
    </row>
    <row r="23" spans="1:9" s="450" customFormat="1" ht="15.5">
      <c r="A23" s="450" t="s">
        <v>427</v>
      </c>
      <c r="C23" s="473"/>
      <c r="D23" s="1252">
        <f>ROUND(SUM(D15:D22),2)</f>
        <v>663407149.25999999</v>
      </c>
      <c r="E23" s="473"/>
      <c r="F23" s="472"/>
      <c r="G23" s="627">
        <f>ROUND(SUM(G15:G22),2)</f>
        <v>663407149.25999999</v>
      </c>
      <c r="H23" s="442"/>
      <c r="I23" s="455"/>
    </row>
    <row r="24" spans="1:9" ht="15" customHeight="1">
      <c r="C24" s="455"/>
      <c r="D24" s="455"/>
      <c r="E24" s="455"/>
      <c r="F24" s="470"/>
      <c r="G24" s="455"/>
      <c r="I24" s="455"/>
    </row>
    <row r="25" spans="1:9" ht="15" customHeight="1">
      <c r="A25" s="450" t="s">
        <v>1022</v>
      </c>
      <c r="C25" s="474"/>
      <c r="D25" s="474"/>
      <c r="E25" s="474"/>
      <c r="F25" s="470"/>
      <c r="G25" s="455"/>
      <c r="I25" s="455"/>
    </row>
    <row r="26" spans="1:9" ht="15" customHeight="1">
      <c r="A26" s="446" t="s">
        <v>1023</v>
      </c>
      <c r="C26" s="455"/>
      <c r="D26" s="455">
        <v>0</v>
      </c>
      <c r="E26" s="455"/>
      <c r="F26" s="470"/>
      <c r="G26" s="455">
        <f>SUM(D26:F26)</f>
        <v>0</v>
      </c>
      <c r="I26" s="455"/>
    </row>
    <row r="27" spans="1:9" ht="15" customHeight="1">
      <c r="A27" s="446" t="s">
        <v>1024</v>
      </c>
      <c r="C27" s="455"/>
      <c r="D27" s="455">
        <v>0</v>
      </c>
      <c r="E27" s="455"/>
      <c r="F27" s="470"/>
      <c r="G27" s="455">
        <f>SUM(D27:F27)</f>
        <v>0</v>
      </c>
      <c r="I27" s="455"/>
    </row>
    <row r="28" spans="1:9" ht="15" customHeight="1">
      <c r="A28" s="446" t="s">
        <v>1025</v>
      </c>
      <c r="C28" s="455"/>
      <c r="D28" s="455">
        <v>0</v>
      </c>
      <c r="E28" s="455"/>
      <c r="F28" s="471"/>
      <c r="G28" s="455">
        <f>SUM(D28:F28)</f>
        <v>0</v>
      </c>
      <c r="I28" s="455"/>
    </row>
    <row r="29" spans="1:9" ht="15.5">
      <c r="A29" s="456" t="s">
        <v>1026</v>
      </c>
      <c r="B29" s="450"/>
      <c r="C29" s="473"/>
      <c r="D29" s="627">
        <f>ROUND(SUM(D26:D28),2)</f>
        <v>0</v>
      </c>
      <c r="E29" s="473"/>
      <c r="F29" s="472"/>
      <c r="G29" s="627">
        <f>ROUND(SUM(G26:G28),2)</f>
        <v>0</v>
      </c>
      <c r="I29" s="455"/>
    </row>
    <row r="30" spans="1:9" ht="15" customHeight="1">
      <c r="C30" s="455"/>
      <c r="D30" s="455"/>
      <c r="E30" s="455"/>
      <c r="F30" s="470"/>
      <c r="G30" s="455"/>
      <c r="I30" s="455"/>
    </row>
    <row r="31" spans="1:9" ht="15" customHeight="1">
      <c r="A31" s="450" t="s">
        <v>1027</v>
      </c>
      <c r="B31" s="450"/>
      <c r="C31" s="473"/>
      <c r="D31" s="1252">
        <f>ROUND(+D23+D29,2)</f>
        <v>663407149.25999999</v>
      </c>
      <c r="E31" s="473"/>
      <c r="F31" s="475"/>
      <c r="G31" s="473">
        <f>ROUND(+G23+G29,2)</f>
        <v>663407149.25999999</v>
      </c>
      <c r="I31" s="455"/>
    </row>
    <row r="32" spans="1:9" ht="15" customHeight="1">
      <c r="C32" s="455"/>
      <c r="D32" s="455"/>
      <c r="E32" s="455"/>
      <c r="F32" s="470"/>
      <c r="G32" s="625"/>
      <c r="I32" s="455"/>
    </row>
    <row r="33" spans="1:9" ht="15" customHeight="1">
      <c r="A33" s="450" t="s">
        <v>145</v>
      </c>
      <c r="C33" s="455"/>
      <c r="D33" s="455"/>
      <c r="E33" s="455"/>
      <c r="F33" s="470"/>
      <c r="G33" s="455"/>
      <c r="I33" s="455"/>
    </row>
    <row r="34" spans="1:9" ht="15" customHeight="1">
      <c r="A34" s="450" t="s">
        <v>1028</v>
      </c>
      <c r="C34" s="455"/>
      <c r="D34" s="455"/>
      <c r="E34" s="455"/>
      <c r="F34" s="470"/>
      <c r="G34" s="455"/>
      <c r="I34" s="455"/>
    </row>
    <row r="35" spans="1:9" ht="15" customHeight="1">
      <c r="A35" s="441" t="s">
        <v>1029</v>
      </c>
      <c r="C35" s="455"/>
      <c r="D35" s="455">
        <v>0</v>
      </c>
      <c r="E35" s="455"/>
      <c r="F35" s="470"/>
      <c r="G35" s="455">
        <f>SUM(D35:F35)</f>
        <v>0</v>
      </c>
      <c r="I35" s="455"/>
    </row>
    <row r="36" spans="1:9" ht="15" customHeight="1">
      <c r="A36" s="446" t="s">
        <v>1030</v>
      </c>
      <c r="C36" s="455"/>
      <c r="D36" s="455">
        <v>5328912</v>
      </c>
      <c r="E36" s="455"/>
      <c r="F36" s="470"/>
      <c r="G36" s="455">
        <f>SUM(D36:F36)</f>
        <v>5328912</v>
      </c>
      <c r="I36" s="455"/>
    </row>
    <row r="37" spans="1:9" ht="15" customHeight="1">
      <c r="A37" s="450" t="s">
        <v>1031</v>
      </c>
      <c r="C37" s="455"/>
      <c r="D37" s="455"/>
      <c r="E37" s="1334"/>
      <c r="F37" s="455"/>
      <c r="G37" s="455" t="s">
        <v>103</v>
      </c>
      <c r="I37" s="455"/>
    </row>
    <row r="38" spans="1:9" ht="15" customHeight="1">
      <c r="A38" s="446" t="s">
        <v>1032</v>
      </c>
      <c r="C38" s="455"/>
      <c r="D38" s="455">
        <v>0</v>
      </c>
      <c r="E38" s="1334"/>
      <c r="F38" s="455"/>
      <c r="G38" s="455">
        <f>SUM(D38:F38)</f>
        <v>0</v>
      </c>
      <c r="I38" s="455"/>
    </row>
    <row r="39" spans="1:9" s="450" customFormat="1" ht="15.5">
      <c r="A39" s="450" t="s">
        <v>1033</v>
      </c>
      <c r="C39" s="473"/>
      <c r="D39" s="627">
        <f>ROUND(SUM(D35:D38),2)</f>
        <v>5328912</v>
      </c>
      <c r="E39" s="473"/>
      <c r="F39" s="472"/>
      <c r="G39" s="627">
        <f>ROUND(SUM(G35:G38),2)</f>
        <v>5328912</v>
      </c>
      <c r="H39" s="449"/>
      <c r="I39" s="455"/>
    </row>
    <row r="40" spans="1:9" ht="15" customHeight="1">
      <c r="C40" s="455"/>
      <c r="D40" s="455"/>
      <c r="E40" s="455"/>
      <c r="F40" s="470"/>
      <c r="G40" s="455"/>
      <c r="I40" s="455"/>
    </row>
    <row r="41" spans="1:9" ht="15" customHeight="1">
      <c r="A41" s="450" t="s">
        <v>1034</v>
      </c>
      <c r="C41" s="455"/>
      <c r="D41" s="455"/>
      <c r="E41" s="455"/>
      <c r="F41" s="470"/>
      <c r="G41" s="455"/>
      <c r="I41" s="455"/>
    </row>
    <row r="42" spans="1:9" ht="15" customHeight="1">
      <c r="A42" s="441" t="s">
        <v>1029</v>
      </c>
      <c r="C42" s="455"/>
      <c r="D42" s="455">
        <v>0</v>
      </c>
      <c r="E42" s="455"/>
      <c r="F42" s="470"/>
      <c r="G42" s="455">
        <f>SUM(D42:F42)</f>
        <v>0</v>
      </c>
      <c r="I42" s="455"/>
    </row>
    <row r="43" spans="1:9" ht="15" customHeight="1">
      <c r="A43" s="441" t="s">
        <v>1035</v>
      </c>
      <c r="C43" s="455"/>
      <c r="D43" s="455">
        <v>0</v>
      </c>
      <c r="E43" s="455"/>
      <c r="F43" s="470"/>
      <c r="G43" s="455">
        <f>SUM(D43:F43)</f>
        <v>0</v>
      </c>
      <c r="I43" s="455"/>
    </row>
    <row r="44" spans="1:9" ht="15" customHeight="1">
      <c r="A44" s="450" t="s">
        <v>1036</v>
      </c>
      <c r="C44" s="455"/>
      <c r="D44" s="455"/>
      <c r="E44" s="455"/>
      <c r="F44" s="470"/>
      <c r="G44" s="455"/>
      <c r="I44" s="455"/>
    </row>
    <row r="45" spans="1:9" ht="15" customHeight="1">
      <c r="A45" s="446" t="s">
        <v>1032</v>
      </c>
      <c r="C45" s="455"/>
      <c r="D45" s="455">
        <v>-563672523.27999997</v>
      </c>
      <c r="E45" s="455"/>
      <c r="F45" s="470"/>
      <c r="G45" s="455">
        <f>SUM(D45:F45)</f>
        <v>-563672523.27999997</v>
      </c>
      <c r="I45" s="455"/>
    </row>
    <row r="46" spans="1:9" ht="15.5">
      <c r="A46" s="450" t="s">
        <v>1037</v>
      </c>
      <c r="B46" s="450"/>
      <c r="C46" s="473"/>
      <c r="D46" s="627">
        <f>ROUND(SUM(D42:D45),2)</f>
        <v>-563672523.27999997</v>
      </c>
      <c r="E46" s="473"/>
      <c r="F46" s="472"/>
      <c r="G46" s="627">
        <f>ROUND(SUM(G42:G45),2)</f>
        <v>-563672523.27999997</v>
      </c>
      <c r="I46" s="455"/>
    </row>
    <row r="47" spans="1:9" ht="15" customHeight="1">
      <c r="C47" s="455"/>
      <c r="D47" s="455"/>
      <c r="E47" s="455"/>
      <c r="F47" s="470"/>
      <c r="G47" s="455"/>
      <c r="I47" s="455"/>
    </row>
    <row r="48" spans="1:9" ht="15" customHeight="1">
      <c r="A48" s="450" t="s">
        <v>1038</v>
      </c>
      <c r="C48" s="455"/>
      <c r="D48" s="455"/>
      <c r="E48" s="455"/>
      <c r="F48" s="470"/>
      <c r="G48" s="455"/>
      <c r="I48" s="455"/>
    </row>
    <row r="49" spans="1:9" ht="15" customHeight="1">
      <c r="A49" s="450" t="s">
        <v>1039</v>
      </c>
      <c r="C49" s="473"/>
      <c r="D49" s="1252">
        <f>ROUND(+D31+D39+D46,2)</f>
        <v>105063537.98</v>
      </c>
      <c r="E49" s="473"/>
      <c r="F49" s="475"/>
      <c r="G49" s="697">
        <f>ROUND(+G31+G39+G46,2)</f>
        <v>105063537.98</v>
      </c>
      <c r="I49" s="455"/>
    </row>
    <row r="50" spans="1:9" ht="15" customHeight="1">
      <c r="F50" s="476"/>
      <c r="G50" s="455"/>
      <c r="I50" s="455"/>
    </row>
    <row r="51" spans="1:9" s="450" customFormat="1" ht="21" customHeight="1" thickBot="1">
      <c r="A51" s="450" t="s">
        <v>1040</v>
      </c>
      <c r="C51" s="452"/>
      <c r="D51" s="1253">
        <f>ROUND(D12+D49,2)</f>
        <v>609172158.00999999</v>
      </c>
      <c r="E51" s="452"/>
      <c r="F51" s="477"/>
      <c r="G51" s="452">
        <f>ROUND(G12+G49,2)</f>
        <v>609172158.00999999</v>
      </c>
      <c r="H51" s="449"/>
      <c r="I51" s="455"/>
    </row>
    <row r="52" spans="1:9" ht="15" customHeight="1" thickTop="1">
      <c r="A52" s="441" t="s">
        <v>103</v>
      </c>
      <c r="G52" s="478"/>
      <c r="I52" s="455"/>
    </row>
    <row r="53" spans="1:9" ht="15" customHeight="1">
      <c r="A53" s="446" t="s">
        <v>1041</v>
      </c>
      <c r="I53" s="455"/>
    </row>
    <row r="54" spans="1:9" ht="15" customHeight="1">
      <c r="A54" s="457"/>
      <c r="I54" s="455"/>
    </row>
  </sheetData>
  <printOptions horizontalCentered="1"/>
  <pageMargins left="0.24" right="0.24" top="0.5" bottom="0.5" header="0.18" footer="0.25"/>
  <pageSetup scale="62" firstPageNumber="49"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T110"/>
  <sheetViews>
    <sheetView showGridLines="0" zoomScale="90" zoomScaleNormal="90" workbookViewId="0"/>
  </sheetViews>
  <sheetFormatPr defaultColWidth="8.84375" defaultRowHeight="15.5"/>
  <cols>
    <col min="1" max="1" width="3.53515625" style="546" customWidth="1"/>
    <col min="2" max="2" width="8.4609375" style="546" customWidth="1"/>
    <col min="3" max="3" width="12.07421875" style="546" customWidth="1"/>
    <col min="4" max="4" width="15" style="545" customWidth="1"/>
    <col min="5" max="5" width="15.07421875" style="545" customWidth="1"/>
    <col min="6" max="6" width="12.07421875" style="546" customWidth="1"/>
    <col min="7" max="7" width="10.07421875" style="546" customWidth="1"/>
    <col min="8" max="8" width="9.07421875" style="215" customWidth="1"/>
    <col min="9" max="9" width="5.53515625" style="282" customWidth="1"/>
    <col min="10" max="10" width="9.07421875" style="282" customWidth="1"/>
    <col min="11" max="11" width="8.07421875" style="545" customWidth="1"/>
    <col min="12" max="12" width="16" style="545" customWidth="1"/>
    <col min="13" max="13" width="12.07421875" style="545" customWidth="1"/>
    <col min="14" max="14" width="7.84375" style="545" customWidth="1"/>
    <col min="15" max="15" width="18.84375" style="561" customWidth="1"/>
    <col min="16" max="16" width="4.84375" style="561" customWidth="1"/>
    <col min="17" max="17" width="8" style="561" customWidth="1"/>
    <col min="18" max="18" width="3.84375" style="561" customWidth="1"/>
    <col min="19" max="19" width="13.07421875" style="561" customWidth="1"/>
    <col min="20" max="21" width="12.07421875" style="561" customWidth="1"/>
    <col min="22" max="16384" width="8.84375" style="561"/>
  </cols>
  <sheetData>
    <row r="1" spans="1:20">
      <c r="A1" s="899" t="s">
        <v>97</v>
      </c>
    </row>
    <row r="2" spans="1:20">
      <c r="A2" s="212" t="s">
        <v>168</v>
      </c>
      <c r="B2" s="213"/>
      <c r="C2" s="214"/>
      <c r="D2" s="215"/>
      <c r="E2" s="215"/>
      <c r="F2" s="215"/>
      <c r="G2" s="215"/>
      <c r="I2" s="216"/>
      <c r="J2" s="216"/>
      <c r="K2" s="215"/>
      <c r="L2" s="215"/>
      <c r="M2" s="215"/>
      <c r="N2" s="217"/>
      <c r="O2" s="363" t="s">
        <v>169</v>
      </c>
      <c r="Q2" s="218"/>
      <c r="R2" s="218"/>
      <c r="S2" s="219"/>
      <c r="T2" s="220"/>
    </row>
    <row r="3" spans="1:20" ht="13.4" customHeight="1">
      <c r="A3" s="213"/>
      <c r="B3" s="213"/>
      <c r="C3" s="214"/>
      <c r="D3" s="215"/>
      <c r="E3" s="215"/>
      <c r="F3" s="215"/>
      <c r="G3" s="215"/>
      <c r="I3" s="546"/>
      <c r="J3" s="546"/>
      <c r="M3" s="546"/>
      <c r="N3" s="1490"/>
      <c r="O3" s="974" t="str">
        <f>UPPER(TEXT(DATE(YEAR(_xlfn.TEXTAFTER('Exh D Governmental  '!A6," ",4)),MONTH(_xlfn.TEXTAFTER('Exh D Governmental  '!A6," ",4)),DAY(_xlfn.TEXTAFTER('Exh D Governmental  '!A6," ",4))),"MMMM YYYY"))</f>
        <v>APRIL 2026</v>
      </c>
      <c r="T3" s="220"/>
    </row>
    <row r="4" spans="1:20" ht="9" customHeight="1">
      <c r="T4" s="220"/>
    </row>
    <row r="5" spans="1:20" ht="13.5" customHeight="1">
      <c r="T5" s="220"/>
    </row>
    <row r="6" spans="1:20" ht="13.5" customHeight="1">
      <c r="A6" s="221" t="s">
        <v>170</v>
      </c>
      <c r="B6" s="215" t="s">
        <v>171</v>
      </c>
      <c r="C6" s="215"/>
      <c r="D6" s="215"/>
      <c r="E6" s="215"/>
      <c r="F6" s="215"/>
      <c r="G6" s="215"/>
      <c r="H6" s="223"/>
      <c r="J6" s="962" t="s">
        <v>172</v>
      </c>
    </row>
    <row r="7" spans="1:20" ht="13.5" customHeight="1">
      <c r="A7" s="221"/>
      <c r="B7" s="215" t="s">
        <v>173</v>
      </c>
      <c r="C7" s="215"/>
      <c r="D7" s="215"/>
      <c r="E7" s="215"/>
      <c r="F7" s="215"/>
      <c r="G7" s="215"/>
      <c r="H7" s="546"/>
      <c r="J7" s="945" t="s">
        <v>1518</v>
      </c>
    </row>
    <row r="8" spans="1:20" ht="13.4" customHeight="1">
      <c r="A8" s="221"/>
      <c r="B8" s="215" t="s">
        <v>174</v>
      </c>
      <c r="C8" s="215"/>
      <c r="D8" s="215"/>
      <c r="E8" s="215"/>
      <c r="F8" s="215"/>
      <c r="G8" s="215"/>
      <c r="H8" s="546"/>
      <c r="J8" s="215" t="s">
        <v>1487</v>
      </c>
      <c r="K8" s="676"/>
      <c r="L8" s="575"/>
      <c r="M8" s="215"/>
      <c r="N8" s="576"/>
    </row>
    <row r="9" spans="1:20" ht="12.75" customHeight="1">
      <c r="A9" s="221"/>
      <c r="B9" s="215" t="s">
        <v>1473</v>
      </c>
      <c r="C9" s="215"/>
      <c r="D9" s="215"/>
      <c r="E9" s="215"/>
      <c r="F9" s="215"/>
      <c r="G9" s="215"/>
      <c r="H9" s="221"/>
      <c r="J9" s="215" t="s">
        <v>1519</v>
      </c>
      <c r="K9" s="676"/>
      <c r="L9" s="575"/>
      <c r="M9" s="215"/>
      <c r="N9" s="576"/>
    </row>
    <row r="10" spans="1:20" ht="12.75" customHeight="1">
      <c r="K10" s="676"/>
      <c r="L10" s="575"/>
      <c r="M10" s="215"/>
      <c r="N10" s="576"/>
    </row>
    <row r="11" spans="1:20" ht="12.75" customHeight="1">
      <c r="A11" s="215"/>
      <c r="B11" s="215"/>
      <c r="C11" s="216" t="s">
        <v>175</v>
      </c>
      <c r="D11" s="575"/>
      <c r="E11" s="215"/>
      <c r="F11" s="575">
        <v>97.9</v>
      </c>
      <c r="G11" s="215" t="s">
        <v>176</v>
      </c>
      <c r="H11" s="221" t="s">
        <v>103</v>
      </c>
      <c r="J11" s="215" t="s">
        <v>103</v>
      </c>
      <c r="K11" s="676"/>
      <c r="L11" s="575"/>
      <c r="M11" s="215"/>
      <c r="N11" s="576"/>
    </row>
    <row r="12" spans="1:20" ht="12.75" customHeight="1">
      <c r="A12" s="215"/>
      <c r="B12" s="216"/>
      <c r="C12" s="216" t="s">
        <v>177</v>
      </c>
      <c r="D12" s="578"/>
      <c r="E12" s="215"/>
      <c r="F12" s="980">
        <v>33.6</v>
      </c>
      <c r="G12" s="215"/>
      <c r="H12" s="215" t="s">
        <v>103</v>
      </c>
      <c r="J12" s="213" t="s">
        <v>1529</v>
      </c>
      <c r="K12" s="282"/>
      <c r="O12" s="546"/>
    </row>
    <row r="13" spans="1:20" ht="12.75" customHeight="1">
      <c r="A13" s="215"/>
      <c r="B13" s="216"/>
      <c r="C13" s="216" t="s">
        <v>178</v>
      </c>
      <c r="D13" s="578"/>
      <c r="E13" s="215"/>
      <c r="F13" s="950">
        <v>1798.9</v>
      </c>
      <c r="G13" s="215"/>
      <c r="H13" s="561" t="s">
        <v>103</v>
      </c>
      <c r="T13" s="215"/>
    </row>
    <row r="14" spans="1:20" ht="12.75" customHeight="1">
      <c r="A14" s="215"/>
      <c r="B14" s="216"/>
      <c r="C14" s="216" t="s">
        <v>179</v>
      </c>
      <c r="D14" s="578"/>
      <c r="E14" s="215"/>
      <c r="F14" s="950">
        <v>12.9</v>
      </c>
      <c r="H14" s="546" t="s">
        <v>103</v>
      </c>
      <c r="K14" s="216" t="s">
        <v>184</v>
      </c>
      <c r="L14" s="575"/>
      <c r="M14" s="215"/>
      <c r="N14" s="588">
        <v>5278.8</v>
      </c>
      <c r="O14" s="215" t="s">
        <v>176</v>
      </c>
      <c r="T14" s="222"/>
    </row>
    <row r="15" spans="1:20" ht="12.75" customHeight="1">
      <c r="A15" s="215"/>
      <c r="B15" s="216"/>
      <c r="C15" s="216" t="s">
        <v>180</v>
      </c>
      <c r="D15" s="578"/>
      <c r="E15" s="215"/>
      <c r="F15" s="950">
        <v>739.9</v>
      </c>
      <c r="G15" s="215"/>
      <c r="H15" s="221" t="s">
        <v>103</v>
      </c>
      <c r="J15" s="216"/>
      <c r="K15" s="216" t="s">
        <v>185</v>
      </c>
      <c r="L15" s="575"/>
      <c r="M15" s="215"/>
      <c r="N15" s="576">
        <v>706.3</v>
      </c>
      <c r="O15" s="546"/>
      <c r="T15" s="222"/>
    </row>
    <row r="16" spans="1:20" ht="12.75" customHeight="1">
      <c r="C16" s="216" t="s">
        <v>181</v>
      </c>
      <c r="F16" s="577">
        <v>1702.7</v>
      </c>
      <c r="J16" s="216"/>
      <c r="K16" s="216" t="s">
        <v>188</v>
      </c>
      <c r="L16" s="575"/>
      <c r="M16" s="215"/>
      <c r="N16" s="576">
        <v>115.9</v>
      </c>
      <c r="R16" s="215"/>
    </row>
    <row r="17" spans="1:17" ht="12.75" customHeight="1">
      <c r="A17" s="215"/>
      <c r="B17" s="216"/>
      <c r="C17" s="216" t="s">
        <v>182</v>
      </c>
      <c r="D17" s="579"/>
      <c r="E17" s="215"/>
      <c r="F17" s="980">
        <v>266.10000000000002</v>
      </c>
      <c r="G17" s="215"/>
      <c r="J17" s="216"/>
      <c r="K17" s="216" t="s">
        <v>190</v>
      </c>
      <c r="L17" s="688"/>
      <c r="M17" s="215"/>
      <c r="N17" s="577">
        <v>255.7</v>
      </c>
      <c r="P17" s="575"/>
    </row>
    <row r="18" spans="1:17" ht="12.75" customHeight="1">
      <c r="A18" s="215"/>
      <c r="B18" s="216"/>
      <c r="C18" s="216" t="s">
        <v>183</v>
      </c>
      <c r="D18" s="579"/>
      <c r="E18" s="215"/>
      <c r="F18" s="950">
        <v>249.8</v>
      </c>
      <c r="G18" s="215"/>
    </row>
    <row r="19" spans="1:17" ht="12.75" customHeight="1">
      <c r="A19" s="215"/>
      <c r="B19" s="216"/>
      <c r="G19" s="215"/>
      <c r="J19" s="215" t="s">
        <v>1456</v>
      </c>
      <c r="K19" s="216"/>
      <c r="L19" s="215"/>
      <c r="M19" s="215"/>
      <c r="N19" s="215"/>
    </row>
    <row r="20" spans="1:17" ht="13.4" customHeight="1">
      <c r="A20" s="221" t="s">
        <v>186</v>
      </c>
      <c r="B20" s="215" t="s">
        <v>187</v>
      </c>
      <c r="C20" s="215"/>
      <c r="D20" s="215"/>
      <c r="E20" s="215"/>
      <c r="F20" s="215"/>
      <c r="G20" s="215"/>
      <c r="H20" s="221"/>
      <c r="J20" s="215" t="s">
        <v>1469</v>
      </c>
      <c r="K20" s="216"/>
      <c r="L20" s="215"/>
      <c r="M20" s="215"/>
      <c r="N20" s="215"/>
      <c r="O20" s="223"/>
      <c r="Q20" s="978"/>
    </row>
    <row r="21" spans="1:17" ht="12.65" customHeight="1">
      <c r="A21" s="221"/>
      <c r="B21" s="215" t="s">
        <v>189</v>
      </c>
      <c r="C21" s="215"/>
      <c r="D21" s="215"/>
      <c r="E21" s="215"/>
      <c r="F21" s="215"/>
      <c r="G21" s="215"/>
      <c r="J21" s="215" t="s">
        <v>1520</v>
      </c>
      <c r="K21" s="223"/>
      <c r="L21" s="223"/>
      <c r="M21" s="223"/>
      <c r="N21" s="223"/>
      <c r="O21" s="546"/>
      <c r="Q21" s="951"/>
    </row>
    <row r="22" spans="1:17" ht="14.15" customHeight="1">
      <c r="A22" s="221"/>
      <c r="B22" s="215"/>
      <c r="C22" s="215"/>
      <c r="D22" s="215"/>
      <c r="E22" s="215"/>
      <c r="F22" s="215"/>
      <c r="G22" s="215"/>
      <c r="J22" s="223"/>
      <c r="K22" s="546"/>
      <c r="N22" s="546"/>
      <c r="O22" s="546"/>
      <c r="Q22" s="978"/>
    </row>
    <row r="23" spans="1:17" ht="12.75" customHeight="1">
      <c r="A23" s="215"/>
      <c r="B23" s="580" t="s">
        <v>191</v>
      </c>
      <c r="C23" s="580"/>
      <c r="D23" s="215"/>
      <c r="E23" s="215"/>
      <c r="F23" s="977"/>
      <c r="G23" s="215"/>
      <c r="J23" s="213" t="s">
        <v>1530</v>
      </c>
      <c r="K23" s="676"/>
      <c r="L23" s="688"/>
      <c r="M23" s="215"/>
      <c r="N23" s="577"/>
    </row>
    <row r="24" spans="1:17" ht="12.75" customHeight="1">
      <c r="G24" s="215"/>
      <c r="J24" s="216" t="s">
        <v>103</v>
      </c>
      <c r="K24" s="216"/>
      <c r="L24" s="575"/>
      <c r="M24" s="215"/>
      <c r="N24" s="576"/>
      <c r="O24" s="223"/>
    </row>
    <row r="25" spans="1:17" ht="13.4" customHeight="1">
      <c r="C25" s="216" t="s">
        <v>192</v>
      </c>
      <c r="F25" s="588">
        <v>441.4</v>
      </c>
      <c r="G25" s="215" t="s">
        <v>176</v>
      </c>
    </row>
    <row r="26" spans="1:17" ht="12.75" customHeight="1">
      <c r="C26" s="216" t="s">
        <v>193</v>
      </c>
      <c r="D26" s="575"/>
      <c r="E26" s="215"/>
      <c r="F26" s="976">
        <v>7.4</v>
      </c>
      <c r="G26" s="561"/>
      <c r="H26" s="546"/>
    </row>
    <row r="27" spans="1:17" ht="12.75" customHeight="1">
      <c r="C27" s="215" t="s">
        <v>194</v>
      </c>
      <c r="F27" s="976">
        <v>1.6</v>
      </c>
      <c r="G27" s="215"/>
    </row>
    <row r="28" spans="1:17" ht="12.75" customHeight="1">
      <c r="C28" s="215" t="s">
        <v>195</v>
      </c>
      <c r="F28" s="976">
        <v>74.599999999999994</v>
      </c>
      <c r="H28" s="221"/>
    </row>
    <row r="29" spans="1:17" ht="13.4" customHeight="1">
      <c r="C29" s="676" t="s">
        <v>1489</v>
      </c>
      <c r="D29" s="575"/>
      <c r="E29" s="215"/>
      <c r="F29" s="976">
        <v>4.3</v>
      </c>
    </row>
    <row r="30" spans="1:17" ht="13.4" customHeight="1">
      <c r="C30" s="676" t="s">
        <v>1514</v>
      </c>
      <c r="D30" s="575"/>
      <c r="E30" s="215"/>
      <c r="F30" s="976">
        <v>13.3</v>
      </c>
      <c r="G30" s="1332" t="s">
        <v>103</v>
      </c>
    </row>
    <row r="31" spans="1:17" ht="12.75" customHeight="1">
      <c r="C31" s="676" t="s">
        <v>1527</v>
      </c>
      <c r="D31" s="575"/>
      <c r="E31" s="215"/>
      <c r="F31" s="976">
        <v>2.2999999999999998</v>
      </c>
      <c r="K31" s="216"/>
      <c r="L31" s="575"/>
      <c r="M31" s="215"/>
      <c r="N31" s="576"/>
    </row>
    <row r="32" spans="1:17" ht="12.75" customHeight="1">
      <c r="C32" s="676" t="s">
        <v>1515</v>
      </c>
      <c r="D32" s="575"/>
      <c r="E32" s="215"/>
      <c r="F32" s="976">
        <v>90</v>
      </c>
      <c r="K32" s="216"/>
      <c r="L32" s="575"/>
      <c r="M32" s="215"/>
      <c r="N32" s="576"/>
    </row>
    <row r="33" spans="2:20" ht="12.75" customHeight="1">
      <c r="C33" s="676" t="s">
        <v>1528</v>
      </c>
      <c r="D33" s="575"/>
      <c r="E33" s="215"/>
      <c r="F33" s="976">
        <v>10</v>
      </c>
      <c r="K33" s="216"/>
      <c r="L33" s="575"/>
      <c r="M33" s="215"/>
      <c r="N33" s="576"/>
    </row>
    <row r="34" spans="2:20" ht="12.75" customHeight="1">
      <c r="C34" s="676" t="s">
        <v>103</v>
      </c>
      <c r="D34" s="575"/>
      <c r="E34" s="215"/>
      <c r="F34" s="976" t="s">
        <v>103</v>
      </c>
      <c r="G34" s="561"/>
      <c r="K34" s="964"/>
      <c r="L34" s="963"/>
      <c r="M34" s="963"/>
      <c r="N34" s="963"/>
    </row>
    <row r="35" spans="2:20" ht="12.75" customHeight="1">
      <c r="C35" s="676" t="s">
        <v>103</v>
      </c>
      <c r="D35" s="575"/>
      <c r="E35" s="215"/>
      <c r="F35" s="976" t="s">
        <v>103</v>
      </c>
      <c r="G35" s="561"/>
      <c r="K35" s="676"/>
      <c r="L35" s="961"/>
      <c r="M35" s="215"/>
      <c r="N35" s="576"/>
    </row>
    <row r="36" spans="2:20" ht="12.75" customHeight="1">
      <c r="B36" s="216" t="s">
        <v>196</v>
      </c>
      <c r="C36" s="676"/>
      <c r="D36" s="575"/>
      <c r="E36" s="215"/>
      <c r="F36" s="976"/>
      <c r="G36" s="561"/>
    </row>
    <row r="37" spans="2:20" ht="13.4" customHeight="1">
      <c r="B37" s="215" t="s">
        <v>1517</v>
      </c>
      <c r="C37" s="676"/>
      <c r="D37" s="575"/>
      <c r="E37" s="215"/>
      <c r="F37" s="976"/>
      <c r="G37" s="223"/>
    </row>
    <row r="38" spans="2:20" ht="12.75" customHeight="1">
      <c r="B38" s="215" t="s">
        <v>1516</v>
      </c>
      <c r="C38" s="676"/>
      <c r="D38" s="575"/>
      <c r="E38" s="215"/>
      <c r="F38" s="576"/>
      <c r="G38" s="215"/>
    </row>
    <row r="39" spans="2:20" ht="12.75" customHeight="1">
      <c r="B39" s="282"/>
      <c r="C39" s="676"/>
      <c r="D39" s="575"/>
      <c r="E39" s="215"/>
      <c r="F39" s="576"/>
      <c r="G39" s="545"/>
      <c r="R39" s="215"/>
    </row>
    <row r="40" spans="2:20" ht="12.75" customHeight="1">
      <c r="B40" s="215" t="s">
        <v>197</v>
      </c>
      <c r="C40" s="676"/>
      <c r="D40" s="575"/>
      <c r="E40" s="215"/>
      <c r="F40" s="576"/>
      <c r="G40" s="561"/>
      <c r="P40" s="215"/>
      <c r="R40" s="222"/>
    </row>
    <row r="41" spans="2:20" ht="12.75" customHeight="1">
      <c r="B41" s="215" t="s">
        <v>198</v>
      </c>
      <c r="C41" s="676"/>
      <c r="D41" s="575"/>
      <c r="E41" s="215"/>
      <c r="F41" s="576"/>
      <c r="G41" s="561"/>
      <c r="R41" s="222"/>
      <c r="T41" s="278"/>
    </row>
    <row r="42" spans="2:20" ht="12.75" customHeight="1">
      <c r="B42" s="215" t="s">
        <v>1506</v>
      </c>
      <c r="C42" s="676"/>
      <c r="D42" s="575"/>
      <c r="E42" s="215"/>
      <c r="F42" s="576"/>
      <c r="T42" s="278"/>
    </row>
    <row r="43" spans="2:20" ht="13.4" customHeight="1">
      <c r="B43" s="215" t="s">
        <v>1507</v>
      </c>
      <c r="C43" s="676"/>
      <c r="D43" s="575"/>
      <c r="E43" s="215"/>
      <c r="F43" s="576"/>
      <c r="T43" s="278"/>
    </row>
    <row r="44" spans="2:20" ht="12.75" customHeight="1">
      <c r="C44" s="676"/>
      <c r="D44" s="575"/>
      <c r="E44" s="215"/>
      <c r="F44" s="576"/>
      <c r="Q44" s="951"/>
      <c r="T44" s="278"/>
    </row>
    <row r="45" spans="2:20" ht="12.75" customHeight="1">
      <c r="Q45" s="979"/>
      <c r="T45" s="278"/>
    </row>
    <row r="46" spans="2:20" ht="12.75" customHeight="1">
      <c r="T46" s="278"/>
    </row>
    <row r="47" spans="2:20" ht="12.75" customHeight="1">
      <c r="C47" s="676"/>
      <c r="D47" s="575"/>
      <c r="E47" s="215"/>
      <c r="F47" s="576"/>
      <c r="T47" s="278"/>
    </row>
    <row r="48" spans="2:20" ht="12.75" customHeight="1">
      <c r="B48" s="215" t="s">
        <v>103</v>
      </c>
      <c r="C48" s="676"/>
      <c r="D48" s="575"/>
      <c r="E48" s="215"/>
      <c r="F48" s="576"/>
      <c r="P48" s="223"/>
      <c r="S48" s="951"/>
      <c r="T48" s="278"/>
    </row>
    <row r="49" spans="1:19" ht="13.5" customHeight="1">
      <c r="C49" s="676"/>
      <c r="D49" s="575"/>
      <c r="E49" s="215"/>
      <c r="F49" s="576"/>
      <c r="P49" s="223"/>
      <c r="S49" s="951"/>
    </row>
    <row r="50" spans="1:19" ht="12.75" customHeight="1">
      <c r="C50" s="676"/>
      <c r="D50" s="575"/>
      <c r="E50" s="215"/>
      <c r="F50" s="576"/>
      <c r="P50" s="223"/>
    </row>
    <row r="51" spans="1:19" ht="12.75" customHeight="1">
      <c r="C51" s="676"/>
      <c r="D51" s="575"/>
      <c r="E51" s="215"/>
      <c r="F51" s="576"/>
      <c r="P51" s="223"/>
    </row>
    <row r="52" spans="1:19" ht="12.75" customHeight="1">
      <c r="C52" s="676"/>
      <c r="D52" s="575"/>
      <c r="E52" s="215"/>
      <c r="F52" s="576"/>
      <c r="H52" s="577"/>
      <c r="P52" s="223"/>
      <c r="R52" s="227"/>
    </row>
    <row r="53" spans="1:19" ht="12.75" customHeight="1">
      <c r="H53" s="577"/>
      <c r="P53" s="219"/>
      <c r="R53" s="215"/>
    </row>
    <row r="54" spans="1:19" ht="12.75" customHeight="1">
      <c r="H54" s="577"/>
      <c r="P54" s="219"/>
      <c r="R54" s="215"/>
    </row>
    <row r="55" spans="1:19" ht="12.75" customHeight="1">
      <c r="H55" s="577"/>
      <c r="P55" s="219"/>
      <c r="R55" s="215"/>
    </row>
    <row r="56" spans="1:19" ht="12.75" customHeight="1">
      <c r="H56" s="577"/>
      <c r="P56" s="219"/>
    </row>
    <row r="57" spans="1:19" ht="12.75" customHeight="1">
      <c r="H57" s="577"/>
      <c r="P57" s="219"/>
    </row>
    <row r="58" spans="1:19" ht="12.75" customHeight="1">
      <c r="J58" s="216"/>
      <c r="P58" s="219"/>
    </row>
    <row r="59" spans="1:19" ht="12.75" customHeight="1">
      <c r="I59" s="216"/>
      <c r="P59" s="219"/>
      <c r="Q59" s="215"/>
    </row>
    <row r="60" spans="1:19">
      <c r="I60" s="216"/>
      <c r="J60" s="216"/>
      <c r="K60" s="215"/>
      <c r="L60" s="224"/>
      <c r="M60" s="225"/>
      <c r="N60" s="225"/>
      <c r="O60" s="223"/>
      <c r="P60" s="219"/>
      <c r="Q60" s="215"/>
    </row>
    <row r="61" spans="1:19">
      <c r="A61" s="223"/>
      <c r="B61" s="215"/>
      <c r="E61" s="561"/>
      <c r="F61" s="561"/>
      <c r="G61" s="951" t="s">
        <v>103</v>
      </c>
      <c r="I61" s="216"/>
      <c r="J61" s="216"/>
      <c r="K61" s="215"/>
      <c r="L61" s="224"/>
      <c r="M61" s="225"/>
      <c r="N61" s="225"/>
      <c r="Q61" s="215"/>
    </row>
    <row r="62" spans="1:19">
      <c r="A62" s="561"/>
      <c r="B62" s="561"/>
      <c r="C62" s="561"/>
      <c r="D62" s="561"/>
      <c r="E62" s="561"/>
      <c r="F62" s="561"/>
      <c r="G62" s="561"/>
      <c r="I62" s="216"/>
      <c r="P62" s="218"/>
      <c r="Q62" s="215"/>
    </row>
    <row r="63" spans="1:19">
      <c r="B63" s="580"/>
      <c r="I63" s="221"/>
      <c r="J63" s="216"/>
      <c r="P63" s="218"/>
      <c r="Q63" s="215"/>
    </row>
    <row r="64" spans="1:19">
      <c r="J64" s="216"/>
      <c r="P64" s="218"/>
      <c r="Q64" s="215"/>
    </row>
    <row r="65" spans="1:17">
      <c r="C65" s="216"/>
      <c r="D65" s="575"/>
      <c r="E65" s="215"/>
      <c r="F65" s="576"/>
      <c r="J65" s="216"/>
      <c r="P65" s="218"/>
      <c r="Q65" s="215"/>
    </row>
    <row r="66" spans="1:17">
      <c r="C66" s="216"/>
      <c r="D66" s="575"/>
      <c r="E66" s="215"/>
      <c r="F66" s="576"/>
      <c r="P66" s="215"/>
      <c r="Q66" s="215"/>
    </row>
    <row r="67" spans="1:17">
      <c r="C67" s="216"/>
      <c r="D67" s="575"/>
      <c r="E67" s="215"/>
      <c r="F67" s="576"/>
      <c r="P67" s="215"/>
      <c r="Q67" s="215"/>
    </row>
    <row r="68" spans="1:17">
      <c r="C68" s="216"/>
      <c r="D68" s="575"/>
      <c r="E68" s="215"/>
      <c r="F68" s="576"/>
      <c r="I68" s="221"/>
      <c r="J68" s="216"/>
      <c r="P68" s="215"/>
      <c r="Q68" s="215"/>
    </row>
    <row r="69" spans="1:17">
      <c r="C69" s="216"/>
      <c r="D69" s="575"/>
      <c r="E69" s="215"/>
      <c r="F69" s="576"/>
      <c r="I69" s="216"/>
      <c r="J69" s="216"/>
      <c r="P69" s="215"/>
      <c r="Q69" s="215"/>
    </row>
    <row r="70" spans="1:17">
      <c r="C70" s="216"/>
      <c r="D70" s="575"/>
      <c r="E70" s="215"/>
      <c r="F70" s="576"/>
      <c r="I70" s="216"/>
      <c r="J70" s="216"/>
      <c r="P70" s="215"/>
      <c r="Q70" s="215"/>
    </row>
    <row r="71" spans="1:17">
      <c r="C71" s="216"/>
      <c r="D71" s="575"/>
      <c r="E71" s="215"/>
      <c r="F71" s="576"/>
      <c r="I71" s="216"/>
      <c r="J71" s="216"/>
      <c r="P71" s="215"/>
      <c r="Q71" s="215"/>
    </row>
    <row r="72" spans="1:17">
      <c r="G72" s="1332" t="s">
        <v>103</v>
      </c>
      <c r="I72" s="218"/>
      <c r="P72" s="215"/>
      <c r="Q72" s="215"/>
    </row>
    <row r="73" spans="1:17">
      <c r="I73" s="218"/>
      <c r="P73" s="215"/>
      <c r="Q73" s="215"/>
    </row>
    <row r="74" spans="1:17">
      <c r="A74" s="282"/>
      <c r="I74" s="218"/>
      <c r="O74" s="215"/>
      <c r="Q74" s="215"/>
    </row>
    <row r="75" spans="1:17">
      <c r="A75" s="282"/>
      <c r="I75" s="561"/>
      <c r="O75" s="215"/>
      <c r="P75" s="215"/>
      <c r="Q75" s="215"/>
    </row>
    <row r="76" spans="1:17">
      <c r="A76" s="282"/>
      <c r="I76" s="215"/>
      <c r="J76" s="216"/>
      <c r="K76" s="215"/>
      <c r="L76" s="224"/>
      <c r="M76" s="225"/>
      <c r="N76" s="225"/>
      <c r="O76" s="215"/>
      <c r="P76" s="226"/>
      <c r="Q76" s="215"/>
    </row>
    <row r="77" spans="1:17">
      <c r="A77" s="282"/>
      <c r="I77" s="216"/>
      <c r="J77" s="216"/>
      <c r="K77" s="215"/>
      <c r="L77" s="224"/>
      <c r="M77" s="225"/>
      <c r="N77" s="225"/>
      <c r="O77" s="215"/>
      <c r="P77" s="215"/>
      <c r="Q77" s="215"/>
    </row>
    <row r="78" spans="1:17">
      <c r="A78" s="282"/>
      <c r="I78" s="216"/>
      <c r="J78" s="546"/>
      <c r="K78" s="215"/>
      <c r="L78" s="224"/>
      <c r="M78" s="225"/>
      <c r="N78" s="225"/>
      <c r="O78" s="215"/>
      <c r="P78" s="228"/>
      <c r="Q78" s="215"/>
    </row>
    <row r="79" spans="1:17">
      <c r="A79" s="282"/>
      <c r="I79" s="216"/>
      <c r="J79" s="546"/>
      <c r="K79" s="215"/>
      <c r="L79" s="224"/>
      <c r="M79" s="225"/>
      <c r="N79" s="225"/>
      <c r="O79" s="215"/>
      <c r="P79" s="215"/>
    </row>
    <row r="80" spans="1:17">
      <c r="A80" s="282"/>
      <c r="I80" s="216"/>
      <c r="O80" s="215"/>
      <c r="P80" s="215"/>
      <c r="Q80" s="215"/>
    </row>
    <row r="81" spans="1:17">
      <c r="A81" s="282"/>
      <c r="I81" s="216"/>
      <c r="O81" s="215"/>
      <c r="P81" s="215"/>
      <c r="Q81" s="215"/>
    </row>
    <row r="82" spans="1:17">
      <c r="A82" s="282"/>
      <c r="I82" s="216"/>
      <c r="J82" s="216"/>
      <c r="K82" s="215"/>
      <c r="L82" s="215"/>
      <c r="M82" s="215"/>
      <c r="N82" s="215"/>
      <c r="O82" s="215"/>
      <c r="P82" s="215"/>
      <c r="Q82" s="215"/>
    </row>
    <row r="83" spans="1:17">
      <c r="A83" s="282"/>
      <c r="I83" s="216"/>
      <c r="J83" s="216"/>
      <c r="K83" s="215"/>
      <c r="L83" s="215"/>
      <c r="M83" s="215"/>
      <c r="N83" s="215"/>
      <c r="O83" s="215"/>
      <c r="P83" s="215"/>
      <c r="Q83" s="215"/>
    </row>
    <row r="84" spans="1:17">
      <c r="A84" s="282"/>
      <c r="I84" s="216"/>
      <c r="J84" s="216"/>
      <c r="K84" s="215"/>
      <c r="L84" s="215"/>
      <c r="M84" s="215"/>
      <c r="N84" s="215"/>
      <c r="O84" s="215"/>
      <c r="P84" s="227"/>
    </row>
    <row r="85" spans="1:17">
      <c r="A85" s="282"/>
      <c r="I85" s="215"/>
      <c r="J85" s="216"/>
      <c r="K85" s="215"/>
      <c r="L85" s="215"/>
      <c r="M85" s="215"/>
      <c r="N85" s="215"/>
    </row>
    <row r="86" spans="1:17">
      <c r="I86" s="215"/>
      <c r="J86" s="216"/>
      <c r="K86" s="215"/>
      <c r="L86" s="215"/>
      <c r="M86" s="215"/>
      <c r="N86" s="215"/>
      <c r="O86" s="215"/>
    </row>
    <row r="87" spans="1:17">
      <c r="D87" s="688"/>
      <c r="E87" s="215"/>
      <c r="F87" s="577"/>
      <c r="G87" s="223"/>
      <c r="I87" s="215"/>
      <c r="J87" s="216"/>
      <c r="K87" s="215"/>
      <c r="L87" s="215"/>
      <c r="M87" s="215"/>
      <c r="N87" s="215"/>
      <c r="O87" s="215"/>
    </row>
    <row r="88" spans="1:17">
      <c r="C88" s="676"/>
      <c r="D88" s="688"/>
      <c r="E88" s="215"/>
      <c r="F88" s="577"/>
      <c r="G88" s="223"/>
      <c r="I88" s="215"/>
      <c r="J88" s="216"/>
      <c r="K88" s="215"/>
      <c r="L88" s="215"/>
      <c r="M88" s="215"/>
      <c r="N88" s="215"/>
      <c r="O88" s="215"/>
    </row>
    <row r="89" spans="1:17">
      <c r="C89" s="676"/>
      <c r="D89" s="575"/>
      <c r="E89" s="215"/>
      <c r="F89" s="576"/>
      <c r="G89" s="223"/>
      <c r="I89" s="215"/>
      <c r="J89" s="216"/>
      <c r="K89" s="215"/>
      <c r="L89" s="215"/>
      <c r="M89" s="215"/>
      <c r="N89" s="215"/>
      <c r="O89" s="215"/>
    </row>
    <row r="90" spans="1:17">
      <c r="C90" s="216"/>
      <c r="J90" s="216"/>
      <c r="K90" s="215"/>
      <c r="L90" s="215"/>
      <c r="M90" s="215"/>
      <c r="N90" s="215"/>
    </row>
    <row r="91" spans="1:17">
      <c r="B91" s="561"/>
      <c r="C91" s="561"/>
      <c r="D91" s="561"/>
      <c r="E91" s="561"/>
      <c r="F91" s="561"/>
      <c r="G91" s="561"/>
      <c r="J91" s="216"/>
      <c r="K91" s="215"/>
      <c r="L91" s="215"/>
      <c r="M91" s="215"/>
      <c r="N91" s="215"/>
    </row>
    <row r="92" spans="1:17">
      <c r="B92" s="561"/>
      <c r="C92" s="561"/>
      <c r="D92" s="561"/>
      <c r="E92" s="561"/>
      <c r="F92" s="561"/>
      <c r="G92" s="561"/>
      <c r="J92" s="216"/>
      <c r="K92" s="215"/>
      <c r="L92" s="215"/>
      <c r="M92" s="215"/>
      <c r="N92" s="215"/>
    </row>
    <row r="93" spans="1:17">
      <c r="A93" s="561"/>
      <c r="B93" s="561"/>
      <c r="C93" s="561"/>
      <c r="D93" s="561"/>
      <c r="E93" s="561"/>
      <c r="F93" s="561"/>
      <c r="J93" s="216"/>
      <c r="K93" s="215"/>
      <c r="L93" s="215"/>
      <c r="M93" s="215"/>
      <c r="N93" s="215"/>
    </row>
    <row r="94" spans="1:17">
      <c r="A94" s="561"/>
      <c r="J94" s="216"/>
      <c r="K94" s="215"/>
      <c r="L94" s="215"/>
      <c r="M94" s="215"/>
      <c r="N94" s="215"/>
    </row>
    <row r="95" spans="1:17">
      <c r="A95" s="561"/>
      <c r="I95" s="561"/>
      <c r="J95" s="216"/>
      <c r="K95" s="215"/>
      <c r="L95" s="215"/>
      <c r="M95" s="215"/>
      <c r="N95" s="215"/>
    </row>
    <row r="96" spans="1:17">
      <c r="A96" s="561"/>
      <c r="I96" s="561"/>
      <c r="J96" s="216"/>
      <c r="K96" s="215"/>
      <c r="L96" s="215"/>
      <c r="M96" s="215"/>
      <c r="N96" s="215"/>
    </row>
    <row r="97" spans="10:14">
      <c r="J97" s="216"/>
      <c r="K97" s="215"/>
      <c r="L97" s="229"/>
    </row>
    <row r="98" spans="10:14">
      <c r="J98" s="216"/>
      <c r="K98" s="215"/>
      <c r="L98" s="229"/>
      <c r="M98" s="215"/>
      <c r="N98" s="224"/>
    </row>
    <row r="99" spans="10:14">
      <c r="J99" s="215"/>
      <c r="K99" s="229"/>
      <c r="L99" s="561"/>
      <c r="M99" s="561"/>
      <c r="N99" s="561"/>
    </row>
    <row r="100" spans="10:14">
      <c r="J100" s="215"/>
      <c r="K100" s="230"/>
      <c r="L100" s="561"/>
      <c r="M100" s="561"/>
      <c r="N100" s="561"/>
    </row>
    <row r="101" spans="10:14">
      <c r="J101" s="215"/>
      <c r="K101" s="215"/>
      <c r="L101" s="561"/>
      <c r="M101" s="561"/>
      <c r="N101" s="561"/>
    </row>
    <row r="102" spans="10:14">
      <c r="J102" s="215"/>
      <c r="K102" s="215"/>
      <c r="L102" s="561"/>
      <c r="M102" s="561"/>
      <c r="N102" s="561"/>
    </row>
    <row r="103" spans="10:14">
      <c r="J103" s="215"/>
      <c r="L103" s="561"/>
      <c r="M103" s="561"/>
      <c r="N103" s="561"/>
    </row>
    <row r="107" spans="10:14">
      <c r="J107" s="561"/>
      <c r="K107" s="561"/>
      <c r="L107" s="561"/>
      <c r="M107" s="561"/>
      <c r="N107" s="561"/>
    </row>
    <row r="108" spans="10:14">
      <c r="J108" s="561"/>
      <c r="K108" s="561"/>
      <c r="L108" s="561"/>
      <c r="M108" s="561"/>
      <c r="N108" s="561"/>
    </row>
    <row r="109" spans="10:14">
      <c r="J109" s="561"/>
      <c r="K109" s="561"/>
      <c r="L109" s="561"/>
      <c r="M109" s="561"/>
      <c r="N109" s="561"/>
    </row>
    <row r="110" spans="10:14">
      <c r="J110" s="561"/>
      <c r="K110" s="561"/>
      <c r="L110" s="561"/>
      <c r="M110" s="561"/>
      <c r="N110" s="561"/>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0" max="14" man="1"/>
  </rowBreaks>
  <customProperties>
    <customPr name="SheetOptions" r:id="rId2"/>
  </customPropertie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N61"/>
  <sheetViews>
    <sheetView showGridLines="0" zoomScale="90" workbookViewId="0"/>
  </sheetViews>
  <sheetFormatPr defaultColWidth="8.84375" defaultRowHeight="15.5"/>
  <cols>
    <col min="1" max="1" width="1.84375" style="441" customWidth="1"/>
    <col min="2" max="2" width="48" style="441" customWidth="1"/>
    <col min="3" max="3" width="4.53515625" style="442" customWidth="1"/>
    <col min="4" max="4" width="19" style="442" customWidth="1"/>
    <col min="5" max="6" width="1.84375" style="442" customWidth="1"/>
    <col min="7" max="7" width="19" style="442" customWidth="1"/>
    <col min="8" max="8" width="8.84375" style="442"/>
    <col min="9" max="9" width="10.07421875" style="442" customWidth="1"/>
    <col min="10" max="10" width="1.84375" style="442" customWidth="1"/>
    <col min="11" max="16384" width="8.84375" style="441"/>
  </cols>
  <sheetData>
    <row r="1" spans="1:35">
      <c r="B1" s="265" t="s">
        <v>97</v>
      </c>
    </row>
    <row r="3" spans="1:35" ht="18">
      <c r="G3" s="506" t="s">
        <v>1042</v>
      </c>
    </row>
    <row r="4" spans="1:35" s="445" customFormat="1" ht="18.75" customHeight="1">
      <c r="A4" s="443"/>
      <c r="B4" s="507" t="s">
        <v>949</v>
      </c>
      <c r="C4" s="511"/>
      <c r="D4" s="511"/>
      <c r="E4" s="456"/>
      <c r="F4" s="508"/>
      <c r="G4" s="511"/>
      <c r="H4" s="444"/>
      <c r="I4" s="444"/>
      <c r="J4" s="444"/>
    </row>
    <row r="5" spans="1:35" s="445" customFormat="1" ht="18.75" customHeight="1">
      <c r="A5" s="443"/>
      <c r="B5" s="507" t="s">
        <v>1043</v>
      </c>
      <c r="C5" s="446"/>
      <c r="D5" s="446"/>
      <c r="E5" s="507"/>
      <c r="F5" s="507"/>
      <c r="G5" s="446"/>
      <c r="H5" s="444"/>
      <c r="I5" s="444"/>
      <c r="J5" s="444"/>
    </row>
    <row r="6" spans="1:35" s="445" customFormat="1" ht="18.75" customHeight="1">
      <c r="A6" s="443"/>
      <c r="B6" s="507" t="str">
        <f>'Public Goods '!A6</f>
        <v>FISCAL YEAR 2026-2027</v>
      </c>
      <c r="C6" s="511"/>
      <c r="D6" s="511"/>
      <c r="E6" s="664"/>
      <c r="F6" s="507"/>
      <c r="G6" s="511"/>
      <c r="H6" s="444"/>
      <c r="I6" s="444"/>
      <c r="J6" s="444"/>
    </row>
    <row r="7" spans="1:35" s="445" customFormat="1" ht="18" customHeight="1">
      <c r="A7" s="443"/>
      <c r="B7" s="666"/>
      <c r="C7" s="512"/>
      <c r="D7" s="512"/>
      <c r="E7" s="665"/>
      <c r="F7" s="509"/>
      <c r="G7" s="512"/>
      <c r="H7" s="444"/>
      <c r="I7" s="444"/>
      <c r="J7" s="444"/>
    </row>
    <row r="8" spans="1:35" s="445" customFormat="1" ht="18" customHeight="1">
      <c r="A8" s="443"/>
      <c r="B8" s="666"/>
      <c r="C8" s="447"/>
      <c r="D8" s="447"/>
      <c r="E8" s="467"/>
      <c r="F8" s="510"/>
      <c r="G8" s="447"/>
      <c r="H8" s="444"/>
      <c r="I8" s="444"/>
      <c r="J8" s="444"/>
    </row>
    <row r="9" spans="1:35" s="450" customFormat="1">
      <c r="A9" s="448"/>
      <c r="B9" s="448"/>
      <c r="C9" s="449"/>
      <c r="D9" s="582">
        <v>2026</v>
      </c>
      <c r="E9" s="582"/>
      <c r="F9" s="449"/>
      <c r="G9" s="449"/>
      <c r="H9" s="449"/>
      <c r="I9" s="449"/>
      <c r="J9" s="449"/>
    </row>
    <row r="10" spans="1:35">
      <c r="D10" s="1250" t="s">
        <v>329</v>
      </c>
      <c r="E10" s="451"/>
      <c r="G10" s="451" t="str">
        <f>'Public Goods '!G10</f>
        <v>2026-2027</v>
      </c>
    </row>
    <row r="11" spans="1:35">
      <c r="G11" s="623"/>
    </row>
    <row r="12" spans="1:35" s="450" customFormat="1">
      <c r="B12" s="450" t="s">
        <v>923</v>
      </c>
      <c r="C12" s="449"/>
      <c r="D12" s="452">
        <v>2378.48</v>
      </c>
      <c r="E12" s="452"/>
      <c r="F12" s="468"/>
      <c r="G12" s="452">
        <f>D12</f>
        <v>2378.48</v>
      </c>
      <c r="H12" s="449"/>
      <c r="I12" s="449"/>
      <c r="J12" s="449"/>
      <c r="K12" s="453"/>
      <c r="L12" s="453"/>
      <c r="M12" s="453"/>
      <c r="N12" s="453"/>
      <c r="O12" s="453"/>
      <c r="P12" s="453"/>
      <c r="Q12" s="453"/>
      <c r="R12" s="453"/>
      <c r="S12" s="453"/>
      <c r="T12" s="453"/>
      <c r="U12" s="453"/>
      <c r="V12" s="454"/>
      <c r="W12" s="454"/>
      <c r="X12" s="454"/>
      <c r="Y12" s="454"/>
      <c r="Z12" s="454"/>
      <c r="AA12" s="454"/>
      <c r="AB12" s="454"/>
      <c r="AC12" s="454"/>
      <c r="AD12" s="454"/>
      <c r="AE12" s="454"/>
      <c r="AF12" s="454"/>
      <c r="AG12" s="454"/>
      <c r="AH12" s="454"/>
      <c r="AI12" s="454"/>
    </row>
    <row r="13" spans="1:35" s="450" customFormat="1">
      <c r="C13" s="449"/>
      <c r="D13" s="452"/>
      <c r="E13" s="452"/>
      <c r="F13" s="469"/>
      <c r="G13" s="452"/>
      <c r="H13" s="449"/>
      <c r="I13" s="449"/>
      <c r="J13" s="449"/>
      <c r="K13" s="453"/>
      <c r="L13" s="453"/>
      <c r="M13" s="453"/>
      <c r="N13" s="453"/>
      <c r="O13" s="453"/>
      <c r="P13" s="453"/>
      <c r="Q13" s="453"/>
      <c r="R13" s="453"/>
      <c r="S13" s="453"/>
      <c r="T13" s="453"/>
      <c r="U13" s="453"/>
      <c r="V13" s="454"/>
      <c r="W13" s="454"/>
      <c r="X13" s="454"/>
      <c r="Y13" s="454"/>
      <c r="Z13" s="454"/>
      <c r="AA13" s="454"/>
      <c r="AB13" s="454"/>
      <c r="AC13" s="454"/>
      <c r="AD13" s="454"/>
      <c r="AE13" s="454"/>
      <c r="AF13" s="454"/>
      <c r="AG13" s="454"/>
      <c r="AH13" s="454"/>
      <c r="AI13" s="454"/>
    </row>
    <row r="14" spans="1:35">
      <c r="B14" s="450" t="s">
        <v>114</v>
      </c>
      <c r="F14" s="470"/>
    </row>
    <row r="15" spans="1:35">
      <c r="B15" s="446" t="s">
        <v>1020</v>
      </c>
      <c r="D15" s="455">
        <v>0</v>
      </c>
      <c r="E15" s="455"/>
      <c r="F15" s="470"/>
      <c r="G15" s="455">
        <f>ROUND(SUM(D15:E15),2)</f>
        <v>0</v>
      </c>
    </row>
    <row r="16" spans="1:35" s="450" customFormat="1">
      <c r="B16" s="450" t="s">
        <v>427</v>
      </c>
      <c r="C16" s="449"/>
      <c r="D16" s="624">
        <f>ROUND(SUM(D15:D15),2)</f>
        <v>0</v>
      </c>
      <c r="E16" s="473"/>
      <c r="F16" s="470"/>
      <c r="G16" s="624">
        <f>ROUND(SUM(G15:G15),2)</f>
        <v>0</v>
      </c>
      <c r="H16" s="449"/>
      <c r="I16" s="442"/>
      <c r="J16" s="449"/>
    </row>
    <row r="17" spans="2:10">
      <c r="D17" s="455"/>
      <c r="E17" s="455"/>
      <c r="F17" s="470"/>
      <c r="G17" s="625"/>
    </row>
    <row r="18" spans="2:10">
      <c r="B18" s="450" t="s">
        <v>1044</v>
      </c>
      <c r="D18" s="455"/>
      <c r="E18" s="455"/>
      <c r="F18" s="470"/>
      <c r="G18" s="455"/>
    </row>
    <row r="19" spans="2:10">
      <c r="B19" s="446" t="s">
        <v>1045</v>
      </c>
      <c r="D19" s="455">
        <v>0</v>
      </c>
      <c r="E19" s="455"/>
      <c r="F19" s="470"/>
      <c r="G19" s="455">
        <f>ROUND(SUM(D19:E19),2)</f>
        <v>0</v>
      </c>
    </row>
    <row r="20" spans="2:10">
      <c r="B20" s="446" t="s">
        <v>1046</v>
      </c>
      <c r="D20" s="455">
        <v>0</v>
      </c>
      <c r="E20" s="455"/>
      <c r="F20" s="470"/>
      <c r="G20" s="455">
        <f>ROUND(SUM(D20:E20),2)</f>
        <v>0</v>
      </c>
    </row>
    <row r="21" spans="2:10">
      <c r="B21" s="446" t="s">
        <v>1047</v>
      </c>
      <c r="D21" s="455">
        <v>0</v>
      </c>
      <c r="E21" s="455"/>
      <c r="F21" s="471"/>
      <c r="G21" s="455">
        <f>ROUND(SUM(D21:E21),2)</f>
        <v>0</v>
      </c>
    </row>
    <row r="22" spans="2:10" s="450" customFormat="1">
      <c r="B22" s="456" t="s">
        <v>1048</v>
      </c>
      <c r="C22" s="449"/>
      <c r="D22" s="626">
        <f>ROUND(SUM(D18:D21),2)</f>
        <v>0</v>
      </c>
      <c r="E22" s="473"/>
      <c r="F22" s="472"/>
      <c r="G22" s="626">
        <f>ROUND(SUM(G18:G21),2)</f>
        <v>0</v>
      </c>
      <c r="H22" s="449"/>
      <c r="I22" s="442"/>
      <c r="J22" s="449"/>
    </row>
    <row r="23" spans="2:10">
      <c r="B23" s="457"/>
      <c r="D23" s="625"/>
      <c r="E23" s="455"/>
      <c r="F23" s="470"/>
      <c r="G23" s="625"/>
    </row>
    <row r="24" spans="2:10" s="450" customFormat="1">
      <c r="B24" s="450" t="s">
        <v>1049</v>
      </c>
      <c r="C24" s="449"/>
      <c r="D24" s="458">
        <f>ROUND(+D16+D22,2)</f>
        <v>0</v>
      </c>
      <c r="E24" s="458"/>
      <c r="F24" s="470"/>
      <c r="G24" s="458">
        <f>ROUND(+G16+G22,2)</f>
        <v>0</v>
      </c>
      <c r="H24" s="449"/>
      <c r="I24" s="442"/>
      <c r="J24" s="449"/>
    </row>
    <row r="25" spans="2:10">
      <c r="D25" s="625"/>
      <c r="E25" s="455"/>
      <c r="F25" s="470"/>
      <c r="G25" s="625"/>
    </row>
    <row r="26" spans="2:10">
      <c r="B26" s="450" t="s">
        <v>145</v>
      </c>
      <c r="D26" s="455"/>
      <c r="E26" s="455"/>
      <c r="F26" s="470"/>
      <c r="G26" s="455"/>
    </row>
    <row r="27" spans="2:10">
      <c r="B27" s="450" t="s">
        <v>1028</v>
      </c>
      <c r="D27" s="455"/>
      <c r="E27" s="455"/>
      <c r="F27" s="471"/>
      <c r="G27" s="455"/>
    </row>
    <row r="28" spans="2:10">
      <c r="B28" s="446" t="s">
        <v>1050</v>
      </c>
      <c r="D28" s="455">
        <v>0</v>
      </c>
      <c r="E28" s="455"/>
      <c r="F28" s="472"/>
      <c r="G28" s="455">
        <f>ROUND(SUM(D28:E28),2)</f>
        <v>0</v>
      </c>
    </row>
    <row r="29" spans="2:10">
      <c r="B29" s="446" t="s">
        <v>1035</v>
      </c>
      <c r="D29" s="455">
        <v>0</v>
      </c>
      <c r="E29" s="455"/>
      <c r="F29" s="470"/>
      <c r="G29" s="455">
        <f>ROUND(SUM(D29:E29),2)</f>
        <v>0</v>
      </c>
    </row>
    <row r="30" spans="2:10">
      <c r="B30" s="450" t="s">
        <v>1031</v>
      </c>
      <c r="D30" s="455"/>
      <c r="E30" s="455"/>
      <c r="F30" s="475"/>
      <c r="G30" s="455"/>
    </row>
    <row r="31" spans="2:10">
      <c r="B31" s="446" t="s">
        <v>1051</v>
      </c>
      <c r="D31" s="455">
        <v>0</v>
      </c>
      <c r="E31" s="455"/>
      <c r="F31" s="470"/>
      <c r="G31" s="455">
        <f>ROUND(SUM(D31:E31),2)</f>
        <v>0</v>
      </c>
    </row>
    <row r="32" spans="2:10">
      <c r="B32" s="446" t="s">
        <v>1052</v>
      </c>
      <c r="D32" s="455">
        <v>0</v>
      </c>
      <c r="E32" s="455"/>
      <c r="F32" s="470"/>
      <c r="G32" s="455">
        <f>ROUND(SUM(D32:E32),2)</f>
        <v>0</v>
      </c>
    </row>
    <row r="33" spans="2:40">
      <c r="B33" s="446" t="s">
        <v>1053</v>
      </c>
      <c r="D33" s="455">
        <v>0</v>
      </c>
      <c r="E33" s="455"/>
      <c r="F33" s="470"/>
      <c r="G33" s="455">
        <f>ROUND(SUM(D33:E33),2)</f>
        <v>0</v>
      </c>
    </row>
    <row r="34" spans="2:40">
      <c r="B34" s="446" t="s">
        <v>1047</v>
      </c>
      <c r="D34" s="1254">
        <v>0</v>
      </c>
      <c r="E34" s="455"/>
      <c r="F34" s="470"/>
      <c r="G34" s="455">
        <f>ROUND(SUM(D34:D34),2)</f>
        <v>0</v>
      </c>
    </row>
    <row r="35" spans="2:40" s="450" customFormat="1">
      <c r="B35" s="450" t="s">
        <v>1033</v>
      </c>
      <c r="C35" s="449"/>
      <c r="D35" s="627">
        <f>ROUND(SUM(D28:D34),2)</f>
        <v>0</v>
      </c>
      <c r="E35" s="473"/>
      <c r="F35" s="470"/>
      <c r="G35" s="627">
        <f>ROUND(SUM(G28:G34),2)</f>
        <v>0</v>
      </c>
      <c r="H35" s="449"/>
      <c r="I35" s="442"/>
      <c r="J35" s="449"/>
    </row>
    <row r="36" spans="2:40">
      <c r="D36" s="455"/>
      <c r="E36" s="455"/>
      <c r="F36" s="470"/>
      <c r="G36" s="455"/>
    </row>
    <row r="37" spans="2:40">
      <c r="B37" s="450" t="s">
        <v>1034</v>
      </c>
      <c r="D37" s="455"/>
      <c r="E37" s="455"/>
      <c r="F37" s="470"/>
      <c r="G37" s="455"/>
    </row>
    <row r="38" spans="2:40">
      <c r="B38" s="441" t="s">
        <v>1050</v>
      </c>
      <c r="D38" s="459">
        <v>0</v>
      </c>
      <c r="E38" s="459"/>
      <c r="F38" s="472"/>
      <c r="G38" s="455">
        <f>ROUND(SUM(D38:E38),2)</f>
        <v>0</v>
      </c>
    </row>
    <row r="39" spans="2:40">
      <c r="B39" s="441" t="s">
        <v>1035</v>
      </c>
      <c r="D39" s="455">
        <v>0</v>
      </c>
      <c r="E39" s="455"/>
      <c r="F39" s="470"/>
      <c r="G39" s="455">
        <f>ROUND(SUM(D39:E39),2)</f>
        <v>0</v>
      </c>
    </row>
    <row r="40" spans="2:40">
      <c r="B40" s="450" t="s">
        <v>1036</v>
      </c>
      <c r="D40" s="455"/>
      <c r="E40" s="455"/>
      <c r="F40" s="470"/>
      <c r="G40" s="455"/>
    </row>
    <row r="41" spans="2:40">
      <c r="B41" s="446" t="s">
        <v>1054</v>
      </c>
      <c r="D41" s="455">
        <v>-2378.48</v>
      </c>
      <c r="E41" s="455"/>
      <c r="F41" s="470"/>
      <c r="G41" s="455">
        <f>ROUND(SUM(D41:E41),2)</f>
        <v>-2378.48</v>
      </c>
    </row>
    <row r="42" spans="2:40">
      <c r="B42" s="938" t="s">
        <v>1055</v>
      </c>
      <c r="D42" s="1254">
        <v>0</v>
      </c>
      <c r="E42" s="455"/>
      <c r="F42" s="470"/>
      <c r="G42" s="455">
        <f>ROUND(SUM(D42:E42),2)</f>
        <v>0</v>
      </c>
    </row>
    <row r="43" spans="2:40" s="450" customFormat="1">
      <c r="B43" s="450" t="s">
        <v>1037</v>
      </c>
      <c r="C43" s="449"/>
      <c r="D43" s="627">
        <f>SUM(D38:D42)</f>
        <v>-2378.48</v>
      </c>
      <c r="E43" s="473"/>
      <c r="F43" s="470"/>
      <c r="G43" s="627">
        <f>SUM(G38:G42)</f>
        <v>-2378.48</v>
      </c>
      <c r="H43" s="449"/>
      <c r="I43" s="442"/>
      <c r="J43" s="449"/>
    </row>
    <row r="44" spans="2:40">
      <c r="D44" s="455"/>
      <c r="E44" s="455"/>
      <c r="F44" s="470"/>
      <c r="G44" s="455"/>
    </row>
    <row r="45" spans="2:40">
      <c r="B45" s="450" t="s">
        <v>1056</v>
      </c>
      <c r="D45" s="455"/>
      <c r="E45" s="455"/>
      <c r="F45" s="470"/>
      <c r="G45" s="455"/>
    </row>
    <row r="46" spans="2:40">
      <c r="B46" s="450" t="s">
        <v>1057</v>
      </c>
      <c r="D46" s="1255">
        <f>ROUND(+D24+D35+D43,2)</f>
        <v>-2378.48</v>
      </c>
      <c r="E46" s="458"/>
      <c r="F46" s="470"/>
      <c r="G46" s="1089">
        <f>ROUND(+G24+G35+G43,2)</f>
        <v>-2378.48</v>
      </c>
    </row>
    <row r="47" spans="2:40">
      <c r="F47" s="472"/>
      <c r="G47" s="460"/>
    </row>
    <row r="48" spans="2:40" s="450" customFormat="1" ht="16" thickBot="1">
      <c r="B48" s="450" t="s">
        <v>1040</v>
      </c>
      <c r="C48" s="461"/>
      <c r="D48" s="1256">
        <f>ROUND(D12+D46,2)</f>
        <v>0</v>
      </c>
      <c r="E48" s="1333"/>
      <c r="F48" s="470"/>
      <c r="G48" s="1090">
        <f>ROUND(G12+G46,2)</f>
        <v>0</v>
      </c>
      <c r="H48" s="449"/>
      <c r="I48" s="442"/>
      <c r="J48" s="449"/>
      <c r="K48" s="462"/>
      <c r="L48" s="462"/>
      <c r="M48" s="462"/>
      <c r="N48" s="462"/>
      <c r="O48" s="462"/>
      <c r="P48" s="462"/>
      <c r="Q48" s="462"/>
      <c r="R48" s="462"/>
      <c r="S48" s="462"/>
      <c r="T48" s="462"/>
      <c r="U48" s="462"/>
      <c r="V48" s="462"/>
      <c r="W48" s="462"/>
      <c r="X48" s="462"/>
      <c r="Y48" s="462"/>
      <c r="Z48" s="462"/>
      <c r="AA48" s="462"/>
      <c r="AB48" s="462"/>
      <c r="AC48" s="462"/>
      <c r="AD48" s="462"/>
      <c r="AE48" s="462"/>
      <c r="AF48" s="462"/>
      <c r="AG48" s="462"/>
      <c r="AH48" s="462"/>
      <c r="AI48" s="462"/>
      <c r="AJ48" s="462"/>
      <c r="AK48" s="462"/>
      <c r="AL48" s="462"/>
      <c r="AM48" s="462"/>
      <c r="AN48" s="462"/>
    </row>
    <row r="49" spans="2:6" ht="16" thickTop="1">
      <c r="B49" s="441" t="s">
        <v>103</v>
      </c>
      <c r="E49" s="455"/>
      <c r="F49" s="455"/>
    </row>
    <row r="50" spans="2:6">
      <c r="B50" s="446" t="s">
        <v>1041</v>
      </c>
      <c r="E50" s="473"/>
      <c r="F50" s="473"/>
    </row>
    <row r="51" spans="2:6">
      <c r="B51" s="457"/>
    </row>
    <row r="52" spans="2:6">
      <c r="E52" s="452"/>
      <c r="F52" s="452"/>
    </row>
    <row r="59" spans="2:6">
      <c r="B59" s="463"/>
      <c r="C59" s="449"/>
      <c r="D59" s="449"/>
    </row>
    <row r="61" spans="2:6">
      <c r="C61" s="449"/>
    </row>
  </sheetData>
  <printOptions horizontalCentered="1"/>
  <pageMargins left="0.24" right="0.24" top="0.5" bottom="0.5" header="0.18" footer="0.25"/>
  <pageSetup scale="70" firstPageNumber="50"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4"/>
  <sheetViews>
    <sheetView showGridLines="0" zoomScale="80" zoomScaleNormal="80" workbookViewId="0"/>
  </sheetViews>
  <sheetFormatPr defaultColWidth="8.84375" defaultRowHeight="12.5"/>
  <cols>
    <col min="1" max="1" width="54.84375" style="120" customWidth="1"/>
    <col min="2" max="2" width="1.84375" style="120" customWidth="1"/>
    <col min="3" max="3" width="11.84375" style="120" customWidth="1"/>
    <col min="4" max="4" width="1.84375" style="120" customWidth="1"/>
    <col min="5" max="5" width="11.84375" style="120" customWidth="1"/>
    <col min="6" max="6" width="1.84375" style="120" customWidth="1"/>
    <col min="7" max="7" width="11.84375" style="120" customWidth="1"/>
    <col min="8" max="8" width="1.84375" style="120" customWidth="1"/>
    <col min="9" max="9" width="11.84375" style="120" customWidth="1"/>
    <col min="10" max="10" width="1.84375" style="120" customWidth="1"/>
    <col min="11" max="11" width="11.84375" style="120" customWidth="1"/>
    <col min="12" max="12" width="1.84375" style="120" customWidth="1"/>
    <col min="13" max="13" width="14.84375" style="120" customWidth="1"/>
    <col min="14" max="14" width="1.84375" style="120" customWidth="1"/>
    <col min="15" max="15" width="14" style="120" customWidth="1"/>
    <col min="16" max="16" width="1.84375" style="120" customWidth="1"/>
    <col min="17" max="17" width="14.84375" style="120" customWidth="1"/>
    <col min="18" max="18" width="1.84375" style="120" customWidth="1"/>
    <col min="19" max="19" width="13.53515625" style="120" bestFit="1" customWidth="1"/>
    <col min="20" max="20" width="1.84375" style="120" customWidth="1"/>
    <col min="21" max="21" width="12.84375" style="120" customWidth="1"/>
    <col min="22" max="22" width="1.84375" style="120" customWidth="1"/>
    <col min="23" max="23" width="12.84375" style="120" customWidth="1"/>
    <col min="24" max="24" width="1.84375" style="120" customWidth="1"/>
    <col min="25" max="25" width="12.84375" style="120" customWidth="1"/>
    <col min="26" max="26" width="1.84375" style="120" customWidth="1"/>
    <col min="27" max="27" width="14.07421875" style="121" customWidth="1"/>
    <col min="28" max="28" width="3.84375" style="120" customWidth="1"/>
    <col min="29" max="29" width="5.84375" style="120" customWidth="1"/>
    <col min="30" max="30" width="10.07421875" style="120" customWidth="1"/>
    <col min="31" max="31" width="2.84375" style="120" customWidth="1"/>
    <col min="32" max="16384" width="8.84375" style="120"/>
  </cols>
  <sheetData>
    <row r="1" spans="1:29" ht="15.5">
      <c r="A1" s="265" t="s">
        <v>97</v>
      </c>
    </row>
    <row r="2" spans="1:29" ht="20">
      <c r="A2" s="117"/>
      <c r="B2" s="435"/>
      <c r="C2" s="435"/>
      <c r="D2" s="435"/>
      <c r="E2" s="435"/>
      <c r="F2" s="435"/>
      <c r="G2" s="435"/>
      <c r="H2" s="435"/>
      <c r="I2" s="435"/>
      <c r="J2" s="435"/>
      <c r="K2" s="435"/>
      <c r="L2" s="118"/>
      <c r="M2" s="118"/>
      <c r="N2" s="435"/>
      <c r="O2" s="435"/>
      <c r="P2" s="435"/>
      <c r="Q2" s="435"/>
      <c r="R2" s="435"/>
      <c r="S2" s="435"/>
      <c r="T2" s="435"/>
      <c r="U2" s="435"/>
      <c r="V2" s="435"/>
      <c r="W2" s="435"/>
      <c r="X2" s="435"/>
      <c r="Y2" s="435"/>
      <c r="Z2" s="435"/>
      <c r="AA2" s="436"/>
      <c r="AB2" s="435"/>
      <c r="AC2" s="119"/>
    </row>
    <row r="3" spans="1:29" ht="15.5">
      <c r="A3"/>
      <c r="B3" s="266"/>
      <c r="C3" s="266"/>
      <c r="D3" s="266"/>
      <c r="E3" s="266"/>
      <c r="F3" s="266"/>
      <c r="G3" s="266"/>
      <c r="H3" s="266"/>
      <c r="I3" s="266"/>
      <c r="J3" s="266"/>
      <c r="K3" s="266"/>
      <c r="L3"/>
      <c r="M3" s="266"/>
      <c r="N3" s="266"/>
      <c r="O3" s="266"/>
      <c r="P3" s="266"/>
      <c r="Q3" s="266"/>
      <c r="R3" s="266"/>
      <c r="S3" s="266"/>
      <c r="T3" s="266"/>
      <c r="U3" s="266"/>
      <c r="V3" s="266"/>
      <c r="W3" s="266"/>
      <c r="X3" s="266"/>
      <c r="Y3" s="266"/>
      <c r="Z3" s="266"/>
      <c r="AA3" s="120"/>
      <c r="AB3" s="435"/>
      <c r="AC3" s="119"/>
    </row>
    <row r="4" spans="1:29" ht="20">
      <c r="A4" s="270" t="s">
        <v>98</v>
      </c>
      <c r="B4" s="266"/>
      <c r="C4" s="266"/>
      <c r="D4" s="266"/>
      <c r="E4" s="266"/>
      <c r="F4" s="266"/>
      <c r="G4" s="266"/>
      <c r="H4" s="266"/>
      <c r="I4" s="266"/>
      <c r="J4" s="266"/>
      <c r="K4" s="266"/>
      <c r="L4"/>
      <c r="M4" s="266"/>
      <c r="N4" s="266"/>
      <c r="O4" s="266"/>
      <c r="P4" s="266"/>
      <c r="Q4" s="266"/>
      <c r="R4" s="266"/>
      <c r="S4" s="266"/>
      <c r="T4" s="266"/>
      <c r="U4" s="266"/>
      <c r="V4" s="266"/>
      <c r="W4" s="266"/>
      <c r="X4" s="266"/>
      <c r="Y4" s="266"/>
      <c r="Z4" s="266"/>
      <c r="AA4" s="437" t="s">
        <v>1058</v>
      </c>
      <c r="AB4" s="435"/>
      <c r="AC4" s="119"/>
    </row>
    <row r="5" spans="1:29" s="119" customFormat="1" ht="18">
      <c r="A5" s="270" t="s">
        <v>1059</v>
      </c>
      <c r="B5" s="266"/>
      <c r="C5" s="266"/>
      <c r="D5" s="266"/>
      <c r="E5" s="266"/>
      <c r="F5" s="266"/>
      <c r="G5" s="266"/>
      <c r="H5" s="266"/>
      <c r="I5" s="266"/>
      <c r="J5" s="266"/>
      <c r="K5" s="266"/>
      <c r="L5" s="266"/>
      <c r="M5" s="266"/>
      <c r="N5" s="266"/>
      <c r="O5" s="266"/>
      <c r="P5" s="266"/>
      <c r="Q5" s="266"/>
      <c r="R5" s="266"/>
      <c r="S5" s="266"/>
      <c r="T5" s="266"/>
      <c r="U5" s="266"/>
      <c r="V5" s="266"/>
      <c r="W5" s="266"/>
      <c r="X5" s="266"/>
      <c r="Y5" s="266"/>
      <c r="Z5" s="266"/>
      <c r="AA5" s="266"/>
      <c r="AB5" s="435"/>
    </row>
    <row r="6" spans="1:29" s="119" customFormat="1" ht="18">
      <c r="A6" s="270" t="str">
        <f>'Cashflow Governmental'!A6</f>
        <v>FISCAL YEAR 2026-2027</v>
      </c>
      <c r="B6" s="266"/>
      <c r="C6" s="266"/>
      <c r="D6" s="266"/>
      <c r="E6" s="266"/>
      <c r="F6" s="266"/>
      <c r="G6" s="266"/>
      <c r="H6" s="266"/>
      <c r="I6" s="266"/>
      <c r="J6" s="266"/>
      <c r="K6" s="266"/>
      <c r="L6" s="266"/>
      <c r="M6" s="266"/>
      <c r="N6" s="266"/>
      <c r="O6" s="266"/>
      <c r="P6" s="266"/>
      <c r="Q6" s="266"/>
      <c r="R6" s="266"/>
      <c r="S6" s="266"/>
      <c r="T6" s="266"/>
      <c r="U6" s="266"/>
      <c r="V6" s="266"/>
      <c r="W6" s="266"/>
      <c r="X6" s="266"/>
      <c r="Y6" s="266"/>
      <c r="Z6" s="266"/>
      <c r="AA6" s="266"/>
      <c r="AB6" s="435"/>
    </row>
    <row r="7" spans="1:29" s="119" customFormat="1" ht="18">
      <c r="A7" s="270" t="s">
        <v>1060</v>
      </c>
      <c r="B7" s="1216"/>
      <c r="C7" s="1216"/>
      <c r="D7" s="1216"/>
      <c r="E7" s="1216"/>
      <c r="F7" s="1216"/>
      <c r="G7" s="1216"/>
      <c r="H7" s="1216"/>
      <c r="I7" s="1216"/>
      <c r="J7"/>
      <c r="K7"/>
      <c r="L7"/>
      <c r="M7"/>
      <c r="N7"/>
      <c r="O7"/>
      <c r="P7"/>
      <c r="Q7"/>
      <c r="R7" s="266"/>
      <c r="S7" s="266"/>
      <c r="T7" s="266"/>
      <c r="U7" s="266"/>
      <c r="V7" s="266"/>
      <c r="W7" s="266"/>
      <c r="X7" s="266"/>
      <c r="Y7" s="266"/>
      <c r="Z7" s="266"/>
      <c r="AA7"/>
      <c r="AB7" s="435"/>
    </row>
    <row r="8" spans="1:29" s="119" customFormat="1" ht="15.5">
      <c r="A8" s="267"/>
      <c r="B8" s="1216"/>
      <c r="C8" s="324"/>
      <c r="D8" s="324"/>
      <c r="E8" s="324"/>
      <c r="F8" s="324"/>
      <c r="G8" s="324"/>
      <c r="H8" s="324"/>
      <c r="I8" s="324"/>
      <c r="J8" s="281"/>
      <c r="K8" s="281"/>
      <c r="L8" s="281"/>
      <c r="M8" s="281"/>
      <c r="N8" s="281"/>
      <c r="O8" s="281"/>
      <c r="P8" s="281"/>
      <c r="Q8" s="281"/>
      <c r="R8" s="281"/>
      <c r="S8" s="281"/>
      <c r="T8" s="281"/>
      <c r="U8" s="281"/>
      <c r="V8" s="281"/>
      <c r="W8" s="281"/>
      <c r="X8" s="281"/>
      <c r="Y8" s="281"/>
      <c r="Z8" s="281"/>
      <c r="AA8" s="281"/>
      <c r="AB8" s="435"/>
    </row>
    <row r="9" spans="1:29" s="119" customFormat="1" ht="15.5">
      <c r="A9" s="266"/>
      <c r="B9" s="266"/>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435"/>
    </row>
    <row r="10" spans="1:29" s="119" customFormat="1" ht="18">
      <c r="A10" s="266"/>
      <c r="B10" s="280"/>
      <c r="C10" s="325" t="str">
        <f>'Cashflow Governmental'!C13</f>
        <v>2026</v>
      </c>
      <c r="D10" s="325" t="s">
        <v>103</v>
      </c>
      <c r="E10" s="325" t="str">
        <f>C10</f>
        <v>2026</v>
      </c>
      <c r="F10" s="325" t="s">
        <v>103</v>
      </c>
      <c r="G10" s="325" t="str">
        <f>C10</f>
        <v>2026</v>
      </c>
      <c r="H10" s="325" t="s">
        <v>103</v>
      </c>
      <c r="I10" s="325" t="str">
        <f>C10</f>
        <v>2026</v>
      </c>
      <c r="J10" s="325" t="s">
        <v>103</v>
      </c>
      <c r="K10" s="325" t="str">
        <f>E10</f>
        <v>2026</v>
      </c>
      <c r="L10" s="325" t="s">
        <v>103</v>
      </c>
      <c r="M10" s="325" t="str">
        <f>G10</f>
        <v>2026</v>
      </c>
      <c r="N10" s="325" t="s">
        <v>103</v>
      </c>
      <c r="O10" s="325" t="str">
        <f>I10</f>
        <v>2026</v>
      </c>
      <c r="P10" s="325" t="s">
        <v>103</v>
      </c>
      <c r="Q10" s="325" t="str">
        <f>K10</f>
        <v>2026</v>
      </c>
      <c r="R10" s="325" t="s">
        <v>103</v>
      </c>
      <c r="S10" s="325" t="str">
        <f>M10</f>
        <v>2026</v>
      </c>
      <c r="T10" s="325"/>
      <c r="U10" s="325">
        <f>'Cashflow Governmental'!U13</f>
        <v>2027</v>
      </c>
      <c r="V10" s="325"/>
      <c r="W10" s="325">
        <f>U10</f>
        <v>2027</v>
      </c>
      <c r="X10" s="325"/>
      <c r="Y10" s="325">
        <f>W10</f>
        <v>2027</v>
      </c>
      <c r="Z10" s="270"/>
      <c r="AA10" s="326" t="str">
        <f>'Medicaid Disp Share'!G10</f>
        <v>2026-2027</v>
      </c>
      <c r="AB10" s="438"/>
    </row>
    <row r="11" spans="1:29" s="119" customFormat="1" ht="18">
      <c r="A11" s="266"/>
      <c r="B11" s="280"/>
      <c r="C11" s="1091" t="s">
        <v>329</v>
      </c>
      <c r="D11" s="326"/>
      <c r="E11" s="1091" t="s">
        <v>330</v>
      </c>
      <c r="F11" s="326"/>
      <c r="G11" s="1091" t="s">
        <v>331</v>
      </c>
      <c r="H11" s="326"/>
      <c r="I11" s="1091" t="s">
        <v>332</v>
      </c>
      <c r="J11" s="326"/>
      <c r="K11" s="1091" t="s">
        <v>333</v>
      </c>
      <c r="L11" s="326"/>
      <c r="M11" s="1091" t="s">
        <v>445</v>
      </c>
      <c r="N11" s="326"/>
      <c r="O11" s="1091" t="s">
        <v>446</v>
      </c>
      <c r="P11" s="326"/>
      <c r="Q11" s="1091" t="s">
        <v>336</v>
      </c>
      <c r="R11" s="326"/>
      <c r="S11" s="1091" t="s">
        <v>337</v>
      </c>
      <c r="T11" s="326"/>
      <c r="U11" s="1091" t="s">
        <v>338</v>
      </c>
      <c r="V11" s="326"/>
      <c r="W11" s="1091" t="s">
        <v>339</v>
      </c>
      <c r="X11" s="326"/>
      <c r="Y11" s="1091" t="s">
        <v>447</v>
      </c>
      <c r="Z11" s="270"/>
      <c r="AA11" s="1091" t="s">
        <v>1004</v>
      </c>
      <c r="AB11" s="435"/>
    </row>
    <row r="12" spans="1:29" s="119" customFormat="1" ht="17.5">
      <c r="A12"/>
      <c r="B12" s="280"/>
      <c r="C12" s="280"/>
      <c r="D12" s="280"/>
      <c r="E12" s="280"/>
      <c r="F12" s="280"/>
      <c r="G12" s="280"/>
      <c r="H12" s="280"/>
      <c r="I12" s="280"/>
      <c r="J12" s="280"/>
      <c r="K12" s="280"/>
      <c r="L12" s="280"/>
      <c r="M12" s="280"/>
      <c r="N12" s="280"/>
      <c r="O12" s="280"/>
      <c r="P12" s="280"/>
      <c r="Q12" s="280"/>
      <c r="R12" s="280"/>
      <c r="S12" s="280"/>
      <c r="T12" s="280"/>
      <c r="U12" s="280"/>
      <c r="V12" s="280"/>
      <c r="W12" s="280"/>
      <c r="X12" s="280"/>
      <c r="Y12" s="280"/>
      <c r="Z12" s="280"/>
      <c r="AA12" s="280"/>
      <c r="AB12" s="620"/>
      <c r="AC12" s="621"/>
    </row>
    <row r="13" spans="1:29" s="119" customFormat="1" ht="17.5">
      <c r="A13" s="281" t="s">
        <v>1061</v>
      </c>
      <c r="B13" s="280"/>
      <c r="C13" s="280"/>
      <c r="D13" s="280"/>
      <c r="E13" s="280"/>
      <c r="F13" s="280"/>
      <c r="G13" s="280"/>
      <c r="H13" s="280"/>
      <c r="I13" s="280"/>
      <c r="J13" s="280"/>
      <c r="K13" s="280"/>
      <c r="L13" s="280"/>
      <c r="M13" s="280"/>
      <c r="N13" s="280"/>
      <c r="O13" s="280"/>
      <c r="P13" s="280"/>
      <c r="Q13" s="280"/>
      <c r="R13" s="280"/>
      <c r="S13" s="280"/>
      <c r="T13" s="280"/>
      <c r="U13" s="280"/>
      <c r="V13" s="280"/>
      <c r="W13" s="280"/>
      <c r="X13" s="280"/>
      <c r="Y13" s="280"/>
      <c r="Z13" s="280"/>
      <c r="AA13" s="280"/>
      <c r="AB13" s="620"/>
      <c r="AC13" s="622"/>
    </row>
    <row r="14" spans="1:29" s="119" customFormat="1" ht="17.5">
      <c r="A14" s="266" t="s">
        <v>1062</v>
      </c>
      <c r="B14" s="280"/>
      <c r="C14" s="333">
        <v>0</v>
      </c>
      <c r="D14" s="333"/>
      <c r="E14" s="333"/>
      <c r="F14" s="333"/>
      <c r="G14" s="686"/>
      <c r="H14" s="333"/>
      <c r="I14" s="686"/>
      <c r="J14" s="334"/>
      <c r="K14" s="686"/>
      <c r="L14" s="333"/>
      <c r="M14" s="686"/>
      <c r="N14" s="334"/>
      <c r="O14" s="686"/>
      <c r="P14" s="334"/>
      <c r="Q14" s="686"/>
      <c r="R14" s="334"/>
      <c r="S14" s="686"/>
      <c r="T14" s="334"/>
      <c r="U14" s="686"/>
      <c r="V14" s="334"/>
      <c r="W14" s="686"/>
      <c r="X14" s="334"/>
      <c r="Y14" s="686"/>
      <c r="Z14" s="280"/>
      <c r="AA14" s="819">
        <f>SUM(C14:Z14)</f>
        <v>0</v>
      </c>
      <c r="AB14" s="620"/>
      <c r="AC14" s="622"/>
    </row>
    <row r="15" spans="1:29" s="119" customFormat="1" ht="17.5">
      <c r="A15" s="266" t="s">
        <v>1063</v>
      </c>
      <c r="B15" s="280"/>
      <c r="C15" s="335">
        <v>0</v>
      </c>
      <c r="D15" s="336"/>
      <c r="E15" s="336"/>
      <c r="F15" s="336"/>
      <c r="G15" s="339"/>
      <c r="H15" s="336"/>
      <c r="I15" s="339"/>
      <c r="J15" s="337"/>
      <c r="K15" s="339"/>
      <c r="L15" s="336"/>
      <c r="M15" s="339"/>
      <c r="N15" s="337"/>
      <c r="O15" s="339"/>
      <c r="P15" s="337"/>
      <c r="Q15" s="339"/>
      <c r="R15" s="337"/>
      <c r="S15" s="339"/>
      <c r="T15" s="337"/>
      <c r="U15" s="339"/>
      <c r="V15" s="337"/>
      <c r="W15" s="339"/>
      <c r="X15" s="337"/>
      <c r="Y15" s="339"/>
      <c r="Z15" s="280"/>
      <c r="AA15" s="542">
        <f>SUM(C15:Z15)</f>
        <v>0</v>
      </c>
      <c r="AB15" s="620"/>
      <c r="AC15" s="622"/>
    </row>
    <row r="16" spans="1:29" s="119" customFormat="1" ht="17.5">
      <c r="A16" s="266" t="s">
        <v>1064</v>
      </c>
      <c r="B16" s="280"/>
      <c r="C16" s="335">
        <v>0</v>
      </c>
      <c r="D16" s="336"/>
      <c r="E16" s="336"/>
      <c r="F16" s="336"/>
      <c r="G16" s="339"/>
      <c r="H16" s="336"/>
      <c r="I16" s="339"/>
      <c r="J16" s="337"/>
      <c r="K16" s="339"/>
      <c r="L16" s="336"/>
      <c r="M16" s="339"/>
      <c r="N16" s="337"/>
      <c r="O16" s="339"/>
      <c r="P16" s="337"/>
      <c r="Q16" s="339"/>
      <c r="R16" s="337"/>
      <c r="S16" s="339"/>
      <c r="T16" s="337"/>
      <c r="U16" s="339"/>
      <c r="V16" s="337"/>
      <c r="W16" s="339"/>
      <c r="X16" s="337"/>
      <c r="Y16" s="339"/>
      <c r="Z16" s="280"/>
      <c r="AA16" s="542">
        <f t="shared" ref="AA16:AA19" si="0">SUM(C16:Z16)</f>
        <v>0</v>
      </c>
      <c r="AB16" s="439"/>
      <c r="AC16" s="622"/>
    </row>
    <row r="17" spans="1:29" s="119" customFormat="1" ht="17.5">
      <c r="A17" s="266" t="s">
        <v>1065</v>
      </c>
      <c r="B17" s="280"/>
      <c r="C17" s="339">
        <v>0</v>
      </c>
      <c r="D17" s="336"/>
      <c r="E17" s="338"/>
      <c r="F17" s="336"/>
      <c r="G17" s="338"/>
      <c r="H17" s="336"/>
      <c r="I17" s="338"/>
      <c r="J17" s="337"/>
      <c r="K17" s="338"/>
      <c r="L17" s="336"/>
      <c r="M17" s="338"/>
      <c r="N17" s="337"/>
      <c r="O17" s="338"/>
      <c r="P17" s="337"/>
      <c r="Q17" s="338"/>
      <c r="R17" s="337"/>
      <c r="S17" s="338"/>
      <c r="T17" s="337"/>
      <c r="U17" s="338"/>
      <c r="V17" s="337"/>
      <c r="W17" s="338"/>
      <c r="X17" s="337"/>
      <c r="Y17" s="338"/>
      <c r="Z17" s="280"/>
      <c r="AA17" s="542">
        <f t="shared" si="0"/>
        <v>0</v>
      </c>
      <c r="AB17" s="439"/>
      <c r="AC17" s="622"/>
    </row>
    <row r="18" spans="1:29" s="119" customFormat="1" ht="17.5">
      <c r="A18" s="266" t="s">
        <v>1066</v>
      </c>
      <c r="B18" s="280"/>
      <c r="C18" s="335">
        <v>0</v>
      </c>
      <c r="D18" s="336"/>
      <c r="E18" s="336"/>
      <c r="F18" s="336"/>
      <c r="G18" s="339"/>
      <c r="H18" s="336"/>
      <c r="I18" s="339"/>
      <c r="J18" s="337"/>
      <c r="K18" s="339"/>
      <c r="L18" s="336"/>
      <c r="M18" s="339"/>
      <c r="N18" s="337"/>
      <c r="O18" s="339"/>
      <c r="P18" s="337"/>
      <c r="Q18" s="339"/>
      <c r="R18" s="337"/>
      <c r="S18" s="339"/>
      <c r="T18" s="337"/>
      <c r="U18" s="339"/>
      <c r="V18" s="337"/>
      <c r="W18" s="339"/>
      <c r="X18" s="337"/>
      <c r="Y18" s="339"/>
      <c r="Z18" s="280"/>
      <c r="AA18" s="542">
        <f t="shared" si="0"/>
        <v>0</v>
      </c>
      <c r="AB18" s="439"/>
      <c r="AC18" s="622"/>
    </row>
    <row r="19" spans="1:29" s="119" customFormat="1" ht="17.5">
      <c r="A19" s="266" t="s">
        <v>1067</v>
      </c>
      <c r="B19" s="280"/>
      <c r="C19" s="336">
        <v>0</v>
      </c>
      <c r="D19" s="336"/>
      <c r="E19" s="336"/>
      <c r="F19" s="336"/>
      <c r="G19" s="335"/>
      <c r="H19" s="336"/>
      <c r="I19" s="335"/>
      <c r="J19" s="337"/>
      <c r="K19" s="335"/>
      <c r="L19" s="336"/>
      <c r="M19" s="339"/>
      <c r="N19" s="337"/>
      <c r="O19" s="339"/>
      <c r="P19" s="337"/>
      <c r="Q19" s="339"/>
      <c r="R19" s="337"/>
      <c r="S19" s="339"/>
      <c r="T19" s="337"/>
      <c r="U19" s="339"/>
      <c r="V19" s="337"/>
      <c r="W19" s="339"/>
      <c r="X19" s="337"/>
      <c r="Y19" s="339"/>
      <c r="Z19" s="280"/>
      <c r="AA19" s="542">
        <f t="shared" si="0"/>
        <v>0</v>
      </c>
      <c r="AB19" s="439"/>
      <c r="AC19" s="622"/>
    </row>
    <row r="20" spans="1:29" s="119" customFormat="1" ht="17.5">
      <c r="A20" s="281" t="s">
        <v>1068</v>
      </c>
      <c r="B20" s="280"/>
      <c r="C20" s="1092">
        <f>ROUND(SUM(C14:C19),0)</f>
        <v>0</v>
      </c>
      <c r="D20" s="266"/>
      <c r="E20" s="1092">
        <f>ROUND(SUM(E14:E19),0)</f>
        <v>0</v>
      </c>
      <c r="F20" s="266"/>
      <c r="G20" s="1092">
        <f>ROUND(SUM(G14:G19),0)</f>
        <v>0</v>
      </c>
      <c r="H20" s="266"/>
      <c r="I20" s="1092">
        <f>ROUND(SUM(I14:I19),0)</f>
        <v>0</v>
      </c>
      <c r="J20" s="266"/>
      <c r="K20" s="1092">
        <f>ROUND(SUM(K14:K19),0)</f>
        <v>0</v>
      </c>
      <c r="L20" s="266"/>
      <c r="M20" s="1092">
        <f>ROUND(SUM(M14:M19),0)</f>
        <v>0</v>
      </c>
      <c r="N20" s="266"/>
      <c r="O20" s="1092">
        <f>ROUND(SUM(O14:O19),0)</f>
        <v>0</v>
      </c>
      <c r="P20" s="266"/>
      <c r="Q20" s="1092">
        <f>ROUND(SUM(Q14:Q19),0)</f>
        <v>0</v>
      </c>
      <c r="R20" s="266"/>
      <c r="S20" s="1092">
        <f>ROUND(SUM(S14:S19),0)</f>
        <v>0</v>
      </c>
      <c r="T20" s="266"/>
      <c r="U20" s="1092">
        <f>ROUND(SUM(U14:U19),0)</f>
        <v>0</v>
      </c>
      <c r="V20" s="266"/>
      <c r="W20" s="1092">
        <f>ROUND(SUM(W14:W19),0)</f>
        <v>0</v>
      </c>
      <c r="X20" s="266"/>
      <c r="Y20" s="1092">
        <f>ROUND(SUM(Y14:Y19),0)</f>
        <v>0</v>
      </c>
      <c r="Z20" s="266"/>
      <c r="AA20" s="1092">
        <f>ROUND(SUM(AA14:AA19),0)</f>
        <v>0</v>
      </c>
      <c r="AB20" s="439"/>
      <c r="AC20" s="622"/>
    </row>
    <row r="21" spans="1:29" s="119" customFormat="1" ht="17.5">
      <c r="A21"/>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66"/>
      <c r="AB21" s="439"/>
      <c r="AC21" s="622"/>
    </row>
    <row r="22" spans="1:29" s="119" customFormat="1" ht="17.5">
      <c r="A22" s="266"/>
      <c r="B22" s="280"/>
      <c r="C22" s="280"/>
      <c r="D22" s="280"/>
      <c r="E22" s="280"/>
      <c r="F22" s="280"/>
      <c r="G22" s="280"/>
      <c r="H22" s="280"/>
      <c r="I22" s="280"/>
      <c r="J22" s="280"/>
      <c r="K22" s="280"/>
      <c r="L22" s="280"/>
      <c r="M22" s="280"/>
      <c r="N22" s="280"/>
      <c r="O22" s="280"/>
      <c r="P22" s="280"/>
      <c r="Q22" s="280"/>
      <c r="R22" s="280"/>
      <c r="S22" s="280"/>
      <c r="T22" s="280"/>
      <c r="U22" s="280"/>
      <c r="V22" s="280"/>
      <c r="W22" s="280"/>
      <c r="X22" s="280"/>
      <c r="Y22" s="280"/>
      <c r="Z22" s="280"/>
      <c r="AA22" s="266"/>
      <c r="AB22" s="439"/>
      <c r="AC22" s="622"/>
    </row>
    <row r="23" spans="1:29" ht="17.5">
      <c r="A23" s="266"/>
      <c r="B23" s="280"/>
      <c r="C23" s="280"/>
      <c r="D23" s="280"/>
      <c r="E23" s="280"/>
      <c r="F23" s="280"/>
      <c r="G23" s="280"/>
      <c r="H23" s="280"/>
      <c r="I23" s="280"/>
      <c r="J23" s="280"/>
      <c r="K23" s="280"/>
      <c r="L23" s="280"/>
      <c r="M23" s="280"/>
      <c r="N23" s="280"/>
      <c r="O23" s="280"/>
      <c r="P23" s="280"/>
      <c r="Q23" s="280"/>
      <c r="R23" s="280"/>
      <c r="S23" s="687"/>
      <c r="T23" s="280"/>
      <c r="U23" s="280"/>
      <c r="V23" s="280"/>
      <c r="W23" s="280"/>
      <c r="X23" s="280"/>
      <c r="Y23" s="280"/>
      <c r="Z23" s="280"/>
      <c r="AA23" s="266"/>
    </row>
    <row r="24" spans="1:29" s="122" customFormat="1" ht="18" thickBot="1">
      <c r="A24" s="281" t="s">
        <v>1069</v>
      </c>
      <c r="B24" s="280"/>
      <c r="C24" s="1093">
        <f>ROUND(C20,0)</f>
        <v>0</v>
      </c>
      <c r="D24" s="266"/>
      <c r="E24" s="1093">
        <f>ROUND(E20,0)</f>
        <v>0</v>
      </c>
      <c r="F24" s="266"/>
      <c r="G24" s="1093">
        <f>ROUND(G20,0)</f>
        <v>0</v>
      </c>
      <c r="H24" s="266"/>
      <c r="I24" s="1093">
        <f>ROUND(I20,0)</f>
        <v>0</v>
      </c>
      <c r="J24" s="266"/>
      <c r="K24" s="1093">
        <f>ROUND(K20,0)</f>
        <v>0</v>
      </c>
      <c r="L24" s="266"/>
      <c r="M24" s="1093">
        <f>ROUND(M20,0)</f>
        <v>0</v>
      </c>
      <c r="N24" s="266"/>
      <c r="O24" s="1093">
        <f>ROUND(O20,0)</f>
        <v>0</v>
      </c>
      <c r="P24" s="266"/>
      <c r="Q24" s="1093">
        <f>ROUND(Q20,0)</f>
        <v>0</v>
      </c>
      <c r="R24" s="266"/>
      <c r="S24" s="1093">
        <f>ROUND(S20,0)</f>
        <v>0</v>
      </c>
      <c r="T24" s="266"/>
      <c r="U24" s="1093">
        <f>ROUND(U20,0)</f>
        <v>0</v>
      </c>
      <c r="V24" s="266"/>
      <c r="W24" s="1093">
        <f>ROUND(W20,0)</f>
        <v>0</v>
      </c>
      <c r="X24" s="266"/>
      <c r="Y24" s="1093">
        <f>ROUND(Y20,0)</f>
        <v>0</v>
      </c>
      <c r="Z24" s="266"/>
      <c r="AA24" s="1093">
        <f>ROUND(AA20,0)</f>
        <v>0</v>
      </c>
    </row>
    <row r="25" spans="1:29" ht="16" thickTop="1">
      <c r="A25" s="440"/>
      <c r="C25" s="121"/>
      <c r="D25" s="121"/>
      <c r="E25" s="121"/>
      <c r="F25" s="121"/>
      <c r="G25" s="121"/>
      <c r="H25" s="121"/>
      <c r="I25" s="121"/>
      <c r="J25" s="121"/>
      <c r="K25" s="121"/>
      <c r="L25" s="121"/>
      <c r="M25" s="121"/>
      <c r="N25" s="121"/>
      <c r="O25" s="121"/>
      <c r="P25" s="121"/>
      <c r="Q25" s="121"/>
      <c r="R25" s="121"/>
      <c r="S25" s="121"/>
      <c r="T25" s="121"/>
      <c r="U25" s="121"/>
      <c r="V25" s="121"/>
      <c r="W25" s="121"/>
      <c r="X25" s="121"/>
      <c r="Y25" s="123"/>
    </row>
    <row r="26" spans="1:29" ht="13" thickBot="1"/>
    <row r="27" spans="1:29" ht="20.149999999999999" customHeight="1">
      <c r="A27" s="2077" t="s">
        <v>1471</v>
      </c>
      <c r="B27" s="2078"/>
      <c r="C27" s="2078"/>
      <c r="D27" s="2078"/>
      <c r="E27" s="2078"/>
      <c r="F27" s="2078"/>
      <c r="G27" s="2078"/>
      <c r="H27" s="2078"/>
      <c r="I27" s="2078"/>
      <c r="J27" s="2078"/>
      <c r="K27" s="2078"/>
      <c r="L27" s="2078"/>
      <c r="M27" s="2078"/>
      <c r="N27" s="2078"/>
      <c r="O27" s="2078"/>
      <c r="P27" s="2078"/>
      <c r="Q27" s="2078"/>
      <c r="R27" s="2078"/>
      <c r="S27" s="2078"/>
      <c r="T27" s="2078"/>
      <c r="U27" s="2078"/>
      <c r="V27" s="2078"/>
      <c r="W27" s="2078"/>
      <c r="X27" s="2078"/>
      <c r="Y27" s="2078"/>
      <c r="Z27" s="2078"/>
      <c r="AA27" s="2079"/>
    </row>
    <row r="28" spans="1:29" ht="20.149999999999999" customHeight="1">
      <c r="A28" s="2080"/>
      <c r="B28" s="2081"/>
      <c r="C28" s="2081"/>
      <c r="D28" s="2081"/>
      <c r="E28" s="2081"/>
      <c r="F28" s="2081"/>
      <c r="G28" s="2081"/>
      <c r="H28" s="2081"/>
      <c r="I28" s="2081"/>
      <c r="J28" s="2081"/>
      <c r="K28" s="2081"/>
      <c r="L28" s="2081"/>
      <c r="M28" s="2081"/>
      <c r="N28" s="2081"/>
      <c r="O28" s="2081"/>
      <c r="P28" s="2081"/>
      <c r="Q28" s="2081"/>
      <c r="R28" s="2081"/>
      <c r="S28" s="2081"/>
      <c r="T28" s="2081"/>
      <c r="U28" s="2081"/>
      <c r="V28" s="2081"/>
      <c r="W28" s="2081"/>
      <c r="X28" s="2081"/>
      <c r="Y28" s="2081"/>
      <c r="Z28" s="2081"/>
      <c r="AA28" s="2082"/>
    </row>
    <row r="29" spans="1:29" ht="22.5" customHeight="1" thickBot="1">
      <c r="A29" s="2083"/>
      <c r="B29" s="2084"/>
      <c r="C29" s="2084"/>
      <c r="D29" s="2084"/>
      <c r="E29" s="2084"/>
      <c r="F29" s="2084"/>
      <c r="G29" s="2084"/>
      <c r="H29" s="2084"/>
      <c r="I29" s="2084"/>
      <c r="J29" s="2084"/>
      <c r="K29" s="2084"/>
      <c r="L29" s="2084"/>
      <c r="M29" s="2084"/>
      <c r="N29" s="2084"/>
      <c r="O29" s="2084"/>
      <c r="P29" s="2084"/>
      <c r="Q29" s="2084"/>
      <c r="R29" s="2084"/>
      <c r="S29" s="2084"/>
      <c r="T29" s="2084"/>
      <c r="U29" s="2084"/>
      <c r="V29" s="2084"/>
      <c r="W29" s="2084"/>
      <c r="X29" s="2084"/>
      <c r="Y29" s="2084"/>
      <c r="Z29" s="2084"/>
      <c r="AA29" s="2085"/>
    </row>
    <row r="31" spans="1:29" ht="14.9" customHeight="1"/>
    <row r="34" ht="14.15" customHeight="1"/>
  </sheetData>
  <mergeCells count="1">
    <mergeCell ref="A27:AA29"/>
  </mergeCells>
  <printOptions horizontalCentered="1"/>
  <pageMargins left="0.25" right="0.25" top="0.5" bottom="0.25" header="0" footer="0.25"/>
  <pageSetup scale="45"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6"/>
  <sheetViews>
    <sheetView showGridLines="0" zoomScale="90" zoomScaleNormal="90" workbookViewId="0"/>
  </sheetViews>
  <sheetFormatPr defaultRowHeight="14.5"/>
  <cols>
    <col min="1" max="1" width="2.07421875" style="759" customWidth="1"/>
    <col min="2" max="2" width="10.07421875" style="759" customWidth="1"/>
    <col min="3" max="3" width="2.07421875" style="759" customWidth="1"/>
    <col min="4" max="4" width="51.84375" style="759" customWidth="1"/>
    <col min="5" max="5" width="4.07421875" style="759" customWidth="1"/>
    <col min="6" max="6" width="2.07421875" style="817" customWidth="1"/>
    <col min="7" max="7" width="21.84375" style="1181" bestFit="1" customWidth="1"/>
    <col min="8" max="8" width="2.07421875" style="759" customWidth="1"/>
    <col min="9" max="9" width="21.53515625" style="759" bestFit="1" customWidth="1"/>
    <col min="10" max="10" width="2.07421875" style="759" customWidth="1"/>
    <col min="11" max="11" width="21.84375" style="759" bestFit="1" customWidth="1"/>
    <col min="12" max="12" width="2.07421875" style="759" customWidth="1"/>
    <col min="13" max="13" width="20.84375" style="759" customWidth="1"/>
    <col min="14" max="14" width="2.07421875" style="759" customWidth="1"/>
    <col min="15" max="15" width="22.07421875" style="759" bestFit="1" customWidth="1"/>
    <col min="16" max="16" width="6.07421875" style="759" bestFit="1" customWidth="1"/>
    <col min="17" max="17" width="13.07421875" style="759" bestFit="1" customWidth="1"/>
    <col min="18" max="255" width="8.84375" style="759"/>
    <col min="256" max="257" width="8.84375" style="759" customWidth="1"/>
    <col min="258" max="258" width="10.07421875" style="759" customWidth="1"/>
    <col min="259" max="259" width="2.07421875" style="759" customWidth="1"/>
    <col min="260" max="260" width="50.4609375" style="759" customWidth="1"/>
    <col min="261" max="261" width="8.84375" style="759"/>
    <col min="262" max="262" width="2.07421875" style="759" customWidth="1"/>
    <col min="263" max="263" width="23.84375" style="759" customWidth="1"/>
    <col min="264" max="264" width="2.07421875" style="759" customWidth="1"/>
    <col min="265" max="265" width="23.84375" style="759" customWidth="1"/>
    <col min="266" max="266" width="2.07421875" style="759" customWidth="1"/>
    <col min="267" max="267" width="23.84375" style="759" customWidth="1"/>
    <col min="268" max="268" width="2.07421875" style="759" customWidth="1"/>
    <col min="269" max="269" width="23.84375" style="759" customWidth="1"/>
    <col min="270" max="270" width="2.07421875" style="759" customWidth="1"/>
    <col min="271" max="271" width="23.84375" style="759" customWidth="1"/>
    <col min="272" max="272" width="2.84375" style="759" bestFit="1" customWidth="1"/>
    <col min="273" max="511" width="8.84375" style="759"/>
    <col min="512" max="513" width="8.84375" style="759" customWidth="1"/>
    <col min="514" max="514" width="10.07421875" style="759" customWidth="1"/>
    <col min="515" max="515" width="2.07421875" style="759" customWidth="1"/>
    <col min="516" max="516" width="50.4609375" style="759" customWidth="1"/>
    <col min="517" max="517" width="8.84375" style="759"/>
    <col min="518" max="518" width="2.07421875" style="759" customWidth="1"/>
    <col min="519" max="519" width="23.84375" style="759" customWidth="1"/>
    <col min="520" max="520" width="2.07421875" style="759" customWidth="1"/>
    <col min="521" max="521" width="23.84375" style="759" customWidth="1"/>
    <col min="522" max="522" width="2.07421875" style="759" customWidth="1"/>
    <col min="523" max="523" width="23.84375" style="759" customWidth="1"/>
    <col min="524" max="524" width="2.07421875" style="759" customWidth="1"/>
    <col min="525" max="525" width="23.84375" style="759" customWidth="1"/>
    <col min="526" max="526" width="2.07421875" style="759" customWidth="1"/>
    <col min="527" max="527" width="23.84375" style="759" customWidth="1"/>
    <col min="528" max="528" width="2.84375" style="759" bestFit="1" customWidth="1"/>
    <col min="529" max="767" width="8.84375" style="759"/>
    <col min="768" max="769" width="8.84375" style="759" customWidth="1"/>
    <col min="770" max="770" width="10.07421875" style="759" customWidth="1"/>
    <col min="771" max="771" width="2.07421875" style="759" customWidth="1"/>
    <col min="772" max="772" width="50.4609375" style="759" customWidth="1"/>
    <col min="773" max="773" width="8.84375" style="759"/>
    <col min="774" max="774" width="2.07421875" style="759" customWidth="1"/>
    <col min="775" max="775" width="23.84375" style="759" customWidth="1"/>
    <col min="776" max="776" width="2.07421875" style="759" customWidth="1"/>
    <col min="777" max="777" width="23.84375" style="759" customWidth="1"/>
    <col min="778" max="778" width="2.07421875" style="759" customWidth="1"/>
    <col min="779" max="779" width="23.84375" style="759" customWidth="1"/>
    <col min="780" max="780" width="2.07421875" style="759" customWidth="1"/>
    <col min="781" max="781" width="23.84375" style="759" customWidth="1"/>
    <col min="782" max="782" width="2.07421875" style="759" customWidth="1"/>
    <col min="783" max="783" width="23.84375" style="759" customWidth="1"/>
    <col min="784" max="784" width="2.84375" style="759" bestFit="1" customWidth="1"/>
    <col min="785" max="1023" width="8.84375" style="759"/>
    <col min="1024" max="1025" width="8.84375" style="759" customWidth="1"/>
    <col min="1026" max="1026" width="10.07421875" style="759" customWidth="1"/>
    <col min="1027" max="1027" width="2.07421875" style="759" customWidth="1"/>
    <col min="1028" max="1028" width="50.4609375" style="759" customWidth="1"/>
    <col min="1029" max="1029" width="8.84375" style="759"/>
    <col min="1030" max="1030" width="2.07421875" style="759" customWidth="1"/>
    <col min="1031" max="1031" width="23.84375" style="759" customWidth="1"/>
    <col min="1032" max="1032" width="2.07421875" style="759" customWidth="1"/>
    <col min="1033" max="1033" width="23.84375" style="759" customWidth="1"/>
    <col min="1034" max="1034" width="2.07421875" style="759" customWidth="1"/>
    <col min="1035" max="1035" width="23.84375" style="759" customWidth="1"/>
    <col min="1036" max="1036" width="2.07421875" style="759" customWidth="1"/>
    <col min="1037" max="1037" width="23.84375" style="759" customWidth="1"/>
    <col min="1038" max="1038" width="2.07421875" style="759" customWidth="1"/>
    <col min="1039" max="1039" width="23.84375" style="759" customWidth="1"/>
    <col min="1040" max="1040" width="2.84375" style="759" bestFit="1" customWidth="1"/>
    <col min="1041" max="1279" width="8.84375" style="759"/>
    <col min="1280" max="1281" width="8.84375" style="759" customWidth="1"/>
    <col min="1282" max="1282" width="10.07421875" style="759" customWidth="1"/>
    <col min="1283" max="1283" width="2.07421875" style="759" customWidth="1"/>
    <col min="1284" max="1284" width="50.4609375" style="759" customWidth="1"/>
    <col min="1285" max="1285" width="8.84375" style="759"/>
    <col min="1286" max="1286" width="2.07421875" style="759" customWidth="1"/>
    <col min="1287" max="1287" width="23.84375" style="759" customWidth="1"/>
    <col min="1288" max="1288" width="2.07421875" style="759" customWidth="1"/>
    <col min="1289" max="1289" width="23.84375" style="759" customWidth="1"/>
    <col min="1290" max="1290" width="2.07421875" style="759" customWidth="1"/>
    <col min="1291" max="1291" width="23.84375" style="759" customWidth="1"/>
    <col min="1292" max="1292" width="2.07421875" style="759" customWidth="1"/>
    <col min="1293" max="1293" width="23.84375" style="759" customWidth="1"/>
    <col min="1294" max="1294" width="2.07421875" style="759" customWidth="1"/>
    <col min="1295" max="1295" width="23.84375" style="759" customWidth="1"/>
    <col min="1296" max="1296" width="2.84375" style="759" bestFit="1" customWidth="1"/>
    <col min="1297" max="1535" width="8.84375" style="759"/>
    <col min="1536" max="1537" width="8.84375" style="759" customWidth="1"/>
    <col min="1538" max="1538" width="10.07421875" style="759" customWidth="1"/>
    <col min="1539" max="1539" width="2.07421875" style="759" customWidth="1"/>
    <col min="1540" max="1540" width="50.4609375" style="759" customWidth="1"/>
    <col min="1541" max="1541" width="8.84375" style="759"/>
    <col min="1542" max="1542" width="2.07421875" style="759" customWidth="1"/>
    <col min="1543" max="1543" width="23.84375" style="759" customWidth="1"/>
    <col min="1544" max="1544" width="2.07421875" style="759" customWidth="1"/>
    <col min="1545" max="1545" width="23.84375" style="759" customWidth="1"/>
    <col min="1546" max="1546" width="2.07421875" style="759" customWidth="1"/>
    <col min="1547" max="1547" width="23.84375" style="759" customWidth="1"/>
    <col min="1548" max="1548" width="2.07421875" style="759" customWidth="1"/>
    <col min="1549" max="1549" width="23.84375" style="759" customWidth="1"/>
    <col min="1550" max="1550" width="2.07421875" style="759" customWidth="1"/>
    <col min="1551" max="1551" width="23.84375" style="759" customWidth="1"/>
    <col min="1552" max="1552" width="2.84375" style="759" bestFit="1" customWidth="1"/>
    <col min="1553" max="1791" width="8.84375" style="759"/>
    <col min="1792" max="1793" width="8.84375" style="759" customWidth="1"/>
    <col min="1794" max="1794" width="10.07421875" style="759" customWidth="1"/>
    <col min="1795" max="1795" width="2.07421875" style="759" customWidth="1"/>
    <col min="1796" max="1796" width="50.4609375" style="759" customWidth="1"/>
    <col min="1797" max="1797" width="8.84375" style="759"/>
    <col min="1798" max="1798" width="2.07421875" style="759" customWidth="1"/>
    <col min="1799" max="1799" width="23.84375" style="759" customWidth="1"/>
    <col min="1800" max="1800" width="2.07421875" style="759" customWidth="1"/>
    <col min="1801" max="1801" width="23.84375" style="759" customWidth="1"/>
    <col min="1802" max="1802" width="2.07421875" style="759" customWidth="1"/>
    <col min="1803" max="1803" width="23.84375" style="759" customWidth="1"/>
    <col min="1804" max="1804" width="2.07421875" style="759" customWidth="1"/>
    <col min="1805" max="1805" width="23.84375" style="759" customWidth="1"/>
    <col min="1806" max="1806" width="2.07421875" style="759" customWidth="1"/>
    <col min="1807" max="1807" width="23.84375" style="759" customWidth="1"/>
    <col min="1808" max="1808" width="2.84375" style="759" bestFit="1" customWidth="1"/>
    <col min="1809" max="2047" width="8.84375" style="759"/>
    <col min="2048" max="2049" width="8.84375" style="759" customWidth="1"/>
    <col min="2050" max="2050" width="10.07421875" style="759" customWidth="1"/>
    <col min="2051" max="2051" width="2.07421875" style="759" customWidth="1"/>
    <col min="2052" max="2052" width="50.4609375" style="759" customWidth="1"/>
    <col min="2053" max="2053" width="8.84375" style="759"/>
    <col min="2054" max="2054" width="2.07421875" style="759" customWidth="1"/>
    <col min="2055" max="2055" width="23.84375" style="759" customWidth="1"/>
    <col min="2056" max="2056" width="2.07421875" style="759" customWidth="1"/>
    <col min="2057" max="2057" width="23.84375" style="759" customWidth="1"/>
    <col min="2058" max="2058" width="2.07421875" style="759" customWidth="1"/>
    <col min="2059" max="2059" width="23.84375" style="759" customWidth="1"/>
    <col min="2060" max="2060" width="2.07421875" style="759" customWidth="1"/>
    <col min="2061" max="2061" width="23.84375" style="759" customWidth="1"/>
    <col min="2062" max="2062" width="2.07421875" style="759" customWidth="1"/>
    <col min="2063" max="2063" width="23.84375" style="759" customWidth="1"/>
    <col min="2064" max="2064" width="2.84375" style="759" bestFit="1" customWidth="1"/>
    <col min="2065" max="2303" width="8.84375" style="759"/>
    <col min="2304" max="2305" width="8.84375" style="759" customWidth="1"/>
    <col min="2306" max="2306" width="10.07421875" style="759" customWidth="1"/>
    <col min="2307" max="2307" width="2.07421875" style="759" customWidth="1"/>
    <col min="2308" max="2308" width="50.4609375" style="759" customWidth="1"/>
    <col min="2309" max="2309" width="8.84375" style="759"/>
    <col min="2310" max="2310" width="2.07421875" style="759" customWidth="1"/>
    <col min="2311" max="2311" width="23.84375" style="759" customWidth="1"/>
    <col min="2312" max="2312" width="2.07421875" style="759" customWidth="1"/>
    <col min="2313" max="2313" width="23.84375" style="759" customWidth="1"/>
    <col min="2314" max="2314" width="2.07421875" style="759" customWidth="1"/>
    <col min="2315" max="2315" width="23.84375" style="759" customWidth="1"/>
    <col min="2316" max="2316" width="2.07421875" style="759" customWidth="1"/>
    <col min="2317" max="2317" width="23.84375" style="759" customWidth="1"/>
    <col min="2318" max="2318" width="2.07421875" style="759" customWidth="1"/>
    <col min="2319" max="2319" width="23.84375" style="759" customWidth="1"/>
    <col min="2320" max="2320" width="2.84375" style="759" bestFit="1" customWidth="1"/>
    <col min="2321" max="2559" width="8.84375" style="759"/>
    <col min="2560" max="2561" width="8.84375" style="759" customWidth="1"/>
    <col min="2562" max="2562" width="10.07421875" style="759" customWidth="1"/>
    <col min="2563" max="2563" width="2.07421875" style="759" customWidth="1"/>
    <col min="2564" max="2564" width="50.4609375" style="759" customWidth="1"/>
    <col min="2565" max="2565" width="8.84375" style="759"/>
    <col min="2566" max="2566" width="2.07421875" style="759" customWidth="1"/>
    <col min="2567" max="2567" width="23.84375" style="759" customWidth="1"/>
    <col min="2568" max="2568" width="2.07421875" style="759" customWidth="1"/>
    <col min="2569" max="2569" width="23.84375" style="759" customWidth="1"/>
    <col min="2570" max="2570" width="2.07421875" style="759" customWidth="1"/>
    <col min="2571" max="2571" width="23.84375" style="759" customWidth="1"/>
    <col min="2572" max="2572" width="2.07421875" style="759" customWidth="1"/>
    <col min="2573" max="2573" width="23.84375" style="759" customWidth="1"/>
    <col min="2574" max="2574" width="2.07421875" style="759" customWidth="1"/>
    <col min="2575" max="2575" width="23.84375" style="759" customWidth="1"/>
    <col min="2576" max="2576" width="2.84375" style="759" bestFit="1" customWidth="1"/>
    <col min="2577" max="2815" width="8.84375" style="759"/>
    <col min="2816" max="2817" width="8.84375" style="759" customWidth="1"/>
    <col min="2818" max="2818" width="10.07421875" style="759" customWidth="1"/>
    <col min="2819" max="2819" width="2.07421875" style="759" customWidth="1"/>
    <col min="2820" max="2820" width="50.4609375" style="759" customWidth="1"/>
    <col min="2821" max="2821" width="8.84375" style="759"/>
    <col min="2822" max="2822" width="2.07421875" style="759" customWidth="1"/>
    <col min="2823" max="2823" width="23.84375" style="759" customWidth="1"/>
    <col min="2824" max="2824" width="2.07421875" style="759" customWidth="1"/>
    <col min="2825" max="2825" width="23.84375" style="759" customWidth="1"/>
    <col min="2826" max="2826" width="2.07421875" style="759" customWidth="1"/>
    <col min="2827" max="2827" width="23.84375" style="759" customWidth="1"/>
    <col min="2828" max="2828" width="2.07421875" style="759" customWidth="1"/>
    <col min="2829" max="2829" width="23.84375" style="759" customWidth="1"/>
    <col min="2830" max="2830" width="2.07421875" style="759" customWidth="1"/>
    <col min="2831" max="2831" width="23.84375" style="759" customWidth="1"/>
    <col min="2832" max="2832" width="2.84375" style="759" bestFit="1" customWidth="1"/>
    <col min="2833" max="3071" width="8.84375" style="759"/>
    <col min="3072" max="3073" width="8.84375" style="759" customWidth="1"/>
    <col min="3074" max="3074" width="10.07421875" style="759" customWidth="1"/>
    <col min="3075" max="3075" width="2.07421875" style="759" customWidth="1"/>
    <col min="3076" max="3076" width="50.4609375" style="759" customWidth="1"/>
    <col min="3077" max="3077" width="8.84375" style="759"/>
    <col min="3078" max="3078" width="2.07421875" style="759" customWidth="1"/>
    <col min="3079" max="3079" width="23.84375" style="759" customWidth="1"/>
    <col min="3080" max="3080" width="2.07421875" style="759" customWidth="1"/>
    <col min="3081" max="3081" width="23.84375" style="759" customWidth="1"/>
    <col min="3082" max="3082" width="2.07421875" style="759" customWidth="1"/>
    <col min="3083" max="3083" width="23.84375" style="759" customWidth="1"/>
    <col min="3084" max="3084" width="2.07421875" style="759" customWidth="1"/>
    <col min="3085" max="3085" width="23.84375" style="759" customWidth="1"/>
    <col min="3086" max="3086" width="2.07421875" style="759" customWidth="1"/>
    <col min="3087" max="3087" width="23.84375" style="759" customWidth="1"/>
    <col min="3088" max="3088" width="2.84375" style="759" bestFit="1" customWidth="1"/>
    <col min="3089" max="3327" width="8.84375" style="759"/>
    <col min="3328" max="3329" width="8.84375" style="759" customWidth="1"/>
    <col min="3330" max="3330" width="10.07421875" style="759" customWidth="1"/>
    <col min="3331" max="3331" width="2.07421875" style="759" customWidth="1"/>
    <col min="3332" max="3332" width="50.4609375" style="759" customWidth="1"/>
    <col min="3333" max="3333" width="8.84375" style="759"/>
    <col min="3334" max="3334" width="2.07421875" style="759" customWidth="1"/>
    <col min="3335" max="3335" width="23.84375" style="759" customWidth="1"/>
    <col min="3336" max="3336" width="2.07421875" style="759" customWidth="1"/>
    <col min="3337" max="3337" width="23.84375" style="759" customWidth="1"/>
    <col min="3338" max="3338" width="2.07421875" style="759" customWidth="1"/>
    <col min="3339" max="3339" width="23.84375" style="759" customWidth="1"/>
    <col min="3340" max="3340" width="2.07421875" style="759" customWidth="1"/>
    <col min="3341" max="3341" width="23.84375" style="759" customWidth="1"/>
    <col min="3342" max="3342" width="2.07421875" style="759" customWidth="1"/>
    <col min="3343" max="3343" width="23.84375" style="759" customWidth="1"/>
    <col min="3344" max="3344" width="2.84375" style="759" bestFit="1" customWidth="1"/>
    <col min="3345" max="3583" width="8.84375" style="759"/>
    <col min="3584" max="3585" width="8.84375" style="759" customWidth="1"/>
    <col min="3586" max="3586" width="10.07421875" style="759" customWidth="1"/>
    <col min="3587" max="3587" width="2.07421875" style="759" customWidth="1"/>
    <col min="3588" max="3588" width="50.4609375" style="759" customWidth="1"/>
    <col min="3589" max="3589" width="8.84375" style="759"/>
    <col min="3590" max="3590" width="2.07421875" style="759" customWidth="1"/>
    <col min="3591" max="3591" width="23.84375" style="759" customWidth="1"/>
    <col min="3592" max="3592" width="2.07421875" style="759" customWidth="1"/>
    <col min="3593" max="3593" width="23.84375" style="759" customWidth="1"/>
    <col min="3594" max="3594" width="2.07421875" style="759" customWidth="1"/>
    <col min="3595" max="3595" width="23.84375" style="759" customWidth="1"/>
    <col min="3596" max="3596" width="2.07421875" style="759" customWidth="1"/>
    <col min="3597" max="3597" width="23.84375" style="759" customWidth="1"/>
    <col min="3598" max="3598" width="2.07421875" style="759" customWidth="1"/>
    <col min="3599" max="3599" width="23.84375" style="759" customWidth="1"/>
    <col min="3600" max="3600" width="2.84375" style="759" bestFit="1" customWidth="1"/>
    <col min="3601" max="3839" width="8.84375" style="759"/>
    <col min="3840" max="3841" width="8.84375" style="759" customWidth="1"/>
    <col min="3842" max="3842" width="10.07421875" style="759" customWidth="1"/>
    <col min="3843" max="3843" width="2.07421875" style="759" customWidth="1"/>
    <col min="3844" max="3844" width="50.4609375" style="759" customWidth="1"/>
    <col min="3845" max="3845" width="8.84375" style="759"/>
    <col min="3846" max="3846" width="2.07421875" style="759" customWidth="1"/>
    <col min="3847" max="3847" width="23.84375" style="759" customWidth="1"/>
    <col min="3848" max="3848" width="2.07421875" style="759" customWidth="1"/>
    <col min="3849" max="3849" width="23.84375" style="759" customWidth="1"/>
    <col min="3850" max="3850" width="2.07421875" style="759" customWidth="1"/>
    <col min="3851" max="3851" width="23.84375" style="759" customWidth="1"/>
    <col min="3852" max="3852" width="2.07421875" style="759" customWidth="1"/>
    <col min="3853" max="3853" width="23.84375" style="759" customWidth="1"/>
    <col min="3854" max="3854" width="2.07421875" style="759" customWidth="1"/>
    <col min="3855" max="3855" width="23.84375" style="759" customWidth="1"/>
    <col min="3856" max="3856" width="2.84375" style="759" bestFit="1" customWidth="1"/>
    <col min="3857" max="4095" width="8.84375" style="759"/>
    <col min="4096" max="4097" width="8.84375" style="759" customWidth="1"/>
    <col min="4098" max="4098" width="10.07421875" style="759" customWidth="1"/>
    <col min="4099" max="4099" width="2.07421875" style="759" customWidth="1"/>
    <col min="4100" max="4100" width="50.4609375" style="759" customWidth="1"/>
    <col min="4101" max="4101" width="8.84375" style="759"/>
    <col min="4102" max="4102" width="2.07421875" style="759" customWidth="1"/>
    <col min="4103" max="4103" width="23.84375" style="759" customWidth="1"/>
    <col min="4104" max="4104" width="2.07421875" style="759" customWidth="1"/>
    <col min="4105" max="4105" width="23.84375" style="759" customWidth="1"/>
    <col min="4106" max="4106" width="2.07421875" style="759" customWidth="1"/>
    <col min="4107" max="4107" width="23.84375" style="759" customWidth="1"/>
    <col min="4108" max="4108" width="2.07421875" style="759" customWidth="1"/>
    <col min="4109" max="4109" width="23.84375" style="759" customWidth="1"/>
    <col min="4110" max="4110" width="2.07421875" style="759" customWidth="1"/>
    <col min="4111" max="4111" width="23.84375" style="759" customWidth="1"/>
    <col min="4112" max="4112" width="2.84375" style="759" bestFit="1" customWidth="1"/>
    <col min="4113" max="4351" width="8.84375" style="759"/>
    <col min="4352" max="4353" width="8.84375" style="759" customWidth="1"/>
    <col min="4354" max="4354" width="10.07421875" style="759" customWidth="1"/>
    <col min="4355" max="4355" width="2.07421875" style="759" customWidth="1"/>
    <col min="4356" max="4356" width="50.4609375" style="759" customWidth="1"/>
    <col min="4357" max="4357" width="8.84375" style="759"/>
    <col min="4358" max="4358" width="2.07421875" style="759" customWidth="1"/>
    <col min="4359" max="4359" width="23.84375" style="759" customWidth="1"/>
    <col min="4360" max="4360" width="2.07421875" style="759" customWidth="1"/>
    <col min="4361" max="4361" width="23.84375" style="759" customWidth="1"/>
    <col min="4362" max="4362" width="2.07421875" style="759" customWidth="1"/>
    <col min="4363" max="4363" width="23.84375" style="759" customWidth="1"/>
    <col min="4364" max="4364" width="2.07421875" style="759" customWidth="1"/>
    <col min="4365" max="4365" width="23.84375" style="759" customWidth="1"/>
    <col min="4366" max="4366" width="2.07421875" style="759" customWidth="1"/>
    <col min="4367" max="4367" width="23.84375" style="759" customWidth="1"/>
    <col min="4368" max="4368" width="2.84375" style="759" bestFit="1" customWidth="1"/>
    <col min="4369" max="4607" width="8.84375" style="759"/>
    <col min="4608" max="4609" width="8.84375" style="759" customWidth="1"/>
    <col min="4610" max="4610" width="10.07421875" style="759" customWidth="1"/>
    <col min="4611" max="4611" width="2.07421875" style="759" customWidth="1"/>
    <col min="4612" max="4612" width="50.4609375" style="759" customWidth="1"/>
    <col min="4613" max="4613" width="8.84375" style="759"/>
    <col min="4614" max="4614" width="2.07421875" style="759" customWidth="1"/>
    <col min="4615" max="4615" width="23.84375" style="759" customWidth="1"/>
    <col min="4616" max="4616" width="2.07421875" style="759" customWidth="1"/>
    <col min="4617" max="4617" width="23.84375" style="759" customWidth="1"/>
    <col min="4618" max="4618" width="2.07421875" style="759" customWidth="1"/>
    <col min="4619" max="4619" width="23.84375" style="759" customWidth="1"/>
    <col min="4620" max="4620" width="2.07421875" style="759" customWidth="1"/>
    <col min="4621" max="4621" width="23.84375" style="759" customWidth="1"/>
    <col min="4622" max="4622" width="2.07421875" style="759" customWidth="1"/>
    <col min="4623" max="4623" width="23.84375" style="759" customWidth="1"/>
    <col min="4624" max="4624" width="2.84375" style="759" bestFit="1" customWidth="1"/>
    <col min="4625" max="4863" width="8.84375" style="759"/>
    <col min="4864" max="4865" width="8.84375" style="759" customWidth="1"/>
    <col min="4866" max="4866" width="10.07421875" style="759" customWidth="1"/>
    <col min="4867" max="4867" width="2.07421875" style="759" customWidth="1"/>
    <col min="4868" max="4868" width="50.4609375" style="759" customWidth="1"/>
    <col min="4869" max="4869" width="8.84375" style="759"/>
    <col min="4870" max="4870" width="2.07421875" style="759" customWidth="1"/>
    <col min="4871" max="4871" width="23.84375" style="759" customWidth="1"/>
    <col min="4872" max="4872" width="2.07421875" style="759" customWidth="1"/>
    <col min="4873" max="4873" width="23.84375" style="759" customWidth="1"/>
    <col min="4874" max="4874" width="2.07421875" style="759" customWidth="1"/>
    <col min="4875" max="4875" width="23.84375" style="759" customWidth="1"/>
    <col min="4876" max="4876" width="2.07421875" style="759" customWidth="1"/>
    <col min="4877" max="4877" width="23.84375" style="759" customWidth="1"/>
    <col min="4878" max="4878" width="2.07421875" style="759" customWidth="1"/>
    <col min="4879" max="4879" width="23.84375" style="759" customWidth="1"/>
    <col min="4880" max="4880" width="2.84375" style="759" bestFit="1" customWidth="1"/>
    <col min="4881" max="5119" width="8.84375" style="759"/>
    <col min="5120" max="5121" width="8.84375" style="759" customWidth="1"/>
    <col min="5122" max="5122" width="10.07421875" style="759" customWidth="1"/>
    <col min="5123" max="5123" width="2.07421875" style="759" customWidth="1"/>
    <col min="5124" max="5124" width="50.4609375" style="759" customWidth="1"/>
    <col min="5125" max="5125" width="8.84375" style="759"/>
    <col min="5126" max="5126" width="2.07421875" style="759" customWidth="1"/>
    <col min="5127" max="5127" width="23.84375" style="759" customWidth="1"/>
    <col min="5128" max="5128" width="2.07421875" style="759" customWidth="1"/>
    <col min="5129" max="5129" width="23.84375" style="759" customWidth="1"/>
    <col min="5130" max="5130" width="2.07421875" style="759" customWidth="1"/>
    <col min="5131" max="5131" width="23.84375" style="759" customWidth="1"/>
    <col min="5132" max="5132" width="2.07421875" style="759" customWidth="1"/>
    <col min="5133" max="5133" width="23.84375" style="759" customWidth="1"/>
    <col min="5134" max="5134" width="2.07421875" style="759" customWidth="1"/>
    <col min="5135" max="5135" width="23.84375" style="759" customWidth="1"/>
    <col min="5136" max="5136" width="2.84375" style="759" bestFit="1" customWidth="1"/>
    <col min="5137" max="5375" width="8.84375" style="759"/>
    <col min="5376" max="5377" width="8.84375" style="759" customWidth="1"/>
    <col min="5378" max="5378" width="10.07421875" style="759" customWidth="1"/>
    <col min="5379" max="5379" width="2.07421875" style="759" customWidth="1"/>
    <col min="5380" max="5380" width="50.4609375" style="759" customWidth="1"/>
    <col min="5381" max="5381" width="8.84375" style="759"/>
    <col min="5382" max="5382" width="2.07421875" style="759" customWidth="1"/>
    <col min="5383" max="5383" width="23.84375" style="759" customWidth="1"/>
    <col min="5384" max="5384" width="2.07421875" style="759" customWidth="1"/>
    <col min="5385" max="5385" width="23.84375" style="759" customWidth="1"/>
    <col min="5386" max="5386" width="2.07421875" style="759" customWidth="1"/>
    <col min="5387" max="5387" width="23.84375" style="759" customWidth="1"/>
    <col min="5388" max="5388" width="2.07421875" style="759" customWidth="1"/>
    <col min="5389" max="5389" width="23.84375" style="759" customWidth="1"/>
    <col min="5390" max="5390" width="2.07421875" style="759" customWidth="1"/>
    <col min="5391" max="5391" width="23.84375" style="759" customWidth="1"/>
    <col min="5392" max="5392" width="2.84375" style="759" bestFit="1" customWidth="1"/>
    <col min="5393" max="5631" width="8.84375" style="759"/>
    <col min="5632" max="5633" width="8.84375" style="759" customWidth="1"/>
    <col min="5634" max="5634" width="10.07421875" style="759" customWidth="1"/>
    <col min="5635" max="5635" width="2.07421875" style="759" customWidth="1"/>
    <col min="5636" max="5636" width="50.4609375" style="759" customWidth="1"/>
    <col min="5637" max="5637" width="8.84375" style="759"/>
    <col min="5638" max="5638" width="2.07421875" style="759" customWidth="1"/>
    <col min="5639" max="5639" width="23.84375" style="759" customWidth="1"/>
    <col min="5640" max="5640" width="2.07421875" style="759" customWidth="1"/>
    <col min="5641" max="5641" width="23.84375" style="759" customWidth="1"/>
    <col min="5642" max="5642" width="2.07421875" style="759" customWidth="1"/>
    <col min="5643" max="5643" width="23.84375" style="759" customWidth="1"/>
    <col min="5644" max="5644" width="2.07421875" style="759" customWidth="1"/>
    <col min="5645" max="5645" width="23.84375" style="759" customWidth="1"/>
    <col min="5646" max="5646" width="2.07421875" style="759" customWidth="1"/>
    <col min="5647" max="5647" width="23.84375" style="759" customWidth="1"/>
    <col min="5648" max="5648" width="2.84375" style="759" bestFit="1" customWidth="1"/>
    <col min="5649" max="5887" width="8.84375" style="759"/>
    <col min="5888" max="5889" width="8.84375" style="759" customWidth="1"/>
    <col min="5890" max="5890" width="10.07421875" style="759" customWidth="1"/>
    <col min="5891" max="5891" width="2.07421875" style="759" customWidth="1"/>
    <col min="5892" max="5892" width="50.4609375" style="759" customWidth="1"/>
    <col min="5893" max="5893" width="8.84375" style="759"/>
    <col min="5894" max="5894" width="2.07421875" style="759" customWidth="1"/>
    <col min="5895" max="5895" width="23.84375" style="759" customWidth="1"/>
    <col min="5896" max="5896" width="2.07421875" style="759" customWidth="1"/>
    <col min="5897" max="5897" width="23.84375" style="759" customWidth="1"/>
    <col min="5898" max="5898" width="2.07421875" style="759" customWidth="1"/>
    <col min="5899" max="5899" width="23.84375" style="759" customWidth="1"/>
    <col min="5900" max="5900" width="2.07421875" style="759" customWidth="1"/>
    <col min="5901" max="5901" width="23.84375" style="759" customWidth="1"/>
    <col min="5902" max="5902" width="2.07421875" style="759" customWidth="1"/>
    <col min="5903" max="5903" width="23.84375" style="759" customWidth="1"/>
    <col min="5904" max="5904" width="2.84375" style="759" bestFit="1" customWidth="1"/>
    <col min="5905" max="6143" width="8.84375" style="759"/>
    <col min="6144" max="6145" width="8.84375" style="759" customWidth="1"/>
    <col min="6146" max="6146" width="10.07421875" style="759" customWidth="1"/>
    <col min="6147" max="6147" width="2.07421875" style="759" customWidth="1"/>
    <col min="6148" max="6148" width="50.4609375" style="759" customWidth="1"/>
    <col min="6149" max="6149" width="8.84375" style="759"/>
    <col min="6150" max="6150" width="2.07421875" style="759" customWidth="1"/>
    <col min="6151" max="6151" width="23.84375" style="759" customWidth="1"/>
    <col min="6152" max="6152" width="2.07421875" style="759" customWidth="1"/>
    <col min="6153" max="6153" width="23.84375" style="759" customWidth="1"/>
    <col min="6154" max="6154" width="2.07421875" style="759" customWidth="1"/>
    <col min="6155" max="6155" width="23.84375" style="759" customWidth="1"/>
    <col min="6156" max="6156" width="2.07421875" style="759" customWidth="1"/>
    <col min="6157" max="6157" width="23.84375" style="759" customWidth="1"/>
    <col min="6158" max="6158" width="2.07421875" style="759" customWidth="1"/>
    <col min="6159" max="6159" width="23.84375" style="759" customWidth="1"/>
    <col min="6160" max="6160" width="2.84375" style="759" bestFit="1" customWidth="1"/>
    <col min="6161" max="6399" width="8.84375" style="759"/>
    <col min="6400" max="6401" width="8.84375" style="759" customWidth="1"/>
    <col min="6402" max="6402" width="10.07421875" style="759" customWidth="1"/>
    <col min="6403" max="6403" width="2.07421875" style="759" customWidth="1"/>
    <col min="6404" max="6404" width="50.4609375" style="759" customWidth="1"/>
    <col min="6405" max="6405" width="8.84375" style="759"/>
    <col min="6406" max="6406" width="2.07421875" style="759" customWidth="1"/>
    <col min="6407" max="6407" width="23.84375" style="759" customWidth="1"/>
    <col min="6408" max="6408" width="2.07421875" style="759" customWidth="1"/>
    <col min="6409" max="6409" width="23.84375" style="759" customWidth="1"/>
    <col min="6410" max="6410" width="2.07421875" style="759" customWidth="1"/>
    <col min="6411" max="6411" width="23.84375" style="759" customWidth="1"/>
    <col min="6412" max="6412" width="2.07421875" style="759" customWidth="1"/>
    <col min="6413" max="6413" width="23.84375" style="759" customWidth="1"/>
    <col min="6414" max="6414" width="2.07421875" style="759" customWidth="1"/>
    <col min="6415" max="6415" width="23.84375" style="759" customWidth="1"/>
    <col min="6416" max="6416" width="2.84375" style="759" bestFit="1" customWidth="1"/>
    <col min="6417" max="6655" width="8.84375" style="759"/>
    <col min="6656" max="6657" width="8.84375" style="759" customWidth="1"/>
    <col min="6658" max="6658" width="10.07421875" style="759" customWidth="1"/>
    <col min="6659" max="6659" width="2.07421875" style="759" customWidth="1"/>
    <col min="6660" max="6660" width="50.4609375" style="759" customWidth="1"/>
    <col min="6661" max="6661" width="8.84375" style="759"/>
    <col min="6662" max="6662" width="2.07421875" style="759" customWidth="1"/>
    <col min="6663" max="6663" width="23.84375" style="759" customWidth="1"/>
    <col min="6664" max="6664" width="2.07421875" style="759" customWidth="1"/>
    <col min="6665" max="6665" width="23.84375" style="759" customWidth="1"/>
    <col min="6666" max="6666" width="2.07421875" style="759" customWidth="1"/>
    <col min="6667" max="6667" width="23.84375" style="759" customWidth="1"/>
    <col min="6668" max="6668" width="2.07421875" style="759" customWidth="1"/>
    <col min="6669" max="6669" width="23.84375" style="759" customWidth="1"/>
    <col min="6670" max="6670" width="2.07421875" style="759" customWidth="1"/>
    <col min="6671" max="6671" width="23.84375" style="759" customWidth="1"/>
    <col min="6672" max="6672" width="2.84375" style="759" bestFit="1" customWidth="1"/>
    <col min="6673" max="6911" width="8.84375" style="759"/>
    <col min="6912" max="6913" width="8.84375" style="759" customWidth="1"/>
    <col min="6914" max="6914" width="10.07421875" style="759" customWidth="1"/>
    <col min="6915" max="6915" width="2.07421875" style="759" customWidth="1"/>
    <col min="6916" max="6916" width="50.4609375" style="759" customWidth="1"/>
    <col min="6917" max="6917" width="8.84375" style="759"/>
    <col min="6918" max="6918" width="2.07421875" style="759" customWidth="1"/>
    <col min="6919" max="6919" width="23.84375" style="759" customWidth="1"/>
    <col min="6920" max="6920" width="2.07421875" style="759" customWidth="1"/>
    <col min="6921" max="6921" width="23.84375" style="759" customWidth="1"/>
    <col min="6922" max="6922" width="2.07421875" style="759" customWidth="1"/>
    <col min="6923" max="6923" width="23.84375" style="759" customWidth="1"/>
    <col min="6924" max="6924" width="2.07421875" style="759" customWidth="1"/>
    <col min="6925" max="6925" width="23.84375" style="759" customWidth="1"/>
    <col min="6926" max="6926" width="2.07421875" style="759" customWidth="1"/>
    <col min="6927" max="6927" width="23.84375" style="759" customWidth="1"/>
    <col min="6928" max="6928" width="2.84375" style="759" bestFit="1" customWidth="1"/>
    <col min="6929" max="7167" width="8.84375" style="759"/>
    <col min="7168" max="7169" width="8.84375" style="759" customWidth="1"/>
    <col min="7170" max="7170" width="10.07421875" style="759" customWidth="1"/>
    <col min="7171" max="7171" width="2.07421875" style="759" customWidth="1"/>
    <col min="7172" max="7172" width="50.4609375" style="759" customWidth="1"/>
    <col min="7173" max="7173" width="8.84375" style="759"/>
    <col min="7174" max="7174" width="2.07421875" style="759" customWidth="1"/>
    <col min="7175" max="7175" width="23.84375" style="759" customWidth="1"/>
    <col min="7176" max="7176" width="2.07421875" style="759" customWidth="1"/>
    <col min="7177" max="7177" width="23.84375" style="759" customWidth="1"/>
    <col min="7178" max="7178" width="2.07421875" style="759" customWidth="1"/>
    <col min="7179" max="7179" width="23.84375" style="759" customWidth="1"/>
    <col min="7180" max="7180" width="2.07421875" style="759" customWidth="1"/>
    <col min="7181" max="7181" width="23.84375" style="759" customWidth="1"/>
    <col min="7182" max="7182" width="2.07421875" style="759" customWidth="1"/>
    <col min="7183" max="7183" width="23.84375" style="759" customWidth="1"/>
    <col min="7184" max="7184" width="2.84375" style="759" bestFit="1" customWidth="1"/>
    <col min="7185" max="7423" width="8.84375" style="759"/>
    <col min="7424" max="7425" width="8.84375" style="759" customWidth="1"/>
    <col min="7426" max="7426" width="10.07421875" style="759" customWidth="1"/>
    <col min="7427" max="7427" width="2.07421875" style="759" customWidth="1"/>
    <col min="7428" max="7428" width="50.4609375" style="759" customWidth="1"/>
    <col min="7429" max="7429" width="8.84375" style="759"/>
    <col min="7430" max="7430" width="2.07421875" style="759" customWidth="1"/>
    <col min="7431" max="7431" width="23.84375" style="759" customWidth="1"/>
    <col min="7432" max="7432" width="2.07421875" style="759" customWidth="1"/>
    <col min="7433" max="7433" width="23.84375" style="759" customWidth="1"/>
    <col min="7434" max="7434" width="2.07421875" style="759" customWidth="1"/>
    <col min="7435" max="7435" width="23.84375" style="759" customWidth="1"/>
    <col min="7436" max="7436" width="2.07421875" style="759" customWidth="1"/>
    <col min="7437" max="7437" width="23.84375" style="759" customWidth="1"/>
    <col min="7438" max="7438" width="2.07421875" style="759" customWidth="1"/>
    <col min="7439" max="7439" width="23.84375" style="759" customWidth="1"/>
    <col min="7440" max="7440" width="2.84375" style="759" bestFit="1" customWidth="1"/>
    <col min="7441" max="7679" width="8.84375" style="759"/>
    <col min="7680" max="7681" width="8.84375" style="759" customWidth="1"/>
    <col min="7682" max="7682" width="10.07421875" style="759" customWidth="1"/>
    <col min="7683" max="7683" width="2.07421875" style="759" customWidth="1"/>
    <col min="7684" max="7684" width="50.4609375" style="759" customWidth="1"/>
    <col min="7685" max="7685" width="8.84375" style="759"/>
    <col min="7686" max="7686" width="2.07421875" style="759" customWidth="1"/>
    <col min="7687" max="7687" width="23.84375" style="759" customWidth="1"/>
    <col min="7688" max="7688" width="2.07421875" style="759" customWidth="1"/>
    <col min="7689" max="7689" width="23.84375" style="759" customWidth="1"/>
    <col min="7690" max="7690" width="2.07421875" style="759" customWidth="1"/>
    <col min="7691" max="7691" width="23.84375" style="759" customWidth="1"/>
    <col min="7692" max="7692" width="2.07421875" style="759" customWidth="1"/>
    <col min="7693" max="7693" width="23.84375" style="759" customWidth="1"/>
    <col min="7694" max="7694" width="2.07421875" style="759" customWidth="1"/>
    <col min="7695" max="7695" width="23.84375" style="759" customWidth="1"/>
    <col min="7696" max="7696" width="2.84375" style="759" bestFit="1" customWidth="1"/>
    <col min="7697" max="7935" width="8.84375" style="759"/>
    <col min="7936" max="7937" width="8.84375" style="759" customWidth="1"/>
    <col min="7938" max="7938" width="10.07421875" style="759" customWidth="1"/>
    <col min="7939" max="7939" width="2.07421875" style="759" customWidth="1"/>
    <col min="7940" max="7940" width="50.4609375" style="759" customWidth="1"/>
    <col min="7941" max="7941" width="8.84375" style="759"/>
    <col min="7942" max="7942" width="2.07421875" style="759" customWidth="1"/>
    <col min="7943" max="7943" width="23.84375" style="759" customWidth="1"/>
    <col min="7944" max="7944" width="2.07421875" style="759" customWidth="1"/>
    <col min="7945" max="7945" width="23.84375" style="759" customWidth="1"/>
    <col min="7946" max="7946" width="2.07421875" style="759" customWidth="1"/>
    <col min="7947" max="7947" width="23.84375" style="759" customWidth="1"/>
    <col min="7948" max="7948" width="2.07421875" style="759" customWidth="1"/>
    <col min="7949" max="7949" width="23.84375" style="759" customWidth="1"/>
    <col min="7950" max="7950" width="2.07421875" style="759" customWidth="1"/>
    <col min="7951" max="7951" width="23.84375" style="759" customWidth="1"/>
    <col min="7952" max="7952" width="2.84375" style="759" bestFit="1" customWidth="1"/>
    <col min="7953" max="8191" width="8.84375" style="759"/>
    <col min="8192" max="8193" width="8.84375" style="759" customWidth="1"/>
    <col min="8194" max="8194" width="10.07421875" style="759" customWidth="1"/>
    <col min="8195" max="8195" width="2.07421875" style="759" customWidth="1"/>
    <col min="8196" max="8196" width="50.4609375" style="759" customWidth="1"/>
    <col min="8197" max="8197" width="8.84375" style="759"/>
    <col min="8198" max="8198" width="2.07421875" style="759" customWidth="1"/>
    <col min="8199" max="8199" width="23.84375" style="759" customWidth="1"/>
    <col min="8200" max="8200" width="2.07421875" style="759" customWidth="1"/>
    <col min="8201" max="8201" width="23.84375" style="759" customWidth="1"/>
    <col min="8202" max="8202" width="2.07421875" style="759" customWidth="1"/>
    <col min="8203" max="8203" width="23.84375" style="759" customWidth="1"/>
    <col min="8204" max="8204" width="2.07421875" style="759" customWidth="1"/>
    <col min="8205" max="8205" width="23.84375" style="759" customWidth="1"/>
    <col min="8206" max="8206" width="2.07421875" style="759" customWidth="1"/>
    <col min="8207" max="8207" width="23.84375" style="759" customWidth="1"/>
    <col min="8208" max="8208" width="2.84375" style="759" bestFit="1" customWidth="1"/>
    <col min="8209" max="8447" width="8.84375" style="759"/>
    <col min="8448" max="8449" width="8.84375" style="759" customWidth="1"/>
    <col min="8450" max="8450" width="10.07421875" style="759" customWidth="1"/>
    <col min="8451" max="8451" width="2.07421875" style="759" customWidth="1"/>
    <col min="8452" max="8452" width="50.4609375" style="759" customWidth="1"/>
    <col min="8453" max="8453" width="8.84375" style="759"/>
    <col min="8454" max="8454" width="2.07421875" style="759" customWidth="1"/>
    <col min="8455" max="8455" width="23.84375" style="759" customWidth="1"/>
    <col min="8456" max="8456" width="2.07421875" style="759" customWidth="1"/>
    <col min="8457" max="8457" width="23.84375" style="759" customWidth="1"/>
    <col min="8458" max="8458" width="2.07421875" style="759" customWidth="1"/>
    <col min="8459" max="8459" width="23.84375" style="759" customWidth="1"/>
    <col min="8460" max="8460" width="2.07421875" style="759" customWidth="1"/>
    <col min="8461" max="8461" width="23.84375" style="759" customWidth="1"/>
    <col min="8462" max="8462" width="2.07421875" style="759" customWidth="1"/>
    <col min="8463" max="8463" width="23.84375" style="759" customWidth="1"/>
    <col min="8464" max="8464" width="2.84375" style="759" bestFit="1" customWidth="1"/>
    <col min="8465" max="8703" width="8.84375" style="759"/>
    <col min="8704" max="8705" width="8.84375" style="759" customWidth="1"/>
    <col min="8706" max="8706" width="10.07421875" style="759" customWidth="1"/>
    <col min="8707" max="8707" width="2.07421875" style="759" customWidth="1"/>
    <col min="8708" max="8708" width="50.4609375" style="759" customWidth="1"/>
    <col min="8709" max="8709" width="8.84375" style="759"/>
    <col min="8710" max="8710" width="2.07421875" style="759" customWidth="1"/>
    <col min="8711" max="8711" width="23.84375" style="759" customWidth="1"/>
    <col min="8712" max="8712" width="2.07421875" style="759" customWidth="1"/>
    <col min="8713" max="8713" width="23.84375" style="759" customWidth="1"/>
    <col min="8714" max="8714" width="2.07421875" style="759" customWidth="1"/>
    <col min="8715" max="8715" width="23.84375" style="759" customWidth="1"/>
    <col min="8716" max="8716" width="2.07421875" style="759" customWidth="1"/>
    <col min="8717" max="8717" width="23.84375" style="759" customWidth="1"/>
    <col min="8718" max="8718" width="2.07421875" style="759" customWidth="1"/>
    <col min="8719" max="8719" width="23.84375" style="759" customWidth="1"/>
    <col min="8720" max="8720" width="2.84375" style="759" bestFit="1" customWidth="1"/>
    <col min="8721" max="8959" width="8.84375" style="759"/>
    <col min="8960" max="8961" width="8.84375" style="759" customWidth="1"/>
    <col min="8962" max="8962" width="10.07421875" style="759" customWidth="1"/>
    <col min="8963" max="8963" width="2.07421875" style="759" customWidth="1"/>
    <col min="8964" max="8964" width="50.4609375" style="759" customWidth="1"/>
    <col min="8965" max="8965" width="8.84375" style="759"/>
    <col min="8966" max="8966" width="2.07421875" style="759" customWidth="1"/>
    <col min="8967" max="8967" width="23.84375" style="759" customWidth="1"/>
    <col min="8968" max="8968" width="2.07421875" style="759" customWidth="1"/>
    <col min="8969" max="8969" width="23.84375" style="759" customWidth="1"/>
    <col min="8970" max="8970" width="2.07421875" style="759" customWidth="1"/>
    <col min="8971" max="8971" width="23.84375" style="759" customWidth="1"/>
    <col min="8972" max="8972" width="2.07421875" style="759" customWidth="1"/>
    <col min="8973" max="8973" width="23.84375" style="759" customWidth="1"/>
    <col min="8974" max="8974" width="2.07421875" style="759" customWidth="1"/>
    <col min="8975" max="8975" width="23.84375" style="759" customWidth="1"/>
    <col min="8976" max="8976" width="2.84375" style="759" bestFit="1" customWidth="1"/>
    <col min="8977" max="9215" width="8.84375" style="759"/>
    <col min="9216" max="9217" width="8.84375" style="759" customWidth="1"/>
    <col min="9218" max="9218" width="10.07421875" style="759" customWidth="1"/>
    <col min="9219" max="9219" width="2.07421875" style="759" customWidth="1"/>
    <col min="9220" max="9220" width="50.4609375" style="759" customWidth="1"/>
    <col min="9221" max="9221" width="8.84375" style="759"/>
    <col min="9222" max="9222" width="2.07421875" style="759" customWidth="1"/>
    <col min="9223" max="9223" width="23.84375" style="759" customWidth="1"/>
    <col min="9224" max="9224" width="2.07421875" style="759" customWidth="1"/>
    <col min="9225" max="9225" width="23.84375" style="759" customWidth="1"/>
    <col min="9226" max="9226" width="2.07421875" style="759" customWidth="1"/>
    <col min="9227" max="9227" width="23.84375" style="759" customWidth="1"/>
    <col min="9228" max="9228" width="2.07421875" style="759" customWidth="1"/>
    <col min="9229" max="9229" width="23.84375" style="759" customWidth="1"/>
    <col min="9230" max="9230" width="2.07421875" style="759" customWidth="1"/>
    <col min="9231" max="9231" width="23.84375" style="759" customWidth="1"/>
    <col min="9232" max="9232" width="2.84375" style="759" bestFit="1" customWidth="1"/>
    <col min="9233" max="9471" width="8.84375" style="759"/>
    <col min="9472" max="9473" width="8.84375" style="759" customWidth="1"/>
    <col min="9474" max="9474" width="10.07421875" style="759" customWidth="1"/>
    <col min="9475" max="9475" width="2.07421875" style="759" customWidth="1"/>
    <col min="9476" max="9476" width="50.4609375" style="759" customWidth="1"/>
    <col min="9477" max="9477" width="8.84375" style="759"/>
    <col min="9478" max="9478" width="2.07421875" style="759" customWidth="1"/>
    <col min="9479" max="9479" width="23.84375" style="759" customWidth="1"/>
    <col min="9480" max="9480" width="2.07421875" style="759" customWidth="1"/>
    <col min="9481" max="9481" width="23.84375" style="759" customWidth="1"/>
    <col min="9482" max="9482" width="2.07421875" style="759" customWidth="1"/>
    <col min="9483" max="9483" width="23.84375" style="759" customWidth="1"/>
    <col min="9484" max="9484" width="2.07421875" style="759" customWidth="1"/>
    <col min="9485" max="9485" width="23.84375" style="759" customWidth="1"/>
    <col min="9486" max="9486" width="2.07421875" style="759" customWidth="1"/>
    <col min="9487" max="9487" width="23.84375" style="759" customWidth="1"/>
    <col min="9488" max="9488" width="2.84375" style="759" bestFit="1" customWidth="1"/>
    <col min="9489" max="9727" width="8.84375" style="759"/>
    <col min="9728" max="9729" width="8.84375" style="759" customWidth="1"/>
    <col min="9730" max="9730" width="10.07421875" style="759" customWidth="1"/>
    <col min="9731" max="9731" width="2.07421875" style="759" customWidth="1"/>
    <col min="9732" max="9732" width="50.4609375" style="759" customWidth="1"/>
    <col min="9733" max="9733" width="8.84375" style="759"/>
    <col min="9734" max="9734" width="2.07421875" style="759" customWidth="1"/>
    <col min="9735" max="9735" width="23.84375" style="759" customWidth="1"/>
    <col min="9736" max="9736" width="2.07421875" style="759" customWidth="1"/>
    <col min="9737" max="9737" width="23.84375" style="759" customWidth="1"/>
    <col min="9738" max="9738" width="2.07421875" style="759" customWidth="1"/>
    <col min="9739" max="9739" width="23.84375" style="759" customWidth="1"/>
    <col min="9740" max="9740" width="2.07421875" style="759" customWidth="1"/>
    <col min="9741" max="9741" width="23.84375" style="759" customWidth="1"/>
    <col min="9742" max="9742" width="2.07421875" style="759" customWidth="1"/>
    <col min="9743" max="9743" width="23.84375" style="759" customWidth="1"/>
    <col min="9744" max="9744" width="2.84375" style="759" bestFit="1" customWidth="1"/>
    <col min="9745" max="9983" width="8.84375" style="759"/>
    <col min="9984" max="9985" width="8.84375" style="759" customWidth="1"/>
    <col min="9986" max="9986" width="10.07421875" style="759" customWidth="1"/>
    <col min="9987" max="9987" width="2.07421875" style="759" customWidth="1"/>
    <col min="9988" max="9988" width="50.4609375" style="759" customWidth="1"/>
    <col min="9989" max="9989" width="8.84375" style="759"/>
    <col min="9990" max="9990" width="2.07421875" style="759" customWidth="1"/>
    <col min="9991" max="9991" width="23.84375" style="759" customWidth="1"/>
    <col min="9992" max="9992" width="2.07421875" style="759" customWidth="1"/>
    <col min="9993" max="9993" width="23.84375" style="759" customWidth="1"/>
    <col min="9994" max="9994" width="2.07421875" style="759" customWidth="1"/>
    <col min="9995" max="9995" width="23.84375" style="759" customWidth="1"/>
    <col min="9996" max="9996" width="2.07421875" style="759" customWidth="1"/>
    <col min="9997" max="9997" width="23.84375" style="759" customWidth="1"/>
    <col min="9998" max="9998" width="2.07421875" style="759" customWidth="1"/>
    <col min="9999" max="9999" width="23.84375" style="759" customWidth="1"/>
    <col min="10000" max="10000" width="2.84375" style="759" bestFit="1" customWidth="1"/>
    <col min="10001" max="10239" width="8.84375" style="759"/>
    <col min="10240" max="10241" width="8.84375" style="759" customWidth="1"/>
    <col min="10242" max="10242" width="10.07421875" style="759" customWidth="1"/>
    <col min="10243" max="10243" width="2.07421875" style="759" customWidth="1"/>
    <col min="10244" max="10244" width="50.4609375" style="759" customWidth="1"/>
    <col min="10245" max="10245" width="8.84375" style="759"/>
    <col min="10246" max="10246" width="2.07421875" style="759" customWidth="1"/>
    <col min="10247" max="10247" width="23.84375" style="759" customWidth="1"/>
    <col min="10248" max="10248" width="2.07421875" style="759" customWidth="1"/>
    <col min="10249" max="10249" width="23.84375" style="759" customWidth="1"/>
    <col min="10250" max="10250" width="2.07421875" style="759" customWidth="1"/>
    <col min="10251" max="10251" width="23.84375" style="759" customWidth="1"/>
    <col min="10252" max="10252" width="2.07421875" style="759" customWidth="1"/>
    <col min="10253" max="10253" width="23.84375" style="759" customWidth="1"/>
    <col min="10254" max="10254" width="2.07421875" style="759" customWidth="1"/>
    <col min="10255" max="10255" width="23.84375" style="759" customWidth="1"/>
    <col min="10256" max="10256" width="2.84375" style="759" bestFit="1" customWidth="1"/>
    <col min="10257" max="10495" width="8.84375" style="759"/>
    <col min="10496" max="10497" width="8.84375" style="759" customWidth="1"/>
    <col min="10498" max="10498" width="10.07421875" style="759" customWidth="1"/>
    <col min="10499" max="10499" width="2.07421875" style="759" customWidth="1"/>
    <col min="10500" max="10500" width="50.4609375" style="759" customWidth="1"/>
    <col min="10501" max="10501" width="8.84375" style="759"/>
    <col min="10502" max="10502" width="2.07421875" style="759" customWidth="1"/>
    <col min="10503" max="10503" width="23.84375" style="759" customWidth="1"/>
    <col min="10504" max="10504" width="2.07421875" style="759" customWidth="1"/>
    <col min="10505" max="10505" width="23.84375" style="759" customWidth="1"/>
    <col min="10506" max="10506" width="2.07421875" style="759" customWidth="1"/>
    <col min="10507" max="10507" width="23.84375" style="759" customWidth="1"/>
    <col min="10508" max="10508" width="2.07421875" style="759" customWidth="1"/>
    <col min="10509" max="10509" width="23.84375" style="759" customWidth="1"/>
    <col min="10510" max="10510" width="2.07421875" style="759" customWidth="1"/>
    <col min="10511" max="10511" width="23.84375" style="759" customWidth="1"/>
    <col min="10512" max="10512" width="2.84375" style="759" bestFit="1" customWidth="1"/>
    <col min="10513" max="10751" width="8.84375" style="759"/>
    <col min="10752" max="10753" width="8.84375" style="759" customWidth="1"/>
    <col min="10754" max="10754" width="10.07421875" style="759" customWidth="1"/>
    <col min="10755" max="10755" width="2.07421875" style="759" customWidth="1"/>
    <col min="10756" max="10756" width="50.4609375" style="759" customWidth="1"/>
    <col min="10757" max="10757" width="8.84375" style="759"/>
    <col min="10758" max="10758" width="2.07421875" style="759" customWidth="1"/>
    <col min="10759" max="10759" width="23.84375" style="759" customWidth="1"/>
    <col min="10760" max="10760" width="2.07421875" style="759" customWidth="1"/>
    <col min="10761" max="10761" width="23.84375" style="759" customWidth="1"/>
    <col min="10762" max="10762" width="2.07421875" style="759" customWidth="1"/>
    <col min="10763" max="10763" width="23.84375" style="759" customWidth="1"/>
    <col min="10764" max="10764" width="2.07421875" style="759" customWidth="1"/>
    <col min="10765" max="10765" width="23.84375" style="759" customWidth="1"/>
    <col min="10766" max="10766" width="2.07421875" style="759" customWidth="1"/>
    <col min="10767" max="10767" width="23.84375" style="759" customWidth="1"/>
    <col min="10768" max="10768" width="2.84375" style="759" bestFit="1" customWidth="1"/>
    <col min="10769" max="11007" width="8.84375" style="759"/>
    <col min="11008" max="11009" width="8.84375" style="759" customWidth="1"/>
    <col min="11010" max="11010" width="10.07421875" style="759" customWidth="1"/>
    <col min="11011" max="11011" width="2.07421875" style="759" customWidth="1"/>
    <col min="11012" max="11012" width="50.4609375" style="759" customWidth="1"/>
    <col min="11013" max="11013" width="8.84375" style="759"/>
    <col min="11014" max="11014" width="2.07421875" style="759" customWidth="1"/>
    <col min="11015" max="11015" width="23.84375" style="759" customWidth="1"/>
    <col min="11016" max="11016" width="2.07421875" style="759" customWidth="1"/>
    <col min="11017" max="11017" width="23.84375" style="759" customWidth="1"/>
    <col min="11018" max="11018" width="2.07421875" style="759" customWidth="1"/>
    <col min="11019" max="11019" width="23.84375" style="759" customWidth="1"/>
    <col min="11020" max="11020" width="2.07421875" style="759" customWidth="1"/>
    <col min="11021" max="11021" width="23.84375" style="759" customWidth="1"/>
    <col min="11022" max="11022" width="2.07421875" style="759" customWidth="1"/>
    <col min="11023" max="11023" width="23.84375" style="759" customWidth="1"/>
    <col min="11024" max="11024" width="2.84375" style="759" bestFit="1" customWidth="1"/>
    <col min="11025" max="11263" width="8.84375" style="759"/>
    <col min="11264" max="11265" width="8.84375" style="759" customWidth="1"/>
    <col min="11266" max="11266" width="10.07421875" style="759" customWidth="1"/>
    <col min="11267" max="11267" width="2.07421875" style="759" customWidth="1"/>
    <col min="11268" max="11268" width="50.4609375" style="759" customWidth="1"/>
    <col min="11269" max="11269" width="8.84375" style="759"/>
    <col min="11270" max="11270" width="2.07421875" style="759" customWidth="1"/>
    <col min="11271" max="11271" width="23.84375" style="759" customWidth="1"/>
    <col min="11272" max="11272" width="2.07421875" style="759" customWidth="1"/>
    <col min="11273" max="11273" width="23.84375" style="759" customWidth="1"/>
    <col min="11274" max="11274" width="2.07421875" style="759" customWidth="1"/>
    <col min="11275" max="11275" width="23.84375" style="759" customWidth="1"/>
    <col min="11276" max="11276" width="2.07421875" style="759" customWidth="1"/>
    <col min="11277" max="11277" width="23.84375" style="759" customWidth="1"/>
    <col min="11278" max="11278" width="2.07421875" style="759" customWidth="1"/>
    <col min="11279" max="11279" width="23.84375" style="759" customWidth="1"/>
    <col min="11280" max="11280" width="2.84375" style="759" bestFit="1" customWidth="1"/>
    <col min="11281" max="11519" width="8.84375" style="759"/>
    <col min="11520" max="11521" width="8.84375" style="759" customWidth="1"/>
    <col min="11522" max="11522" width="10.07421875" style="759" customWidth="1"/>
    <col min="11523" max="11523" width="2.07421875" style="759" customWidth="1"/>
    <col min="11524" max="11524" width="50.4609375" style="759" customWidth="1"/>
    <col min="11525" max="11525" width="8.84375" style="759"/>
    <col min="11526" max="11526" width="2.07421875" style="759" customWidth="1"/>
    <col min="11527" max="11527" width="23.84375" style="759" customWidth="1"/>
    <col min="11528" max="11528" width="2.07421875" style="759" customWidth="1"/>
    <col min="11529" max="11529" width="23.84375" style="759" customWidth="1"/>
    <col min="11530" max="11530" width="2.07421875" style="759" customWidth="1"/>
    <col min="11531" max="11531" width="23.84375" style="759" customWidth="1"/>
    <col min="11532" max="11532" width="2.07421875" style="759" customWidth="1"/>
    <col min="11533" max="11533" width="23.84375" style="759" customWidth="1"/>
    <col min="11534" max="11534" width="2.07421875" style="759" customWidth="1"/>
    <col min="11535" max="11535" width="23.84375" style="759" customWidth="1"/>
    <col min="11536" max="11536" width="2.84375" style="759" bestFit="1" customWidth="1"/>
    <col min="11537" max="11775" width="8.84375" style="759"/>
    <col min="11776" max="11777" width="8.84375" style="759" customWidth="1"/>
    <col min="11778" max="11778" width="10.07421875" style="759" customWidth="1"/>
    <col min="11779" max="11779" width="2.07421875" style="759" customWidth="1"/>
    <col min="11780" max="11780" width="50.4609375" style="759" customWidth="1"/>
    <col min="11781" max="11781" width="8.84375" style="759"/>
    <col min="11782" max="11782" width="2.07421875" style="759" customWidth="1"/>
    <col min="11783" max="11783" width="23.84375" style="759" customWidth="1"/>
    <col min="11784" max="11784" width="2.07421875" style="759" customWidth="1"/>
    <col min="11785" max="11785" width="23.84375" style="759" customWidth="1"/>
    <col min="11786" max="11786" width="2.07421875" style="759" customWidth="1"/>
    <col min="11787" max="11787" width="23.84375" style="759" customWidth="1"/>
    <col min="11788" max="11788" width="2.07421875" style="759" customWidth="1"/>
    <col min="11789" max="11789" width="23.84375" style="759" customWidth="1"/>
    <col min="11790" max="11790" width="2.07421875" style="759" customWidth="1"/>
    <col min="11791" max="11791" width="23.84375" style="759" customWidth="1"/>
    <col min="11792" max="11792" width="2.84375" style="759" bestFit="1" customWidth="1"/>
    <col min="11793" max="12031" width="8.84375" style="759"/>
    <col min="12032" max="12033" width="8.84375" style="759" customWidth="1"/>
    <col min="12034" max="12034" width="10.07421875" style="759" customWidth="1"/>
    <col min="12035" max="12035" width="2.07421875" style="759" customWidth="1"/>
    <col min="12036" max="12036" width="50.4609375" style="759" customWidth="1"/>
    <col min="12037" max="12037" width="8.84375" style="759"/>
    <col min="12038" max="12038" width="2.07421875" style="759" customWidth="1"/>
    <col min="12039" max="12039" width="23.84375" style="759" customWidth="1"/>
    <col min="12040" max="12040" width="2.07421875" style="759" customWidth="1"/>
    <col min="12041" max="12041" width="23.84375" style="759" customWidth="1"/>
    <col min="12042" max="12042" width="2.07421875" style="759" customWidth="1"/>
    <col min="12043" max="12043" width="23.84375" style="759" customWidth="1"/>
    <col min="12044" max="12044" width="2.07421875" style="759" customWidth="1"/>
    <col min="12045" max="12045" width="23.84375" style="759" customWidth="1"/>
    <col min="12046" max="12046" width="2.07421875" style="759" customWidth="1"/>
    <col min="12047" max="12047" width="23.84375" style="759" customWidth="1"/>
    <col min="12048" max="12048" width="2.84375" style="759" bestFit="1" customWidth="1"/>
    <col min="12049" max="12287" width="8.84375" style="759"/>
    <col min="12288" max="12289" width="8.84375" style="759" customWidth="1"/>
    <col min="12290" max="12290" width="10.07421875" style="759" customWidth="1"/>
    <col min="12291" max="12291" width="2.07421875" style="759" customWidth="1"/>
    <col min="12292" max="12292" width="50.4609375" style="759" customWidth="1"/>
    <col min="12293" max="12293" width="8.84375" style="759"/>
    <col min="12294" max="12294" width="2.07421875" style="759" customWidth="1"/>
    <col min="12295" max="12295" width="23.84375" style="759" customWidth="1"/>
    <col min="12296" max="12296" width="2.07421875" style="759" customWidth="1"/>
    <col min="12297" max="12297" width="23.84375" style="759" customWidth="1"/>
    <col min="12298" max="12298" width="2.07421875" style="759" customWidth="1"/>
    <col min="12299" max="12299" width="23.84375" style="759" customWidth="1"/>
    <col min="12300" max="12300" width="2.07421875" style="759" customWidth="1"/>
    <col min="12301" max="12301" width="23.84375" style="759" customWidth="1"/>
    <col min="12302" max="12302" width="2.07421875" style="759" customWidth="1"/>
    <col min="12303" max="12303" width="23.84375" style="759" customWidth="1"/>
    <col min="12304" max="12304" width="2.84375" style="759" bestFit="1" customWidth="1"/>
    <col min="12305" max="12543" width="8.84375" style="759"/>
    <col min="12544" max="12545" width="8.84375" style="759" customWidth="1"/>
    <col min="12546" max="12546" width="10.07421875" style="759" customWidth="1"/>
    <col min="12547" max="12547" width="2.07421875" style="759" customWidth="1"/>
    <col min="12548" max="12548" width="50.4609375" style="759" customWidth="1"/>
    <col min="12549" max="12549" width="8.84375" style="759"/>
    <col min="12550" max="12550" width="2.07421875" style="759" customWidth="1"/>
    <col min="12551" max="12551" width="23.84375" style="759" customWidth="1"/>
    <col min="12552" max="12552" width="2.07421875" style="759" customWidth="1"/>
    <col min="12553" max="12553" width="23.84375" style="759" customWidth="1"/>
    <col min="12554" max="12554" width="2.07421875" style="759" customWidth="1"/>
    <col min="12555" max="12555" width="23.84375" style="759" customWidth="1"/>
    <col min="12556" max="12556" width="2.07421875" style="759" customWidth="1"/>
    <col min="12557" max="12557" width="23.84375" style="759" customWidth="1"/>
    <col min="12558" max="12558" width="2.07421875" style="759" customWidth="1"/>
    <col min="12559" max="12559" width="23.84375" style="759" customWidth="1"/>
    <col min="12560" max="12560" width="2.84375" style="759" bestFit="1" customWidth="1"/>
    <col min="12561" max="12799" width="8.84375" style="759"/>
    <col min="12800" max="12801" width="8.84375" style="759" customWidth="1"/>
    <col min="12802" max="12802" width="10.07421875" style="759" customWidth="1"/>
    <col min="12803" max="12803" width="2.07421875" style="759" customWidth="1"/>
    <col min="12804" max="12804" width="50.4609375" style="759" customWidth="1"/>
    <col min="12805" max="12805" width="8.84375" style="759"/>
    <col min="12806" max="12806" width="2.07421875" style="759" customWidth="1"/>
    <col min="12807" max="12807" width="23.84375" style="759" customWidth="1"/>
    <col min="12808" max="12808" width="2.07421875" style="759" customWidth="1"/>
    <col min="12809" max="12809" width="23.84375" style="759" customWidth="1"/>
    <col min="12810" max="12810" width="2.07421875" style="759" customWidth="1"/>
    <col min="12811" max="12811" width="23.84375" style="759" customWidth="1"/>
    <col min="12812" max="12812" width="2.07421875" style="759" customWidth="1"/>
    <col min="12813" max="12813" width="23.84375" style="759" customWidth="1"/>
    <col min="12814" max="12814" width="2.07421875" style="759" customWidth="1"/>
    <col min="12815" max="12815" width="23.84375" style="759" customWidth="1"/>
    <col min="12816" max="12816" width="2.84375" style="759" bestFit="1" customWidth="1"/>
    <col min="12817" max="13055" width="8.84375" style="759"/>
    <col min="13056" max="13057" width="8.84375" style="759" customWidth="1"/>
    <col min="13058" max="13058" width="10.07421875" style="759" customWidth="1"/>
    <col min="13059" max="13059" width="2.07421875" style="759" customWidth="1"/>
    <col min="13060" max="13060" width="50.4609375" style="759" customWidth="1"/>
    <col min="13061" max="13061" width="8.84375" style="759"/>
    <col min="13062" max="13062" width="2.07421875" style="759" customWidth="1"/>
    <col min="13063" max="13063" width="23.84375" style="759" customWidth="1"/>
    <col min="13064" max="13064" width="2.07421875" style="759" customWidth="1"/>
    <col min="13065" max="13065" width="23.84375" style="759" customWidth="1"/>
    <col min="13066" max="13066" width="2.07421875" style="759" customWidth="1"/>
    <col min="13067" max="13067" width="23.84375" style="759" customWidth="1"/>
    <col min="13068" max="13068" width="2.07421875" style="759" customWidth="1"/>
    <col min="13069" max="13069" width="23.84375" style="759" customWidth="1"/>
    <col min="13070" max="13070" width="2.07421875" style="759" customWidth="1"/>
    <col min="13071" max="13071" width="23.84375" style="759" customWidth="1"/>
    <col min="13072" max="13072" width="2.84375" style="759" bestFit="1" customWidth="1"/>
    <col min="13073" max="13311" width="8.84375" style="759"/>
    <col min="13312" max="13313" width="8.84375" style="759" customWidth="1"/>
    <col min="13314" max="13314" width="10.07421875" style="759" customWidth="1"/>
    <col min="13315" max="13315" width="2.07421875" style="759" customWidth="1"/>
    <col min="13316" max="13316" width="50.4609375" style="759" customWidth="1"/>
    <col min="13317" max="13317" width="8.84375" style="759"/>
    <col min="13318" max="13318" width="2.07421875" style="759" customWidth="1"/>
    <col min="13319" max="13319" width="23.84375" style="759" customWidth="1"/>
    <col min="13320" max="13320" width="2.07421875" style="759" customWidth="1"/>
    <col min="13321" max="13321" width="23.84375" style="759" customWidth="1"/>
    <col min="13322" max="13322" width="2.07421875" style="759" customWidth="1"/>
    <col min="13323" max="13323" width="23.84375" style="759" customWidth="1"/>
    <col min="13324" max="13324" width="2.07421875" style="759" customWidth="1"/>
    <col min="13325" max="13325" width="23.84375" style="759" customWidth="1"/>
    <col min="13326" max="13326" width="2.07421875" style="759" customWidth="1"/>
    <col min="13327" max="13327" width="23.84375" style="759" customWidth="1"/>
    <col min="13328" max="13328" width="2.84375" style="759" bestFit="1" customWidth="1"/>
    <col min="13329" max="13567" width="8.84375" style="759"/>
    <col min="13568" max="13569" width="8.84375" style="759" customWidth="1"/>
    <col min="13570" max="13570" width="10.07421875" style="759" customWidth="1"/>
    <col min="13571" max="13571" width="2.07421875" style="759" customWidth="1"/>
    <col min="13572" max="13572" width="50.4609375" style="759" customWidth="1"/>
    <col min="13573" max="13573" width="8.84375" style="759"/>
    <col min="13574" max="13574" width="2.07421875" style="759" customWidth="1"/>
    <col min="13575" max="13575" width="23.84375" style="759" customWidth="1"/>
    <col min="13576" max="13576" width="2.07421875" style="759" customWidth="1"/>
    <col min="13577" max="13577" width="23.84375" style="759" customWidth="1"/>
    <col min="13578" max="13578" width="2.07421875" style="759" customWidth="1"/>
    <col min="13579" max="13579" width="23.84375" style="759" customWidth="1"/>
    <col min="13580" max="13580" width="2.07421875" style="759" customWidth="1"/>
    <col min="13581" max="13581" width="23.84375" style="759" customWidth="1"/>
    <col min="13582" max="13582" width="2.07421875" style="759" customWidth="1"/>
    <col min="13583" max="13583" width="23.84375" style="759" customWidth="1"/>
    <col min="13584" max="13584" width="2.84375" style="759" bestFit="1" customWidth="1"/>
    <col min="13585" max="13823" width="8.84375" style="759"/>
    <col min="13824" max="13825" width="8.84375" style="759" customWidth="1"/>
    <col min="13826" max="13826" width="10.07421875" style="759" customWidth="1"/>
    <col min="13827" max="13827" width="2.07421875" style="759" customWidth="1"/>
    <col min="13828" max="13828" width="50.4609375" style="759" customWidth="1"/>
    <col min="13829" max="13829" width="8.84375" style="759"/>
    <col min="13830" max="13830" width="2.07421875" style="759" customWidth="1"/>
    <col min="13831" max="13831" width="23.84375" style="759" customWidth="1"/>
    <col min="13832" max="13832" width="2.07421875" style="759" customWidth="1"/>
    <col min="13833" max="13833" width="23.84375" style="759" customWidth="1"/>
    <col min="13834" max="13834" width="2.07421875" style="759" customWidth="1"/>
    <col min="13835" max="13835" width="23.84375" style="759" customWidth="1"/>
    <col min="13836" max="13836" width="2.07421875" style="759" customWidth="1"/>
    <col min="13837" max="13837" width="23.84375" style="759" customWidth="1"/>
    <col min="13838" max="13838" width="2.07421875" style="759" customWidth="1"/>
    <col min="13839" max="13839" width="23.84375" style="759" customWidth="1"/>
    <col min="13840" max="13840" width="2.84375" style="759" bestFit="1" customWidth="1"/>
    <col min="13841" max="14079" width="8.84375" style="759"/>
    <col min="14080" max="14081" width="8.84375" style="759" customWidth="1"/>
    <col min="14082" max="14082" width="10.07421875" style="759" customWidth="1"/>
    <col min="14083" max="14083" width="2.07421875" style="759" customWidth="1"/>
    <col min="14084" max="14084" width="50.4609375" style="759" customWidth="1"/>
    <col min="14085" max="14085" width="8.84375" style="759"/>
    <col min="14086" max="14086" width="2.07421875" style="759" customWidth="1"/>
    <col min="14087" max="14087" width="23.84375" style="759" customWidth="1"/>
    <col min="14088" max="14088" width="2.07421875" style="759" customWidth="1"/>
    <col min="14089" max="14089" width="23.84375" style="759" customWidth="1"/>
    <col min="14090" max="14090" width="2.07421875" style="759" customWidth="1"/>
    <col min="14091" max="14091" width="23.84375" style="759" customWidth="1"/>
    <col min="14092" max="14092" width="2.07421875" style="759" customWidth="1"/>
    <col min="14093" max="14093" width="23.84375" style="759" customWidth="1"/>
    <col min="14094" max="14094" width="2.07421875" style="759" customWidth="1"/>
    <col min="14095" max="14095" width="23.84375" style="759" customWidth="1"/>
    <col min="14096" max="14096" width="2.84375" style="759" bestFit="1" customWidth="1"/>
    <col min="14097" max="14335" width="8.84375" style="759"/>
    <col min="14336" max="14337" width="8.84375" style="759" customWidth="1"/>
    <col min="14338" max="14338" width="10.07421875" style="759" customWidth="1"/>
    <col min="14339" max="14339" width="2.07421875" style="759" customWidth="1"/>
    <col min="14340" max="14340" width="50.4609375" style="759" customWidth="1"/>
    <col min="14341" max="14341" width="8.84375" style="759"/>
    <col min="14342" max="14342" width="2.07421875" style="759" customWidth="1"/>
    <col min="14343" max="14343" width="23.84375" style="759" customWidth="1"/>
    <col min="14344" max="14344" width="2.07421875" style="759" customWidth="1"/>
    <col min="14345" max="14345" width="23.84375" style="759" customWidth="1"/>
    <col min="14346" max="14346" width="2.07421875" style="759" customWidth="1"/>
    <col min="14347" max="14347" width="23.84375" style="759" customWidth="1"/>
    <col min="14348" max="14348" width="2.07421875" style="759" customWidth="1"/>
    <col min="14349" max="14349" width="23.84375" style="759" customWidth="1"/>
    <col min="14350" max="14350" width="2.07421875" style="759" customWidth="1"/>
    <col min="14351" max="14351" width="23.84375" style="759" customWidth="1"/>
    <col min="14352" max="14352" width="2.84375" style="759" bestFit="1" customWidth="1"/>
    <col min="14353" max="14591" width="8.84375" style="759"/>
    <col min="14592" max="14593" width="8.84375" style="759" customWidth="1"/>
    <col min="14594" max="14594" width="10.07421875" style="759" customWidth="1"/>
    <col min="14595" max="14595" width="2.07421875" style="759" customWidth="1"/>
    <col min="14596" max="14596" width="50.4609375" style="759" customWidth="1"/>
    <col min="14597" max="14597" width="8.84375" style="759"/>
    <col min="14598" max="14598" width="2.07421875" style="759" customWidth="1"/>
    <col min="14599" max="14599" width="23.84375" style="759" customWidth="1"/>
    <col min="14600" max="14600" width="2.07421875" style="759" customWidth="1"/>
    <col min="14601" max="14601" width="23.84375" style="759" customWidth="1"/>
    <col min="14602" max="14602" width="2.07421875" style="759" customWidth="1"/>
    <col min="14603" max="14603" width="23.84375" style="759" customWidth="1"/>
    <col min="14604" max="14604" width="2.07421875" style="759" customWidth="1"/>
    <col min="14605" max="14605" width="23.84375" style="759" customWidth="1"/>
    <col min="14606" max="14606" width="2.07421875" style="759" customWidth="1"/>
    <col min="14607" max="14607" width="23.84375" style="759" customWidth="1"/>
    <col min="14608" max="14608" width="2.84375" style="759" bestFit="1" customWidth="1"/>
    <col min="14609" max="14847" width="8.84375" style="759"/>
    <col min="14848" max="14849" width="8.84375" style="759" customWidth="1"/>
    <col min="14850" max="14850" width="10.07421875" style="759" customWidth="1"/>
    <col min="14851" max="14851" width="2.07421875" style="759" customWidth="1"/>
    <col min="14852" max="14852" width="50.4609375" style="759" customWidth="1"/>
    <col min="14853" max="14853" width="8.84375" style="759"/>
    <col min="14854" max="14854" width="2.07421875" style="759" customWidth="1"/>
    <col min="14855" max="14855" width="23.84375" style="759" customWidth="1"/>
    <col min="14856" max="14856" width="2.07421875" style="759" customWidth="1"/>
    <col min="14857" max="14857" width="23.84375" style="759" customWidth="1"/>
    <col min="14858" max="14858" width="2.07421875" style="759" customWidth="1"/>
    <col min="14859" max="14859" width="23.84375" style="759" customWidth="1"/>
    <col min="14860" max="14860" width="2.07421875" style="759" customWidth="1"/>
    <col min="14861" max="14861" width="23.84375" style="759" customWidth="1"/>
    <col min="14862" max="14862" width="2.07421875" style="759" customWidth="1"/>
    <col min="14863" max="14863" width="23.84375" style="759" customWidth="1"/>
    <col min="14864" max="14864" width="2.84375" style="759" bestFit="1" customWidth="1"/>
    <col min="14865" max="15103" width="8.84375" style="759"/>
    <col min="15104" max="15105" width="8.84375" style="759" customWidth="1"/>
    <col min="15106" max="15106" width="10.07421875" style="759" customWidth="1"/>
    <col min="15107" max="15107" width="2.07421875" style="759" customWidth="1"/>
    <col min="15108" max="15108" width="50.4609375" style="759" customWidth="1"/>
    <col min="15109" max="15109" width="8.84375" style="759"/>
    <col min="15110" max="15110" width="2.07421875" style="759" customWidth="1"/>
    <col min="15111" max="15111" width="23.84375" style="759" customWidth="1"/>
    <col min="15112" max="15112" width="2.07421875" style="759" customWidth="1"/>
    <col min="15113" max="15113" width="23.84375" style="759" customWidth="1"/>
    <col min="15114" max="15114" width="2.07421875" style="759" customWidth="1"/>
    <col min="15115" max="15115" width="23.84375" style="759" customWidth="1"/>
    <col min="15116" max="15116" width="2.07421875" style="759" customWidth="1"/>
    <col min="15117" max="15117" width="23.84375" style="759" customWidth="1"/>
    <col min="15118" max="15118" width="2.07421875" style="759" customWidth="1"/>
    <col min="15119" max="15119" width="23.84375" style="759" customWidth="1"/>
    <col min="15120" max="15120" width="2.84375" style="759" bestFit="1" customWidth="1"/>
    <col min="15121" max="15359" width="8.84375" style="759"/>
    <col min="15360" max="15361" width="8.84375" style="759" customWidth="1"/>
    <col min="15362" max="15362" width="10.07421875" style="759" customWidth="1"/>
    <col min="15363" max="15363" width="2.07421875" style="759" customWidth="1"/>
    <col min="15364" max="15364" width="50.4609375" style="759" customWidth="1"/>
    <col min="15365" max="15365" width="8.84375" style="759"/>
    <col min="15366" max="15366" width="2.07421875" style="759" customWidth="1"/>
    <col min="15367" max="15367" width="23.84375" style="759" customWidth="1"/>
    <col min="15368" max="15368" width="2.07421875" style="759" customWidth="1"/>
    <col min="15369" max="15369" width="23.84375" style="759" customWidth="1"/>
    <col min="15370" max="15370" width="2.07421875" style="759" customWidth="1"/>
    <col min="15371" max="15371" width="23.84375" style="759" customWidth="1"/>
    <col min="15372" max="15372" width="2.07421875" style="759" customWidth="1"/>
    <col min="15373" max="15373" width="23.84375" style="759" customWidth="1"/>
    <col min="15374" max="15374" width="2.07421875" style="759" customWidth="1"/>
    <col min="15375" max="15375" width="23.84375" style="759" customWidth="1"/>
    <col min="15376" max="15376" width="2.84375" style="759" bestFit="1" customWidth="1"/>
    <col min="15377" max="15615" width="8.84375" style="759"/>
    <col min="15616" max="15617" width="8.84375" style="759" customWidth="1"/>
    <col min="15618" max="15618" width="10.07421875" style="759" customWidth="1"/>
    <col min="15619" max="15619" width="2.07421875" style="759" customWidth="1"/>
    <col min="15620" max="15620" width="50.4609375" style="759" customWidth="1"/>
    <col min="15621" max="15621" width="8.84375" style="759"/>
    <col min="15622" max="15622" width="2.07421875" style="759" customWidth="1"/>
    <col min="15623" max="15623" width="23.84375" style="759" customWidth="1"/>
    <col min="15624" max="15624" width="2.07421875" style="759" customWidth="1"/>
    <col min="15625" max="15625" width="23.84375" style="759" customWidth="1"/>
    <col min="15626" max="15626" width="2.07421875" style="759" customWidth="1"/>
    <col min="15627" max="15627" width="23.84375" style="759" customWidth="1"/>
    <col min="15628" max="15628" width="2.07421875" style="759" customWidth="1"/>
    <col min="15629" max="15629" width="23.84375" style="759" customWidth="1"/>
    <col min="15630" max="15630" width="2.07421875" style="759" customWidth="1"/>
    <col min="15631" max="15631" width="23.84375" style="759" customWidth="1"/>
    <col min="15632" max="15632" width="2.84375" style="759" bestFit="1" customWidth="1"/>
    <col min="15633" max="15871" width="8.84375" style="759"/>
    <col min="15872" max="15873" width="8.84375" style="759" customWidth="1"/>
    <col min="15874" max="15874" width="10.07421875" style="759" customWidth="1"/>
    <col min="15875" max="15875" width="2.07421875" style="759" customWidth="1"/>
    <col min="15876" max="15876" width="50.4609375" style="759" customWidth="1"/>
    <col min="15877" max="15877" width="8.84375" style="759"/>
    <col min="15878" max="15878" width="2.07421875" style="759" customWidth="1"/>
    <col min="15879" max="15879" width="23.84375" style="759" customWidth="1"/>
    <col min="15880" max="15880" width="2.07421875" style="759" customWidth="1"/>
    <col min="15881" max="15881" width="23.84375" style="759" customWidth="1"/>
    <col min="15882" max="15882" width="2.07421875" style="759" customWidth="1"/>
    <col min="15883" max="15883" width="23.84375" style="759" customWidth="1"/>
    <col min="15884" max="15884" width="2.07421875" style="759" customWidth="1"/>
    <col min="15885" max="15885" width="23.84375" style="759" customWidth="1"/>
    <col min="15886" max="15886" width="2.07421875" style="759" customWidth="1"/>
    <col min="15887" max="15887" width="23.84375" style="759" customWidth="1"/>
    <col min="15888" max="15888" width="2.84375" style="759" bestFit="1" customWidth="1"/>
    <col min="15889" max="16127" width="8.84375" style="759"/>
    <col min="16128" max="16129" width="8.84375" style="759" customWidth="1"/>
    <col min="16130" max="16130" width="10.07421875" style="759" customWidth="1"/>
    <col min="16131" max="16131" width="2.07421875" style="759" customWidth="1"/>
    <col min="16132" max="16132" width="50.4609375" style="759" customWidth="1"/>
    <col min="16133" max="16133" width="8.84375" style="759"/>
    <col min="16134" max="16134" width="2.07421875" style="759" customWidth="1"/>
    <col min="16135" max="16135" width="23.84375" style="759" customWidth="1"/>
    <col min="16136" max="16136" width="2.07421875" style="759" customWidth="1"/>
    <col min="16137" max="16137" width="23.84375" style="759" customWidth="1"/>
    <col min="16138" max="16138" width="2.07421875" style="759" customWidth="1"/>
    <col min="16139" max="16139" width="23.84375" style="759" customWidth="1"/>
    <col min="16140" max="16140" width="2.07421875" style="759" customWidth="1"/>
    <col min="16141" max="16141" width="23.84375" style="759" customWidth="1"/>
    <col min="16142" max="16142" width="2.07421875" style="759" customWidth="1"/>
    <col min="16143" max="16143" width="23.84375" style="759" customWidth="1"/>
    <col min="16144" max="16144" width="2.84375" style="759" bestFit="1" customWidth="1"/>
    <col min="16145" max="16384" width="8.84375" style="759"/>
  </cols>
  <sheetData>
    <row r="1" spans="2:31" ht="15.5">
      <c r="B1" s="434"/>
      <c r="C1" s="434"/>
      <c r="D1" s="284" t="s">
        <v>97</v>
      </c>
      <c r="E1" s="434"/>
      <c r="F1" s="758"/>
      <c r="G1" s="434"/>
      <c r="H1" s="434"/>
      <c r="I1" s="434"/>
      <c r="J1" s="434"/>
      <c r="K1" s="434"/>
      <c r="L1" s="434"/>
      <c r="M1" s="434"/>
      <c r="N1" s="434"/>
      <c r="O1" s="1094"/>
      <c r="P1" s="760"/>
      <c r="Q1" s="1094"/>
      <c r="R1" s="1094"/>
      <c r="S1" s="1094"/>
      <c r="T1" s="1094"/>
      <c r="U1" s="1094"/>
      <c r="V1" s="1094"/>
      <c r="W1" s="1094"/>
      <c r="X1" s="1094"/>
      <c r="Y1" s="1094"/>
      <c r="Z1" s="1094"/>
      <c r="AA1" s="1094"/>
      <c r="AB1" s="1094"/>
      <c r="AC1" s="1094"/>
      <c r="AD1" s="1094"/>
      <c r="AE1" s="1094"/>
    </row>
    <row r="2" spans="2:31" ht="15.5">
      <c r="B2" s="434"/>
      <c r="C2" s="434"/>
      <c r="D2" s="434"/>
      <c r="E2" s="434"/>
      <c r="F2" s="758"/>
      <c r="G2" s="434"/>
      <c r="H2" s="434"/>
      <c r="I2" s="434"/>
      <c r="J2" s="434"/>
      <c r="K2" s="434"/>
      <c r="L2" s="434"/>
      <c r="M2" s="434"/>
      <c r="N2" s="434"/>
      <c r="O2" s="1988" t="s">
        <v>1070</v>
      </c>
      <c r="P2" s="760"/>
      <c r="Q2" s="1094"/>
      <c r="R2" s="1094"/>
      <c r="S2" s="1094"/>
      <c r="T2" s="1094"/>
      <c r="U2" s="1094"/>
      <c r="V2" s="1094"/>
      <c r="W2" s="1094"/>
      <c r="X2" s="1094"/>
      <c r="Y2" s="1094"/>
      <c r="Z2" s="1094"/>
      <c r="AA2" s="1094"/>
      <c r="AB2" s="1094"/>
      <c r="AC2" s="1094"/>
      <c r="AD2" s="1094"/>
      <c r="AE2" s="1094"/>
    </row>
    <row r="3" spans="2:31" ht="15.5">
      <c r="B3" s="434"/>
      <c r="C3" s="434"/>
      <c r="D3" s="434"/>
      <c r="E3" s="434"/>
      <c r="F3" s="758"/>
      <c r="G3" s="434"/>
      <c r="H3" s="434"/>
      <c r="I3" s="434"/>
      <c r="J3" s="434"/>
      <c r="K3" s="434"/>
      <c r="L3" s="434"/>
      <c r="M3" s="434"/>
      <c r="N3" s="434"/>
      <c r="O3" s="1989"/>
      <c r="P3" s="1182"/>
      <c r="Q3" s="1094"/>
      <c r="R3" s="1094"/>
      <c r="S3" s="1094"/>
      <c r="T3" s="1094"/>
      <c r="U3" s="1094"/>
      <c r="V3" s="1094"/>
      <c r="W3" s="1094"/>
      <c r="X3" s="1094"/>
      <c r="Y3" s="1094"/>
      <c r="Z3" s="1094"/>
      <c r="AA3" s="1094"/>
      <c r="AB3" s="1094"/>
      <c r="AC3" s="1094"/>
      <c r="AD3" s="1094"/>
      <c r="AE3" s="1094"/>
    </row>
    <row r="4" spans="2:31" ht="18">
      <c r="B4" s="761"/>
      <c r="C4" s="762"/>
      <c r="D4" s="763" t="s">
        <v>98</v>
      </c>
      <c r="E4" s="762"/>
      <c r="F4" s="762"/>
      <c r="G4"/>
      <c r="H4"/>
      <c r="I4"/>
      <c r="J4"/>
      <c r="K4"/>
      <c r="L4"/>
      <c r="M4" s="1183"/>
      <c r="N4" s="1183"/>
      <c r="O4" s="1183"/>
      <c r="P4" s="1184"/>
      <c r="Q4" s="1094"/>
      <c r="R4" s="1094"/>
      <c r="S4" s="1094"/>
      <c r="T4" s="1094"/>
      <c r="U4" s="1094"/>
      <c r="V4" s="1094"/>
      <c r="W4" s="1094"/>
      <c r="X4" s="1094"/>
      <c r="Y4" s="1094"/>
      <c r="Z4" s="1094"/>
      <c r="AA4" s="1094"/>
      <c r="AB4" s="1094"/>
      <c r="AC4" s="1094"/>
      <c r="AD4" s="1094"/>
      <c r="AE4" s="1094"/>
    </row>
    <row r="5" spans="2:31" ht="18">
      <c r="B5" s="761"/>
      <c r="C5" s="762"/>
      <c r="D5" s="763" t="s">
        <v>1071</v>
      </c>
      <c r="E5" s="762"/>
      <c r="F5" s="762"/>
      <c r="G5"/>
      <c r="H5"/>
      <c r="I5"/>
      <c r="J5"/>
      <c r="K5"/>
      <c r="L5"/>
      <c r="M5" s="1185"/>
      <c r="N5" s="1185"/>
      <c r="O5" s="1185"/>
      <c r="P5" s="1186"/>
      <c r="Q5" s="1094"/>
      <c r="R5" s="1094"/>
      <c r="S5" s="1094"/>
      <c r="T5" s="1094"/>
      <c r="U5" s="1094"/>
      <c r="V5" s="1094"/>
      <c r="W5" s="1094"/>
      <c r="X5" s="1094"/>
      <c r="Y5" s="1094"/>
      <c r="Z5" s="1094"/>
      <c r="AA5" s="1094"/>
      <c r="AB5" s="1094"/>
      <c r="AC5" s="1094"/>
      <c r="AD5" s="1094"/>
      <c r="AE5" s="1094"/>
    </row>
    <row r="6" spans="2:31" ht="15.5">
      <c r="B6" s="761"/>
      <c r="C6" s="762"/>
      <c r="D6" s="764"/>
      <c r="E6" s="762"/>
      <c r="F6" s="762"/>
      <c r="G6"/>
      <c r="H6"/>
      <c r="I6"/>
      <c r="J6"/>
      <c r="K6"/>
      <c r="L6"/>
      <c r="M6" s="1187"/>
      <c r="N6" s="1187"/>
      <c r="O6" s="1187"/>
      <c r="P6" s="1188"/>
      <c r="Q6" s="1094"/>
      <c r="R6" s="1094"/>
      <c r="S6" s="1094"/>
      <c r="T6" s="1094"/>
      <c r="U6" s="1094"/>
      <c r="V6" s="1094"/>
      <c r="W6" s="1094"/>
      <c r="X6" s="1094"/>
      <c r="Y6" s="1094"/>
      <c r="Z6" s="1094"/>
      <c r="AA6" s="1094"/>
      <c r="AB6" s="1094"/>
      <c r="AC6" s="1094"/>
      <c r="AD6" s="1094"/>
      <c r="AE6" s="1094"/>
    </row>
    <row r="7" spans="2:31" ht="15.5">
      <c r="B7" s="761"/>
      <c r="C7" s="760"/>
      <c r="D7" s="760"/>
      <c r="E7" s="765"/>
      <c r="F7" s="765"/>
      <c r="G7"/>
      <c r="H7"/>
      <c r="I7"/>
      <c r="J7"/>
      <c r="K7"/>
      <c r="L7"/>
      <c r="M7" s="1189"/>
      <c r="N7" s="1189"/>
      <c r="O7" s="1189"/>
      <c r="P7" s="1190"/>
      <c r="Q7" s="1094"/>
      <c r="R7" s="1094"/>
      <c r="S7" s="1094"/>
      <c r="T7" s="1094"/>
      <c r="U7" s="1094"/>
      <c r="V7" s="1094"/>
      <c r="W7" s="1094"/>
      <c r="X7" s="1094"/>
      <c r="Y7" s="1094"/>
      <c r="Z7" s="1094"/>
      <c r="AA7" s="1094"/>
      <c r="AB7" s="1094"/>
      <c r="AC7" s="1094"/>
      <c r="AD7" s="1094"/>
      <c r="AE7" s="1094"/>
    </row>
    <row r="8" spans="2:31" s="769" customFormat="1" ht="16" thickBot="1">
      <c r="B8" s="766" t="s">
        <v>1072</v>
      </c>
      <c r="C8" s="767"/>
      <c r="D8" s="768" t="s">
        <v>1073</v>
      </c>
      <c r="E8" s="768"/>
      <c r="F8" s="768"/>
      <c r="G8" s="1247" t="s">
        <v>1495</v>
      </c>
      <c r="H8" s="1248"/>
      <c r="I8" s="1247" t="s">
        <v>1497</v>
      </c>
      <c r="J8" s="1248"/>
      <c r="K8" s="1247" t="s">
        <v>1499</v>
      </c>
      <c r="L8" s="1248"/>
      <c r="M8" s="1248" t="s">
        <v>1074</v>
      </c>
      <c r="N8" s="1249"/>
      <c r="O8" s="1247" t="s">
        <v>1505</v>
      </c>
      <c r="P8" s="1191"/>
    </row>
    <row r="9" spans="2:31" s="769" customFormat="1" ht="15.5">
      <c r="B9" s="770"/>
      <c r="C9" s="771"/>
      <c r="D9" s="772" t="s">
        <v>443</v>
      </c>
      <c r="E9" s="773"/>
      <c r="F9" s="773"/>
      <c r="G9" s="1175"/>
      <c r="H9" s="967"/>
      <c r="I9" s="1175"/>
      <c r="J9" s="967"/>
      <c r="K9" s="1175"/>
      <c r="L9" s="967"/>
      <c r="M9" s="1175"/>
      <c r="N9" s="1175"/>
      <c r="O9" s="1175"/>
      <c r="P9" s="774"/>
    </row>
    <row r="10" spans="2:31" s="769" customFormat="1" ht="15.5">
      <c r="B10" s="775">
        <v>10050</v>
      </c>
      <c r="C10" s="770"/>
      <c r="D10" s="776" t="s">
        <v>1075</v>
      </c>
      <c r="E10"/>
      <c r="F10" s="777"/>
      <c r="G10" s="1659">
        <v>0</v>
      </c>
      <c r="H10" s="1659"/>
      <c r="I10" s="1659">
        <v>0</v>
      </c>
      <c r="J10" s="1659"/>
      <c r="K10" s="1659">
        <v>0</v>
      </c>
      <c r="L10" s="1659"/>
      <c r="M10" s="1659">
        <f>O10-K10</f>
        <v>0</v>
      </c>
      <c r="N10" s="1659"/>
      <c r="O10" s="1659">
        <v>0</v>
      </c>
      <c r="P10" s="778" t="s">
        <v>254</v>
      </c>
      <c r="Q10" s="1192"/>
    </row>
    <row r="11" spans="2:31" s="769" customFormat="1" ht="16" thickBot="1">
      <c r="B11" s="778"/>
      <c r="C11" s="771"/>
      <c r="D11" s="779" t="s">
        <v>1076</v>
      </c>
      <c r="E11" s="773"/>
      <c r="F11" s="773"/>
      <c r="G11" s="1660">
        <f>SUM(G10)</f>
        <v>0</v>
      </c>
      <c r="H11" s="1661"/>
      <c r="I11" s="1660">
        <f>SUM(I10)</f>
        <v>0</v>
      </c>
      <c r="J11" s="1661"/>
      <c r="K11" s="1660">
        <f>SUM(K10)</f>
        <v>0</v>
      </c>
      <c r="L11" s="1661"/>
      <c r="M11" s="1660">
        <f>SUM(M10)</f>
        <v>0</v>
      </c>
      <c r="N11" s="1661"/>
      <c r="O11" s="1660">
        <f>SUM(O10)</f>
        <v>0</v>
      </c>
      <c r="P11" s="778"/>
      <c r="Q11" s="1192"/>
    </row>
    <row r="12" spans="2:31" s="769" customFormat="1" ht="16" thickTop="1">
      <c r="B12" s="778"/>
      <c r="C12" s="771"/>
      <c r="D12" s="780"/>
      <c r="E12" s="773"/>
      <c r="F12" s="773"/>
      <c r="G12" s="1661"/>
      <c r="H12" s="1662"/>
      <c r="I12" s="1661"/>
      <c r="J12" s="1662"/>
      <c r="K12" s="1661"/>
      <c r="L12" s="1662"/>
      <c r="M12" s="1661"/>
      <c r="N12" s="1661"/>
      <c r="O12" s="1661"/>
      <c r="P12" s="778"/>
      <c r="Q12" s="1192"/>
    </row>
    <row r="13" spans="2:31" s="769" customFormat="1" ht="15.5">
      <c r="B13" s="778"/>
      <c r="C13" s="771"/>
      <c r="D13" s="772" t="s">
        <v>1077</v>
      </c>
      <c r="E13" s="773"/>
      <c r="F13" s="773"/>
      <c r="G13" s="1662"/>
      <c r="H13"/>
      <c r="I13" s="1662"/>
      <c r="J13"/>
      <c r="K13" s="1662"/>
      <c r="L13"/>
      <c r="M13" s="1662"/>
      <c r="N13" s="1662"/>
      <c r="O13" s="1662"/>
      <c r="P13" s="778"/>
      <c r="Q13" s="1192"/>
    </row>
    <row r="14" spans="2:31" s="769" customFormat="1" ht="15.5">
      <c r="B14" s="775">
        <v>30051</v>
      </c>
      <c r="C14" s="434"/>
      <c r="D14" s="776" t="s">
        <v>1078</v>
      </c>
      <c r="E14" s="434"/>
      <c r="F14" s="433"/>
      <c r="G14" s="433">
        <v>68918202.359999999</v>
      </c>
      <c r="H14" s="433"/>
      <c r="I14" s="433">
        <v>68009452.760000005</v>
      </c>
      <c r="J14" s="433"/>
      <c r="K14" s="433">
        <v>584897133.88</v>
      </c>
      <c r="L14" s="433"/>
      <c r="M14" s="433">
        <f>O14-K14</f>
        <v>-60376696.409999967</v>
      </c>
      <c r="N14" s="433"/>
      <c r="O14" s="433">
        <v>524520437.47000003</v>
      </c>
      <c r="P14" s="778"/>
      <c r="Q14" s="1192"/>
    </row>
    <row r="15" spans="2:31" s="769" customFormat="1" ht="15.5">
      <c r="B15" s="775">
        <v>30101</v>
      </c>
      <c r="C15" s="758"/>
      <c r="D15" s="776" t="s">
        <v>1079</v>
      </c>
      <c r="E15" s="434"/>
      <c r="F15" s="433"/>
      <c r="G15" s="433">
        <v>0</v>
      </c>
      <c r="H15" s="433"/>
      <c r="I15" s="433">
        <v>0</v>
      </c>
      <c r="J15" s="433"/>
      <c r="K15" s="433">
        <v>0</v>
      </c>
      <c r="L15" s="433"/>
      <c r="M15" s="433">
        <f t="shared" ref="M15:M78" si="0">O15-K15</f>
        <v>0</v>
      </c>
      <c r="N15" s="433"/>
      <c r="O15" s="433">
        <v>0</v>
      </c>
      <c r="P15" s="778"/>
      <c r="Q15" s="1192"/>
    </row>
    <row r="16" spans="2:31" s="769" customFormat="1" ht="15.5">
      <c r="B16" s="775">
        <v>30102</v>
      </c>
      <c r="C16" s="434"/>
      <c r="D16" s="776" t="s">
        <v>1080</v>
      </c>
      <c r="E16" s="434"/>
      <c r="F16" s="433"/>
      <c r="G16" s="433">
        <v>0</v>
      </c>
      <c r="H16" s="433"/>
      <c r="I16" s="433">
        <v>0</v>
      </c>
      <c r="J16" s="433"/>
      <c r="K16" s="433">
        <v>0</v>
      </c>
      <c r="L16" s="433"/>
      <c r="M16" s="433">
        <f t="shared" si="0"/>
        <v>0</v>
      </c>
      <c r="N16" s="433"/>
      <c r="O16" s="433">
        <v>0</v>
      </c>
      <c r="P16" s="778"/>
      <c r="Q16" s="1192"/>
    </row>
    <row r="17" spans="2:17" s="769" customFormat="1" ht="15.5">
      <c r="B17" s="775">
        <v>30103</v>
      </c>
      <c r="C17" s="434"/>
      <c r="D17" s="776" t="s">
        <v>1081</v>
      </c>
      <c r="E17" s="434"/>
      <c r="F17" s="433"/>
      <c r="G17" s="433">
        <v>0</v>
      </c>
      <c r="H17" s="433"/>
      <c r="I17" s="433">
        <v>0</v>
      </c>
      <c r="J17" s="433"/>
      <c r="K17" s="433">
        <v>0</v>
      </c>
      <c r="L17" s="433"/>
      <c r="M17" s="433">
        <f t="shared" si="0"/>
        <v>0</v>
      </c>
      <c r="N17" s="433"/>
      <c r="O17" s="433">
        <v>0</v>
      </c>
      <c r="P17" s="778"/>
      <c r="Q17" s="1192"/>
    </row>
    <row r="18" spans="2:17" s="769" customFormat="1" ht="15.5">
      <c r="B18" s="775">
        <v>30104</v>
      </c>
      <c r="C18" s="434"/>
      <c r="D18" s="776" t="s">
        <v>1082</v>
      </c>
      <c r="E18" s="434"/>
      <c r="F18" s="433"/>
      <c r="G18" s="433">
        <v>0</v>
      </c>
      <c r="H18" s="433"/>
      <c r="I18" s="433">
        <v>0</v>
      </c>
      <c r="J18" s="433"/>
      <c r="K18" s="433">
        <v>0</v>
      </c>
      <c r="L18" s="433"/>
      <c r="M18" s="433">
        <f t="shared" si="0"/>
        <v>0</v>
      </c>
      <c r="N18" s="433"/>
      <c r="O18" s="433">
        <v>0</v>
      </c>
      <c r="P18" s="778"/>
      <c r="Q18" s="1192"/>
    </row>
    <row r="19" spans="2:17" s="769" customFormat="1" ht="15.5">
      <c r="B19" s="775">
        <v>30105</v>
      </c>
      <c r="C19" s="434"/>
      <c r="D19" s="776" t="s">
        <v>1083</v>
      </c>
      <c r="E19" s="434"/>
      <c r="F19" s="433"/>
      <c r="G19" s="433">
        <v>0</v>
      </c>
      <c r="H19" s="433"/>
      <c r="I19" s="433">
        <v>0</v>
      </c>
      <c r="J19" s="433"/>
      <c r="K19" s="433">
        <v>0</v>
      </c>
      <c r="L19" s="433"/>
      <c r="M19" s="433">
        <f t="shared" si="0"/>
        <v>0</v>
      </c>
      <c r="N19" s="433"/>
      <c r="O19" s="433">
        <v>0</v>
      </c>
      <c r="P19" s="778"/>
      <c r="Q19" s="1192"/>
    </row>
    <row r="20" spans="2:17" s="769" customFormat="1" ht="15.5">
      <c r="B20" s="775">
        <v>30106</v>
      </c>
      <c r="C20" s="434"/>
      <c r="D20" s="776" t="s">
        <v>1084</v>
      </c>
      <c r="E20" s="434"/>
      <c r="F20" s="433"/>
      <c r="G20" s="433">
        <v>0</v>
      </c>
      <c r="H20" s="433"/>
      <c r="I20" s="433">
        <v>0</v>
      </c>
      <c r="J20" s="433"/>
      <c r="K20" s="433">
        <v>0</v>
      </c>
      <c r="L20" s="433"/>
      <c r="M20" s="433">
        <f t="shared" si="0"/>
        <v>0</v>
      </c>
      <c r="N20" s="433"/>
      <c r="O20" s="433">
        <v>0</v>
      </c>
      <c r="P20" s="778"/>
      <c r="Q20" s="1192"/>
    </row>
    <row r="21" spans="2:17" s="769" customFormat="1" ht="15.5">
      <c r="B21" s="775">
        <v>30107</v>
      </c>
      <c r="C21" s="434"/>
      <c r="D21" s="776" t="s">
        <v>1085</v>
      </c>
      <c r="E21" s="434"/>
      <c r="F21" s="433"/>
      <c r="G21" s="433">
        <v>0</v>
      </c>
      <c r="H21" s="433"/>
      <c r="I21" s="433">
        <v>7249748.9500000002</v>
      </c>
      <c r="J21" s="433"/>
      <c r="K21" s="433">
        <v>0</v>
      </c>
      <c r="L21" s="433"/>
      <c r="M21" s="433">
        <f t="shared" si="0"/>
        <v>0</v>
      </c>
      <c r="N21" s="433"/>
      <c r="O21" s="433">
        <v>0</v>
      </c>
      <c r="P21" s="778"/>
      <c r="Q21" s="1192"/>
    </row>
    <row r="22" spans="2:17" s="769" customFormat="1" ht="15.5">
      <c r="B22" s="775">
        <v>30108</v>
      </c>
      <c r="C22" s="434"/>
      <c r="D22" s="776" t="s">
        <v>1086</v>
      </c>
      <c r="E22" s="434"/>
      <c r="F22" s="433"/>
      <c r="G22" s="433">
        <v>0</v>
      </c>
      <c r="H22" s="433"/>
      <c r="I22" s="433">
        <v>0</v>
      </c>
      <c r="J22" s="433"/>
      <c r="K22" s="433">
        <v>0</v>
      </c>
      <c r="L22" s="433"/>
      <c r="M22" s="433">
        <f t="shared" si="0"/>
        <v>0</v>
      </c>
      <c r="N22" s="433"/>
      <c r="O22" s="433">
        <v>0</v>
      </c>
      <c r="P22" s="778"/>
      <c r="Q22" s="1192"/>
    </row>
    <row r="23" spans="2:17" s="769" customFormat="1" ht="15.5">
      <c r="B23" s="775">
        <v>30109</v>
      </c>
      <c r="C23" s="434"/>
      <c r="D23" s="776" t="s">
        <v>1087</v>
      </c>
      <c r="E23" s="434"/>
      <c r="F23" s="433"/>
      <c r="G23" s="433">
        <v>0</v>
      </c>
      <c r="H23" s="433"/>
      <c r="I23" s="433">
        <v>0</v>
      </c>
      <c r="J23" s="433"/>
      <c r="K23" s="433">
        <v>0</v>
      </c>
      <c r="L23" s="433"/>
      <c r="M23" s="433">
        <f t="shared" si="0"/>
        <v>0</v>
      </c>
      <c r="N23" s="433"/>
      <c r="O23" s="433">
        <v>0</v>
      </c>
      <c r="P23" s="778"/>
      <c r="Q23" s="1192"/>
    </row>
    <row r="24" spans="2:17" s="769" customFormat="1" ht="15.5">
      <c r="B24" s="775">
        <v>30110</v>
      </c>
      <c r="C24" s="434"/>
      <c r="D24" s="776" t="s">
        <v>1088</v>
      </c>
      <c r="E24" s="434"/>
      <c r="F24" s="433"/>
      <c r="G24" s="433">
        <v>0</v>
      </c>
      <c r="H24" s="433"/>
      <c r="I24" s="433">
        <v>0</v>
      </c>
      <c r="J24" s="433"/>
      <c r="K24" s="433">
        <v>0</v>
      </c>
      <c r="L24" s="433"/>
      <c r="M24" s="433">
        <f t="shared" si="0"/>
        <v>0</v>
      </c>
      <c r="N24" s="433"/>
      <c r="O24" s="433">
        <v>0</v>
      </c>
      <c r="P24" s="778"/>
      <c r="Q24" s="1192"/>
    </row>
    <row r="25" spans="2:17" s="769" customFormat="1" ht="15.5">
      <c r="B25" s="775">
        <v>30111</v>
      </c>
      <c r="C25" s="434"/>
      <c r="D25" s="776" t="s">
        <v>1089</v>
      </c>
      <c r="E25" s="434"/>
      <c r="F25" s="433"/>
      <c r="G25" s="433">
        <v>0</v>
      </c>
      <c r="H25" s="433"/>
      <c r="I25" s="433">
        <v>0</v>
      </c>
      <c r="J25" s="433"/>
      <c r="K25" s="433">
        <v>0</v>
      </c>
      <c r="L25" s="433"/>
      <c r="M25" s="433">
        <f t="shared" si="0"/>
        <v>0</v>
      </c>
      <c r="N25" s="433"/>
      <c r="O25" s="433">
        <v>0</v>
      </c>
      <c r="P25" s="778"/>
      <c r="Q25" s="1192"/>
    </row>
    <row r="26" spans="2:17" s="769" customFormat="1" ht="15.5">
      <c r="B26" s="775">
        <v>30112</v>
      </c>
      <c r="C26" s="434"/>
      <c r="D26" s="776" t="s">
        <v>1090</v>
      </c>
      <c r="E26" s="434"/>
      <c r="F26" s="433"/>
      <c r="G26" s="433">
        <v>0</v>
      </c>
      <c r="H26" s="433"/>
      <c r="I26" s="433">
        <v>0</v>
      </c>
      <c r="J26" s="433"/>
      <c r="K26" s="433">
        <v>0</v>
      </c>
      <c r="L26" s="433"/>
      <c r="M26" s="433">
        <f t="shared" si="0"/>
        <v>0</v>
      </c>
      <c r="N26" s="433"/>
      <c r="O26" s="433">
        <v>0</v>
      </c>
      <c r="P26" s="778"/>
      <c r="Q26" s="1192"/>
    </row>
    <row r="27" spans="2:17" s="769" customFormat="1" ht="15.5">
      <c r="B27" s="775">
        <v>30113</v>
      </c>
      <c r="C27" s="434"/>
      <c r="D27" s="776" t="s">
        <v>1091</v>
      </c>
      <c r="E27" s="434"/>
      <c r="F27" s="433"/>
      <c r="G27" s="433">
        <v>0</v>
      </c>
      <c r="H27" s="433"/>
      <c r="I27" s="433">
        <v>0</v>
      </c>
      <c r="J27" s="433"/>
      <c r="K27" s="433">
        <v>0</v>
      </c>
      <c r="L27" s="433"/>
      <c r="M27" s="433">
        <f t="shared" si="0"/>
        <v>0</v>
      </c>
      <c r="N27" s="433"/>
      <c r="O27" s="433">
        <v>0</v>
      </c>
      <c r="P27" s="778"/>
      <c r="Q27" s="1192"/>
    </row>
    <row r="28" spans="2:17" s="769" customFormat="1" ht="15.5">
      <c r="B28" s="775">
        <v>30114</v>
      </c>
      <c r="C28" s="434"/>
      <c r="D28" s="776" t="s">
        <v>1092</v>
      </c>
      <c r="E28" s="434"/>
      <c r="F28" s="433"/>
      <c r="G28" s="433">
        <v>0</v>
      </c>
      <c r="H28" s="433"/>
      <c r="I28" s="433">
        <v>0</v>
      </c>
      <c r="J28" s="433"/>
      <c r="K28" s="433">
        <v>0</v>
      </c>
      <c r="L28" s="433"/>
      <c r="M28" s="433">
        <f t="shared" si="0"/>
        <v>0</v>
      </c>
      <c r="N28" s="433"/>
      <c r="O28" s="433">
        <v>0</v>
      </c>
      <c r="P28" s="778"/>
      <c r="Q28" s="1192"/>
    </row>
    <row r="29" spans="2:17" s="769" customFormat="1" ht="15.5">
      <c r="B29" s="775">
        <v>30115</v>
      </c>
      <c r="C29" s="434"/>
      <c r="D29" s="776" t="s">
        <v>1093</v>
      </c>
      <c r="E29" s="434"/>
      <c r="F29" s="433"/>
      <c r="G29" s="433">
        <v>0</v>
      </c>
      <c r="H29" s="433"/>
      <c r="I29" s="433">
        <v>0</v>
      </c>
      <c r="J29" s="433"/>
      <c r="K29" s="433">
        <v>0</v>
      </c>
      <c r="L29" s="433"/>
      <c r="M29" s="433">
        <f t="shared" si="0"/>
        <v>0</v>
      </c>
      <c r="N29" s="433"/>
      <c r="O29" s="433">
        <v>0</v>
      </c>
      <c r="P29" s="778"/>
      <c r="Q29" s="1192"/>
    </row>
    <row r="30" spans="2:17" s="769" customFormat="1" ht="15.5">
      <c r="B30" s="775">
        <v>30116</v>
      </c>
      <c r="C30" s="434"/>
      <c r="D30" s="776" t="s">
        <v>1094</v>
      </c>
      <c r="E30" s="434"/>
      <c r="F30" s="433"/>
      <c r="G30" s="433">
        <v>0</v>
      </c>
      <c r="H30" s="433"/>
      <c r="I30" s="433">
        <v>0</v>
      </c>
      <c r="J30" s="433"/>
      <c r="K30" s="433">
        <v>0</v>
      </c>
      <c r="L30" s="433"/>
      <c r="M30" s="433">
        <f t="shared" si="0"/>
        <v>0</v>
      </c>
      <c r="N30" s="433"/>
      <c r="O30" s="433">
        <v>0</v>
      </c>
      <c r="P30" s="778"/>
      <c r="Q30" s="1192"/>
    </row>
    <row r="31" spans="2:17" s="769" customFormat="1" ht="15.5">
      <c r="B31" s="775">
        <v>30117</v>
      </c>
      <c r="C31" s="434"/>
      <c r="D31" s="776" t="s">
        <v>1095</v>
      </c>
      <c r="E31" s="434"/>
      <c r="F31" s="433"/>
      <c r="G31" s="433">
        <v>0</v>
      </c>
      <c r="H31" s="433"/>
      <c r="I31" s="433">
        <v>0</v>
      </c>
      <c r="J31" s="433"/>
      <c r="K31" s="433">
        <v>0</v>
      </c>
      <c r="L31" s="433"/>
      <c r="M31" s="433">
        <f t="shared" si="0"/>
        <v>0</v>
      </c>
      <c r="N31" s="433"/>
      <c r="O31" s="433">
        <v>0</v>
      </c>
      <c r="P31" s="778"/>
      <c r="Q31" s="1192"/>
    </row>
    <row r="32" spans="2:17" s="769" customFormat="1" ht="15.5">
      <c r="B32" s="775">
        <v>30118</v>
      </c>
      <c r="C32" s="434"/>
      <c r="D32" s="776" t="s">
        <v>1096</v>
      </c>
      <c r="E32" s="434"/>
      <c r="F32" s="433"/>
      <c r="G32" s="433">
        <v>0</v>
      </c>
      <c r="H32" s="433"/>
      <c r="I32" s="433">
        <v>0</v>
      </c>
      <c r="J32" s="433"/>
      <c r="K32" s="433">
        <v>0</v>
      </c>
      <c r="L32" s="433"/>
      <c r="M32" s="433">
        <f t="shared" si="0"/>
        <v>0</v>
      </c>
      <c r="N32" s="433"/>
      <c r="O32" s="433">
        <v>0</v>
      </c>
      <c r="P32" s="778"/>
      <c r="Q32" s="1192"/>
    </row>
    <row r="33" spans="2:17" s="769" customFormat="1" ht="15.5">
      <c r="B33" s="775">
        <v>30119</v>
      </c>
      <c r="C33" s="434"/>
      <c r="D33" s="776" t="s">
        <v>1097</v>
      </c>
      <c r="E33" s="434"/>
      <c r="F33" s="433"/>
      <c r="G33" s="433">
        <v>0</v>
      </c>
      <c r="H33" s="433"/>
      <c r="I33" s="433">
        <v>0</v>
      </c>
      <c r="J33" s="433"/>
      <c r="K33" s="433">
        <v>0</v>
      </c>
      <c r="L33" s="433"/>
      <c r="M33" s="433">
        <f t="shared" si="0"/>
        <v>0</v>
      </c>
      <c r="N33" s="433"/>
      <c r="O33" s="433">
        <v>0</v>
      </c>
      <c r="P33" s="778"/>
      <c r="Q33" s="1192"/>
    </row>
    <row r="34" spans="2:17" s="769" customFormat="1" ht="15.5">
      <c r="B34" s="775">
        <v>30120</v>
      </c>
      <c r="C34" s="434"/>
      <c r="D34" s="776" t="s">
        <v>1098</v>
      </c>
      <c r="E34" s="434"/>
      <c r="F34" s="433"/>
      <c r="G34" s="433">
        <v>0</v>
      </c>
      <c r="H34" s="433"/>
      <c r="I34" s="433">
        <v>0</v>
      </c>
      <c r="J34" s="433"/>
      <c r="K34" s="433">
        <v>0</v>
      </c>
      <c r="L34" s="433"/>
      <c r="M34" s="433">
        <f t="shared" si="0"/>
        <v>0</v>
      </c>
      <c r="N34" s="433"/>
      <c r="O34" s="433">
        <v>0</v>
      </c>
      <c r="P34" s="778"/>
      <c r="Q34" s="1192"/>
    </row>
    <row r="35" spans="2:17" s="769" customFormat="1" ht="15.5">
      <c r="B35" s="775">
        <v>30121</v>
      </c>
      <c r="C35" s="434"/>
      <c r="D35" s="776" t="s">
        <v>1099</v>
      </c>
      <c r="E35" s="434"/>
      <c r="F35" s="433"/>
      <c r="G35" s="433">
        <v>0</v>
      </c>
      <c r="H35" s="433"/>
      <c r="I35" s="433">
        <v>0</v>
      </c>
      <c r="J35" s="433"/>
      <c r="K35" s="433">
        <v>0</v>
      </c>
      <c r="L35" s="433"/>
      <c r="M35" s="433">
        <f t="shared" si="0"/>
        <v>0</v>
      </c>
      <c r="N35" s="433"/>
      <c r="O35" s="433">
        <v>0</v>
      </c>
      <c r="P35" s="778"/>
      <c r="Q35" s="1192"/>
    </row>
    <row r="36" spans="2:17" s="769" customFormat="1" ht="15.5">
      <c r="B36" s="775">
        <v>30122</v>
      </c>
      <c r="C36" s="434"/>
      <c r="D36" s="776" t="s">
        <v>1100</v>
      </c>
      <c r="E36" s="434"/>
      <c r="F36" s="433"/>
      <c r="G36" s="433">
        <v>0</v>
      </c>
      <c r="H36" s="433"/>
      <c r="I36" s="433">
        <v>0</v>
      </c>
      <c r="J36" s="433"/>
      <c r="K36" s="433">
        <v>0</v>
      </c>
      <c r="L36" s="433"/>
      <c r="M36" s="433">
        <f t="shared" si="0"/>
        <v>0</v>
      </c>
      <c r="N36" s="433"/>
      <c r="O36" s="433">
        <v>0</v>
      </c>
      <c r="P36" s="778"/>
      <c r="Q36" s="1192"/>
    </row>
    <row r="37" spans="2:17" s="769" customFormat="1" ht="15.5">
      <c r="B37" s="775">
        <v>30123</v>
      </c>
      <c r="C37" s="434"/>
      <c r="D37" s="776" t="s">
        <v>1101</v>
      </c>
      <c r="E37" s="434"/>
      <c r="F37" s="433"/>
      <c r="G37" s="433">
        <v>0</v>
      </c>
      <c r="H37" s="433"/>
      <c r="I37" s="433">
        <v>0</v>
      </c>
      <c r="J37" s="433"/>
      <c r="K37" s="433">
        <v>0</v>
      </c>
      <c r="L37" s="433"/>
      <c r="M37" s="433">
        <f t="shared" si="0"/>
        <v>0</v>
      </c>
      <c r="N37" s="433"/>
      <c r="O37" s="433">
        <v>0</v>
      </c>
      <c r="P37" s="778"/>
      <c r="Q37" s="1192"/>
    </row>
    <row r="38" spans="2:17" s="769" customFormat="1" ht="15.5">
      <c r="B38" s="775">
        <v>30124</v>
      </c>
      <c r="C38" s="434"/>
      <c r="D38" s="776" t="s">
        <v>1102</v>
      </c>
      <c r="E38" s="434"/>
      <c r="F38" s="433"/>
      <c r="G38" s="433">
        <v>0</v>
      </c>
      <c r="H38" s="433"/>
      <c r="I38" s="433">
        <v>0</v>
      </c>
      <c r="J38" s="433"/>
      <c r="K38" s="433">
        <v>0</v>
      </c>
      <c r="L38" s="433"/>
      <c r="M38" s="433">
        <f t="shared" si="0"/>
        <v>0</v>
      </c>
      <c r="N38" s="433"/>
      <c r="O38" s="433">
        <v>0</v>
      </c>
      <c r="P38" s="778"/>
      <c r="Q38" s="1192"/>
    </row>
    <row r="39" spans="2:17" s="769" customFormat="1" ht="15.5">
      <c r="B39" s="775">
        <v>30125</v>
      </c>
      <c r="C39" s="434"/>
      <c r="D39" s="776" t="s">
        <v>1103</v>
      </c>
      <c r="E39" s="434"/>
      <c r="F39" s="433"/>
      <c r="G39" s="433">
        <v>0</v>
      </c>
      <c r="H39" s="433"/>
      <c r="I39" s="433">
        <v>0</v>
      </c>
      <c r="J39" s="433"/>
      <c r="K39" s="433">
        <v>0</v>
      </c>
      <c r="L39" s="433"/>
      <c r="M39" s="433">
        <f t="shared" si="0"/>
        <v>0</v>
      </c>
      <c r="N39" s="433"/>
      <c r="O39" s="433">
        <v>0</v>
      </c>
      <c r="P39" s="778"/>
      <c r="Q39" s="1192"/>
    </row>
    <row r="40" spans="2:17" s="769" customFormat="1" ht="15.5">
      <c r="B40" s="775">
        <v>30126</v>
      </c>
      <c r="C40" s="434"/>
      <c r="D40" s="776" t="s">
        <v>1104</v>
      </c>
      <c r="E40" s="434"/>
      <c r="F40" s="433"/>
      <c r="G40" s="433">
        <v>0</v>
      </c>
      <c r="H40" s="433"/>
      <c r="I40" s="433">
        <v>0</v>
      </c>
      <c r="J40" s="433"/>
      <c r="K40" s="433">
        <v>0</v>
      </c>
      <c r="L40" s="433"/>
      <c r="M40" s="433">
        <f t="shared" si="0"/>
        <v>0</v>
      </c>
      <c r="N40" s="433"/>
      <c r="O40" s="433">
        <v>0</v>
      </c>
      <c r="P40" s="778"/>
      <c r="Q40" s="1192"/>
    </row>
    <row r="41" spans="2:17" s="769" customFormat="1" ht="15.5">
      <c r="B41" s="775">
        <v>30127</v>
      </c>
      <c r="C41" s="434"/>
      <c r="D41" s="776" t="s">
        <v>1105</v>
      </c>
      <c r="E41" s="434"/>
      <c r="F41" s="433"/>
      <c r="G41" s="433">
        <v>408178.96</v>
      </c>
      <c r="H41" s="433"/>
      <c r="I41" s="433">
        <v>409496.03</v>
      </c>
      <c r="J41" s="433"/>
      <c r="K41" s="433">
        <v>501638.21</v>
      </c>
      <c r="L41" s="433"/>
      <c r="M41" s="433">
        <f t="shared" si="0"/>
        <v>1586.5299999999697</v>
      </c>
      <c r="N41" s="433"/>
      <c r="O41" s="433">
        <v>503224.74</v>
      </c>
      <c r="P41" s="778"/>
      <c r="Q41" s="1192"/>
    </row>
    <row r="42" spans="2:17" s="769" customFormat="1" ht="15.5">
      <c r="B42" s="775">
        <v>30128</v>
      </c>
      <c r="C42" s="434"/>
      <c r="D42" s="776" t="s">
        <v>1106</v>
      </c>
      <c r="E42" s="434"/>
      <c r="F42" s="433"/>
      <c r="G42" s="433">
        <v>0</v>
      </c>
      <c r="H42" s="433"/>
      <c r="I42" s="433">
        <v>0</v>
      </c>
      <c r="J42" s="433"/>
      <c r="K42" s="433">
        <v>0</v>
      </c>
      <c r="L42" s="433"/>
      <c r="M42" s="433">
        <f t="shared" si="0"/>
        <v>0</v>
      </c>
      <c r="N42" s="433"/>
      <c r="O42" s="433">
        <v>0</v>
      </c>
      <c r="P42" s="778"/>
      <c r="Q42" s="1192"/>
    </row>
    <row r="43" spans="2:17" s="769" customFormat="1" ht="15.5">
      <c r="B43" s="775">
        <v>30129</v>
      </c>
      <c r="C43" s="434"/>
      <c r="D43" s="776" t="s">
        <v>1107</v>
      </c>
      <c r="E43" s="434"/>
      <c r="F43" s="433"/>
      <c r="G43" s="433">
        <v>0</v>
      </c>
      <c r="H43" s="433"/>
      <c r="I43" s="433">
        <v>0</v>
      </c>
      <c r="J43" s="433"/>
      <c r="K43" s="433">
        <v>0</v>
      </c>
      <c r="L43" s="433"/>
      <c r="M43" s="433">
        <f t="shared" si="0"/>
        <v>0</v>
      </c>
      <c r="N43" s="433"/>
      <c r="O43" s="433">
        <v>0</v>
      </c>
      <c r="P43" s="778"/>
      <c r="Q43" s="1192"/>
    </row>
    <row r="44" spans="2:17" s="769" customFormat="1" ht="15.5">
      <c r="B44" s="775">
        <v>30130</v>
      </c>
      <c r="C44" s="434"/>
      <c r="D44" s="776" t="s">
        <v>1108</v>
      </c>
      <c r="E44" s="434"/>
      <c r="F44" s="433"/>
      <c r="G44" s="433">
        <v>0</v>
      </c>
      <c r="H44" s="433"/>
      <c r="I44" s="433">
        <v>0</v>
      </c>
      <c r="J44" s="433"/>
      <c r="K44" s="433">
        <v>0</v>
      </c>
      <c r="L44" s="433"/>
      <c r="M44" s="433">
        <f t="shared" si="0"/>
        <v>0</v>
      </c>
      <c r="N44" s="433"/>
      <c r="O44" s="433">
        <v>0</v>
      </c>
      <c r="P44" s="778"/>
      <c r="Q44" s="1192"/>
    </row>
    <row r="45" spans="2:17" s="769" customFormat="1" ht="15.5">
      <c r="B45" s="775">
        <v>30131</v>
      </c>
      <c r="C45" s="434"/>
      <c r="D45" s="776" t="s">
        <v>1109</v>
      </c>
      <c r="E45" s="434"/>
      <c r="F45" s="433"/>
      <c r="G45" s="433">
        <v>0</v>
      </c>
      <c r="H45" s="433"/>
      <c r="I45" s="433">
        <v>0</v>
      </c>
      <c r="J45" s="433"/>
      <c r="K45" s="433">
        <v>0</v>
      </c>
      <c r="L45" s="433"/>
      <c r="M45" s="433">
        <f t="shared" si="0"/>
        <v>0</v>
      </c>
      <c r="N45" s="433"/>
      <c r="O45" s="433">
        <v>0</v>
      </c>
      <c r="P45" s="778"/>
      <c r="Q45" s="1192"/>
    </row>
    <row r="46" spans="2:17" s="769" customFormat="1" ht="15.5">
      <c r="B46" s="775">
        <v>30132</v>
      </c>
      <c r="C46" s="434"/>
      <c r="D46" s="776" t="s">
        <v>1110</v>
      </c>
      <c r="E46" s="434"/>
      <c r="F46" s="433"/>
      <c r="G46" s="433">
        <v>0</v>
      </c>
      <c r="H46" s="433"/>
      <c r="I46" s="433">
        <v>0</v>
      </c>
      <c r="J46" s="433"/>
      <c r="K46" s="433">
        <v>0</v>
      </c>
      <c r="L46" s="433"/>
      <c r="M46" s="433">
        <f t="shared" si="0"/>
        <v>0</v>
      </c>
      <c r="N46" s="433"/>
      <c r="O46" s="433">
        <v>0</v>
      </c>
      <c r="P46" s="778"/>
      <c r="Q46" s="1192"/>
    </row>
    <row r="47" spans="2:17" s="769" customFormat="1" ht="15.5">
      <c r="B47" s="775">
        <v>30133</v>
      </c>
      <c r="C47" s="434"/>
      <c r="D47" s="776" t="s">
        <v>1111</v>
      </c>
      <c r="E47" s="434"/>
      <c r="F47" s="433"/>
      <c r="G47" s="433">
        <v>0</v>
      </c>
      <c r="H47" s="433"/>
      <c r="I47" s="433">
        <v>0</v>
      </c>
      <c r="J47" s="433"/>
      <c r="K47" s="433">
        <v>0</v>
      </c>
      <c r="L47" s="433"/>
      <c r="M47" s="433">
        <f t="shared" si="0"/>
        <v>0</v>
      </c>
      <c r="N47" s="433"/>
      <c r="O47" s="433">
        <v>0</v>
      </c>
      <c r="P47" s="778"/>
      <c r="Q47" s="1192"/>
    </row>
    <row r="48" spans="2:17" s="769" customFormat="1" ht="15.5">
      <c r="B48" s="775">
        <v>30134</v>
      </c>
      <c r="C48" s="434"/>
      <c r="D48" s="776" t="s">
        <v>1112</v>
      </c>
      <c r="E48" s="434"/>
      <c r="F48" s="433"/>
      <c r="G48" s="433">
        <v>0</v>
      </c>
      <c r="H48" s="433"/>
      <c r="I48" s="433">
        <v>0</v>
      </c>
      <c r="J48" s="433"/>
      <c r="K48" s="433">
        <v>0</v>
      </c>
      <c r="L48" s="433"/>
      <c r="M48" s="433">
        <f t="shared" si="0"/>
        <v>0</v>
      </c>
      <c r="N48" s="433"/>
      <c r="O48" s="433">
        <v>0</v>
      </c>
      <c r="P48" s="778"/>
      <c r="Q48" s="1192"/>
    </row>
    <row r="49" spans="2:17" s="769" customFormat="1" ht="15.5">
      <c r="B49" s="775">
        <v>30135</v>
      </c>
      <c r="C49" s="434"/>
      <c r="D49" s="776" t="s">
        <v>1113</v>
      </c>
      <c r="E49" s="434"/>
      <c r="F49" s="433"/>
      <c r="G49" s="433">
        <v>46442.17</v>
      </c>
      <c r="H49" s="433"/>
      <c r="I49" s="433">
        <v>131009.51</v>
      </c>
      <c r="J49" s="433"/>
      <c r="K49" s="433">
        <v>131126.26999999999</v>
      </c>
      <c r="L49" s="433"/>
      <c r="M49" s="433">
        <f t="shared" si="0"/>
        <v>-131126.26999999999</v>
      </c>
      <c r="N49" s="433"/>
      <c r="O49" s="433">
        <v>0</v>
      </c>
      <c r="P49" s="778"/>
      <c r="Q49" s="1192"/>
    </row>
    <row r="50" spans="2:17" s="769" customFormat="1" ht="15.5">
      <c r="B50" s="775">
        <v>30136</v>
      </c>
      <c r="C50" s="434"/>
      <c r="D50" s="776" t="s">
        <v>1114</v>
      </c>
      <c r="E50" s="434"/>
      <c r="F50" s="433"/>
      <c r="G50" s="433">
        <v>0</v>
      </c>
      <c r="H50" s="433"/>
      <c r="I50" s="433">
        <v>0</v>
      </c>
      <c r="J50" s="433"/>
      <c r="K50" s="433">
        <v>0</v>
      </c>
      <c r="L50" s="433"/>
      <c r="M50" s="433">
        <f t="shared" si="0"/>
        <v>0</v>
      </c>
      <c r="N50" s="433"/>
      <c r="O50" s="433">
        <v>0</v>
      </c>
      <c r="P50" s="778"/>
      <c r="Q50" s="1192"/>
    </row>
    <row r="51" spans="2:17" s="769" customFormat="1" ht="15.5">
      <c r="B51" s="775">
        <v>30137</v>
      </c>
      <c r="C51" s="434"/>
      <c r="D51" s="776" t="s">
        <v>1115</v>
      </c>
      <c r="E51" s="434"/>
      <c r="F51" s="433"/>
      <c r="G51" s="433">
        <v>0</v>
      </c>
      <c r="H51" s="433"/>
      <c r="I51" s="433">
        <v>0</v>
      </c>
      <c r="J51" s="433"/>
      <c r="K51" s="433">
        <v>0</v>
      </c>
      <c r="L51" s="433"/>
      <c r="M51" s="433">
        <f t="shared" si="0"/>
        <v>0</v>
      </c>
      <c r="N51" s="433"/>
      <c r="O51" s="433">
        <v>0</v>
      </c>
      <c r="P51" s="778"/>
      <c r="Q51" s="1192"/>
    </row>
    <row r="52" spans="2:17" s="769" customFormat="1" ht="15.5">
      <c r="B52" s="775">
        <v>30138</v>
      </c>
      <c r="C52" s="434"/>
      <c r="D52" s="776" t="s">
        <v>1116</v>
      </c>
      <c r="E52" s="434"/>
      <c r="F52" s="433"/>
      <c r="G52" s="433">
        <v>0</v>
      </c>
      <c r="H52" s="433"/>
      <c r="I52" s="433">
        <v>0</v>
      </c>
      <c r="J52" s="433"/>
      <c r="K52" s="433">
        <v>0</v>
      </c>
      <c r="L52" s="433"/>
      <c r="M52" s="433">
        <f t="shared" si="0"/>
        <v>0</v>
      </c>
      <c r="N52" s="433"/>
      <c r="O52" s="433">
        <v>0</v>
      </c>
      <c r="P52" s="778"/>
      <c r="Q52" s="1192"/>
    </row>
    <row r="53" spans="2:17" s="769" customFormat="1" ht="15.5">
      <c r="B53" s="775">
        <v>30139</v>
      </c>
      <c r="C53" s="434"/>
      <c r="D53" s="776" t="s">
        <v>1117</v>
      </c>
      <c r="E53" s="434"/>
      <c r="F53" s="433"/>
      <c r="G53" s="433">
        <v>0</v>
      </c>
      <c r="H53" s="433"/>
      <c r="I53" s="433">
        <v>0</v>
      </c>
      <c r="J53" s="433"/>
      <c r="K53" s="433">
        <v>0</v>
      </c>
      <c r="L53" s="433"/>
      <c r="M53" s="433">
        <f t="shared" si="0"/>
        <v>0</v>
      </c>
      <c r="N53" s="433"/>
      <c r="O53" s="433">
        <v>0</v>
      </c>
      <c r="P53" s="778"/>
      <c r="Q53" s="1192"/>
    </row>
    <row r="54" spans="2:17" s="769" customFormat="1" ht="15.5">
      <c r="B54" s="775">
        <v>30140</v>
      </c>
      <c r="C54" s="434"/>
      <c r="D54" s="776" t="s">
        <v>1118</v>
      </c>
      <c r="E54" s="434"/>
      <c r="F54" s="433"/>
      <c r="G54" s="433">
        <v>0</v>
      </c>
      <c r="H54" s="433"/>
      <c r="I54" s="433">
        <v>0</v>
      </c>
      <c r="J54" s="433"/>
      <c r="K54" s="433">
        <v>0</v>
      </c>
      <c r="L54" s="433"/>
      <c r="M54" s="433">
        <f t="shared" si="0"/>
        <v>0</v>
      </c>
      <c r="N54" s="433"/>
      <c r="O54" s="433">
        <v>0</v>
      </c>
      <c r="P54" s="778"/>
      <c r="Q54" s="1192"/>
    </row>
    <row r="55" spans="2:17" s="769" customFormat="1" ht="15.5">
      <c r="B55" s="775">
        <v>30141</v>
      </c>
      <c r="C55" s="434"/>
      <c r="D55" s="776" t="s">
        <v>1119</v>
      </c>
      <c r="E55" s="434"/>
      <c r="F55" s="433"/>
      <c r="G55" s="433">
        <v>0</v>
      </c>
      <c r="H55" s="433"/>
      <c r="I55" s="433">
        <v>0</v>
      </c>
      <c r="J55" s="433"/>
      <c r="K55" s="433">
        <v>0</v>
      </c>
      <c r="L55" s="433"/>
      <c r="M55" s="433">
        <f t="shared" si="0"/>
        <v>0</v>
      </c>
      <c r="N55" s="433"/>
      <c r="O55" s="433">
        <v>0</v>
      </c>
      <c r="P55" s="778"/>
      <c r="Q55" s="1192"/>
    </row>
    <row r="56" spans="2:17" s="769" customFormat="1" ht="15.5">
      <c r="B56" s="775">
        <v>30142</v>
      </c>
      <c r="C56" s="434"/>
      <c r="D56" s="776" t="s">
        <v>1120</v>
      </c>
      <c r="E56" s="434"/>
      <c r="F56" s="433"/>
      <c r="G56" s="433">
        <v>0</v>
      </c>
      <c r="H56" s="433"/>
      <c r="I56" s="433">
        <v>0</v>
      </c>
      <c r="J56" s="433"/>
      <c r="K56" s="433">
        <v>0</v>
      </c>
      <c r="L56" s="433"/>
      <c r="M56" s="433">
        <f t="shared" si="0"/>
        <v>0</v>
      </c>
      <c r="N56" s="433"/>
      <c r="O56" s="433">
        <v>0</v>
      </c>
      <c r="P56" s="778"/>
      <c r="Q56" s="1192"/>
    </row>
    <row r="57" spans="2:17" s="769" customFormat="1" ht="15.5">
      <c r="B57" s="775">
        <v>30143</v>
      </c>
      <c r="C57" s="434"/>
      <c r="D57" s="776" t="s">
        <v>1121</v>
      </c>
      <c r="E57" s="434"/>
      <c r="F57" s="433"/>
      <c r="G57" s="433">
        <v>0</v>
      </c>
      <c r="H57" s="433"/>
      <c r="I57" s="433">
        <v>0</v>
      </c>
      <c r="J57" s="433"/>
      <c r="K57" s="433">
        <v>0</v>
      </c>
      <c r="L57" s="433"/>
      <c r="M57" s="433">
        <f t="shared" si="0"/>
        <v>0</v>
      </c>
      <c r="N57" s="433"/>
      <c r="O57" s="433">
        <v>0</v>
      </c>
      <c r="P57" s="778"/>
      <c r="Q57" s="1192"/>
    </row>
    <row r="58" spans="2:17" s="769" customFormat="1" ht="15.5">
      <c r="B58" s="775">
        <v>30144</v>
      </c>
      <c r="C58" s="434"/>
      <c r="D58" s="776" t="s">
        <v>1122</v>
      </c>
      <c r="E58" s="434"/>
      <c r="F58" s="433"/>
      <c r="G58" s="433">
        <v>0</v>
      </c>
      <c r="H58" s="433"/>
      <c r="I58" s="433">
        <v>0</v>
      </c>
      <c r="J58" s="433"/>
      <c r="K58" s="433">
        <v>0</v>
      </c>
      <c r="L58" s="433"/>
      <c r="M58" s="433">
        <f t="shared" si="0"/>
        <v>0</v>
      </c>
      <c r="N58" s="433"/>
      <c r="O58" s="433">
        <v>0</v>
      </c>
      <c r="P58" s="778"/>
      <c r="Q58" s="1192"/>
    </row>
    <row r="59" spans="2:17" s="769" customFormat="1" ht="15.5">
      <c r="B59" s="775">
        <v>30145</v>
      </c>
      <c r="C59" s="434"/>
      <c r="D59" s="776" t="s">
        <v>1123</v>
      </c>
      <c r="E59" s="434"/>
      <c r="F59" s="433"/>
      <c r="G59" s="433">
        <v>0</v>
      </c>
      <c r="H59" s="433"/>
      <c r="I59" s="433">
        <v>0</v>
      </c>
      <c r="J59" s="433"/>
      <c r="K59" s="433">
        <v>0</v>
      </c>
      <c r="L59" s="433"/>
      <c r="M59" s="433">
        <f t="shared" si="0"/>
        <v>0</v>
      </c>
      <c r="N59" s="433"/>
      <c r="O59" s="433">
        <v>0</v>
      </c>
      <c r="P59" s="778"/>
      <c r="Q59" s="1192"/>
    </row>
    <row r="60" spans="2:17" s="769" customFormat="1" ht="15.5">
      <c r="B60" s="775">
        <v>30146</v>
      </c>
      <c r="C60" s="434"/>
      <c r="D60" s="776" t="s">
        <v>1124</v>
      </c>
      <c r="E60" s="434"/>
      <c r="F60" s="433"/>
      <c r="G60" s="433">
        <v>0</v>
      </c>
      <c r="H60" s="433"/>
      <c r="I60" s="433">
        <v>0</v>
      </c>
      <c r="J60" s="433"/>
      <c r="K60" s="433">
        <v>0</v>
      </c>
      <c r="L60" s="433"/>
      <c r="M60" s="433">
        <f t="shared" si="0"/>
        <v>0</v>
      </c>
      <c r="N60" s="433"/>
      <c r="O60" s="433">
        <v>0</v>
      </c>
      <c r="P60" s="778"/>
      <c r="Q60" s="1192"/>
    </row>
    <row r="61" spans="2:17" s="769" customFormat="1" ht="15.5">
      <c r="B61" s="775">
        <v>30147</v>
      </c>
      <c r="C61" s="434"/>
      <c r="D61" s="776" t="s">
        <v>1125</v>
      </c>
      <c r="E61" s="434"/>
      <c r="F61" s="433"/>
      <c r="G61" s="433">
        <v>0</v>
      </c>
      <c r="H61" s="433"/>
      <c r="I61" s="433">
        <v>0</v>
      </c>
      <c r="J61" s="433"/>
      <c r="K61" s="433">
        <v>0</v>
      </c>
      <c r="L61" s="433"/>
      <c r="M61" s="433">
        <f t="shared" si="0"/>
        <v>0</v>
      </c>
      <c r="N61" s="433"/>
      <c r="O61" s="433">
        <v>0</v>
      </c>
      <c r="P61" s="778"/>
      <c r="Q61" s="1192"/>
    </row>
    <row r="62" spans="2:17" s="769" customFormat="1" ht="15.5">
      <c r="B62" s="775">
        <v>30148</v>
      </c>
      <c r="C62" s="434"/>
      <c r="D62" s="776" t="s">
        <v>1126</v>
      </c>
      <c r="E62" s="434"/>
      <c r="F62" s="433"/>
      <c r="G62" s="433">
        <v>0</v>
      </c>
      <c r="H62" s="433"/>
      <c r="I62" s="433">
        <v>0</v>
      </c>
      <c r="J62" s="433"/>
      <c r="K62" s="433">
        <v>0</v>
      </c>
      <c r="L62" s="433"/>
      <c r="M62" s="433">
        <f t="shared" si="0"/>
        <v>0</v>
      </c>
      <c r="N62" s="433"/>
      <c r="O62" s="433">
        <v>0</v>
      </c>
      <c r="P62" s="778"/>
      <c r="Q62" s="1192"/>
    </row>
    <row r="63" spans="2:17" s="769" customFormat="1" ht="15.5">
      <c r="B63" s="775">
        <v>30149</v>
      </c>
      <c r="C63" s="434"/>
      <c r="D63" s="776" t="s">
        <v>1127</v>
      </c>
      <c r="E63" s="434"/>
      <c r="F63" s="433"/>
      <c r="G63" s="433">
        <v>0</v>
      </c>
      <c r="H63" s="433"/>
      <c r="I63" s="433">
        <v>0</v>
      </c>
      <c r="J63" s="433"/>
      <c r="K63" s="433">
        <v>0</v>
      </c>
      <c r="L63" s="433"/>
      <c r="M63" s="433">
        <f t="shared" si="0"/>
        <v>0</v>
      </c>
      <c r="N63" s="433"/>
      <c r="O63" s="433">
        <v>0</v>
      </c>
      <c r="P63" s="778"/>
      <c r="Q63" s="1192"/>
    </row>
    <row r="64" spans="2:17" s="769" customFormat="1" ht="15.5">
      <c r="B64" s="775">
        <v>30150</v>
      </c>
      <c r="C64" s="434"/>
      <c r="D64" s="776" t="s">
        <v>1128</v>
      </c>
      <c r="E64" s="434"/>
      <c r="F64" s="433"/>
      <c r="G64" s="433">
        <v>0</v>
      </c>
      <c r="H64" s="433"/>
      <c r="I64" s="433">
        <v>0</v>
      </c>
      <c r="J64" s="433"/>
      <c r="K64" s="433">
        <v>0</v>
      </c>
      <c r="L64" s="433"/>
      <c r="M64" s="433">
        <f t="shared" si="0"/>
        <v>0</v>
      </c>
      <c r="N64" s="433"/>
      <c r="O64" s="433">
        <v>0</v>
      </c>
      <c r="P64" s="778"/>
      <c r="Q64" s="1192"/>
    </row>
    <row r="65" spans="2:17" s="769" customFormat="1" ht="15.5">
      <c r="B65" s="775">
        <v>30151</v>
      </c>
      <c r="C65" s="434"/>
      <c r="D65" s="776" t="s">
        <v>1129</v>
      </c>
      <c r="E65" s="434"/>
      <c r="F65" s="433"/>
      <c r="G65" s="433">
        <v>189070.79</v>
      </c>
      <c r="H65" s="433"/>
      <c r="I65" s="433">
        <v>213946.81</v>
      </c>
      <c r="J65" s="433"/>
      <c r="K65" s="433">
        <v>214552.34</v>
      </c>
      <c r="L65" s="433"/>
      <c r="M65" s="433">
        <f t="shared" si="0"/>
        <v>690.61999999999534</v>
      </c>
      <c r="N65" s="433"/>
      <c r="O65" s="433">
        <v>215242.96</v>
      </c>
      <c r="P65" s="778"/>
      <c r="Q65" s="1192"/>
    </row>
    <row r="66" spans="2:17" s="769" customFormat="1" ht="15.5">
      <c r="B66" s="775">
        <v>30152</v>
      </c>
      <c r="C66" s="434"/>
      <c r="D66" s="776" t="s">
        <v>1130</v>
      </c>
      <c r="E66" s="434"/>
      <c r="F66" s="433"/>
      <c r="G66" s="433">
        <v>0</v>
      </c>
      <c r="H66" s="433"/>
      <c r="I66" s="433">
        <v>0</v>
      </c>
      <c r="J66" s="433"/>
      <c r="K66" s="433">
        <v>0</v>
      </c>
      <c r="L66" s="433"/>
      <c r="M66" s="433">
        <f t="shared" si="0"/>
        <v>0</v>
      </c>
      <c r="N66" s="433"/>
      <c r="O66" s="433">
        <v>0</v>
      </c>
      <c r="P66" s="778"/>
      <c r="Q66" s="1192"/>
    </row>
    <row r="67" spans="2:17" s="769" customFormat="1" ht="15.5">
      <c r="B67" s="775">
        <v>30153</v>
      </c>
      <c r="C67" s="434"/>
      <c r="D67" s="776" t="s">
        <v>1131</v>
      </c>
      <c r="E67" s="434"/>
      <c r="F67" s="433"/>
      <c r="G67" s="433">
        <v>0</v>
      </c>
      <c r="H67" s="433"/>
      <c r="I67" s="433">
        <v>0</v>
      </c>
      <c r="J67" s="433"/>
      <c r="K67" s="433">
        <v>0</v>
      </c>
      <c r="L67" s="433"/>
      <c r="M67" s="433">
        <f t="shared" si="0"/>
        <v>0</v>
      </c>
      <c r="N67" s="433"/>
      <c r="O67" s="433">
        <v>0</v>
      </c>
      <c r="P67" s="778"/>
      <c r="Q67" s="1192"/>
    </row>
    <row r="68" spans="2:17" s="769" customFormat="1" ht="15.5">
      <c r="B68" s="775">
        <v>30154</v>
      </c>
      <c r="C68" s="434"/>
      <c r="D68" s="776" t="s">
        <v>1132</v>
      </c>
      <c r="E68" s="434"/>
      <c r="F68" s="433"/>
      <c r="G68" s="433">
        <v>0</v>
      </c>
      <c r="H68" s="433"/>
      <c r="I68" s="433">
        <v>0</v>
      </c>
      <c r="J68" s="433"/>
      <c r="K68" s="433">
        <v>0</v>
      </c>
      <c r="L68" s="433"/>
      <c r="M68" s="433">
        <f t="shared" si="0"/>
        <v>0</v>
      </c>
      <c r="N68" s="433"/>
      <c r="O68" s="433">
        <v>0</v>
      </c>
      <c r="P68" s="778"/>
      <c r="Q68" s="1192"/>
    </row>
    <row r="69" spans="2:17" s="769" customFormat="1" ht="15.5">
      <c r="B69" s="775">
        <v>30351</v>
      </c>
      <c r="C69" s="434"/>
      <c r="D69" s="776" t="s">
        <v>1133</v>
      </c>
      <c r="E69" s="434"/>
      <c r="F69" s="433"/>
      <c r="G69" s="433">
        <v>304798934.80000001</v>
      </c>
      <c r="H69" s="433"/>
      <c r="I69" s="433">
        <v>325916533.29000002</v>
      </c>
      <c r="J69" s="433"/>
      <c r="K69" s="433">
        <v>150162911.97</v>
      </c>
      <c r="L69" s="433"/>
      <c r="M69" s="433">
        <f t="shared" si="0"/>
        <v>6348037.5399999917</v>
      </c>
      <c r="N69" s="433"/>
      <c r="O69" s="433">
        <v>156510949.50999999</v>
      </c>
      <c r="P69" s="778"/>
      <c r="Q69" s="1192"/>
    </row>
    <row r="70" spans="2:17" s="769" customFormat="1" ht="15.5">
      <c r="B70" s="775">
        <v>30501</v>
      </c>
      <c r="C70" s="434"/>
      <c r="D70" s="776" t="s">
        <v>1134</v>
      </c>
      <c r="E70" s="434"/>
      <c r="F70" s="433"/>
      <c r="G70" s="433">
        <v>0</v>
      </c>
      <c r="H70" s="433"/>
      <c r="I70" s="433">
        <v>0</v>
      </c>
      <c r="J70" s="433"/>
      <c r="K70" s="433">
        <v>0</v>
      </c>
      <c r="L70" s="433"/>
      <c r="M70" s="433">
        <f t="shared" si="0"/>
        <v>0</v>
      </c>
      <c r="N70" s="433"/>
      <c r="O70" s="433">
        <v>0</v>
      </c>
      <c r="P70" s="778"/>
      <c r="Q70" s="1192"/>
    </row>
    <row r="71" spans="2:17" s="769" customFormat="1" ht="15.5">
      <c r="B71" s="775">
        <v>30502</v>
      </c>
      <c r="C71" s="434"/>
      <c r="D71" s="776" t="s">
        <v>1135</v>
      </c>
      <c r="E71" s="434"/>
      <c r="F71" s="433"/>
      <c r="G71" s="433">
        <v>0</v>
      </c>
      <c r="H71" s="433"/>
      <c r="I71" s="433">
        <v>0</v>
      </c>
      <c r="J71" s="433"/>
      <c r="K71" s="433">
        <v>0</v>
      </c>
      <c r="L71" s="433"/>
      <c r="M71" s="433">
        <f t="shared" si="0"/>
        <v>0</v>
      </c>
      <c r="N71" s="433"/>
      <c r="O71" s="433">
        <v>0</v>
      </c>
      <c r="P71" s="778"/>
      <c r="Q71" s="1192"/>
    </row>
    <row r="72" spans="2:17" s="769" customFormat="1" ht="15.5">
      <c r="B72" s="775">
        <v>30503</v>
      </c>
      <c r="C72" s="434"/>
      <c r="D72" s="776" t="s">
        <v>1136</v>
      </c>
      <c r="E72" s="434"/>
      <c r="F72" s="433"/>
      <c r="G72" s="433">
        <v>0</v>
      </c>
      <c r="H72" s="433"/>
      <c r="I72" s="433">
        <v>0</v>
      </c>
      <c r="J72" s="433"/>
      <c r="K72" s="433">
        <v>0</v>
      </c>
      <c r="L72" s="433"/>
      <c r="M72" s="433">
        <f t="shared" si="0"/>
        <v>0</v>
      </c>
      <c r="N72" s="433"/>
      <c r="O72" s="433">
        <v>0</v>
      </c>
      <c r="P72" s="778"/>
      <c r="Q72" s="1192"/>
    </row>
    <row r="73" spans="2:17" s="769" customFormat="1" ht="15.5">
      <c r="B73" s="775">
        <v>30504</v>
      </c>
      <c r="C73" s="434"/>
      <c r="D73" s="776" t="s">
        <v>1137</v>
      </c>
      <c r="E73" s="434"/>
      <c r="F73" s="433"/>
      <c r="G73" s="433">
        <v>0</v>
      </c>
      <c r="H73" s="433"/>
      <c r="I73" s="433">
        <v>0</v>
      </c>
      <c r="J73" s="433"/>
      <c r="K73" s="433">
        <v>0</v>
      </c>
      <c r="L73" s="433"/>
      <c r="M73" s="433">
        <f t="shared" si="0"/>
        <v>0</v>
      </c>
      <c r="N73" s="433"/>
      <c r="O73" s="433">
        <v>0</v>
      </c>
      <c r="P73" s="778"/>
      <c r="Q73" s="1192"/>
    </row>
    <row r="74" spans="2:17" s="769" customFormat="1" ht="15.5">
      <c r="B74" s="775">
        <v>31506</v>
      </c>
      <c r="C74" s="782"/>
      <c r="D74" s="781" t="s">
        <v>1138</v>
      </c>
      <c r="E74" s="783"/>
      <c r="F74" s="433"/>
      <c r="G74" s="433">
        <v>159035629.53999999</v>
      </c>
      <c r="H74" s="433"/>
      <c r="I74" s="433">
        <v>167417731.31</v>
      </c>
      <c r="J74" s="433"/>
      <c r="K74" s="433">
        <v>100343105.89</v>
      </c>
      <c r="L74" s="433"/>
      <c r="M74" s="433">
        <f t="shared" si="0"/>
        <v>833785.81000000238</v>
      </c>
      <c r="N74" s="433"/>
      <c r="O74" s="433">
        <v>101176891.7</v>
      </c>
      <c r="P74" s="778"/>
      <c r="Q74" s="1192"/>
    </row>
    <row r="75" spans="2:17" s="769" customFormat="1" ht="15.5">
      <c r="B75" s="775">
        <v>31701</v>
      </c>
      <c r="C75" s="434"/>
      <c r="D75" s="776" t="s">
        <v>1139</v>
      </c>
      <c r="E75" s="434"/>
      <c r="F75" s="433"/>
      <c r="G75" s="433">
        <v>25014710.449999999</v>
      </c>
      <c r="H75" s="433"/>
      <c r="I75" s="433">
        <v>26815673.289999999</v>
      </c>
      <c r="J75" s="433"/>
      <c r="K75" s="433">
        <v>30992140.530000001</v>
      </c>
      <c r="L75" s="433"/>
      <c r="M75" s="433">
        <f t="shared" si="0"/>
        <v>2572917.75</v>
      </c>
      <c r="N75" s="433"/>
      <c r="O75" s="433">
        <v>33565058.280000001</v>
      </c>
      <c r="P75" s="778"/>
      <c r="Q75" s="1192"/>
    </row>
    <row r="76" spans="2:17" s="769" customFormat="1" ht="15.5">
      <c r="B76" s="775">
        <v>31801</v>
      </c>
      <c r="C76" s="434"/>
      <c r="D76" s="776" t="s">
        <v>1140</v>
      </c>
      <c r="E76" s="434"/>
      <c r="F76" s="433"/>
      <c r="G76" s="433">
        <v>12941967.060000001</v>
      </c>
      <c r="H76" s="433"/>
      <c r="I76" s="433">
        <v>12941967.060000001</v>
      </c>
      <c r="J76" s="433"/>
      <c r="K76" s="433">
        <v>12941967.060000001</v>
      </c>
      <c r="L76" s="433"/>
      <c r="M76" s="433">
        <f t="shared" si="0"/>
        <v>0</v>
      </c>
      <c r="N76" s="433"/>
      <c r="O76" s="433">
        <v>12941967.060000001</v>
      </c>
      <c r="P76" s="778"/>
      <c r="Q76" s="1192"/>
    </row>
    <row r="77" spans="2:17" s="769" customFormat="1" ht="15.5">
      <c r="B77" s="775">
        <v>31851</v>
      </c>
      <c r="C77" s="434"/>
      <c r="D77" s="781" t="s">
        <v>1141</v>
      </c>
      <c r="E77" s="434"/>
      <c r="F77" s="433"/>
      <c r="G77" s="433">
        <v>990196368.98000002</v>
      </c>
      <c r="H77" s="433"/>
      <c r="I77" s="433">
        <v>1038959194.5599999</v>
      </c>
      <c r="J77" s="433"/>
      <c r="K77" s="433">
        <v>1117271553.4200001</v>
      </c>
      <c r="L77" s="433"/>
      <c r="M77" s="433">
        <f t="shared" si="0"/>
        <v>87317924</v>
      </c>
      <c r="N77" s="433"/>
      <c r="O77" s="433">
        <v>1204589477.4200001</v>
      </c>
      <c r="P77" s="778"/>
      <c r="Q77" s="1192"/>
    </row>
    <row r="78" spans="2:17" s="769" customFormat="1" ht="15.5">
      <c r="B78" s="775">
        <v>31852</v>
      </c>
      <c r="C78" s="434"/>
      <c r="D78" s="776" t="s">
        <v>1142</v>
      </c>
      <c r="E78" s="434"/>
      <c r="F78" s="433"/>
      <c r="G78" s="433">
        <v>117161118.25</v>
      </c>
      <c r="H78" s="433"/>
      <c r="I78" s="433">
        <v>117161118.25</v>
      </c>
      <c r="J78" s="433"/>
      <c r="K78" s="433">
        <v>96428740.140000001</v>
      </c>
      <c r="L78" s="433"/>
      <c r="M78" s="433">
        <f t="shared" si="0"/>
        <v>2485080</v>
      </c>
      <c r="N78" s="433"/>
      <c r="O78" s="433">
        <v>98913820.140000001</v>
      </c>
      <c r="P78" s="778"/>
      <c r="Q78" s="1192"/>
    </row>
    <row r="79" spans="2:17" s="769" customFormat="1" ht="15.5">
      <c r="B79" s="775">
        <v>31853</v>
      </c>
      <c r="C79" s="434"/>
      <c r="D79" s="781" t="s">
        <v>1143</v>
      </c>
      <c r="E79" s="434"/>
      <c r="F79" s="433"/>
      <c r="G79" s="433">
        <v>461610351.94</v>
      </c>
      <c r="H79" s="433"/>
      <c r="I79" s="433">
        <v>461610351.94</v>
      </c>
      <c r="J79" s="433"/>
      <c r="K79" s="433">
        <v>495649601.94</v>
      </c>
      <c r="L79" s="433"/>
      <c r="M79" s="433">
        <f t="shared" ref="M79:M101" si="1">O79-K79</f>
        <v>0</v>
      </c>
      <c r="N79" s="433"/>
      <c r="O79" s="433">
        <v>495649601.94</v>
      </c>
      <c r="P79" s="778"/>
      <c r="Q79" s="1192"/>
    </row>
    <row r="80" spans="2:17" s="769" customFormat="1" ht="15.5">
      <c r="B80" s="775">
        <v>31854</v>
      </c>
      <c r="C80" s="434"/>
      <c r="D80" s="781" t="s">
        <v>1144</v>
      </c>
      <c r="E80" s="434"/>
      <c r="F80" s="433"/>
      <c r="G80" s="433">
        <v>0</v>
      </c>
      <c r="H80" s="433"/>
      <c r="I80" s="433">
        <v>0</v>
      </c>
      <c r="J80" s="433"/>
      <c r="K80" s="433">
        <v>0</v>
      </c>
      <c r="L80" s="433"/>
      <c r="M80" s="433">
        <f t="shared" si="1"/>
        <v>0</v>
      </c>
      <c r="N80" s="433"/>
      <c r="O80" s="433">
        <v>0</v>
      </c>
      <c r="P80" s="778"/>
      <c r="Q80" s="1192"/>
    </row>
    <row r="81" spans="2:17" s="769" customFormat="1" ht="15.5">
      <c r="B81" s="775">
        <v>31951</v>
      </c>
      <c r="C81" s="434"/>
      <c r="D81" s="781" t="s">
        <v>1145</v>
      </c>
      <c r="E81" s="434"/>
      <c r="F81" s="433"/>
      <c r="G81" s="433">
        <v>12015920.550000001</v>
      </c>
      <c r="H81" s="433"/>
      <c r="I81" s="433">
        <v>12015920.550000001</v>
      </c>
      <c r="J81" s="433"/>
      <c r="K81" s="433">
        <v>12015920.550000001</v>
      </c>
      <c r="L81" s="433"/>
      <c r="M81" s="433">
        <f t="shared" si="1"/>
        <v>0</v>
      </c>
      <c r="N81" s="433"/>
      <c r="O81" s="433">
        <v>12015920.550000001</v>
      </c>
      <c r="P81" s="778"/>
      <c r="Q81" s="1192"/>
    </row>
    <row r="82" spans="2:17" s="769" customFormat="1" ht="15.5">
      <c r="B82" s="775">
        <v>32213</v>
      </c>
      <c r="C82" s="434"/>
      <c r="D82" s="776" t="s">
        <v>1146</v>
      </c>
      <c r="E82" s="434"/>
      <c r="F82" s="433"/>
      <c r="G82" s="433">
        <v>153750</v>
      </c>
      <c r="H82" s="433"/>
      <c r="I82" s="433">
        <v>153750</v>
      </c>
      <c r="J82" s="433"/>
      <c r="K82" s="433">
        <v>153750</v>
      </c>
      <c r="L82" s="433"/>
      <c r="M82" s="433">
        <f t="shared" si="1"/>
        <v>0</v>
      </c>
      <c r="N82" s="433"/>
      <c r="O82" s="433">
        <v>153750</v>
      </c>
      <c r="P82" s="778"/>
      <c r="Q82" s="1192"/>
    </row>
    <row r="83" spans="2:17" s="769" customFormat="1" ht="15.5">
      <c r="B83" s="775">
        <v>32214</v>
      </c>
      <c r="C83" s="434"/>
      <c r="D83" s="776" t="s">
        <v>1147</v>
      </c>
      <c r="E83" s="434"/>
      <c r="F83" s="433"/>
      <c r="G83" s="433">
        <v>0</v>
      </c>
      <c r="H83" s="433"/>
      <c r="I83" s="433">
        <v>0</v>
      </c>
      <c r="J83" s="433"/>
      <c r="K83" s="433">
        <v>0</v>
      </c>
      <c r="L83" s="433"/>
      <c r="M83" s="433">
        <f t="shared" si="1"/>
        <v>0</v>
      </c>
      <c r="N83" s="433"/>
      <c r="O83" s="433">
        <v>0</v>
      </c>
      <c r="P83" s="778"/>
      <c r="Q83" s="1192"/>
    </row>
    <row r="84" spans="2:17" s="769" customFormat="1" ht="15.5">
      <c r="B84" s="775">
        <v>32215</v>
      </c>
      <c r="C84" s="434"/>
      <c r="D84" s="776" t="s">
        <v>1148</v>
      </c>
      <c r="E84" s="434"/>
      <c r="F84" s="433"/>
      <c r="G84" s="433">
        <v>1186.3399999999999</v>
      </c>
      <c r="H84" s="433"/>
      <c r="I84" s="433">
        <v>1190.17</v>
      </c>
      <c r="J84" s="433"/>
      <c r="K84" s="433">
        <v>1193.58</v>
      </c>
      <c r="L84" s="433"/>
      <c r="M84" s="433">
        <f t="shared" si="1"/>
        <v>3.8400000000001455</v>
      </c>
      <c r="N84" s="433"/>
      <c r="O84" s="433">
        <v>1197.42</v>
      </c>
      <c r="P84" s="778"/>
      <c r="Q84" s="1192"/>
    </row>
    <row r="85" spans="2:17" s="769" customFormat="1" ht="15.5">
      <c r="B85" s="775">
        <v>32219</v>
      </c>
      <c r="C85" s="434"/>
      <c r="D85" s="776" t="s">
        <v>1149</v>
      </c>
      <c r="E85" s="434"/>
      <c r="F85" s="433"/>
      <c r="G85" s="433">
        <v>0</v>
      </c>
      <c r="H85" s="433"/>
      <c r="I85" s="433">
        <v>0</v>
      </c>
      <c r="J85" s="433"/>
      <c r="K85" s="433">
        <v>0</v>
      </c>
      <c r="L85" s="433"/>
      <c r="M85" s="433">
        <f t="shared" si="1"/>
        <v>0</v>
      </c>
      <c r="N85" s="433"/>
      <c r="O85" s="433">
        <v>0</v>
      </c>
      <c r="P85" s="778"/>
      <c r="Q85" s="1192"/>
    </row>
    <row r="86" spans="2:17" s="769" customFormat="1" ht="15.5">
      <c r="B86" s="775">
        <v>32229</v>
      </c>
      <c r="C86" s="434"/>
      <c r="D86" s="776" t="s">
        <v>1474</v>
      </c>
      <c r="E86" s="434"/>
      <c r="F86" s="433"/>
      <c r="G86" s="433">
        <v>299220405.87</v>
      </c>
      <c r="H86" s="433"/>
      <c r="I86" s="433">
        <v>297000000</v>
      </c>
      <c r="J86" s="433"/>
      <c r="K86" s="433">
        <v>297000000</v>
      </c>
      <c r="L86" s="433"/>
      <c r="M86" s="433">
        <f t="shared" ref="M86" si="2">O86-K86</f>
        <v>0</v>
      </c>
      <c r="N86" s="433"/>
      <c r="O86" s="433">
        <v>297000000</v>
      </c>
      <c r="P86" s="778"/>
      <c r="Q86" s="1192"/>
    </row>
    <row r="87" spans="2:17" s="769" customFormat="1" ht="15.5">
      <c r="B87" s="775">
        <v>32230</v>
      </c>
      <c r="C87" s="434"/>
      <c r="D87" s="776" t="s">
        <v>1461</v>
      </c>
      <c r="E87" s="434"/>
      <c r="F87" s="433"/>
      <c r="G87" s="433">
        <v>6835150.8799999999</v>
      </c>
      <c r="H87" s="433"/>
      <c r="I87" s="433">
        <v>6835150.8799999999</v>
      </c>
      <c r="J87" s="433"/>
      <c r="K87" s="433">
        <v>0</v>
      </c>
      <c r="L87" s="433"/>
      <c r="M87" s="433">
        <f t="shared" si="1"/>
        <v>0</v>
      </c>
      <c r="N87" s="433"/>
      <c r="O87" s="433">
        <v>0</v>
      </c>
      <c r="P87" s="778"/>
      <c r="Q87" s="1192"/>
    </row>
    <row r="88" spans="2:17" s="769" customFormat="1" ht="15.5">
      <c r="B88" s="775">
        <v>32301</v>
      </c>
      <c r="C88" s="434"/>
      <c r="D88" s="776" t="s">
        <v>1150</v>
      </c>
      <c r="E88" s="434"/>
      <c r="F88" s="433"/>
      <c r="G88" s="433">
        <v>0</v>
      </c>
      <c r="H88" s="433"/>
      <c r="I88" s="433">
        <v>0</v>
      </c>
      <c r="J88" s="433"/>
      <c r="K88" s="433">
        <v>0</v>
      </c>
      <c r="L88" s="433"/>
      <c r="M88" s="433">
        <f t="shared" si="1"/>
        <v>0</v>
      </c>
      <c r="N88" s="433"/>
      <c r="O88" s="433">
        <v>0</v>
      </c>
      <c r="P88" s="778"/>
      <c r="Q88" s="1192"/>
    </row>
    <row r="89" spans="2:17" s="769" customFormat="1" ht="15.5">
      <c r="B89" s="775">
        <v>32302</v>
      </c>
      <c r="C89" s="434"/>
      <c r="D89" s="776" t="s">
        <v>1151</v>
      </c>
      <c r="E89" s="434"/>
      <c r="F89" s="433"/>
      <c r="G89" s="433">
        <v>0</v>
      </c>
      <c r="H89" s="433"/>
      <c r="I89" s="433">
        <v>0</v>
      </c>
      <c r="J89" s="433"/>
      <c r="K89" s="433">
        <v>0</v>
      </c>
      <c r="L89" s="433"/>
      <c r="M89" s="433">
        <f t="shared" si="1"/>
        <v>0</v>
      </c>
      <c r="N89" s="433"/>
      <c r="O89" s="433">
        <v>0</v>
      </c>
      <c r="P89" s="778"/>
      <c r="Q89" s="1192"/>
    </row>
    <row r="90" spans="2:17" s="769" customFormat="1" ht="15.5">
      <c r="B90" s="775">
        <v>32303</v>
      </c>
      <c r="C90" s="434"/>
      <c r="D90" s="776" t="s">
        <v>1152</v>
      </c>
      <c r="E90" s="783"/>
      <c r="F90" s="433"/>
      <c r="G90" s="433">
        <v>252330384.83000001</v>
      </c>
      <c r="H90" s="433"/>
      <c r="I90" s="433">
        <v>256815558.53999999</v>
      </c>
      <c r="J90" s="433"/>
      <c r="K90" s="433">
        <v>260246272.22</v>
      </c>
      <c r="L90" s="433"/>
      <c r="M90" s="433">
        <f t="shared" si="1"/>
        <v>9947134.380000025</v>
      </c>
      <c r="N90" s="433"/>
      <c r="O90" s="433">
        <v>270193406.60000002</v>
      </c>
      <c r="P90" s="778"/>
      <c r="Q90" s="1192"/>
    </row>
    <row r="91" spans="2:17" s="769" customFormat="1" ht="15.5">
      <c r="B91" s="775">
        <v>32304</v>
      </c>
      <c r="C91" s="434"/>
      <c r="D91" s="776" t="s">
        <v>1153</v>
      </c>
      <c r="E91" s="783"/>
      <c r="F91" s="433"/>
      <c r="G91" s="433">
        <v>0</v>
      </c>
      <c r="H91" s="433"/>
      <c r="I91" s="433">
        <v>0</v>
      </c>
      <c r="J91" s="433"/>
      <c r="K91" s="433">
        <v>0</v>
      </c>
      <c r="L91" s="433"/>
      <c r="M91" s="433">
        <f t="shared" si="1"/>
        <v>0</v>
      </c>
      <c r="N91" s="433"/>
      <c r="O91" s="433">
        <v>0</v>
      </c>
      <c r="P91" s="778"/>
      <c r="Q91" s="1192"/>
    </row>
    <row r="92" spans="2:17" s="769" customFormat="1" ht="15.5">
      <c r="B92" s="775">
        <v>32305</v>
      </c>
      <c r="C92" s="434"/>
      <c r="D92" s="776" t="s">
        <v>1154</v>
      </c>
      <c r="E92" s="783"/>
      <c r="F92" s="433"/>
      <c r="G92" s="433">
        <v>268392672.12</v>
      </c>
      <c r="H92" s="433"/>
      <c r="I92" s="433">
        <v>281575994.20999998</v>
      </c>
      <c r="J92" s="433"/>
      <c r="K92" s="433">
        <v>276313554.75999999</v>
      </c>
      <c r="L92" s="433"/>
      <c r="M92" s="433">
        <f t="shared" si="1"/>
        <v>1030712</v>
      </c>
      <c r="N92" s="433"/>
      <c r="O92" s="433">
        <v>277344266.75999999</v>
      </c>
      <c r="P92" s="778"/>
      <c r="Q92" s="1192"/>
    </row>
    <row r="93" spans="2:17" s="769" customFormat="1" ht="15.5">
      <c r="B93" s="775">
        <v>32306</v>
      </c>
      <c r="C93" s="434"/>
      <c r="D93" s="776" t="s">
        <v>1155</v>
      </c>
      <c r="E93" s="783"/>
      <c r="F93" s="433"/>
      <c r="G93" s="433">
        <v>0</v>
      </c>
      <c r="H93" s="433"/>
      <c r="I93" s="433">
        <v>0</v>
      </c>
      <c r="J93" s="433"/>
      <c r="K93" s="433">
        <v>0</v>
      </c>
      <c r="L93" s="433"/>
      <c r="M93" s="433">
        <f t="shared" si="1"/>
        <v>0</v>
      </c>
      <c r="N93" s="433"/>
      <c r="O93" s="433">
        <v>0</v>
      </c>
      <c r="P93" s="778"/>
      <c r="Q93" s="1192"/>
    </row>
    <row r="94" spans="2:17" s="769" customFormat="1" ht="15.5">
      <c r="B94" s="775">
        <v>32307</v>
      </c>
      <c r="C94" s="434"/>
      <c r="D94" s="781" t="s">
        <v>1156</v>
      </c>
      <c r="E94" s="783"/>
      <c r="F94" s="433"/>
      <c r="G94" s="433">
        <v>20316298.210000001</v>
      </c>
      <c r="H94" s="433"/>
      <c r="I94" s="433">
        <v>21317098.210000001</v>
      </c>
      <c r="J94" s="433"/>
      <c r="K94" s="433">
        <v>13617098.210000001</v>
      </c>
      <c r="L94" s="433"/>
      <c r="M94" s="433">
        <f t="shared" si="1"/>
        <v>0</v>
      </c>
      <c r="N94" s="433"/>
      <c r="O94" s="433">
        <v>13617098.210000001</v>
      </c>
      <c r="P94" s="778"/>
      <c r="Q94" s="1192"/>
    </row>
    <row r="95" spans="2:17" s="769" customFormat="1" ht="15.5">
      <c r="B95" s="775">
        <v>32308</v>
      </c>
      <c r="C95" s="434"/>
      <c r="D95" s="781" t="s">
        <v>1157</v>
      </c>
      <c r="E95" s="783"/>
      <c r="F95" s="433"/>
      <c r="G95" s="433">
        <v>0</v>
      </c>
      <c r="H95" s="433"/>
      <c r="I95" s="433">
        <v>0</v>
      </c>
      <c r="J95" s="433"/>
      <c r="K95" s="433">
        <v>0</v>
      </c>
      <c r="L95" s="433"/>
      <c r="M95" s="433">
        <f t="shared" si="1"/>
        <v>0</v>
      </c>
      <c r="N95" s="433"/>
      <c r="O95" s="433">
        <v>0</v>
      </c>
      <c r="P95" s="778"/>
      <c r="Q95" s="1192"/>
    </row>
    <row r="96" spans="2:17" s="769" customFormat="1" ht="15.5">
      <c r="B96" s="775">
        <v>32309</v>
      </c>
      <c r="C96" s="434"/>
      <c r="D96" s="781" t="s">
        <v>1158</v>
      </c>
      <c r="E96" s="783"/>
      <c r="F96" s="433"/>
      <c r="G96" s="433">
        <v>414555954.01999998</v>
      </c>
      <c r="H96" s="433"/>
      <c r="I96" s="433">
        <v>437648666.99000001</v>
      </c>
      <c r="J96" s="433"/>
      <c r="K96" s="433">
        <v>181805059.94999999</v>
      </c>
      <c r="L96" s="433"/>
      <c r="M96" s="433">
        <f t="shared" si="1"/>
        <v>7655024.8900000155</v>
      </c>
      <c r="N96" s="433"/>
      <c r="O96" s="433">
        <v>189460084.84</v>
      </c>
      <c r="P96" s="778"/>
      <c r="Q96" s="1192"/>
    </row>
    <row r="97" spans="2:17" s="769" customFormat="1" ht="15.5">
      <c r="B97" s="775">
        <v>32310</v>
      </c>
      <c r="C97" s="434"/>
      <c r="D97" s="781" t="s">
        <v>1159</v>
      </c>
      <c r="E97" s="783"/>
      <c r="F97" s="433"/>
      <c r="G97" s="433">
        <v>35486438.469999999</v>
      </c>
      <c r="H97" s="433"/>
      <c r="I97" s="433">
        <v>36600166.520000003</v>
      </c>
      <c r="J97" s="433"/>
      <c r="K97" s="433">
        <v>8482571.5899999999</v>
      </c>
      <c r="L97" s="433"/>
      <c r="M97" s="433">
        <f t="shared" si="1"/>
        <v>22558890.390000001</v>
      </c>
      <c r="N97" s="433"/>
      <c r="O97" s="433">
        <v>31041461.98</v>
      </c>
      <c r="P97" s="778"/>
      <c r="Q97" s="1192"/>
    </row>
    <row r="98" spans="2:17" s="769" customFormat="1" ht="15.5">
      <c r="B98" s="775">
        <v>32311</v>
      </c>
      <c r="C98" s="434"/>
      <c r="D98" s="944" t="s">
        <v>1160</v>
      </c>
      <c r="E98" s="783"/>
      <c r="F98" s="433"/>
      <c r="G98" s="433">
        <v>20289258.460000001</v>
      </c>
      <c r="H98" s="433"/>
      <c r="I98" s="433">
        <v>20289258.460000001</v>
      </c>
      <c r="J98" s="433"/>
      <c r="K98" s="433">
        <v>8493752.2799999993</v>
      </c>
      <c r="L98" s="433"/>
      <c r="M98" s="433">
        <f t="shared" si="1"/>
        <v>171366.71000000089</v>
      </c>
      <c r="N98" s="433"/>
      <c r="O98" s="433">
        <v>8665118.9900000002</v>
      </c>
      <c r="P98" s="778"/>
      <c r="Q98" s="1192"/>
    </row>
    <row r="99" spans="2:17" s="769" customFormat="1" ht="15.5">
      <c r="B99" s="775">
        <v>32351</v>
      </c>
      <c r="C99" s="758"/>
      <c r="D99" s="781" t="s">
        <v>1161</v>
      </c>
      <c r="E99" s="783"/>
      <c r="F99" s="433"/>
      <c r="G99" s="433">
        <v>0</v>
      </c>
      <c r="H99" s="433"/>
      <c r="I99" s="433">
        <v>0</v>
      </c>
      <c r="J99" s="433"/>
      <c r="K99" s="433">
        <v>0</v>
      </c>
      <c r="L99" s="433"/>
      <c r="M99" s="433">
        <f t="shared" si="1"/>
        <v>0</v>
      </c>
      <c r="N99" s="433"/>
      <c r="O99" s="433">
        <v>0</v>
      </c>
      <c r="P99" s="778"/>
      <c r="Q99" s="1192"/>
    </row>
    <row r="100" spans="2:17" s="769" customFormat="1" ht="15.5">
      <c r="B100" s="775">
        <v>32352</v>
      </c>
      <c r="C100" s="434"/>
      <c r="D100" s="776" t="s">
        <v>1162</v>
      </c>
      <c r="E100" s="783"/>
      <c r="F100" s="433"/>
      <c r="G100" s="433">
        <v>532467699.01999998</v>
      </c>
      <c r="H100" s="433"/>
      <c r="I100" s="433">
        <v>560063667.50999999</v>
      </c>
      <c r="J100" s="433"/>
      <c r="K100" s="433">
        <v>86223827.790000007</v>
      </c>
      <c r="L100" s="433"/>
      <c r="M100" s="433">
        <f t="shared" si="1"/>
        <v>11630040.589999989</v>
      </c>
      <c r="N100" s="433"/>
      <c r="O100" s="433">
        <v>97853868.379999995</v>
      </c>
      <c r="P100" s="778"/>
      <c r="Q100" s="1192"/>
    </row>
    <row r="101" spans="2:17" s="769" customFormat="1" ht="15.5">
      <c r="B101" s="775">
        <v>32353</v>
      </c>
      <c r="C101" s="758"/>
      <c r="D101" s="776" t="s">
        <v>1163</v>
      </c>
      <c r="E101" s="783"/>
      <c r="F101" s="433"/>
      <c r="G101" s="433">
        <v>0</v>
      </c>
      <c r="H101" s="433"/>
      <c r="I101" s="433">
        <v>0</v>
      </c>
      <c r="J101" s="433"/>
      <c r="K101" s="433">
        <v>0</v>
      </c>
      <c r="L101" s="433"/>
      <c r="M101" s="433">
        <f t="shared" si="1"/>
        <v>0</v>
      </c>
      <c r="N101" s="433"/>
      <c r="O101" s="433">
        <v>0</v>
      </c>
      <c r="P101" s="778"/>
      <c r="Q101" s="1192"/>
    </row>
    <row r="102" spans="2:17" s="769" customFormat="1" ht="16" thickBot="1">
      <c r="B102" s="784"/>
      <c r="C102" s="785"/>
      <c r="D102" s="779" t="s">
        <v>1164</v>
      </c>
      <c r="E102" s="773"/>
      <c r="F102" s="773"/>
      <c r="G102" s="1663">
        <f>SUM(G14:G101)</f>
        <v>4002386094.0700002</v>
      </c>
      <c r="H102" s="1664"/>
      <c r="I102" s="1663">
        <f>SUM(I14:I101)</f>
        <v>4157152645.8000002</v>
      </c>
      <c r="J102" s="1664"/>
      <c r="K102" s="1663">
        <f>SUM(K14:K101)</f>
        <v>3733887472.5800004</v>
      </c>
      <c r="L102"/>
      <c r="M102" s="1663">
        <f>SUM(M14:M101)</f>
        <v>92045372.370000049</v>
      </c>
      <c r="N102"/>
      <c r="O102" s="1663">
        <f>SUM(O14:O101)</f>
        <v>3825932844.9500003</v>
      </c>
      <c r="P102" s="778"/>
      <c r="Q102" s="1192"/>
    </row>
    <row r="103" spans="2:17" s="769" customFormat="1" ht="16" thickTop="1">
      <c r="B103" s="774"/>
      <c r="C103" s="774"/>
      <c r="D103" s="786"/>
      <c r="E103" s="774"/>
      <c r="F103" s="774"/>
      <c r="G103" s="916"/>
      <c r="H103" s="266"/>
      <c r="I103" s="916"/>
      <c r="J103" s="266"/>
      <c r="K103" s="916"/>
      <c r="L103" s="266"/>
      <c r="M103" s="1665"/>
      <c r="N103" s="266"/>
      <c r="O103" s="916"/>
      <c r="P103" s="787"/>
      <c r="Q103" s="1192"/>
    </row>
    <row r="104" spans="2:17" s="769" customFormat="1" ht="15.5">
      <c r="B104" s="770"/>
      <c r="C104" s="785"/>
      <c r="D104" s="788" t="s">
        <v>1165</v>
      </c>
      <c r="E104" s="789"/>
      <c r="F104" s="789"/>
      <c r="G104" s="917"/>
      <c r="H104" s="1666"/>
      <c r="I104" s="917"/>
      <c r="J104" s="1666"/>
      <c r="K104" s="917"/>
      <c r="L104" s="1666"/>
      <c r="M104" s="1664"/>
      <c r="N104" s="1664"/>
      <c r="O104" s="917"/>
      <c r="P104" s="774"/>
      <c r="Q104" s="1192"/>
    </row>
    <row r="105" spans="2:17" s="769" customFormat="1" ht="15.5">
      <c r="B105" s="775">
        <v>20401</v>
      </c>
      <c r="C105" s="785"/>
      <c r="D105" s="776" t="s">
        <v>1166</v>
      </c>
      <c r="E105" s="789"/>
      <c r="F105" s="789"/>
      <c r="G105" s="433">
        <v>0</v>
      </c>
      <c r="H105" s="433"/>
      <c r="I105" s="433">
        <v>0</v>
      </c>
      <c r="J105" s="433"/>
      <c r="K105" s="433">
        <v>0</v>
      </c>
      <c r="L105" s="433"/>
      <c r="M105" s="433">
        <f t="shared" ref="M105:M168" si="3">O105-K105</f>
        <v>0</v>
      </c>
      <c r="N105" s="433"/>
      <c r="O105" s="433">
        <v>0</v>
      </c>
      <c r="P105" s="774"/>
      <c r="Q105" s="1192"/>
    </row>
    <row r="106" spans="2:17" s="769" customFormat="1" ht="15.5">
      <c r="B106" s="775">
        <v>20501</v>
      </c>
      <c r="C106" s="790"/>
      <c r="D106" s="776" t="s">
        <v>1167</v>
      </c>
      <c r="E106" s="791"/>
      <c r="F106" s="791"/>
      <c r="G106" s="433">
        <v>0</v>
      </c>
      <c r="H106" s="433"/>
      <c r="I106" s="433">
        <v>0</v>
      </c>
      <c r="J106" s="433"/>
      <c r="K106" s="433">
        <v>0</v>
      </c>
      <c r="L106" s="433"/>
      <c r="M106" s="433">
        <f t="shared" si="3"/>
        <v>0</v>
      </c>
      <c r="N106" s="433"/>
      <c r="O106" s="433">
        <v>0</v>
      </c>
      <c r="P106" s="778"/>
      <c r="Q106" s="1192"/>
    </row>
    <row r="107" spans="2:17" s="769" customFormat="1" ht="15.5">
      <c r="B107" s="775">
        <v>20810</v>
      </c>
      <c r="C107" s="782"/>
      <c r="D107" s="776" t="s">
        <v>1168</v>
      </c>
      <c r="E107" s="783"/>
      <c r="F107" s="783"/>
      <c r="G107" s="433">
        <v>44458907.640000001</v>
      </c>
      <c r="H107" s="433"/>
      <c r="I107" s="433">
        <v>119295400.59999999</v>
      </c>
      <c r="J107" s="433"/>
      <c r="K107" s="433">
        <v>0</v>
      </c>
      <c r="L107" s="433"/>
      <c r="M107" s="433">
        <f t="shared" si="3"/>
        <v>18751684.260000002</v>
      </c>
      <c r="N107" s="433"/>
      <c r="O107" s="433">
        <v>18751684.260000002</v>
      </c>
      <c r="P107" s="682"/>
      <c r="Q107" s="1192"/>
    </row>
    <row r="108" spans="2:17" s="769" customFormat="1" ht="15.5">
      <c r="B108" s="775">
        <v>20818</v>
      </c>
      <c r="C108" s="782"/>
      <c r="D108" s="776" t="s">
        <v>1169</v>
      </c>
      <c r="E108" s="783"/>
      <c r="F108" s="783"/>
      <c r="G108" s="433">
        <v>0</v>
      </c>
      <c r="H108" s="433"/>
      <c r="I108" s="433">
        <v>0</v>
      </c>
      <c r="J108" s="433"/>
      <c r="K108" s="433">
        <v>0</v>
      </c>
      <c r="L108" s="433"/>
      <c r="M108" s="433">
        <f t="shared" si="3"/>
        <v>0</v>
      </c>
      <c r="N108" s="433"/>
      <c r="O108" s="433">
        <v>0</v>
      </c>
      <c r="P108" s="682"/>
      <c r="Q108" s="1192"/>
    </row>
    <row r="109" spans="2:17" s="769" customFormat="1" ht="15.5">
      <c r="B109" s="775">
        <v>20901</v>
      </c>
      <c r="C109" s="782"/>
      <c r="D109" s="776" t="s">
        <v>1170</v>
      </c>
      <c r="E109" s="783"/>
      <c r="F109" s="783"/>
      <c r="G109" s="433">
        <v>519767910.02999997</v>
      </c>
      <c r="H109" s="433"/>
      <c r="I109" s="433">
        <v>371761226.17000002</v>
      </c>
      <c r="J109" s="433"/>
      <c r="K109" s="433">
        <v>0</v>
      </c>
      <c r="L109" s="433"/>
      <c r="M109" s="433">
        <f t="shared" si="3"/>
        <v>0</v>
      </c>
      <c r="N109" s="433"/>
      <c r="O109" s="433">
        <v>0</v>
      </c>
      <c r="P109" s="682"/>
      <c r="Q109" s="1192"/>
    </row>
    <row r="110" spans="2:17" s="769" customFormat="1" ht="15.5">
      <c r="B110" s="775">
        <v>20904</v>
      </c>
      <c r="C110" s="782"/>
      <c r="D110" s="776" t="s">
        <v>1171</v>
      </c>
      <c r="E110" s="783"/>
      <c r="F110" s="783"/>
      <c r="G110" s="433">
        <v>0</v>
      </c>
      <c r="H110" s="433"/>
      <c r="I110" s="433">
        <v>0</v>
      </c>
      <c r="J110" s="433"/>
      <c r="K110" s="433">
        <v>0</v>
      </c>
      <c r="L110" s="433"/>
      <c r="M110" s="433">
        <f t="shared" si="3"/>
        <v>0</v>
      </c>
      <c r="N110" s="433"/>
      <c r="O110" s="433">
        <v>0</v>
      </c>
      <c r="P110" s="682"/>
      <c r="Q110" s="1192"/>
    </row>
    <row r="111" spans="2:17" s="769" customFormat="1" ht="15.5">
      <c r="B111" s="775">
        <v>21001</v>
      </c>
      <c r="C111" s="782"/>
      <c r="D111" s="776" t="s">
        <v>1172</v>
      </c>
      <c r="E111" s="783"/>
      <c r="F111" s="783"/>
      <c r="G111" s="433">
        <v>0</v>
      </c>
      <c r="H111" s="433"/>
      <c r="I111" s="433">
        <v>0</v>
      </c>
      <c r="J111" s="433"/>
      <c r="K111" s="433">
        <v>0</v>
      </c>
      <c r="L111" s="433"/>
      <c r="M111" s="433">
        <f t="shared" si="3"/>
        <v>0</v>
      </c>
      <c r="N111" s="433"/>
      <c r="O111" s="433">
        <v>0</v>
      </c>
      <c r="P111" s="682"/>
      <c r="Q111" s="1192"/>
    </row>
    <row r="112" spans="2:17" s="769" customFormat="1" ht="15.5">
      <c r="B112" s="775">
        <v>21002</v>
      </c>
      <c r="C112" s="782"/>
      <c r="D112" s="776" t="s">
        <v>1173</v>
      </c>
      <c r="E112" s="783"/>
      <c r="F112" s="783"/>
      <c r="G112" s="433">
        <v>224260.61</v>
      </c>
      <c r="H112" s="433"/>
      <c r="I112" s="433">
        <v>224260.61</v>
      </c>
      <c r="J112" s="433"/>
      <c r="K112" s="433">
        <v>0</v>
      </c>
      <c r="L112" s="433"/>
      <c r="M112" s="433">
        <f t="shared" si="3"/>
        <v>0</v>
      </c>
      <c r="N112" s="433"/>
      <c r="O112" s="433">
        <v>0</v>
      </c>
      <c r="P112" s="682"/>
      <c r="Q112" s="1192"/>
    </row>
    <row r="113" spans="2:17" s="769" customFormat="1" ht="15.5">
      <c r="B113" s="775">
        <v>21061</v>
      </c>
      <c r="C113" s="782"/>
      <c r="D113" s="776" t="s">
        <v>1174</v>
      </c>
      <c r="E113" s="783"/>
      <c r="F113" s="783"/>
      <c r="G113" s="433">
        <v>0</v>
      </c>
      <c r="H113" s="433"/>
      <c r="I113" s="433">
        <v>0</v>
      </c>
      <c r="J113" s="433"/>
      <c r="K113" s="433">
        <v>0</v>
      </c>
      <c r="L113" s="433"/>
      <c r="M113" s="433">
        <f t="shared" si="3"/>
        <v>0</v>
      </c>
      <c r="N113" s="433"/>
      <c r="O113" s="433">
        <v>0</v>
      </c>
      <c r="P113" s="682"/>
      <c r="Q113" s="1192"/>
    </row>
    <row r="114" spans="2:17" s="769" customFormat="1" ht="15.5">
      <c r="B114" s="775">
        <v>21064</v>
      </c>
      <c r="C114" s="782"/>
      <c r="D114" s="776" t="s">
        <v>1175</v>
      </c>
      <c r="E114" s="783"/>
      <c r="F114" s="783"/>
      <c r="G114" s="433">
        <v>618.66</v>
      </c>
      <c r="H114" s="433"/>
      <c r="I114" s="433">
        <v>1634718.65</v>
      </c>
      <c r="J114" s="433"/>
      <c r="K114" s="433">
        <v>718.65</v>
      </c>
      <c r="L114" s="433"/>
      <c r="M114" s="433">
        <f t="shared" si="3"/>
        <v>0</v>
      </c>
      <c r="N114" s="433"/>
      <c r="O114" s="433">
        <v>718.65</v>
      </c>
      <c r="P114" s="682"/>
      <c r="Q114" s="1192"/>
    </row>
    <row r="115" spans="2:17" s="769" customFormat="1" ht="15.5">
      <c r="B115" s="775">
        <v>21065</v>
      </c>
      <c r="C115" s="782"/>
      <c r="D115" s="776" t="s">
        <v>1176</v>
      </c>
      <c r="E115" s="783"/>
      <c r="F115" s="783"/>
      <c r="G115" s="433">
        <v>0</v>
      </c>
      <c r="H115" s="433"/>
      <c r="I115" s="433">
        <v>0</v>
      </c>
      <c r="J115" s="433"/>
      <c r="K115" s="433">
        <v>0</v>
      </c>
      <c r="L115" s="433"/>
      <c r="M115" s="433">
        <f t="shared" si="3"/>
        <v>0</v>
      </c>
      <c r="N115" s="433"/>
      <c r="O115" s="433">
        <v>0</v>
      </c>
      <c r="P115" s="682"/>
      <c r="Q115" s="1192"/>
    </row>
    <row r="116" spans="2:17" s="769" customFormat="1" ht="15.5">
      <c r="B116" s="775">
        <v>21066</v>
      </c>
      <c r="C116" s="782"/>
      <c r="D116" s="781" t="s">
        <v>1177</v>
      </c>
      <c r="E116" s="783"/>
      <c r="F116" s="783"/>
      <c r="G116" s="433">
        <v>1236476.57</v>
      </c>
      <c r="H116" s="433"/>
      <c r="I116" s="433">
        <v>375656.29</v>
      </c>
      <c r="J116" s="433"/>
      <c r="K116" s="433">
        <v>695380.5</v>
      </c>
      <c r="L116" s="433"/>
      <c r="M116" s="433">
        <f t="shared" si="3"/>
        <v>-551257.67000000004</v>
      </c>
      <c r="N116" s="433"/>
      <c r="O116" s="433">
        <v>144122.82999999999</v>
      </c>
      <c r="P116" s="682"/>
      <c r="Q116" s="1192"/>
    </row>
    <row r="117" spans="2:17" s="769" customFormat="1" ht="15.5">
      <c r="B117" s="775">
        <v>21067</v>
      </c>
      <c r="C117" s="782"/>
      <c r="D117" s="781" t="s">
        <v>1178</v>
      </c>
      <c r="E117" s="783"/>
      <c r="F117" s="783"/>
      <c r="G117" s="433">
        <v>0</v>
      </c>
      <c r="H117" s="433"/>
      <c r="I117" s="433">
        <v>0</v>
      </c>
      <c r="J117" s="433"/>
      <c r="K117" s="433">
        <v>0</v>
      </c>
      <c r="L117" s="433"/>
      <c r="M117" s="433">
        <f t="shared" si="3"/>
        <v>0</v>
      </c>
      <c r="N117" s="433"/>
      <c r="O117" s="433">
        <v>0</v>
      </c>
      <c r="P117" s="682"/>
      <c r="Q117" s="1192"/>
    </row>
    <row r="118" spans="2:17" s="769" customFormat="1" ht="15.5">
      <c r="B118" s="775">
        <v>21077</v>
      </c>
      <c r="C118" s="782"/>
      <c r="D118" s="776" t="s">
        <v>1179</v>
      </c>
      <c r="E118" s="783"/>
      <c r="F118" s="783"/>
      <c r="G118" s="433">
        <v>0</v>
      </c>
      <c r="H118" s="433"/>
      <c r="I118" s="433">
        <v>0</v>
      </c>
      <c r="J118" s="433"/>
      <c r="K118" s="433">
        <v>0</v>
      </c>
      <c r="L118" s="433"/>
      <c r="M118" s="433">
        <f t="shared" si="3"/>
        <v>0</v>
      </c>
      <c r="N118" s="433"/>
      <c r="O118" s="433">
        <v>0</v>
      </c>
      <c r="P118" s="682"/>
      <c r="Q118" s="1192"/>
    </row>
    <row r="119" spans="2:17" s="769" customFormat="1" ht="15.5">
      <c r="B119" s="775">
        <v>21081</v>
      </c>
      <c r="C119" s="782"/>
      <c r="D119" s="781" t="s">
        <v>1180</v>
      </c>
      <c r="E119" s="783"/>
      <c r="F119" s="783"/>
      <c r="G119" s="433">
        <v>119502988.14</v>
      </c>
      <c r="H119" s="433"/>
      <c r="I119" s="433">
        <v>119035378.18000001</v>
      </c>
      <c r="J119" s="433"/>
      <c r="K119" s="433">
        <v>114590524.67</v>
      </c>
      <c r="L119" s="433"/>
      <c r="M119" s="433">
        <f t="shared" si="3"/>
        <v>-3954399.150000006</v>
      </c>
      <c r="N119" s="433"/>
      <c r="O119" s="433">
        <v>110636125.52</v>
      </c>
      <c r="P119" s="682"/>
      <c r="Q119" s="1192"/>
    </row>
    <row r="120" spans="2:17" s="769" customFormat="1" ht="15.5">
      <c r="B120" s="775">
        <v>21082</v>
      </c>
      <c r="C120" s="782"/>
      <c r="D120" s="776" t="s">
        <v>1181</v>
      </c>
      <c r="E120" s="783"/>
      <c r="F120" s="783"/>
      <c r="G120" s="433">
        <v>3485785.51</v>
      </c>
      <c r="H120" s="433"/>
      <c r="I120" s="433">
        <v>3325331.75</v>
      </c>
      <c r="J120" s="433"/>
      <c r="K120" s="433">
        <v>3234571.33</v>
      </c>
      <c r="L120" s="433"/>
      <c r="M120" s="433">
        <f t="shared" si="3"/>
        <v>-4463.7400000002235</v>
      </c>
      <c r="N120" s="433"/>
      <c r="O120" s="433">
        <v>3230107.59</v>
      </c>
      <c r="P120" s="682"/>
      <c r="Q120" s="1192"/>
    </row>
    <row r="121" spans="2:17" s="769" customFormat="1" ht="15.5">
      <c r="B121" s="775">
        <v>21084</v>
      </c>
      <c r="C121" s="782"/>
      <c r="D121" s="776" t="s">
        <v>1182</v>
      </c>
      <c r="E121" s="783"/>
      <c r="F121" s="783"/>
      <c r="G121" s="433">
        <v>0</v>
      </c>
      <c r="H121" s="433"/>
      <c r="I121" s="433">
        <v>0</v>
      </c>
      <c r="J121" s="433"/>
      <c r="K121" s="433">
        <v>0</v>
      </c>
      <c r="L121" s="433"/>
      <c r="M121" s="433">
        <f t="shared" si="3"/>
        <v>0</v>
      </c>
      <c r="N121" s="433"/>
      <c r="O121" s="433">
        <v>0</v>
      </c>
      <c r="P121" s="682"/>
      <c r="Q121" s="1192"/>
    </row>
    <row r="122" spans="2:17" s="769" customFormat="1" ht="15.5">
      <c r="B122" s="775">
        <v>21087</v>
      </c>
      <c r="C122" s="782"/>
      <c r="D122" s="776" t="s">
        <v>1183</v>
      </c>
      <c r="E122" s="783"/>
      <c r="F122" s="783"/>
      <c r="G122" s="433">
        <v>0</v>
      </c>
      <c r="H122" s="433"/>
      <c r="I122" s="433">
        <v>0</v>
      </c>
      <c r="J122" s="433"/>
      <c r="K122" s="433">
        <v>0</v>
      </c>
      <c r="L122" s="433"/>
      <c r="M122" s="433">
        <f t="shared" si="3"/>
        <v>0</v>
      </c>
      <c r="N122" s="433"/>
      <c r="O122" s="433">
        <v>0</v>
      </c>
      <c r="P122" s="682"/>
      <c r="Q122" s="1192"/>
    </row>
    <row r="123" spans="2:17" s="769" customFormat="1" ht="15.5">
      <c r="B123" s="775">
        <v>21201</v>
      </c>
      <c r="C123" s="782"/>
      <c r="D123" s="776" t="s">
        <v>1184</v>
      </c>
      <c r="E123" s="783"/>
      <c r="F123" s="783"/>
      <c r="G123" s="433">
        <v>810205.53</v>
      </c>
      <c r="H123" s="433"/>
      <c r="I123" s="433">
        <v>888919.49</v>
      </c>
      <c r="J123" s="433"/>
      <c r="K123" s="433">
        <v>0</v>
      </c>
      <c r="L123" s="433"/>
      <c r="M123" s="433">
        <f t="shared" si="3"/>
        <v>51551</v>
      </c>
      <c r="N123" s="433"/>
      <c r="O123" s="433">
        <v>51551</v>
      </c>
      <c r="P123" s="682"/>
      <c r="Q123" s="1192"/>
    </row>
    <row r="124" spans="2:17" s="769" customFormat="1" ht="15.5">
      <c r="B124" s="775">
        <v>21202</v>
      </c>
      <c r="C124" s="782"/>
      <c r="D124" s="776" t="s">
        <v>1185</v>
      </c>
      <c r="E124" s="783"/>
      <c r="F124" s="783"/>
      <c r="G124" s="433">
        <v>262810.09000000003</v>
      </c>
      <c r="H124" s="433"/>
      <c r="I124" s="433">
        <v>291490.59999999998</v>
      </c>
      <c r="J124" s="433"/>
      <c r="K124" s="433">
        <v>0</v>
      </c>
      <c r="L124" s="433"/>
      <c r="M124" s="433">
        <f t="shared" si="3"/>
        <v>8081.45</v>
      </c>
      <c r="N124" s="433"/>
      <c r="O124" s="433">
        <v>8081.45</v>
      </c>
      <c r="P124" s="682"/>
      <c r="Q124" s="1192"/>
    </row>
    <row r="125" spans="2:17" s="769" customFormat="1" ht="15.5">
      <c r="B125" s="775">
        <v>21203</v>
      </c>
      <c r="C125" s="782"/>
      <c r="D125" s="776" t="s">
        <v>1186</v>
      </c>
      <c r="E125" s="783"/>
      <c r="F125" s="783"/>
      <c r="G125" s="433">
        <v>11081662.57</v>
      </c>
      <c r="H125" s="433"/>
      <c r="I125" s="433">
        <v>12192773.49</v>
      </c>
      <c r="J125" s="433"/>
      <c r="K125" s="433">
        <v>0</v>
      </c>
      <c r="L125" s="433"/>
      <c r="M125" s="433">
        <f t="shared" si="3"/>
        <v>931387.96</v>
      </c>
      <c r="N125" s="433"/>
      <c r="O125" s="433">
        <v>931387.96</v>
      </c>
      <c r="P125" s="682"/>
      <c r="Q125" s="1192"/>
    </row>
    <row r="126" spans="2:17" s="769" customFormat="1" ht="15.5">
      <c r="B126" s="775">
        <v>21204</v>
      </c>
      <c r="C126" s="782"/>
      <c r="D126" s="776" t="s">
        <v>1187</v>
      </c>
      <c r="E126" s="783"/>
      <c r="F126" s="783"/>
      <c r="G126" s="433">
        <v>0</v>
      </c>
      <c r="H126" s="433"/>
      <c r="I126" s="433">
        <v>0</v>
      </c>
      <c r="J126" s="433"/>
      <c r="K126" s="433">
        <v>0</v>
      </c>
      <c r="L126" s="433"/>
      <c r="M126" s="433">
        <f t="shared" si="3"/>
        <v>0</v>
      </c>
      <c r="N126" s="433"/>
      <c r="O126" s="433">
        <v>0</v>
      </c>
      <c r="P126" s="682"/>
      <c r="Q126" s="1192"/>
    </row>
    <row r="127" spans="2:17" s="769" customFormat="1" ht="15.5">
      <c r="B127" s="775">
        <v>21205</v>
      </c>
      <c r="C127" s="782"/>
      <c r="D127" s="776" t="s">
        <v>1188</v>
      </c>
      <c r="E127" s="783"/>
      <c r="F127" s="783"/>
      <c r="G127" s="433">
        <v>0</v>
      </c>
      <c r="H127" s="433"/>
      <c r="I127" s="433">
        <v>0</v>
      </c>
      <c r="J127" s="433"/>
      <c r="K127" s="433">
        <v>0</v>
      </c>
      <c r="L127" s="433"/>
      <c r="M127" s="433">
        <f t="shared" si="3"/>
        <v>0</v>
      </c>
      <c r="N127" s="433"/>
      <c r="O127" s="433">
        <v>0</v>
      </c>
      <c r="P127" s="682"/>
      <c r="Q127" s="1192"/>
    </row>
    <row r="128" spans="2:17" s="769" customFormat="1" ht="15.5">
      <c r="B128" s="775">
        <v>21206</v>
      </c>
      <c r="C128" s="782"/>
      <c r="D128" s="776" t="s">
        <v>1189</v>
      </c>
      <c r="E128" s="783"/>
      <c r="F128" s="783"/>
      <c r="G128" s="433">
        <v>2480418.2000000002</v>
      </c>
      <c r="H128" s="433"/>
      <c r="I128" s="433">
        <v>2717899.27</v>
      </c>
      <c r="J128" s="433"/>
      <c r="K128" s="433">
        <v>0</v>
      </c>
      <c r="L128" s="433"/>
      <c r="M128" s="433">
        <f t="shared" si="3"/>
        <v>153443.03</v>
      </c>
      <c r="N128" s="433"/>
      <c r="O128" s="433">
        <v>153443.03</v>
      </c>
      <c r="P128" s="682"/>
      <c r="Q128" s="1192"/>
    </row>
    <row r="129" spans="2:17" s="769" customFormat="1" ht="15.5">
      <c r="B129" s="775">
        <v>21401</v>
      </c>
      <c r="C129" s="782"/>
      <c r="D129" s="781" t="s">
        <v>1190</v>
      </c>
      <c r="E129" s="783"/>
      <c r="F129" s="783"/>
      <c r="G129" s="433">
        <v>0</v>
      </c>
      <c r="H129" s="433"/>
      <c r="I129" s="433">
        <v>0</v>
      </c>
      <c r="J129" s="433"/>
      <c r="K129" s="433">
        <v>0</v>
      </c>
      <c r="L129" s="433"/>
      <c r="M129" s="433">
        <f t="shared" si="3"/>
        <v>0</v>
      </c>
      <c r="N129" s="433"/>
      <c r="O129" s="433">
        <v>0</v>
      </c>
      <c r="P129" s="682"/>
      <c r="Q129" s="1192"/>
    </row>
    <row r="130" spans="2:17" s="769" customFormat="1" ht="15.5">
      <c r="B130" s="775">
        <v>21402</v>
      </c>
      <c r="C130" s="782"/>
      <c r="D130" s="781" t="s">
        <v>1191</v>
      </c>
      <c r="E130" s="783"/>
      <c r="F130" s="783"/>
      <c r="G130" s="433">
        <v>69150600.510000005</v>
      </c>
      <c r="H130" s="433"/>
      <c r="I130" s="433">
        <v>0</v>
      </c>
      <c r="J130" s="433"/>
      <c r="K130" s="433">
        <v>0</v>
      </c>
      <c r="L130" s="433"/>
      <c r="M130" s="433">
        <f t="shared" si="3"/>
        <v>0</v>
      </c>
      <c r="N130" s="433"/>
      <c r="O130" s="433">
        <v>0</v>
      </c>
      <c r="P130" s="682"/>
      <c r="Q130" s="1192"/>
    </row>
    <row r="131" spans="2:17" s="769" customFormat="1" ht="15.5">
      <c r="B131" s="775">
        <v>21451</v>
      </c>
      <c r="C131" s="782"/>
      <c r="D131" s="781" t="s">
        <v>1192</v>
      </c>
      <c r="E131" s="783"/>
      <c r="F131" s="783"/>
      <c r="G131" s="433">
        <v>50515918.780000001</v>
      </c>
      <c r="H131" s="433"/>
      <c r="I131" s="433">
        <v>50877548.130000003</v>
      </c>
      <c r="J131" s="433"/>
      <c r="K131" s="433">
        <v>51323325.210000001</v>
      </c>
      <c r="L131" s="433"/>
      <c r="M131" s="433">
        <f t="shared" si="3"/>
        <v>253460.97999999672</v>
      </c>
      <c r="N131" s="433"/>
      <c r="O131" s="433">
        <v>51576786.189999998</v>
      </c>
      <c r="P131" s="682"/>
      <c r="Q131" s="1192"/>
    </row>
    <row r="132" spans="2:17" s="769" customFormat="1" ht="15.5">
      <c r="B132" s="775">
        <v>21452</v>
      </c>
      <c r="C132" s="782"/>
      <c r="D132" s="776" t="s">
        <v>1193</v>
      </c>
      <c r="E132" s="783"/>
      <c r="F132" s="783"/>
      <c r="G132" s="433">
        <v>0</v>
      </c>
      <c r="H132" s="433"/>
      <c r="I132" s="433">
        <v>0</v>
      </c>
      <c r="J132" s="433"/>
      <c r="K132" s="433">
        <v>0</v>
      </c>
      <c r="L132" s="433"/>
      <c r="M132" s="433">
        <f t="shared" si="3"/>
        <v>0</v>
      </c>
      <c r="N132" s="433"/>
      <c r="O132" s="433">
        <v>0</v>
      </c>
      <c r="P132" s="682"/>
      <c r="Q132" s="1192"/>
    </row>
    <row r="133" spans="2:17" s="769" customFormat="1" ht="15.5">
      <c r="B133" s="775">
        <v>21902</v>
      </c>
      <c r="C133" s="782"/>
      <c r="D133" s="781" t="s">
        <v>1194</v>
      </c>
      <c r="E133" s="783"/>
      <c r="F133" s="783"/>
      <c r="G133" s="433">
        <v>0</v>
      </c>
      <c r="H133" s="433"/>
      <c r="I133" s="433">
        <v>0</v>
      </c>
      <c r="J133" s="433"/>
      <c r="K133" s="433">
        <v>0</v>
      </c>
      <c r="L133" s="433"/>
      <c r="M133" s="433">
        <f t="shared" si="3"/>
        <v>0</v>
      </c>
      <c r="N133" s="433"/>
      <c r="O133" s="433">
        <v>0</v>
      </c>
      <c r="P133" s="682"/>
      <c r="Q133" s="1192"/>
    </row>
    <row r="134" spans="2:17" s="769" customFormat="1" ht="15.5">
      <c r="B134" s="775">
        <v>21905</v>
      </c>
      <c r="C134" s="782"/>
      <c r="D134" s="851" t="s">
        <v>1195</v>
      </c>
      <c r="E134" s="783"/>
      <c r="F134" s="783"/>
      <c r="G134" s="433">
        <v>0</v>
      </c>
      <c r="H134" s="433"/>
      <c r="I134" s="433">
        <v>0</v>
      </c>
      <c r="J134" s="433"/>
      <c r="K134" s="433">
        <v>0</v>
      </c>
      <c r="L134" s="433"/>
      <c r="M134" s="433">
        <f t="shared" si="3"/>
        <v>0</v>
      </c>
      <c r="N134" s="433"/>
      <c r="O134" s="433">
        <v>0</v>
      </c>
      <c r="P134" s="682"/>
      <c r="Q134" s="1192"/>
    </row>
    <row r="135" spans="2:17" s="769" customFormat="1" ht="15.5">
      <c r="B135" s="775">
        <v>21911</v>
      </c>
      <c r="C135" s="782"/>
      <c r="D135" s="776" t="s">
        <v>1196</v>
      </c>
      <c r="E135" s="783"/>
      <c r="F135" s="783"/>
      <c r="G135" s="433">
        <v>280171.65000000002</v>
      </c>
      <c r="H135" s="433"/>
      <c r="I135" s="433">
        <v>509115.03</v>
      </c>
      <c r="J135" s="433"/>
      <c r="K135" s="433">
        <v>710678.28</v>
      </c>
      <c r="L135" s="433"/>
      <c r="M135" s="433">
        <f t="shared" si="3"/>
        <v>-628394.88</v>
      </c>
      <c r="N135" s="433"/>
      <c r="O135" s="433">
        <v>82283.399999999994</v>
      </c>
      <c r="P135" s="682"/>
      <c r="Q135" s="1192"/>
    </row>
    <row r="136" spans="2:17" s="769" customFormat="1" ht="15.5">
      <c r="B136" s="775">
        <v>21912</v>
      </c>
      <c r="C136" s="782"/>
      <c r="D136" s="781" t="s">
        <v>1197</v>
      </c>
      <c r="E136" s="783"/>
      <c r="F136" s="783"/>
      <c r="G136" s="433">
        <v>1840074.6</v>
      </c>
      <c r="H136" s="433"/>
      <c r="I136" s="433">
        <v>2202119.06</v>
      </c>
      <c r="J136" s="433"/>
      <c r="K136" s="433">
        <v>2137695.98</v>
      </c>
      <c r="L136" s="433"/>
      <c r="M136" s="433">
        <f t="shared" si="3"/>
        <v>-41997.5</v>
      </c>
      <c r="N136" s="433"/>
      <c r="O136" s="433">
        <v>2095698.48</v>
      </c>
      <c r="P136" s="682"/>
      <c r="Q136" s="1192"/>
    </row>
    <row r="137" spans="2:17" s="769" customFormat="1" ht="15.5">
      <c r="B137" s="775">
        <v>21937</v>
      </c>
      <c r="C137" s="782"/>
      <c r="D137" s="776" t="s">
        <v>1198</v>
      </c>
      <c r="E137" s="783"/>
      <c r="F137" s="783"/>
      <c r="G137" s="433">
        <v>2258700.41</v>
      </c>
      <c r="H137" s="433"/>
      <c r="I137" s="433">
        <v>0</v>
      </c>
      <c r="J137" s="433"/>
      <c r="K137" s="433">
        <v>0</v>
      </c>
      <c r="L137" s="433"/>
      <c r="M137" s="433">
        <f t="shared" si="3"/>
        <v>262580.95</v>
      </c>
      <c r="N137" s="433"/>
      <c r="O137" s="433">
        <v>262580.95</v>
      </c>
      <c r="P137" s="682"/>
      <c r="Q137" s="1192"/>
    </row>
    <row r="138" spans="2:17" s="769" customFormat="1" ht="15.5">
      <c r="B138" s="775">
        <v>21945</v>
      </c>
      <c r="C138" s="782"/>
      <c r="D138" s="781" t="s">
        <v>1199</v>
      </c>
      <c r="E138" s="783"/>
      <c r="F138" s="783"/>
      <c r="G138" s="433">
        <v>0</v>
      </c>
      <c r="H138" s="433"/>
      <c r="I138" s="433">
        <v>0</v>
      </c>
      <c r="J138" s="433"/>
      <c r="K138" s="433">
        <v>0</v>
      </c>
      <c r="L138" s="433"/>
      <c r="M138" s="433">
        <f t="shared" si="3"/>
        <v>0</v>
      </c>
      <c r="N138" s="433"/>
      <c r="O138" s="433">
        <v>0</v>
      </c>
      <c r="P138" s="682"/>
      <c r="Q138" s="1192"/>
    </row>
    <row r="139" spans="2:17" s="769" customFormat="1" ht="15.5">
      <c r="B139" s="775">
        <v>21959</v>
      </c>
      <c r="C139" s="782"/>
      <c r="D139" s="776" t="s">
        <v>1200</v>
      </c>
      <c r="E139" s="783"/>
      <c r="F139" s="783"/>
      <c r="G139" s="433">
        <v>0</v>
      </c>
      <c r="H139" s="433"/>
      <c r="I139" s="433">
        <v>0</v>
      </c>
      <c r="J139" s="433"/>
      <c r="K139" s="433">
        <v>0</v>
      </c>
      <c r="L139" s="433"/>
      <c r="M139" s="433">
        <f t="shared" si="3"/>
        <v>0</v>
      </c>
      <c r="N139" s="433"/>
      <c r="O139" s="433">
        <v>0</v>
      </c>
      <c r="P139" s="682"/>
      <c r="Q139" s="1192"/>
    </row>
    <row r="140" spans="2:17" s="769" customFormat="1" ht="15.5">
      <c r="B140" s="775">
        <v>21961</v>
      </c>
      <c r="C140" s="782"/>
      <c r="D140" s="776" t="s">
        <v>1201</v>
      </c>
      <c r="E140" s="783"/>
      <c r="F140" s="783"/>
      <c r="G140" s="433">
        <v>0</v>
      </c>
      <c r="H140" s="433"/>
      <c r="I140" s="433">
        <v>63640.3</v>
      </c>
      <c r="J140" s="433"/>
      <c r="K140" s="433">
        <v>38955.269999999997</v>
      </c>
      <c r="L140" s="433"/>
      <c r="M140" s="433">
        <f t="shared" si="3"/>
        <v>9213.6200000000026</v>
      </c>
      <c r="N140" s="433"/>
      <c r="O140" s="433">
        <v>48168.89</v>
      </c>
      <c r="P140" s="682"/>
      <c r="Q140" s="1192"/>
    </row>
    <row r="141" spans="2:17" s="769" customFormat="1" ht="15.5">
      <c r="B141" s="775">
        <v>21962</v>
      </c>
      <c r="C141" s="782"/>
      <c r="D141" s="776" t="s">
        <v>1202</v>
      </c>
      <c r="E141" s="783"/>
      <c r="F141" s="783"/>
      <c r="G141" s="433">
        <v>10181155.039999999</v>
      </c>
      <c r="H141" s="433"/>
      <c r="I141" s="433">
        <v>11473504.810000001</v>
      </c>
      <c r="J141" s="433"/>
      <c r="K141" s="433">
        <v>11063594.99</v>
      </c>
      <c r="L141" s="433"/>
      <c r="M141" s="433">
        <f t="shared" si="3"/>
        <v>-397967.62000000104</v>
      </c>
      <c r="N141" s="433"/>
      <c r="O141" s="433">
        <v>10665627.369999999</v>
      </c>
      <c r="P141" s="682"/>
      <c r="Q141" s="1192"/>
    </row>
    <row r="142" spans="2:17" s="769" customFormat="1" ht="15.5">
      <c r="B142" s="775">
        <v>21978</v>
      </c>
      <c r="C142" s="782"/>
      <c r="D142" s="781" t="s">
        <v>1203</v>
      </c>
      <c r="E142" s="783"/>
      <c r="F142" s="783"/>
      <c r="G142" s="433">
        <v>0</v>
      </c>
      <c r="H142" s="433"/>
      <c r="I142" s="433">
        <v>0</v>
      </c>
      <c r="J142" s="433"/>
      <c r="K142" s="433">
        <v>0</v>
      </c>
      <c r="L142" s="433"/>
      <c r="M142" s="433">
        <f t="shared" si="3"/>
        <v>0</v>
      </c>
      <c r="N142" s="433"/>
      <c r="O142" s="433">
        <v>0</v>
      </c>
      <c r="P142" s="682"/>
      <c r="Q142" s="1192"/>
    </row>
    <row r="143" spans="2:17" s="769" customFormat="1" ht="15.5">
      <c r="B143" s="775">
        <v>21989</v>
      </c>
      <c r="C143" s="782"/>
      <c r="D143" s="781" t="s">
        <v>1204</v>
      </c>
      <c r="E143" s="783"/>
      <c r="F143" s="783"/>
      <c r="G143" s="433">
        <v>7228887.9500000002</v>
      </c>
      <c r="H143" s="433"/>
      <c r="I143" s="433">
        <v>12501025.060000001</v>
      </c>
      <c r="J143" s="433"/>
      <c r="K143" s="433">
        <v>1080439.82</v>
      </c>
      <c r="L143" s="433"/>
      <c r="M143" s="433">
        <f t="shared" si="3"/>
        <v>459801.34999999986</v>
      </c>
      <c r="N143" s="433"/>
      <c r="O143" s="433">
        <v>1540241.17</v>
      </c>
      <c r="P143" s="682"/>
      <c r="Q143" s="1192"/>
    </row>
    <row r="144" spans="2:17" s="769" customFormat="1" ht="15.5">
      <c r="B144" s="775">
        <v>22003</v>
      </c>
      <c r="C144" s="782"/>
      <c r="D144" s="781" t="s">
        <v>1205</v>
      </c>
      <c r="E144" s="783"/>
      <c r="F144" s="783"/>
      <c r="G144" s="433">
        <v>0</v>
      </c>
      <c r="H144" s="433"/>
      <c r="I144" s="433">
        <v>0</v>
      </c>
      <c r="J144" s="433"/>
      <c r="K144" s="433">
        <v>0</v>
      </c>
      <c r="L144" s="433"/>
      <c r="M144" s="433">
        <f t="shared" si="3"/>
        <v>0</v>
      </c>
      <c r="N144" s="433"/>
      <c r="O144" s="433">
        <v>0</v>
      </c>
      <c r="P144" s="682"/>
      <c r="Q144" s="1192"/>
    </row>
    <row r="145" spans="2:17" s="769" customFormat="1" ht="15.5">
      <c r="B145" s="775">
        <v>22004</v>
      </c>
      <c r="C145" s="782"/>
      <c r="D145" s="776" t="s">
        <v>1206</v>
      </c>
      <c r="E145" s="783"/>
      <c r="F145" s="783"/>
      <c r="G145" s="433">
        <v>0</v>
      </c>
      <c r="H145" s="433"/>
      <c r="I145" s="433">
        <v>0</v>
      </c>
      <c r="J145" s="433"/>
      <c r="K145" s="433">
        <v>0</v>
      </c>
      <c r="L145" s="433"/>
      <c r="M145" s="433">
        <f t="shared" si="3"/>
        <v>0</v>
      </c>
      <c r="N145" s="433"/>
      <c r="O145" s="433">
        <v>0</v>
      </c>
      <c r="P145" s="682"/>
      <c r="Q145" s="1192"/>
    </row>
    <row r="146" spans="2:17" s="769" customFormat="1" ht="15.5">
      <c r="B146" s="775">
        <v>22006</v>
      </c>
      <c r="C146" s="782"/>
      <c r="D146" s="781" t="s">
        <v>1207</v>
      </c>
      <c r="E146" s="783"/>
      <c r="F146" s="783"/>
      <c r="G146" s="433">
        <v>0</v>
      </c>
      <c r="H146" s="433"/>
      <c r="I146" s="433">
        <v>0</v>
      </c>
      <c r="J146" s="433"/>
      <c r="K146" s="433">
        <v>0</v>
      </c>
      <c r="L146" s="433"/>
      <c r="M146" s="433">
        <f t="shared" si="3"/>
        <v>0</v>
      </c>
      <c r="N146" s="433"/>
      <c r="O146" s="433">
        <v>0</v>
      </c>
      <c r="P146" s="682"/>
      <c r="Q146" s="1192"/>
    </row>
    <row r="147" spans="2:17" s="769" customFormat="1" ht="15.5">
      <c r="B147" s="775">
        <v>22007</v>
      </c>
      <c r="C147" s="782"/>
      <c r="D147" s="776" t="s">
        <v>1208</v>
      </c>
      <c r="E147" s="783"/>
      <c r="F147" s="783"/>
      <c r="G147" s="433">
        <v>915950.21</v>
      </c>
      <c r="H147" s="433"/>
      <c r="I147" s="433">
        <v>570260.67000000004</v>
      </c>
      <c r="J147" s="433"/>
      <c r="K147" s="433">
        <v>684839.95</v>
      </c>
      <c r="L147" s="433"/>
      <c r="M147" s="433">
        <f t="shared" si="3"/>
        <v>-464560.55999999994</v>
      </c>
      <c r="N147" s="433"/>
      <c r="O147" s="433">
        <v>220279.39</v>
      </c>
      <c r="P147" s="682"/>
      <c r="Q147" s="1192"/>
    </row>
    <row r="148" spans="2:17" s="769" customFormat="1" ht="15.5">
      <c r="B148" s="775">
        <v>22008</v>
      </c>
      <c r="C148" s="782"/>
      <c r="D148" s="776" t="s">
        <v>1209</v>
      </c>
      <c r="E148" s="783"/>
      <c r="F148" s="783"/>
      <c r="G148" s="433">
        <v>1400607.04</v>
      </c>
      <c r="H148" s="433"/>
      <c r="I148" s="433">
        <v>1521017.25</v>
      </c>
      <c r="J148" s="433"/>
      <c r="K148" s="433">
        <v>1442045.63</v>
      </c>
      <c r="L148" s="433"/>
      <c r="M148" s="433">
        <f t="shared" si="3"/>
        <v>-607819.69999999984</v>
      </c>
      <c r="N148" s="433"/>
      <c r="O148" s="433">
        <v>834225.93</v>
      </c>
      <c r="P148" s="682"/>
      <c r="Q148" s="1192"/>
    </row>
    <row r="149" spans="2:17" s="769" customFormat="1" ht="15.5">
      <c r="B149" s="775">
        <v>22009</v>
      </c>
      <c r="C149" s="782"/>
      <c r="D149" s="776" t="s">
        <v>1210</v>
      </c>
      <c r="E149" s="783"/>
      <c r="F149" s="783"/>
      <c r="G149" s="433">
        <v>0</v>
      </c>
      <c r="H149" s="433"/>
      <c r="I149" s="433">
        <v>0</v>
      </c>
      <c r="J149" s="433"/>
      <c r="K149" s="433">
        <v>0</v>
      </c>
      <c r="L149" s="433"/>
      <c r="M149" s="433">
        <f t="shared" si="3"/>
        <v>0</v>
      </c>
      <c r="N149" s="433"/>
      <c r="O149" s="433">
        <v>0</v>
      </c>
      <c r="P149" s="682"/>
      <c r="Q149" s="1192"/>
    </row>
    <row r="150" spans="2:17" s="769" customFormat="1" ht="15.5">
      <c r="B150" s="775">
        <v>22032</v>
      </c>
      <c r="C150" s="782"/>
      <c r="D150" s="776" t="s">
        <v>1211</v>
      </c>
      <c r="E150" s="783"/>
      <c r="F150" s="783"/>
      <c r="G150" s="433">
        <v>19412455.670000002</v>
      </c>
      <c r="H150" s="433"/>
      <c r="I150" s="433">
        <v>20019927.670000002</v>
      </c>
      <c r="J150" s="433"/>
      <c r="K150" s="433">
        <v>13793415.92</v>
      </c>
      <c r="L150" s="433"/>
      <c r="M150" s="433">
        <f t="shared" si="3"/>
        <v>-904882.25999999978</v>
      </c>
      <c r="N150" s="433"/>
      <c r="O150" s="433">
        <v>12888533.66</v>
      </c>
      <c r="P150" s="682"/>
      <c r="Q150" s="1192"/>
    </row>
    <row r="151" spans="2:17" s="769" customFormat="1" ht="15.5">
      <c r="B151" s="775">
        <v>22034</v>
      </c>
      <c r="C151" s="782"/>
      <c r="D151" s="776" t="s">
        <v>1212</v>
      </c>
      <c r="E151" s="783"/>
      <c r="F151" s="783"/>
      <c r="G151" s="433">
        <v>0</v>
      </c>
      <c r="H151" s="433"/>
      <c r="I151" s="433">
        <v>0</v>
      </c>
      <c r="J151" s="433"/>
      <c r="K151" s="433">
        <v>0</v>
      </c>
      <c r="L151" s="433"/>
      <c r="M151" s="433">
        <f t="shared" si="3"/>
        <v>0</v>
      </c>
      <c r="N151" s="433"/>
      <c r="O151" s="433">
        <v>0</v>
      </c>
      <c r="P151" s="682"/>
      <c r="Q151" s="1192"/>
    </row>
    <row r="152" spans="2:17" s="769" customFormat="1" ht="15.5">
      <c r="B152" s="775">
        <v>22036</v>
      </c>
      <c r="C152" s="782"/>
      <c r="D152" s="776" t="s">
        <v>1213</v>
      </c>
      <c r="E152" s="783"/>
      <c r="F152" s="783"/>
      <c r="G152" s="433">
        <v>0</v>
      </c>
      <c r="H152" s="433"/>
      <c r="I152" s="433">
        <v>0</v>
      </c>
      <c r="J152" s="433"/>
      <c r="K152" s="433">
        <v>0</v>
      </c>
      <c r="L152" s="433"/>
      <c r="M152" s="433">
        <f t="shared" si="3"/>
        <v>0</v>
      </c>
      <c r="N152" s="433"/>
      <c r="O152" s="433">
        <v>0</v>
      </c>
      <c r="P152" s="682"/>
      <c r="Q152" s="1192"/>
    </row>
    <row r="153" spans="2:17" s="769" customFormat="1" ht="15.5">
      <c r="B153" s="775">
        <v>22039</v>
      </c>
      <c r="C153" s="782"/>
      <c r="D153" s="776" t="s">
        <v>1214</v>
      </c>
      <c r="E153" s="783"/>
      <c r="F153" s="783"/>
      <c r="G153" s="433">
        <v>407970.42</v>
      </c>
      <c r="H153" s="433"/>
      <c r="I153" s="433">
        <v>753460.37</v>
      </c>
      <c r="J153" s="433"/>
      <c r="K153" s="433">
        <v>1221978.43</v>
      </c>
      <c r="L153" s="433"/>
      <c r="M153" s="433">
        <f t="shared" si="3"/>
        <v>-1016695.08</v>
      </c>
      <c r="N153" s="433"/>
      <c r="O153" s="433">
        <v>205283.35</v>
      </c>
      <c r="P153" s="682"/>
      <c r="Q153" s="1192"/>
    </row>
    <row r="154" spans="2:17" s="769" customFormat="1" ht="15.5">
      <c r="B154" s="775">
        <v>22046</v>
      </c>
      <c r="C154" s="782"/>
      <c r="D154" s="776" t="s">
        <v>1215</v>
      </c>
      <c r="E154" s="783"/>
      <c r="F154" s="783"/>
      <c r="G154" s="433">
        <v>135448933.66</v>
      </c>
      <c r="H154" s="433"/>
      <c r="I154" s="433">
        <v>136088164.94999999</v>
      </c>
      <c r="J154" s="433"/>
      <c r="K154" s="433">
        <v>136887584.72</v>
      </c>
      <c r="L154" s="433"/>
      <c r="M154" s="433">
        <f t="shared" si="3"/>
        <v>-617473.18000000715</v>
      </c>
      <c r="N154" s="433"/>
      <c r="O154" s="433">
        <v>136270111.53999999</v>
      </c>
      <c r="P154" s="682"/>
      <c r="Q154" s="1192"/>
    </row>
    <row r="155" spans="2:17" s="769" customFormat="1" ht="15.5">
      <c r="B155" s="775">
        <v>22053</v>
      </c>
      <c r="C155" s="782"/>
      <c r="D155" s="776" t="s">
        <v>1216</v>
      </c>
      <c r="E155" s="783"/>
      <c r="F155" s="783"/>
      <c r="G155" s="433">
        <v>13871104.359999999</v>
      </c>
      <c r="H155" s="433"/>
      <c r="I155" s="433">
        <v>14599541.539999999</v>
      </c>
      <c r="J155" s="433"/>
      <c r="K155" s="433">
        <v>11179631.07</v>
      </c>
      <c r="L155" s="433"/>
      <c r="M155" s="433">
        <f t="shared" si="3"/>
        <v>292520.71999999881</v>
      </c>
      <c r="N155" s="433"/>
      <c r="O155" s="433">
        <v>11472151.789999999</v>
      </c>
      <c r="P155" s="682"/>
      <c r="Q155" s="1192"/>
    </row>
    <row r="156" spans="2:17" s="769" customFormat="1" ht="15.5">
      <c r="B156" s="775">
        <v>22054</v>
      </c>
      <c r="C156" s="782"/>
      <c r="D156" s="776" t="s">
        <v>1217</v>
      </c>
      <c r="E156" s="783"/>
      <c r="F156" s="783"/>
      <c r="G156" s="433">
        <v>0</v>
      </c>
      <c r="H156" s="433"/>
      <c r="I156" s="433">
        <v>0</v>
      </c>
      <c r="J156" s="433"/>
      <c r="K156" s="433">
        <v>0</v>
      </c>
      <c r="L156" s="433"/>
      <c r="M156" s="433">
        <f t="shared" si="3"/>
        <v>0</v>
      </c>
      <c r="N156" s="433"/>
      <c r="O156" s="433">
        <v>0</v>
      </c>
      <c r="P156" s="682"/>
      <c r="Q156" s="1192"/>
    </row>
    <row r="157" spans="2:17" s="769" customFormat="1" ht="15.5">
      <c r="B157" s="775">
        <v>22055</v>
      </c>
      <c r="C157" s="782"/>
      <c r="D157" s="776" t="s">
        <v>1218</v>
      </c>
      <c r="E157" s="783"/>
      <c r="F157" s="783"/>
      <c r="G157" s="433">
        <v>86793444.299999997</v>
      </c>
      <c r="H157" s="433"/>
      <c r="I157" s="433">
        <v>88037187.959999993</v>
      </c>
      <c r="J157" s="433"/>
      <c r="K157" s="433">
        <v>90755744.900000006</v>
      </c>
      <c r="L157" s="433"/>
      <c r="M157" s="433">
        <f t="shared" si="3"/>
        <v>1951252.4199999869</v>
      </c>
      <c r="N157" s="433"/>
      <c r="O157" s="433">
        <v>92706997.319999993</v>
      </c>
      <c r="P157" s="682"/>
      <c r="Q157" s="1192"/>
    </row>
    <row r="158" spans="2:17" s="769" customFormat="1" ht="15.5">
      <c r="B158" s="775">
        <v>22062</v>
      </c>
      <c r="C158" s="782"/>
      <c r="D158" s="776" t="s">
        <v>1219</v>
      </c>
      <c r="E158" s="783"/>
      <c r="F158" s="783"/>
      <c r="G158" s="433">
        <v>0</v>
      </c>
      <c r="H158" s="433"/>
      <c r="I158" s="433">
        <v>0</v>
      </c>
      <c r="J158" s="433"/>
      <c r="K158" s="433">
        <v>0</v>
      </c>
      <c r="L158" s="433"/>
      <c r="M158" s="433">
        <f t="shared" si="3"/>
        <v>0</v>
      </c>
      <c r="N158" s="433"/>
      <c r="O158" s="433">
        <v>0</v>
      </c>
      <c r="P158" s="682"/>
      <c r="Q158" s="1192"/>
    </row>
    <row r="159" spans="2:17" s="769" customFormat="1" ht="15.5">
      <c r="B159" s="775">
        <v>22063</v>
      </c>
      <c r="C159" s="782"/>
      <c r="D159" s="776" t="s">
        <v>1220</v>
      </c>
      <c r="E159" s="783"/>
      <c r="F159" s="783"/>
      <c r="G159" s="433">
        <v>10501627.77</v>
      </c>
      <c r="H159" s="433"/>
      <c r="I159" s="433">
        <v>11543030.74</v>
      </c>
      <c r="J159" s="433"/>
      <c r="K159" s="433">
        <v>10060219.199999999</v>
      </c>
      <c r="L159" s="433"/>
      <c r="M159" s="433">
        <f t="shared" si="3"/>
        <v>543208.75</v>
      </c>
      <c r="N159" s="433"/>
      <c r="O159" s="433">
        <v>10603427.949999999</v>
      </c>
      <c r="P159" s="682"/>
      <c r="Q159" s="1192"/>
    </row>
    <row r="160" spans="2:17" s="769" customFormat="1" ht="15.5">
      <c r="B160" s="775">
        <v>22078</v>
      </c>
      <c r="C160" s="782"/>
      <c r="D160" s="776" t="s">
        <v>1221</v>
      </c>
      <c r="E160" s="783"/>
      <c r="F160" s="783"/>
      <c r="G160" s="433">
        <v>0</v>
      </c>
      <c r="H160" s="433"/>
      <c r="I160" s="433">
        <v>0</v>
      </c>
      <c r="J160" s="433"/>
      <c r="K160" s="433">
        <v>0</v>
      </c>
      <c r="L160" s="433"/>
      <c r="M160" s="433">
        <f t="shared" si="3"/>
        <v>0</v>
      </c>
      <c r="N160" s="433"/>
      <c r="O160" s="433">
        <v>0</v>
      </c>
      <c r="P160" s="682"/>
      <c r="Q160" s="1192"/>
    </row>
    <row r="161" spans="2:17" s="769" customFormat="1" ht="15.5">
      <c r="B161" s="775">
        <v>22085</v>
      </c>
      <c r="C161" s="782"/>
      <c r="D161" s="776" t="s">
        <v>1222</v>
      </c>
      <c r="E161" s="783"/>
      <c r="F161" s="783"/>
      <c r="G161" s="433">
        <v>2596081.1800000002</v>
      </c>
      <c r="H161" s="433"/>
      <c r="I161" s="433">
        <v>2863002.89</v>
      </c>
      <c r="J161" s="433"/>
      <c r="K161" s="433">
        <v>3205643.74</v>
      </c>
      <c r="L161" s="433"/>
      <c r="M161" s="433">
        <f t="shared" si="3"/>
        <v>292624.35999999987</v>
      </c>
      <c r="N161" s="433"/>
      <c r="O161" s="433">
        <v>3498268.1</v>
      </c>
      <c r="P161" s="682"/>
      <c r="Q161" s="1192"/>
    </row>
    <row r="162" spans="2:17" s="769" customFormat="1" ht="15.5">
      <c r="B162" s="775">
        <v>22090</v>
      </c>
      <c r="C162" s="782"/>
      <c r="D162" s="776" t="s">
        <v>1223</v>
      </c>
      <c r="E162" s="783"/>
      <c r="F162" s="783"/>
      <c r="G162" s="433">
        <v>0</v>
      </c>
      <c r="H162" s="433"/>
      <c r="I162" s="433">
        <v>0</v>
      </c>
      <c r="J162" s="433"/>
      <c r="K162" s="433">
        <v>0</v>
      </c>
      <c r="L162" s="433"/>
      <c r="M162" s="433">
        <f t="shared" si="3"/>
        <v>0</v>
      </c>
      <c r="N162" s="433"/>
      <c r="O162" s="433">
        <v>0</v>
      </c>
      <c r="P162" s="682"/>
      <c r="Q162" s="1192"/>
    </row>
    <row r="163" spans="2:17" s="769" customFormat="1" ht="15.5">
      <c r="B163" s="775">
        <v>22099</v>
      </c>
      <c r="C163" s="782"/>
      <c r="D163" s="776" t="s">
        <v>1224</v>
      </c>
      <c r="E163" s="783"/>
      <c r="F163" s="783"/>
      <c r="G163" s="433">
        <v>154607.79</v>
      </c>
      <c r="H163" s="433"/>
      <c r="I163" s="433">
        <v>111620.29</v>
      </c>
      <c r="J163" s="433"/>
      <c r="K163" s="433">
        <v>335531.49</v>
      </c>
      <c r="L163" s="433"/>
      <c r="M163" s="433">
        <f t="shared" si="3"/>
        <v>1408.1300000000047</v>
      </c>
      <c r="N163" s="433"/>
      <c r="O163" s="433">
        <v>336939.62</v>
      </c>
      <c r="P163" s="682"/>
      <c r="Q163" s="1192"/>
    </row>
    <row r="164" spans="2:17" s="769" customFormat="1" ht="15.5">
      <c r="B164" s="775">
        <v>22100</v>
      </c>
      <c r="C164" s="782"/>
      <c r="D164" s="776" t="s">
        <v>1225</v>
      </c>
      <c r="E164" s="783"/>
      <c r="F164" s="783"/>
      <c r="G164" s="433">
        <v>15478348.810000001</v>
      </c>
      <c r="H164" s="433"/>
      <c r="I164" s="433">
        <v>14802773.970000001</v>
      </c>
      <c r="J164" s="433"/>
      <c r="K164" s="433">
        <v>14761581.060000001</v>
      </c>
      <c r="L164" s="433"/>
      <c r="M164" s="433">
        <f t="shared" si="3"/>
        <v>7591.0499999988824</v>
      </c>
      <c r="N164" s="433"/>
      <c r="O164" s="433">
        <v>14769172.109999999</v>
      </c>
      <c r="P164" s="682"/>
      <c r="Q164" s="1192"/>
    </row>
    <row r="165" spans="2:17" s="769" customFormat="1" ht="15.5">
      <c r="B165" s="775">
        <v>22130</v>
      </c>
      <c r="C165" s="782"/>
      <c r="D165" s="781" t="s">
        <v>1226</v>
      </c>
      <c r="E165" s="783"/>
      <c r="F165" s="783"/>
      <c r="G165" s="433">
        <v>0</v>
      </c>
      <c r="H165" s="433"/>
      <c r="I165" s="433">
        <v>0</v>
      </c>
      <c r="J165" s="433"/>
      <c r="K165" s="433">
        <v>0</v>
      </c>
      <c r="L165" s="433"/>
      <c r="M165" s="433">
        <f t="shared" si="3"/>
        <v>0</v>
      </c>
      <c r="N165" s="433"/>
      <c r="O165" s="433">
        <v>0</v>
      </c>
      <c r="P165" s="682"/>
      <c r="Q165" s="1192"/>
    </row>
    <row r="166" spans="2:17" s="769" customFormat="1" ht="15.5">
      <c r="B166" s="775">
        <v>22134</v>
      </c>
      <c r="C166" s="782"/>
      <c r="D166" s="781" t="s">
        <v>1227</v>
      </c>
      <c r="E166" s="783"/>
      <c r="F166" s="783"/>
      <c r="G166" s="433">
        <v>0</v>
      </c>
      <c r="H166" s="433"/>
      <c r="I166" s="433">
        <v>0</v>
      </c>
      <c r="J166" s="433"/>
      <c r="K166" s="433">
        <v>0</v>
      </c>
      <c r="L166" s="433"/>
      <c r="M166" s="433">
        <f t="shared" si="3"/>
        <v>0</v>
      </c>
      <c r="N166" s="433"/>
      <c r="O166" s="433">
        <v>0</v>
      </c>
      <c r="P166" s="682"/>
      <c r="Q166" s="1192"/>
    </row>
    <row r="167" spans="2:17" s="769" customFormat="1" ht="15.5">
      <c r="B167" s="775">
        <v>22135</v>
      </c>
      <c r="C167" s="782"/>
      <c r="D167" s="781" t="s">
        <v>1228</v>
      </c>
      <c r="E167" s="783"/>
      <c r="F167" s="783"/>
      <c r="G167" s="433">
        <v>0</v>
      </c>
      <c r="H167" s="433"/>
      <c r="I167" s="433">
        <v>0</v>
      </c>
      <c r="J167" s="433"/>
      <c r="K167" s="433">
        <v>0</v>
      </c>
      <c r="L167" s="433"/>
      <c r="M167" s="433">
        <f t="shared" si="3"/>
        <v>0</v>
      </c>
      <c r="N167" s="433"/>
      <c r="O167" s="433">
        <v>0</v>
      </c>
      <c r="P167" s="682"/>
      <c r="Q167" s="1192"/>
    </row>
    <row r="168" spans="2:17" s="769" customFormat="1" ht="15.5">
      <c r="B168" s="775">
        <v>22144</v>
      </c>
      <c r="C168" s="782"/>
      <c r="D168" s="776" t="s">
        <v>1229</v>
      </c>
      <c r="E168" s="783"/>
      <c r="F168" s="783"/>
      <c r="G168" s="433">
        <v>0</v>
      </c>
      <c r="H168" s="433"/>
      <c r="I168" s="433">
        <v>0</v>
      </c>
      <c r="J168" s="433"/>
      <c r="K168" s="433">
        <v>0</v>
      </c>
      <c r="L168" s="433"/>
      <c r="M168" s="433">
        <f t="shared" si="3"/>
        <v>0</v>
      </c>
      <c r="N168" s="433"/>
      <c r="O168" s="433">
        <v>0</v>
      </c>
      <c r="P168" s="682"/>
      <c r="Q168" s="1192"/>
    </row>
    <row r="169" spans="2:17" s="769" customFormat="1" ht="15.5">
      <c r="B169" s="775">
        <v>22151</v>
      </c>
      <c r="C169" s="782"/>
      <c r="D169" s="781" t="s">
        <v>1230</v>
      </c>
      <c r="E169" s="783"/>
      <c r="F169" s="783"/>
      <c r="G169" s="433">
        <v>227849.02</v>
      </c>
      <c r="H169" s="433"/>
      <c r="I169" s="433">
        <v>289356.40999999997</v>
      </c>
      <c r="J169" s="433"/>
      <c r="K169" s="433">
        <v>135913.41</v>
      </c>
      <c r="L169" s="433"/>
      <c r="M169" s="433">
        <f t="shared" ref="M169:M192" si="4">O169-K169</f>
        <v>37558.399999999994</v>
      </c>
      <c r="N169" s="433"/>
      <c r="O169" s="433">
        <v>173471.81</v>
      </c>
      <c r="P169" s="682"/>
      <c r="Q169" s="1192"/>
    </row>
    <row r="170" spans="2:17" s="769" customFormat="1" ht="15.5">
      <c r="B170" s="775">
        <v>22156</v>
      </c>
      <c r="C170" s="782"/>
      <c r="D170" s="781" t="s">
        <v>1231</v>
      </c>
      <c r="E170" s="783"/>
      <c r="F170" s="783"/>
      <c r="G170" s="433">
        <v>0</v>
      </c>
      <c r="H170" s="433"/>
      <c r="I170" s="433">
        <v>0</v>
      </c>
      <c r="J170" s="433"/>
      <c r="K170" s="433">
        <v>0</v>
      </c>
      <c r="L170" s="433"/>
      <c r="M170" s="433">
        <f t="shared" si="4"/>
        <v>0</v>
      </c>
      <c r="N170" s="433"/>
      <c r="O170" s="433">
        <v>0</v>
      </c>
      <c r="P170" s="682"/>
      <c r="Q170" s="1192"/>
    </row>
    <row r="171" spans="2:17" s="769" customFormat="1" ht="15.5">
      <c r="B171" s="775">
        <v>22158</v>
      </c>
      <c r="C171" s="782"/>
      <c r="D171" s="776" t="s">
        <v>1232</v>
      </c>
      <c r="E171" s="783"/>
      <c r="F171" s="783"/>
      <c r="G171" s="433">
        <v>0</v>
      </c>
      <c r="H171" s="433"/>
      <c r="I171" s="433">
        <v>0</v>
      </c>
      <c r="J171" s="433"/>
      <c r="K171" s="433">
        <v>0</v>
      </c>
      <c r="L171" s="433"/>
      <c r="M171" s="433">
        <f t="shared" si="4"/>
        <v>0</v>
      </c>
      <c r="N171" s="433"/>
      <c r="O171" s="433">
        <v>0</v>
      </c>
      <c r="P171" s="682"/>
      <c r="Q171" s="1192"/>
    </row>
    <row r="172" spans="2:17" s="769" customFormat="1" ht="15.5">
      <c r="B172" s="775">
        <v>22165</v>
      </c>
      <c r="C172" s="782"/>
      <c r="D172" s="776" t="s">
        <v>1233</v>
      </c>
      <c r="E172" s="783"/>
      <c r="F172" s="783"/>
      <c r="G172" s="433">
        <v>0</v>
      </c>
      <c r="H172" s="433"/>
      <c r="I172" s="433">
        <v>0</v>
      </c>
      <c r="J172" s="433"/>
      <c r="K172" s="433">
        <v>0</v>
      </c>
      <c r="L172" s="433"/>
      <c r="M172" s="433">
        <f t="shared" si="4"/>
        <v>0</v>
      </c>
      <c r="N172" s="433"/>
      <c r="O172" s="433">
        <v>0</v>
      </c>
      <c r="P172" s="682"/>
      <c r="Q172" s="1192"/>
    </row>
    <row r="173" spans="2:17" s="769" customFormat="1" ht="15.5">
      <c r="B173" s="775">
        <v>22168</v>
      </c>
      <c r="C173" s="782"/>
      <c r="D173" s="776" t="s">
        <v>1234</v>
      </c>
      <c r="E173" s="783"/>
      <c r="F173" s="783"/>
      <c r="G173" s="433">
        <v>0</v>
      </c>
      <c r="H173" s="433"/>
      <c r="I173" s="433">
        <v>0</v>
      </c>
      <c r="J173" s="433"/>
      <c r="K173" s="433">
        <v>0</v>
      </c>
      <c r="L173" s="433"/>
      <c r="M173" s="433">
        <f t="shared" si="4"/>
        <v>0</v>
      </c>
      <c r="N173" s="433"/>
      <c r="O173" s="433">
        <v>0</v>
      </c>
      <c r="P173" s="682"/>
      <c r="Q173" s="1192"/>
    </row>
    <row r="174" spans="2:17" s="769" customFormat="1" ht="15.5">
      <c r="B174" s="775">
        <v>22211</v>
      </c>
      <c r="C174" s="782"/>
      <c r="D174" s="776" t="s">
        <v>1235</v>
      </c>
      <c r="E174" s="783"/>
      <c r="F174" s="783"/>
      <c r="G174" s="433">
        <v>868099.89</v>
      </c>
      <c r="H174" s="433"/>
      <c r="I174" s="433">
        <v>928916.08</v>
      </c>
      <c r="J174" s="433"/>
      <c r="K174" s="433">
        <v>0</v>
      </c>
      <c r="L174" s="433"/>
      <c r="M174" s="433">
        <f t="shared" si="4"/>
        <v>9707676.3900000006</v>
      </c>
      <c r="N174" s="433"/>
      <c r="O174" s="433">
        <v>9707676.3900000006</v>
      </c>
      <c r="P174" s="682"/>
      <c r="Q174" s="1192"/>
    </row>
    <row r="175" spans="2:17" s="769" customFormat="1" ht="15.5">
      <c r="B175" s="775">
        <v>22240</v>
      </c>
      <c r="C175" s="782"/>
      <c r="D175" s="776" t="s">
        <v>1236</v>
      </c>
      <c r="E175" s="783"/>
      <c r="F175" s="783"/>
      <c r="G175" s="433">
        <v>4601453.0199999996</v>
      </c>
      <c r="H175" s="433"/>
      <c r="I175" s="433">
        <v>4705121.95</v>
      </c>
      <c r="J175" s="433"/>
      <c r="K175" s="433">
        <v>3484537.09</v>
      </c>
      <c r="L175" s="433"/>
      <c r="M175" s="433">
        <f t="shared" si="4"/>
        <v>62806.550000000279</v>
      </c>
      <c r="N175" s="433"/>
      <c r="O175" s="433">
        <v>3547343.64</v>
      </c>
      <c r="P175" s="682"/>
      <c r="Q175" s="1192"/>
    </row>
    <row r="176" spans="2:17" s="769" customFormat="1" ht="15.5">
      <c r="B176" s="775">
        <v>22246</v>
      </c>
      <c r="C176" s="782"/>
      <c r="D176" s="776" t="s">
        <v>1237</v>
      </c>
      <c r="E176" s="783"/>
      <c r="F176" s="783"/>
      <c r="G176" s="433">
        <v>0</v>
      </c>
      <c r="H176" s="433"/>
      <c r="I176" s="433">
        <v>0</v>
      </c>
      <c r="J176" s="433"/>
      <c r="K176" s="433">
        <v>0</v>
      </c>
      <c r="L176" s="433"/>
      <c r="M176" s="433">
        <f t="shared" si="4"/>
        <v>0</v>
      </c>
      <c r="N176" s="433"/>
      <c r="O176" s="433">
        <v>0</v>
      </c>
      <c r="P176" s="682"/>
      <c r="Q176" s="1192"/>
    </row>
    <row r="177" spans="2:17" s="769" customFormat="1" ht="15.5">
      <c r="B177" s="775">
        <v>22255</v>
      </c>
      <c r="C177" s="782"/>
      <c r="D177" s="776" t="s">
        <v>1238</v>
      </c>
      <c r="E177" s="783"/>
      <c r="F177" s="783"/>
      <c r="G177" s="433">
        <v>0</v>
      </c>
      <c r="H177" s="433"/>
      <c r="I177" s="433">
        <v>0</v>
      </c>
      <c r="J177" s="433"/>
      <c r="K177" s="433">
        <v>0</v>
      </c>
      <c r="L177" s="433"/>
      <c r="M177" s="433">
        <f t="shared" si="4"/>
        <v>0</v>
      </c>
      <c r="N177" s="433"/>
      <c r="O177" s="433">
        <v>0</v>
      </c>
      <c r="P177" s="682"/>
      <c r="Q177" s="1192"/>
    </row>
    <row r="178" spans="2:17" s="769" customFormat="1" ht="15.5">
      <c r="B178" s="775">
        <v>22262</v>
      </c>
      <c r="C178" s="782"/>
      <c r="D178" s="776" t="s">
        <v>1404</v>
      </c>
      <c r="E178" s="783"/>
      <c r="F178" s="783"/>
      <c r="G178" s="433">
        <v>132980.16</v>
      </c>
      <c r="H178" s="433"/>
      <c r="I178" s="433">
        <v>812406.95</v>
      </c>
      <c r="J178" s="433"/>
      <c r="K178" s="433">
        <v>0</v>
      </c>
      <c r="L178" s="433"/>
      <c r="M178" s="433">
        <f t="shared" si="4"/>
        <v>0</v>
      </c>
      <c r="N178" s="433"/>
      <c r="O178" s="433">
        <v>0</v>
      </c>
      <c r="P178" s="1277"/>
      <c r="Q178" s="1192"/>
    </row>
    <row r="179" spans="2:17" s="769" customFormat="1" ht="15.5">
      <c r="B179" s="775">
        <v>22269</v>
      </c>
      <c r="C179" s="782"/>
      <c r="D179" s="776" t="s">
        <v>1484</v>
      </c>
      <c r="E179" s="783"/>
      <c r="F179" s="783"/>
      <c r="G179" s="433">
        <v>0</v>
      </c>
      <c r="H179" s="433"/>
      <c r="I179" s="433">
        <v>0</v>
      </c>
      <c r="J179" s="433"/>
      <c r="K179" s="433">
        <v>0</v>
      </c>
      <c r="L179" s="433"/>
      <c r="M179" s="433">
        <f t="shared" ref="M179" si="5">O179-K179</f>
        <v>0</v>
      </c>
      <c r="N179" s="433"/>
      <c r="O179" s="433">
        <v>0</v>
      </c>
      <c r="P179" s="1277"/>
      <c r="Q179" s="1192"/>
    </row>
    <row r="180" spans="2:17" s="769" customFormat="1" ht="15.5">
      <c r="B180" s="775">
        <v>22654</v>
      </c>
      <c r="C180" s="782"/>
      <c r="D180" s="781" t="s">
        <v>1239</v>
      </c>
      <c r="E180" s="783"/>
      <c r="F180" s="783"/>
      <c r="G180" s="433">
        <v>24299726.140000001</v>
      </c>
      <c r="H180" s="433"/>
      <c r="I180" s="433">
        <v>24378031.899999999</v>
      </c>
      <c r="J180" s="433"/>
      <c r="K180" s="433">
        <v>24447776.600000001</v>
      </c>
      <c r="L180" s="433"/>
      <c r="M180" s="433">
        <f t="shared" si="4"/>
        <v>78608.009999997914</v>
      </c>
      <c r="N180" s="433"/>
      <c r="O180" s="433">
        <v>24526384.609999999</v>
      </c>
      <c r="P180" s="682"/>
      <c r="Q180" s="1192"/>
    </row>
    <row r="181" spans="2:17" s="769" customFormat="1" ht="15.5">
      <c r="B181" s="775">
        <v>22751</v>
      </c>
      <c r="C181" s="782"/>
      <c r="D181" s="781" t="s">
        <v>1240</v>
      </c>
      <c r="E181" s="783"/>
      <c r="F181" s="783"/>
      <c r="G181" s="433">
        <v>0</v>
      </c>
      <c r="H181" s="433"/>
      <c r="I181" s="433">
        <v>0</v>
      </c>
      <c r="J181" s="433"/>
      <c r="K181" s="433">
        <v>0</v>
      </c>
      <c r="L181" s="433"/>
      <c r="M181" s="433">
        <f t="shared" si="4"/>
        <v>0</v>
      </c>
      <c r="N181" s="433"/>
      <c r="O181" s="433">
        <v>0</v>
      </c>
      <c r="P181" s="682"/>
      <c r="Q181" s="1192"/>
    </row>
    <row r="182" spans="2:17" s="769" customFormat="1" ht="15.5">
      <c r="B182" s="775">
        <v>23001</v>
      </c>
      <c r="C182" s="782"/>
      <c r="D182" s="781" t="s">
        <v>1241</v>
      </c>
      <c r="E182" s="783"/>
      <c r="F182" s="783"/>
      <c r="G182" s="433">
        <v>27913387.100000001</v>
      </c>
      <c r="H182" s="433"/>
      <c r="I182" s="433">
        <v>26164291.48</v>
      </c>
      <c r="J182" s="433"/>
      <c r="K182" s="433">
        <v>26403549.530000001</v>
      </c>
      <c r="L182" s="433"/>
      <c r="M182" s="433">
        <f t="shared" si="4"/>
        <v>305037.36999999732</v>
      </c>
      <c r="N182" s="433"/>
      <c r="O182" s="433">
        <v>26708586.899999999</v>
      </c>
      <c r="P182" s="682"/>
      <c r="Q182" s="1192"/>
    </row>
    <row r="183" spans="2:17" s="769" customFormat="1" ht="15.5">
      <c r="B183" s="775">
        <v>23102</v>
      </c>
      <c r="C183" s="782"/>
      <c r="D183" s="776" t="s">
        <v>1242</v>
      </c>
      <c r="E183" s="783"/>
      <c r="F183" s="783"/>
      <c r="G183" s="433">
        <v>0</v>
      </c>
      <c r="H183" s="433"/>
      <c r="I183" s="433">
        <v>0</v>
      </c>
      <c r="J183" s="433"/>
      <c r="K183" s="433">
        <v>0</v>
      </c>
      <c r="L183" s="433"/>
      <c r="M183" s="433">
        <f t="shared" si="4"/>
        <v>0</v>
      </c>
      <c r="N183" s="433"/>
      <c r="O183" s="433">
        <v>0</v>
      </c>
      <c r="P183" s="682"/>
      <c r="Q183" s="1192"/>
    </row>
    <row r="184" spans="2:17" s="769" customFormat="1" ht="15.5">
      <c r="B184" s="775">
        <v>23151</v>
      </c>
      <c r="C184" s="782"/>
      <c r="D184" s="781" t="s">
        <v>1243</v>
      </c>
      <c r="E184" s="783"/>
      <c r="F184" s="783"/>
      <c r="G184" s="433">
        <v>62924181.630000003</v>
      </c>
      <c r="H184" s="433"/>
      <c r="I184" s="433">
        <v>65911912.560000002</v>
      </c>
      <c r="J184" s="433"/>
      <c r="K184" s="433">
        <v>35481030.579999998</v>
      </c>
      <c r="L184" s="433"/>
      <c r="M184" s="433">
        <f t="shared" si="4"/>
        <v>347668</v>
      </c>
      <c r="N184" s="433"/>
      <c r="O184" s="433">
        <v>35828698.579999998</v>
      </c>
      <c r="P184" s="682"/>
      <c r="Q184" s="1192"/>
    </row>
    <row r="185" spans="2:17" s="769" customFormat="1" ht="15.5">
      <c r="B185" s="775">
        <v>23701</v>
      </c>
      <c r="C185" s="782"/>
      <c r="D185" s="781" t="s">
        <v>1244</v>
      </c>
      <c r="E185" s="783"/>
      <c r="F185" s="783"/>
      <c r="G185" s="433">
        <v>0</v>
      </c>
      <c r="H185" s="433"/>
      <c r="I185" s="433">
        <v>0</v>
      </c>
      <c r="J185" s="433"/>
      <c r="K185" s="433">
        <v>0</v>
      </c>
      <c r="L185" s="433"/>
      <c r="M185" s="433">
        <f t="shared" si="4"/>
        <v>0</v>
      </c>
      <c r="N185" s="433"/>
      <c r="O185" s="433">
        <v>0</v>
      </c>
      <c r="P185" s="682"/>
      <c r="Q185" s="1192"/>
    </row>
    <row r="186" spans="2:17" s="769" customFormat="1" ht="15.5">
      <c r="B186" s="792">
        <v>23702</v>
      </c>
      <c r="C186" s="782"/>
      <c r="D186" s="776" t="s">
        <v>1245</v>
      </c>
      <c r="E186" s="783"/>
      <c r="F186" s="783"/>
      <c r="G186" s="433">
        <v>24548756.219999999</v>
      </c>
      <c r="H186" s="433"/>
      <c r="I186" s="433">
        <v>26343502.109999999</v>
      </c>
      <c r="J186" s="433"/>
      <c r="K186" s="433">
        <v>16933261.239999998</v>
      </c>
      <c r="L186" s="433"/>
      <c r="M186" s="433">
        <f t="shared" si="4"/>
        <v>180496.92000000179</v>
      </c>
      <c r="N186" s="433"/>
      <c r="O186" s="433">
        <v>17113758.16</v>
      </c>
      <c r="P186" s="682"/>
      <c r="Q186" s="1192"/>
    </row>
    <row r="187" spans="2:17" s="769" customFormat="1" ht="15.5">
      <c r="B187" s="792">
        <v>23801</v>
      </c>
      <c r="C187" s="782"/>
      <c r="D187" s="776" t="s">
        <v>1246</v>
      </c>
      <c r="E187" s="783"/>
      <c r="F187" s="783"/>
      <c r="G187" s="433">
        <v>0</v>
      </c>
      <c r="H187" s="433"/>
      <c r="I187" s="433">
        <v>0</v>
      </c>
      <c r="J187" s="433"/>
      <c r="K187" s="433">
        <v>0</v>
      </c>
      <c r="L187" s="433"/>
      <c r="M187" s="433">
        <f t="shared" si="4"/>
        <v>0</v>
      </c>
      <c r="N187" s="433"/>
      <c r="O187" s="433">
        <v>0</v>
      </c>
      <c r="P187" s="778"/>
      <c r="Q187" s="1192"/>
    </row>
    <row r="188" spans="2:17" s="769" customFormat="1" ht="15.5">
      <c r="B188" s="792">
        <v>23806</v>
      </c>
      <c r="C188" s="782"/>
      <c r="D188" s="776" t="s">
        <v>1247</v>
      </c>
      <c r="E188" s="783"/>
      <c r="F188" s="783"/>
      <c r="G188" s="433">
        <v>2411956.9300000002</v>
      </c>
      <c r="H188" s="433"/>
      <c r="I188" s="433">
        <v>3174301.21</v>
      </c>
      <c r="J188" s="433"/>
      <c r="K188" s="433">
        <v>3232793.22</v>
      </c>
      <c r="L188" s="433"/>
      <c r="M188" s="433">
        <f t="shared" si="4"/>
        <v>42984.689999999944</v>
      </c>
      <c r="N188" s="433"/>
      <c r="O188" s="433">
        <v>3275777.91</v>
      </c>
      <c r="P188" s="778"/>
      <c r="Q188" s="1192"/>
    </row>
    <row r="189" spans="2:17" s="769" customFormat="1" ht="15.5">
      <c r="B189" s="792">
        <v>24800</v>
      </c>
      <c r="C189" s="782"/>
      <c r="D189" s="776" t="s">
        <v>1248</v>
      </c>
      <c r="E189" s="783"/>
      <c r="F189" s="783"/>
      <c r="G189" s="433">
        <v>0</v>
      </c>
      <c r="H189" s="433"/>
      <c r="I189" s="433">
        <v>0</v>
      </c>
      <c r="J189" s="433"/>
      <c r="K189" s="433">
        <v>0</v>
      </c>
      <c r="L189" s="433"/>
      <c r="M189" s="433">
        <f t="shared" si="4"/>
        <v>0</v>
      </c>
      <c r="N189" s="433"/>
      <c r="O189" s="433">
        <v>0</v>
      </c>
      <c r="P189" s="778"/>
      <c r="Q189" s="1192"/>
    </row>
    <row r="190" spans="2:17" s="769" customFormat="1" ht="15.5">
      <c r="B190" s="792">
        <v>24801</v>
      </c>
      <c r="C190" s="782"/>
      <c r="D190" s="776" t="s">
        <v>1485</v>
      </c>
      <c r="E190" s="783"/>
      <c r="F190" s="783"/>
      <c r="G190" s="433">
        <v>0</v>
      </c>
      <c r="H190" s="433"/>
      <c r="I190" s="433">
        <v>0</v>
      </c>
      <c r="J190" s="433"/>
      <c r="K190" s="433">
        <v>0</v>
      </c>
      <c r="L190" s="433"/>
      <c r="M190" s="433">
        <f t="shared" ref="M190" si="6">O190-K190</f>
        <v>0</v>
      </c>
      <c r="N190" s="433"/>
      <c r="O190" s="433">
        <v>0</v>
      </c>
      <c r="P190" s="778"/>
      <c r="Q190" s="1192"/>
    </row>
    <row r="191" spans="2:17" s="769" customFormat="1" ht="15.5">
      <c r="B191" s="792">
        <v>24951</v>
      </c>
      <c r="C191" s="782"/>
      <c r="D191" s="776" t="s">
        <v>1249</v>
      </c>
      <c r="E191" s="783"/>
      <c r="F191" s="783"/>
      <c r="G191" s="433">
        <v>0</v>
      </c>
      <c r="H191" s="433"/>
      <c r="I191" s="433">
        <v>31020.1</v>
      </c>
      <c r="J191" s="433"/>
      <c r="K191" s="433">
        <v>31058.6</v>
      </c>
      <c r="L191" s="433"/>
      <c r="M191" s="433">
        <f t="shared" si="4"/>
        <v>0</v>
      </c>
      <c r="N191" s="433"/>
      <c r="O191" s="433">
        <v>31058.6</v>
      </c>
      <c r="P191" s="778"/>
      <c r="Q191" s="1192"/>
    </row>
    <row r="192" spans="2:17" s="769" customFormat="1" ht="15.5">
      <c r="B192" s="792">
        <v>24955</v>
      </c>
      <c r="C192" s="782"/>
      <c r="D192" s="776" t="s">
        <v>1250</v>
      </c>
      <c r="E192" s="783"/>
      <c r="F192" s="783"/>
      <c r="G192" s="433">
        <v>78989873.540000007</v>
      </c>
      <c r="H192" s="433"/>
      <c r="I192" s="433">
        <v>0</v>
      </c>
      <c r="J192" s="433"/>
      <c r="K192" s="433">
        <v>0</v>
      </c>
      <c r="L192" s="433"/>
      <c r="M192" s="433">
        <f t="shared" si="4"/>
        <v>0</v>
      </c>
      <c r="N192" s="433"/>
      <c r="O192" s="433">
        <v>0</v>
      </c>
      <c r="P192" s="778"/>
      <c r="Q192" s="1192"/>
    </row>
    <row r="193" spans="2:17" s="769" customFormat="1" ht="16" thickBot="1">
      <c r="B193" s="784"/>
      <c r="C193" s="771"/>
      <c r="D193" s="779" t="s">
        <v>1251</v>
      </c>
      <c r="E193" s="773"/>
      <c r="F193" s="773"/>
      <c r="G193" s="1663">
        <f>SUM(G105:G192)</f>
        <v>1358666947.3500001</v>
      </c>
      <c r="H193" s="1664"/>
      <c r="I193" s="1663">
        <f>SUM(I105:I192)</f>
        <v>1153018856.5399995</v>
      </c>
      <c r="J193" s="1664"/>
      <c r="K193" s="1663">
        <f>SUM(K105:K192)</f>
        <v>579354021.08000016</v>
      </c>
      <c r="L193"/>
      <c r="M193" s="1663">
        <f>SUM(M105:M192)</f>
        <v>25542735.019999962</v>
      </c>
      <c r="N193"/>
      <c r="O193" s="1663">
        <f>SUM(O105:O192)</f>
        <v>604896756.0999999</v>
      </c>
      <c r="P193" s="778"/>
      <c r="Q193" s="1192"/>
    </row>
    <row r="194" spans="2:17" s="769" customFormat="1" ht="16" thickTop="1">
      <c r="B194" s="786"/>
      <c r="C194" s="774"/>
      <c r="D194" s="793"/>
      <c r="E194" s="782"/>
      <c r="F194" s="782"/>
      <c r="G194" s="682"/>
      <c r="H194" s="1666"/>
      <c r="I194" s="682"/>
      <c r="J194" s="1666"/>
      <c r="K194" s="682"/>
      <c r="L194" s="1666"/>
      <c r="M194" s="433"/>
      <c r="N194" s="1666"/>
      <c r="O194" s="682"/>
      <c r="P194" s="778"/>
      <c r="Q194" s="1192"/>
    </row>
    <row r="195" spans="2:17" s="769" customFormat="1" ht="15.5">
      <c r="B195" s="786"/>
      <c r="C195" s="771"/>
      <c r="D195" s="779" t="s">
        <v>1252</v>
      </c>
      <c r="E195" s="773"/>
      <c r="F195" s="773"/>
      <c r="G195" s="682"/>
      <c r="H195" s="1666"/>
      <c r="I195" s="682"/>
      <c r="J195" s="1666"/>
      <c r="K195" s="778"/>
      <c r="L195" s="1666"/>
      <c r="M195" s="1667"/>
      <c r="N195" s="1664"/>
      <c r="O195" s="682"/>
      <c r="P195" s="778"/>
      <c r="Q195" s="1192"/>
    </row>
    <row r="196" spans="2:17" s="769" customFormat="1" ht="15.5">
      <c r="B196" s="794" t="s">
        <v>1253</v>
      </c>
      <c r="C196" s="953"/>
      <c r="D196" s="781" t="s">
        <v>1254</v>
      </c>
      <c r="E196" s="844"/>
      <c r="F196" s="844"/>
      <c r="G196" s="682">
        <v>87093154</v>
      </c>
      <c r="H196" s="433"/>
      <c r="I196" s="682">
        <v>111898758.25</v>
      </c>
      <c r="J196" s="433"/>
      <c r="K196" s="682">
        <v>24850671.270000003</v>
      </c>
      <c r="L196" s="332"/>
      <c r="M196" s="433">
        <f t="shared" ref="M196:M204" si="7">O196-K196</f>
        <v>80950173.900000006</v>
      </c>
      <c r="N196" s="433"/>
      <c r="O196" s="682">
        <v>105800845.17000002</v>
      </c>
      <c r="P196" s="778"/>
      <c r="Q196" s="1192" t="s">
        <v>103</v>
      </c>
    </row>
    <row r="197" spans="2:17" s="769" customFormat="1" ht="15.5">
      <c r="B197" s="794" t="s">
        <v>1255</v>
      </c>
      <c r="C197" s="953"/>
      <c r="D197" s="781" t="s">
        <v>1256</v>
      </c>
      <c r="E197" s="844"/>
      <c r="F197" s="844"/>
      <c r="G197" s="682">
        <v>66095571.459999986</v>
      </c>
      <c r="H197" s="433"/>
      <c r="I197" s="682">
        <v>328691622.88999999</v>
      </c>
      <c r="J197" s="433"/>
      <c r="K197" s="682">
        <v>2475486443.0700002</v>
      </c>
      <c r="L197" s="332"/>
      <c r="M197" s="433">
        <f t="shared" si="7"/>
        <v>-2061043001.6600003</v>
      </c>
      <c r="N197" s="433"/>
      <c r="O197" s="682">
        <v>414443441.40999997</v>
      </c>
      <c r="P197" s="778"/>
      <c r="Q197" s="1192" t="s">
        <v>103</v>
      </c>
    </row>
    <row r="198" spans="2:17" s="769" customFormat="1" ht="15.5">
      <c r="B198" s="794" t="s">
        <v>1257</v>
      </c>
      <c r="C198" s="953"/>
      <c r="D198" s="776" t="s">
        <v>1258</v>
      </c>
      <c r="E198" s="844"/>
      <c r="F198" s="844"/>
      <c r="G198" s="682">
        <v>95431148.090000004</v>
      </c>
      <c r="H198" s="433"/>
      <c r="I198" s="682">
        <v>106502715.90000002</v>
      </c>
      <c r="J198" s="433"/>
      <c r="K198" s="682">
        <v>167529128.17000002</v>
      </c>
      <c r="L198" s="332"/>
      <c r="M198" s="433">
        <f t="shared" si="7"/>
        <v>-131239305.10000002</v>
      </c>
      <c r="N198" s="433"/>
      <c r="O198" s="682">
        <v>36289823.07</v>
      </c>
      <c r="P198" s="778"/>
      <c r="Q198" s="1192"/>
    </row>
    <row r="199" spans="2:17" s="769" customFormat="1" ht="15.5">
      <c r="B199" s="794" t="s">
        <v>1259</v>
      </c>
      <c r="C199" s="776"/>
      <c r="D199" s="781" t="s">
        <v>1260</v>
      </c>
      <c r="E199" s="844"/>
      <c r="F199" s="844"/>
      <c r="G199" s="682">
        <v>301738787.02999997</v>
      </c>
      <c r="H199" s="433"/>
      <c r="I199" s="682">
        <v>305021430.36999989</v>
      </c>
      <c r="J199" s="433"/>
      <c r="K199" s="682">
        <v>296352386.49999988</v>
      </c>
      <c r="L199" s="332"/>
      <c r="M199" s="433">
        <f t="shared" si="7"/>
        <v>-6616764.5999999642</v>
      </c>
      <c r="N199" s="433"/>
      <c r="O199" s="682">
        <v>289735621.89999992</v>
      </c>
      <c r="Q199" s="1192"/>
    </row>
    <row r="200" spans="2:17" s="769" customFormat="1" ht="15.5">
      <c r="B200" s="757">
        <v>31354</v>
      </c>
      <c r="C200" s="845"/>
      <c r="D200" s="776" t="s">
        <v>1261</v>
      </c>
      <c r="E200" s="844"/>
      <c r="F200" s="844"/>
      <c r="G200" s="433">
        <v>241200066.05000001</v>
      </c>
      <c r="H200" s="433"/>
      <c r="I200" s="433">
        <v>278705935.31</v>
      </c>
      <c r="J200" s="433"/>
      <c r="K200" s="433">
        <v>245592775.63</v>
      </c>
      <c r="L200" s="433"/>
      <c r="M200" s="433">
        <f t="shared" si="7"/>
        <v>-2713072.599999994</v>
      </c>
      <c r="N200" s="433"/>
      <c r="O200" s="433">
        <v>242879703.03</v>
      </c>
      <c r="P200" s="783"/>
      <c r="Q200" s="433"/>
    </row>
    <row r="201" spans="2:17" s="769" customFormat="1" ht="15.5">
      <c r="B201" s="846" t="s">
        <v>1262</v>
      </c>
      <c r="C201" s="782"/>
      <c r="D201" s="781" t="s">
        <v>1263</v>
      </c>
      <c r="E201" s="844"/>
      <c r="F201" s="844"/>
      <c r="G201" s="1961">
        <v>376876028.03000003</v>
      </c>
      <c r="H201" s="433"/>
      <c r="I201" s="1961">
        <v>197131493.19000006</v>
      </c>
      <c r="J201" s="433"/>
      <c r="K201" s="1961">
        <v>102875495</v>
      </c>
      <c r="L201" s="332"/>
      <c r="M201" s="433">
        <f t="shared" si="7"/>
        <v>-16994543.959999949</v>
      </c>
      <c r="N201" s="433"/>
      <c r="O201" s="1961">
        <v>85880951.040000051</v>
      </c>
      <c r="P201" s="787"/>
      <c r="Q201" s="1192" t="s">
        <v>103</v>
      </c>
    </row>
    <row r="202" spans="2:17" s="769" customFormat="1" ht="15.5">
      <c r="B202" s="792" t="s">
        <v>1264</v>
      </c>
      <c r="C202" s="782"/>
      <c r="D202" s="781" t="s">
        <v>1265</v>
      </c>
      <c r="E202" s="794"/>
      <c r="F202" s="794"/>
      <c r="G202" s="1961">
        <v>14193738.380000001</v>
      </c>
      <c r="H202" s="433"/>
      <c r="I202" s="1961">
        <v>17517709.16</v>
      </c>
      <c r="J202" s="433"/>
      <c r="K202" s="1961">
        <v>8309006.75</v>
      </c>
      <c r="L202" s="332"/>
      <c r="M202" s="433">
        <f t="shared" si="7"/>
        <v>4182396.5199999996</v>
      </c>
      <c r="N202" s="433"/>
      <c r="O202" s="1961">
        <v>12491403.27</v>
      </c>
      <c r="P202" s="794"/>
      <c r="Q202" s="1192"/>
    </row>
    <row r="203" spans="2:17" s="769" customFormat="1" ht="15.5">
      <c r="B203" s="775">
        <v>25950</v>
      </c>
      <c r="C203" s="782"/>
      <c r="D203" s="781" t="s">
        <v>1266</v>
      </c>
      <c r="E203" s="795"/>
      <c r="F203" s="795"/>
      <c r="G203" s="433">
        <v>397183.7</v>
      </c>
      <c r="H203" s="433"/>
      <c r="I203" s="433">
        <v>397082.36</v>
      </c>
      <c r="J203" s="433"/>
      <c r="K203" s="433">
        <v>396977.53</v>
      </c>
      <c r="L203" s="433"/>
      <c r="M203" s="433">
        <f t="shared" si="7"/>
        <v>-116.18000000005122</v>
      </c>
      <c r="N203" s="433"/>
      <c r="O203" s="433">
        <v>396861.35</v>
      </c>
      <c r="P203" s="794"/>
      <c r="Q203" s="1192"/>
    </row>
    <row r="204" spans="2:17" s="769" customFormat="1" ht="15.5">
      <c r="B204" s="792" t="s">
        <v>1267</v>
      </c>
      <c r="C204" s="782"/>
      <c r="D204" s="776" t="s">
        <v>1268</v>
      </c>
      <c r="E204" s="794"/>
      <c r="F204" s="794"/>
      <c r="G204" s="682">
        <v>3944390.59</v>
      </c>
      <c r="H204" s="433"/>
      <c r="I204" s="682">
        <v>16665312.300000001</v>
      </c>
      <c r="J204" s="433"/>
      <c r="K204" s="682">
        <v>3631506.86</v>
      </c>
      <c r="L204" s="332"/>
      <c r="M204" s="433">
        <f t="shared" si="7"/>
        <v>1834956.02</v>
      </c>
      <c r="N204" s="433"/>
      <c r="O204" s="682">
        <v>5466462.8799999999</v>
      </c>
      <c r="P204" s="794"/>
      <c r="Q204" s="1192"/>
    </row>
    <row r="205" spans="2:17" s="769" customFormat="1" ht="16" thickBot="1">
      <c r="B205" s="787"/>
      <c r="C205" s="771"/>
      <c r="D205" s="779" t="s">
        <v>1269</v>
      </c>
      <c r="E205" s="780"/>
      <c r="F205" s="780"/>
      <c r="G205" s="1663">
        <f>SUM(G196:G204)</f>
        <v>1186970067.3299999</v>
      </c>
      <c r="H205" s="1664"/>
      <c r="I205" s="1663">
        <f>SUM(I196:I204)</f>
        <v>1362532059.7299998</v>
      </c>
      <c r="J205" s="1664"/>
      <c r="K205" s="1663">
        <f>SUM(K196:K204)</f>
        <v>3325024390.7800007</v>
      </c>
      <c r="L205"/>
      <c r="M205" s="1663">
        <f>SUM(M196:M204)</f>
        <v>-2131639277.6600001</v>
      </c>
      <c r="N205"/>
      <c r="O205" s="1663">
        <f>SUM(O196:O204)</f>
        <v>1193385113.1199999</v>
      </c>
      <c r="P205" s="783" t="s">
        <v>266</v>
      </c>
      <c r="Q205" s="1192"/>
    </row>
    <row r="206" spans="2:17" s="769" customFormat="1" ht="16" thickTop="1">
      <c r="B206" s="784"/>
      <c r="C206" s="771"/>
      <c r="D206" s="783"/>
      <c r="E206" s="780"/>
      <c r="F206" s="780"/>
      <c r="G206" s="796"/>
      <c r="H206" s="1664"/>
      <c r="I206" s="796"/>
      <c r="J206" s="1664"/>
      <c r="K206" s="796"/>
      <c r="L206" s="1664"/>
      <c r="M206" s="1667"/>
      <c r="N206" s="1664"/>
      <c r="O206" s="796"/>
      <c r="P206" s="846"/>
      <c r="Q206" s="1192"/>
    </row>
    <row r="207" spans="2:17" s="769" customFormat="1" ht="15.5">
      <c r="B207" s="786"/>
      <c r="C207" s="771"/>
      <c r="D207" s="772" t="s">
        <v>1270</v>
      </c>
      <c r="E207" s="780"/>
      <c r="F207" s="780"/>
      <c r="G207" s="682"/>
      <c r="H207" s="1666"/>
      <c r="I207" s="682"/>
      <c r="J207" s="1666"/>
      <c r="K207" s="682"/>
      <c r="L207" s="1666"/>
      <c r="M207" s="1667"/>
      <c r="N207" s="1664"/>
      <c r="O207" s="682"/>
      <c r="P207" s="792"/>
      <c r="Q207" s="1192"/>
    </row>
    <row r="208" spans="2:17" s="769" customFormat="1" ht="15.5">
      <c r="B208" s="775">
        <v>60201</v>
      </c>
      <c r="C208" s="771"/>
      <c r="D208" s="781" t="s">
        <v>1271</v>
      </c>
      <c r="E208" s="780"/>
      <c r="F208" s="780"/>
      <c r="G208" s="433">
        <v>91595667.310000002</v>
      </c>
      <c r="H208" s="433"/>
      <c r="I208" s="433">
        <v>187823634.88999999</v>
      </c>
      <c r="J208" s="433"/>
      <c r="K208" s="433">
        <v>0</v>
      </c>
      <c r="L208" s="433"/>
      <c r="M208" s="433">
        <f t="shared" ref="M208:M209" si="8">O208-K208</f>
        <v>0</v>
      </c>
      <c r="N208" s="433"/>
      <c r="O208" s="433">
        <v>0</v>
      </c>
      <c r="P208" s="792"/>
      <c r="Q208" s="1192"/>
    </row>
    <row r="209" spans="2:17" s="769" customFormat="1" ht="15.5">
      <c r="B209" s="775">
        <v>60901</v>
      </c>
      <c r="C209" s="782"/>
      <c r="D209" s="776" t="s">
        <v>1272</v>
      </c>
      <c r="E209" s="783"/>
      <c r="F209" s="783"/>
      <c r="G209" s="433">
        <v>0</v>
      </c>
      <c r="H209" s="433"/>
      <c r="I209" s="433">
        <v>0</v>
      </c>
      <c r="J209" s="433"/>
      <c r="K209" s="433">
        <v>0</v>
      </c>
      <c r="L209" s="433"/>
      <c r="M209" s="433">
        <f t="shared" si="8"/>
        <v>0</v>
      </c>
      <c r="N209" s="433"/>
      <c r="O209" s="433">
        <v>0</v>
      </c>
      <c r="P209" s="792"/>
      <c r="Q209" s="1192" t="s">
        <v>103</v>
      </c>
    </row>
    <row r="210" spans="2:17" s="769" customFormat="1" ht="16" thickBot="1">
      <c r="B210" s="792"/>
      <c r="C210" s="771"/>
      <c r="D210" s="772" t="s">
        <v>1273</v>
      </c>
      <c r="E210" s="780"/>
      <c r="F210" s="780"/>
      <c r="G210" s="1176">
        <f>SUM(G208:G209)</f>
        <v>91595667.310000002</v>
      </c>
      <c r="H210" s="1664"/>
      <c r="I210" s="1176">
        <f>SUM(I208:I209)</f>
        <v>187823634.88999999</v>
      </c>
      <c r="J210" s="1664"/>
      <c r="K210" s="1176">
        <f>SUM(K208:K209)</f>
        <v>0</v>
      </c>
      <c r="L210" s="1664"/>
      <c r="M210" s="1176">
        <f>SUM(M208:M209)</f>
        <v>0</v>
      </c>
      <c r="N210" s="1664"/>
      <c r="O210" s="1176">
        <f>SUM(O208:O209)</f>
        <v>0</v>
      </c>
      <c r="P210" s="778"/>
      <c r="Q210" s="1192"/>
    </row>
    <row r="211" spans="2:17" s="769" customFormat="1" ht="16" thickTop="1">
      <c r="B211" s="792"/>
      <c r="C211" s="797"/>
      <c r="D211" s="797"/>
      <c r="E211" s="798"/>
      <c r="F211" s="798"/>
      <c r="G211" s="682"/>
      <c r="H211" s="1666"/>
      <c r="I211" s="682"/>
      <c r="J211" s="1666"/>
      <c r="K211" s="682"/>
      <c r="L211" s="1666"/>
      <c r="M211" s="433"/>
      <c r="N211" s="1666"/>
      <c r="O211" s="682"/>
      <c r="P211" s="778"/>
      <c r="Q211" s="1192"/>
    </row>
    <row r="212" spans="2:17" s="769" customFormat="1" ht="15.5">
      <c r="B212" s="792"/>
      <c r="C212" s="785"/>
      <c r="D212" s="772" t="s">
        <v>1274</v>
      </c>
      <c r="E212" s="789"/>
      <c r="F212" s="789"/>
      <c r="G212" s="682"/>
      <c r="H212" s="1666"/>
      <c r="I212" s="682"/>
      <c r="J212" s="1666"/>
      <c r="K212" s="682"/>
      <c r="L212" s="1666"/>
      <c r="M212" s="1668"/>
      <c r="N212" s="1669"/>
      <c r="O212" s="682"/>
      <c r="P212" s="846"/>
      <c r="Q212" s="1192"/>
    </row>
    <row r="213" spans="2:17" s="769" customFormat="1" ht="15.5">
      <c r="B213" s="775">
        <v>50318</v>
      </c>
      <c r="C213" s="774"/>
      <c r="D213" s="776" t="s">
        <v>1275</v>
      </c>
      <c r="E213" s="774"/>
      <c r="F213" s="774"/>
      <c r="G213" s="433">
        <v>1184083.6299999999</v>
      </c>
      <c r="H213" s="433"/>
      <c r="I213" s="433">
        <v>1211212.48</v>
      </c>
      <c r="J213" s="433"/>
      <c r="K213" s="433">
        <v>1293770.81</v>
      </c>
      <c r="L213" s="433"/>
      <c r="M213" s="433">
        <f t="shared" ref="M213" si="9">O213-K213</f>
        <v>8176.0799999998417</v>
      </c>
      <c r="N213" s="433"/>
      <c r="O213" s="433">
        <v>1301946.8899999999</v>
      </c>
      <c r="P213" s="792"/>
      <c r="Q213" s="1192"/>
    </row>
    <row r="214" spans="2:17" s="769" customFormat="1" ht="15.5">
      <c r="B214" s="775">
        <v>50327</v>
      </c>
      <c r="C214" s="774"/>
      <c r="D214" s="776" t="s">
        <v>1276</v>
      </c>
      <c r="E214" s="774"/>
      <c r="F214" s="774"/>
      <c r="G214" s="433">
        <v>470628.05</v>
      </c>
      <c r="H214" s="433"/>
      <c r="I214" s="433">
        <v>413868.94</v>
      </c>
      <c r="J214" s="433"/>
      <c r="K214" s="433">
        <v>446596.89</v>
      </c>
      <c r="L214" s="433"/>
      <c r="M214" s="433">
        <f t="shared" ref="M214:M215" si="10">O214-K214</f>
        <v>-36119.380000000005</v>
      </c>
      <c r="N214" s="433"/>
      <c r="O214" s="433">
        <v>410477.51</v>
      </c>
      <c r="P214" s="792"/>
      <c r="Q214" s="1192"/>
    </row>
    <row r="215" spans="2:17" s="769" customFormat="1" ht="15.5">
      <c r="B215" s="775">
        <v>50651</v>
      </c>
      <c r="C215" s="774"/>
      <c r="D215" s="776" t="s">
        <v>1277</v>
      </c>
      <c r="E215" s="774"/>
      <c r="F215" s="774"/>
      <c r="G215" s="433">
        <v>0</v>
      </c>
      <c r="H215" s="433"/>
      <c r="I215" s="433">
        <v>0</v>
      </c>
      <c r="J215" s="433"/>
      <c r="K215" s="433">
        <v>0</v>
      </c>
      <c r="L215" s="433"/>
      <c r="M215" s="433">
        <f t="shared" si="10"/>
        <v>0</v>
      </c>
      <c r="N215" s="433"/>
      <c r="O215" s="433">
        <v>0</v>
      </c>
      <c r="P215" s="792"/>
      <c r="Q215" s="1192"/>
    </row>
    <row r="216" spans="2:17" s="769" customFormat="1" ht="16" thickBot="1">
      <c r="B216" s="787"/>
      <c r="C216" s="771"/>
      <c r="D216" s="779" t="s">
        <v>1278</v>
      </c>
      <c r="E216" s="773"/>
      <c r="F216" s="773"/>
      <c r="G216" s="1670">
        <f>SUM(G213:G215)</f>
        <v>1654711.68</v>
      </c>
      <c r="H216" s="1664"/>
      <c r="I216" s="1670">
        <f>SUM(I213:I215)</f>
        <v>1625081.42</v>
      </c>
      <c r="J216" s="1664"/>
      <c r="K216" s="1670">
        <f>SUM(K213:K215)</f>
        <v>1740367.7000000002</v>
      </c>
      <c r="L216" s="1664"/>
      <c r="M216" s="1670">
        <f>SUM(M213:M215)</f>
        <v>-27943.300000000163</v>
      </c>
      <c r="N216" s="1664"/>
      <c r="O216" s="1670">
        <f>SUM(O213:O215)</f>
        <v>1712424.4</v>
      </c>
      <c r="P216" s="787"/>
      <c r="Q216" s="1192"/>
    </row>
    <row r="217" spans="2:17" s="769" customFormat="1" ht="16" thickTop="1">
      <c r="B217" s="774"/>
      <c r="C217" s="774"/>
      <c r="D217" s="799"/>
      <c r="E217" s="774"/>
      <c r="F217" s="774"/>
      <c r="G217" s="682"/>
      <c r="H217" s="1671"/>
      <c r="I217" s="682"/>
      <c r="J217" s="1671"/>
      <c r="K217" s="682"/>
      <c r="L217" s="1671"/>
      <c r="M217" s="1671"/>
      <c r="N217" s="1671"/>
      <c r="O217" s="682"/>
      <c r="P217" s="787"/>
      <c r="Q217" s="1192"/>
    </row>
    <row r="218" spans="2:17" s="769" customFormat="1" ht="15.5">
      <c r="B218" s="770"/>
      <c r="C218" s="771"/>
      <c r="D218" s="772" t="s">
        <v>596</v>
      </c>
      <c r="E218" s="773"/>
      <c r="F218" s="773"/>
      <c r="G218" s="917"/>
      <c r="H218" s="1666"/>
      <c r="I218" s="917"/>
      <c r="J218" s="1666"/>
      <c r="K218" s="917"/>
      <c r="L218" s="1666"/>
      <c r="M218" s="1664"/>
      <c r="N218" s="1664"/>
      <c r="O218" s="917"/>
      <c r="P218" s="774"/>
      <c r="Q218" s="1192"/>
    </row>
    <row r="219" spans="2:17" s="769" customFormat="1" ht="15.5">
      <c r="B219" s="775">
        <v>55001</v>
      </c>
      <c r="C219" s="774"/>
      <c r="D219" s="776" t="s">
        <v>1279</v>
      </c>
      <c r="E219" s="774"/>
      <c r="F219" s="774"/>
      <c r="G219" s="433">
        <v>0</v>
      </c>
      <c r="H219" s="433"/>
      <c r="I219" s="433">
        <v>0</v>
      </c>
      <c r="J219" s="433"/>
      <c r="K219" s="433">
        <v>0</v>
      </c>
      <c r="L219" s="433"/>
      <c r="M219" s="433">
        <f t="shared" ref="M219" si="11">O219-K219</f>
        <v>0</v>
      </c>
      <c r="N219" s="433"/>
      <c r="O219" s="433">
        <v>0</v>
      </c>
      <c r="P219" s="778"/>
      <c r="Q219" s="1192"/>
    </row>
    <row r="220" spans="2:17" s="769" customFormat="1" ht="15.5">
      <c r="B220" s="775">
        <v>55002</v>
      </c>
      <c r="C220" s="774"/>
      <c r="D220" s="776" t="s">
        <v>1481</v>
      </c>
      <c r="E220" s="774"/>
      <c r="F220" s="774"/>
      <c r="G220" s="433">
        <v>0</v>
      </c>
      <c r="H220" s="433"/>
      <c r="I220" s="433">
        <v>0</v>
      </c>
      <c r="J220" s="433"/>
      <c r="K220" s="433">
        <v>0</v>
      </c>
      <c r="L220" s="433"/>
      <c r="M220" s="433">
        <f t="shared" ref="M220:M262" si="12">O220-K220</f>
        <v>0</v>
      </c>
      <c r="N220" s="433"/>
      <c r="O220" s="433">
        <v>0</v>
      </c>
      <c r="P220" s="778"/>
      <c r="Q220" s="1192"/>
    </row>
    <row r="221" spans="2:17" s="769" customFormat="1" ht="15.5">
      <c r="B221" s="775">
        <v>55003</v>
      </c>
      <c r="C221" s="782"/>
      <c r="D221" s="776" t="s">
        <v>1280</v>
      </c>
      <c r="E221" s="783"/>
      <c r="F221" s="783"/>
      <c r="G221" s="433">
        <v>0</v>
      </c>
      <c r="H221" s="433"/>
      <c r="I221" s="433">
        <v>0</v>
      </c>
      <c r="J221" s="433"/>
      <c r="K221" s="433">
        <v>0</v>
      </c>
      <c r="L221" s="433"/>
      <c r="M221" s="433">
        <f t="shared" si="12"/>
        <v>0</v>
      </c>
      <c r="N221" s="433"/>
      <c r="O221" s="433">
        <v>0</v>
      </c>
      <c r="P221" s="778"/>
      <c r="Q221" s="1192"/>
    </row>
    <row r="222" spans="2:17" s="769" customFormat="1" ht="15.5">
      <c r="B222" s="775">
        <v>55004</v>
      </c>
      <c r="C222" s="782"/>
      <c r="D222" s="781" t="s">
        <v>1281</v>
      </c>
      <c r="E222" s="783"/>
      <c r="F222" s="783"/>
      <c r="G222" s="433">
        <v>430257.86</v>
      </c>
      <c r="H222" s="433"/>
      <c r="I222" s="433">
        <v>13471.18</v>
      </c>
      <c r="J222" s="433"/>
      <c r="K222" s="433">
        <v>398771.46</v>
      </c>
      <c r="L222" s="433"/>
      <c r="M222" s="433">
        <f t="shared" si="12"/>
        <v>141585.62999999995</v>
      </c>
      <c r="N222" s="433"/>
      <c r="O222" s="433">
        <v>540357.09</v>
      </c>
      <c r="P222" s="778"/>
      <c r="Q222" s="1192"/>
    </row>
    <row r="223" spans="2:17" s="769" customFormat="1" ht="15.5">
      <c r="B223" s="775">
        <v>55005</v>
      </c>
      <c r="C223" s="782"/>
      <c r="D223" s="781" t="s">
        <v>1282</v>
      </c>
      <c r="E223" s="783"/>
      <c r="F223" s="783"/>
      <c r="G223" s="433">
        <v>0</v>
      </c>
      <c r="H223" s="433"/>
      <c r="I223" s="433">
        <v>0</v>
      </c>
      <c r="J223" s="433"/>
      <c r="K223" s="433">
        <v>0</v>
      </c>
      <c r="L223" s="433"/>
      <c r="M223" s="433">
        <f t="shared" si="12"/>
        <v>0</v>
      </c>
      <c r="N223" s="433"/>
      <c r="O223" s="433">
        <v>0</v>
      </c>
      <c r="P223" s="778"/>
      <c r="Q223" s="1192"/>
    </row>
    <row r="224" spans="2:17" s="769" customFormat="1" ht="15.5">
      <c r="B224" s="775">
        <v>55006</v>
      </c>
      <c r="C224" s="782"/>
      <c r="D224" s="776" t="s">
        <v>1482</v>
      </c>
      <c r="E224" s="783"/>
      <c r="F224" s="783"/>
      <c r="G224" s="433">
        <v>80295.490000000005</v>
      </c>
      <c r="H224" s="433"/>
      <c r="I224" s="433">
        <v>79433</v>
      </c>
      <c r="J224" s="433"/>
      <c r="K224" s="433">
        <v>70241.429999999993</v>
      </c>
      <c r="L224" s="433"/>
      <c r="M224" s="433">
        <f t="shared" si="12"/>
        <v>-9326.7799999999916</v>
      </c>
      <c r="N224" s="433"/>
      <c r="O224" s="433">
        <v>60914.65</v>
      </c>
      <c r="P224" s="778"/>
      <c r="Q224" s="1192"/>
    </row>
    <row r="225" spans="2:17" s="769" customFormat="1" ht="15.5">
      <c r="B225" s="775">
        <v>55007</v>
      </c>
      <c r="C225" s="790"/>
      <c r="D225" s="776" t="s">
        <v>1283</v>
      </c>
      <c r="E225" s="791"/>
      <c r="F225" s="791"/>
      <c r="G225" s="433">
        <v>4743023.05</v>
      </c>
      <c r="H225" s="433"/>
      <c r="I225" s="433">
        <v>4982928.92</v>
      </c>
      <c r="J225" s="433"/>
      <c r="K225" s="433">
        <v>4550560.7</v>
      </c>
      <c r="L225" s="433"/>
      <c r="M225" s="433">
        <f t="shared" si="12"/>
        <v>501201.62999999989</v>
      </c>
      <c r="N225" s="433"/>
      <c r="O225" s="433">
        <v>5051762.33</v>
      </c>
      <c r="P225" s="778"/>
      <c r="Q225" s="1192"/>
    </row>
    <row r="226" spans="2:17" s="769" customFormat="1" ht="15.5">
      <c r="B226" s="775">
        <v>55008</v>
      </c>
      <c r="C226" s="782"/>
      <c r="D226" s="781" t="s">
        <v>1284</v>
      </c>
      <c r="E226" s="783"/>
      <c r="F226" s="783"/>
      <c r="G226" s="433">
        <v>11640407.41</v>
      </c>
      <c r="H226" s="433"/>
      <c r="I226" s="433">
        <v>22700569.82</v>
      </c>
      <c r="J226" s="433"/>
      <c r="K226" s="433">
        <v>13652990.869999999</v>
      </c>
      <c r="L226" s="433"/>
      <c r="M226" s="433">
        <f t="shared" si="12"/>
        <v>-8184941.0599999996</v>
      </c>
      <c r="N226" s="433"/>
      <c r="O226" s="433">
        <v>5468049.8099999996</v>
      </c>
      <c r="P226" s="787"/>
      <c r="Q226" s="1192"/>
    </row>
    <row r="227" spans="2:17" s="769" customFormat="1" ht="15.5">
      <c r="B227" s="775">
        <v>55009</v>
      </c>
      <c r="C227" s="782"/>
      <c r="D227" s="781" t="s">
        <v>1285</v>
      </c>
      <c r="E227" s="783"/>
      <c r="F227" s="783"/>
      <c r="G227" s="433">
        <v>0</v>
      </c>
      <c r="H227" s="433"/>
      <c r="I227" s="433">
        <v>0</v>
      </c>
      <c r="J227" s="433"/>
      <c r="K227" s="433">
        <v>0</v>
      </c>
      <c r="L227" s="433"/>
      <c r="M227" s="433">
        <f t="shared" si="12"/>
        <v>0</v>
      </c>
      <c r="N227" s="433"/>
      <c r="O227" s="433">
        <v>0</v>
      </c>
      <c r="P227" s="787"/>
      <c r="Q227" s="1192"/>
    </row>
    <row r="228" spans="2:17" s="769" customFormat="1" ht="15.5">
      <c r="B228" s="757">
        <v>55010</v>
      </c>
      <c r="C228" s="782"/>
      <c r="D228" s="776" t="s">
        <v>1286</v>
      </c>
      <c r="E228" s="783"/>
      <c r="F228" s="783"/>
      <c r="G228" s="433">
        <v>0</v>
      </c>
      <c r="H228" s="433"/>
      <c r="I228" s="433">
        <v>0</v>
      </c>
      <c r="J228" s="433"/>
      <c r="K228" s="433">
        <v>0</v>
      </c>
      <c r="L228" s="433"/>
      <c r="M228" s="433">
        <f t="shared" si="12"/>
        <v>0</v>
      </c>
      <c r="N228" s="433"/>
      <c r="O228" s="433">
        <v>0</v>
      </c>
      <c r="P228" s="774"/>
      <c r="Q228" s="1192"/>
    </row>
    <row r="229" spans="2:17" s="769" customFormat="1" ht="15.5">
      <c r="B229" s="775">
        <v>55011</v>
      </c>
      <c r="C229" s="790"/>
      <c r="D229" s="776" t="s">
        <v>1287</v>
      </c>
      <c r="E229" s="791"/>
      <c r="F229" s="791"/>
      <c r="G229" s="433">
        <v>4382039.04</v>
      </c>
      <c r="H229" s="433"/>
      <c r="I229" s="433">
        <v>0</v>
      </c>
      <c r="J229" s="433"/>
      <c r="K229" s="433">
        <v>0</v>
      </c>
      <c r="L229" s="433"/>
      <c r="M229" s="433">
        <f t="shared" si="12"/>
        <v>0</v>
      </c>
      <c r="N229" s="433"/>
      <c r="O229" s="433">
        <v>0</v>
      </c>
      <c r="P229" s="778"/>
      <c r="Q229" s="1192"/>
    </row>
    <row r="230" spans="2:17" s="769" customFormat="1" ht="15.5">
      <c r="B230" s="775">
        <v>55012</v>
      </c>
      <c r="C230" s="782"/>
      <c r="D230" s="781" t="s">
        <v>1288</v>
      </c>
      <c r="E230" s="783"/>
      <c r="F230" s="783"/>
      <c r="G230" s="433">
        <v>333589.8</v>
      </c>
      <c r="H230" s="433"/>
      <c r="I230" s="433">
        <v>318054.8</v>
      </c>
      <c r="J230" s="433"/>
      <c r="K230" s="433">
        <v>343835.8</v>
      </c>
      <c r="L230" s="433"/>
      <c r="M230" s="433">
        <f t="shared" si="12"/>
        <v>-6112.5</v>
      </c>
      <c r="N230" s="433"/>
      <c r="O230" s="433">
        <v>337723.3</v>
      </c>
      <c r="P230" s="778"/>
      <c r="Q230" s="1192"/>
    </row>
    <row r="231" spans="2:17" s="769" customFormat="1" ht="15.5">
      <c r="B231" s="775">
        <v>55013</v>
      </c>
      <c r="C231" s="782"/>
      <c r="D231" s="781" t="s">
        <v>1289</v>
      </c>
      <c r="E231" s="783"/>
      <c r="F231" s="783"/>
      <c r="G231" s="433">
        <v>0</v>
      </c>
      <c r="H231" s="433"/>
      <c r="I231" s="433">
        <v>0</v>
      </c>
      <c r="J231" s="433"/>
      <c r="K231" s="433">
        <v>0</v>
      </c>
      <c r="L231" s="433"/>
      <c r="M231" s="433">
        <f t="shared" si="12"/>
        <v>0</v>
      </c>
      <c r="N231" s="433"/>
      <c r="O231" s="433">
        <v>0</v>
      </c>
      <c r="P231" s="778"/>
      <c r="Q231" s="1192"/>
    </row>
    <row r="232" spans="2:17" s="769" customFormat="1" ht="15.5">
      <c r="B232" s="775">
        <v>55014</v>
      </c>
      <c r="C232" s="782"/>
      <c r="D232" s="781" t="s">
        <v>1290</v>
      </c>
      <c r="E232" s="783"/>
      <c r="F232" s="783"/>
      <c r="G232" s="433">
        <v>48258.9</v>
      </c>
      <c r="H232" s="433"/>
      <c r="I232" s="433">
        <v>0</v>
      </c>
      <c r="J232" s="433"/>
      <c r="K232" s="433">
        <v>0</v>
      </c>
      <c r="L232" s="433"/>
      <c r="M232" s="433">
        <f t="shared" si="12"/>
        <v>0</v>
      </c>
      <c r="N232" s="433"/>
      <c r="O232" s="433">
        <v>0</v>
      </c>
      <c r="P232" s="778"/>
      <c r="Q232" s="1192"/>
    </row>
    <row r="233" spans="2:17" s="769" customFormat="1" ht="15.5">
      <c r="B233" s="775">
        <v>55015</v>
      </c>
      <c r="C233" s="782"/>
      <c r="D233" s="781" t="s">
        <v>1291</v>
      </c>
      <c r="E233" s="783"/>
      <c r="F233" s="783"/>
      <c r="G233" s="433">
        <v>0</v>
      </c>
      <c r="H233" s="433"/>
      <c r="I233" s="433">
        <v>0</v>
      </c>
      <c r="J233" s="433"/>
      <c r="K233" s="433">
        <v>0</v>
      </c>
      <c r="L233" s="433"/>
      <c r="M233" s="433">
        <f t="shared" si="12"/>
        <v>0</v>
      </c>
      <c r="N233" s="433"/>
      <c r="O233" s="433">
        <v>0</v>
      </c>
      <c r="P233" s="778"/>
      <c r="Q233" s="1192"/>
    </row>
    <row r="234" spans="2:17" s="769" customFormat="1" ht="15.5">
      <c r="B234" s="775">
        <v>55016</v>
      </c>
      <c r="C234" s="782"/>
      <c r="D234" s="776" t="s">
        <v>1292</v>
      </c>
      <c r="E234" s="783"/>
      <c r="F234" s="783"/>
      <c r="G234" s="433">
        <v>0</v>
      </c>
      <c r="H234" s="433"/>
      <c r="I234" s="433">
        <v>0</v>
      </c>
      <c r="J234" s="433"/>
      <c r="K234" s="433">
        <v>111903.66</v>
      </c>
      <c r="L234" s="433"/>
      <c r="M234" s="433">
        <f t="shared" si="12"/>
        <v>93144.109999999986</v>
      </c>
      <c r="N234" s="433"/>
      <c r="O234" s="433">
        <v>205047.77</v>
      </c>
      <c r="P234" s="778"/>
      <c r="Q234" s="1192"/>
    </row>
    <row r="235" spans="2:17" s="769" customFormat="1" ht="15.5">
      <c r="B235" s="775">
        <v>55017</v>
      </c>
      <c r="C235" s="782"/>
      <c r="D235" s="776" t="s">
        <v>1293</v>
      </c>
      <c r="E235" s="783"/>
      <c r="F235" s="783"/>
      <c r="G235" s="433">
        <v>1130232.54</v>
      </c>
      <c r="H235" s="433"/>
      <c r="I235" s="433">
        <v>1018142.57</v>
      </c>
      <c r="J235" s="433"/>
      <c r="K235" s="433">
        <v>1143785.3799999999</v>
      </c>
      <c r="L235" s="433"/>
      <c r="M235" s="433">
        <f t="shared" si="12"/>
        <v>-289275.23999999987</v>
      </c>
      <c r="N235" s="433"/>
      <c r="O235" s="433">
        <v>854510.14</v>
      </c>
      <c r="P235" s="778"/>
      <c r="Q235" s="1192"/>
    </row>
    <row r="236" spans="2:17" s="769" customFormat="1" ht="15.5">
      <c r="B236" s="775">
        <v>55018</v>
      </c>
      <c r="C236" s="782"/>
      <c r="D236" s="776" t="s">
        <v>1294</v>
      </c>
      <c r="E236" s="783"/>
      <c r="F236" s="783"/>
      <c r="G236" s="433">
        <v>0</v>
      </c>
      <c r="H236" s="433"/>
      <c r="I236" s="433">
        <v>0</v>
      </c>
      <c r="J236" s="433"/>
      <c r="K236" s="433">
        <v>0</v>
      </c>
      <c r="L236" s="433"/>
      <c r="M236" s="433">
        <f t="shared" si="12"/>
        <v>0</v>
      </c>
      <c r="N236" s="433"/>
      <c r="O236" s="433">
        <v>0</v>
      </c>
      <c r="P236" s="778"/>
      <c r="Q236" s="1192"/>
    </row>
    <row r="237" spans="2:17" s="769" customFormat="1" ht="15.5">
      <c r="B237" s="775">
        <v>55019</v>
      </c>
      <c r="C237" s="782"/>
      <c r="D237" s="776" t="s">
        <v>1295</v>
      </c>
      <c r="E237" s="783"/>
      <c r="F237" s="783"/>
      <c r="G237" s="433">
        <v>0</v>
      </c>
      <c r="H237" s="433"/>
      <c r="I237" s="433">
        <v>0</v>
      </c>
      <c r="J237" s="433"/>
      <c r="K237" s="433">
        <v>0</v>
      </c>
      <c r="L237" s="433"/>
      <c r="M237" s="433">
        <f t="shared" si="12"/>
        <v>0</v>
      </c>
      <c r="N237" s="433"/>
      <c r="O237" s="433">
        <v>0</v>
      </c>
      <c r="P237" s="778"/>
      <c r="Q237" s="1192"/>
    </row>
    <row r="238" spans="2:17" s="769" customFormat="1" ht="15.5">
      <c r="B238" s="775">
        <v>55020</v>
      </c>
      <c r="C238" s="782"/>
      <c r="D238" s="776" t="s">
        <v>1296</v>
      </c>
      <c r="E238" s="783"/>
      <c r="F238" s="783"/>
      <c r="G238" s="433">
        <v>20966906.510000002</v>
      </c>
      <c r="H238" s="433"/>
      <c r="I238" s="433">
        <v>14185530.09</v>
      </c>
      <c r="J238" s="433"/>
      <c r="K238" s="433">
        <v>17854648.620000001</v>
      </c>
      <c r="L238" s="433"/>
      <c r="M238" s="433">
        <f t="shared" si="12"/>
        <v>-4297033.9400000013</v>
      </c>
      <c r="N238" s="433"/>
      <c r="O238" s="433">
        <v>13557614.68</v>
      </c>
      <c r="P238" s="778"/>
      <c r="Q238" s="1192"/>
    </row>
    <row r="239" spans="2:17" s="769" customFormat="1" ht="15.5">
      <c r="B239" s="775">
        <v>55021</v>
      </c>
      <c r="C239" s="782"/>
      <c r="D239" s="776" t="s">
        <v>1297</v>
      </c>
      <c r="E239" s="783"/>
      <c r="F239" s="783"/>
      <c r="G239" s="433">
        <v>9044872.7599999998</v>
      </c>
      <c r="H239" s="433"/>
      <c r="I239" s="433">
        <v>9374076.0600000005</v>
      </c>
      <c r="J239" s="433"/>
      <c r="K239" s="433">
        <v>8785048.5800000001</v>
      </c>
      <c r="L239" s="433"/>
      <c r="M239" s="433">
        <f t="shared" si="12"/>
        <v>480329.22000000067</v>
      </c>
      <c r="N239" s="433"/>
      <c r="O239" s="433">
        <v>9265377.8000000007</v>
      </c>
      <c r="P239" s="778"/>
      <c r="Q239" s="1192"/>
    </row>
    <row r="240" spans="2:17" s="769" customFormat="1" ht="15.5">
      <c r="B240" s="775">
        <v>55022</v>
      </c>
      <c r="C240" s="782"/>
      <c r="D240" s="781" t="s">
        <v>1298</v>
      </c>
      <c r="E240" s="783"/>
      <c r="F240" s="783"/>
      <c r="G240" s="433">
        <v>0</v>
      </c>
      <c r="H240" s="433"/>
      <c r="I240" s="433">
        <v>1505919.18</v>
      </c>
      <c r="J240" s="433"/>
      <c r="K240" s="433">
        <v>4036718.64</v>
      </c>
      <c r="L240" s="433"/>
      <c r="M240" s="433">
        <f t="shared" si="12"/>
        <v>2837177.06</v>
      </c>
      <c r="N240" s="433"/>
      <c r="O240" s="433">
        <v>6873895.7000000002</v>
      </c>
      <c r="P240" s="778"/>
      <c r="Q240" s="1192"/>
    </row>
    <row r="241" spans="2:17" s="769" customFormat="1" ht="15.5">
      <c r="B241" s="775">
        <v>55052</v>
      </c>
      <c r="C241" s="782"/>
      <c r="D241" s="781" t="s">
        <v>1299</v>
      </c>
      <c r="E241" s="783"/>
      <c r="F241" s="783"/>
      <c r="G241" s="433">
        <v>2192010.2599999998</v>
      </c>
      <c r="H241" s="433"/>
      <c r="I241" s="433">
        <v>2308823.98</v>
      </c>
      <c r="J241" s="433"/>
      <c r="K241" s="433">
        <v>2441804.8199999998</v>
      </c>
      <c r="L241" s="433"/>
      <c r="M241" s="433">
        <f t="shared" si="12"/>
        <v>95338.010000000242</v>
      </c>
      <c r="N241" s="433"/>
      <c r="O241" s="433">
        <v>2537142.83</v>
      </c>
      <c r="P241" s="778"/>
      <c r="Q241" s="1192"/>
    </row>
    <row r="242" spans="2:17" s="769" customFormat="1" ht="15.5">
      <c r="B242" s="775">
        <v>55053</v>
      </c>
      <c r="C242" s="782"/>
      <c r="D242" s="776" t="s">
        <v>1300</v>
      </c>
      <c r="E242" s="783"/>
      <c r="F242" s="783"/>
      <c r="G242" s="433">
        <v>0</v>
      </c>
      <c r="H242" s="433"/>
      <c r="I242" s="433">
        <v>0</v>
      </c>
      <c r="J242" s="433"/>
      <c r="K242" s="433">
        <v>0</v>
      </c>
      <c r="L242" s="433"/>
      <c r="M242" s="433">
        <f t="shared" si="12"/>
        <v>0</v>
      </c>
      <c r="N242" s="433"/>
      <c r="O242" s="433">
        <v>0</v>
      </c>
      <c r="P242" s="778"/>
      <c r="Q242" s="1192"/>
    </row>
    <row r="243" spans="2:17" s="769" customFormat="1" ht="15.5">
      <c r="B243" s="775">
        <v>55055</v>
      </c>
      <c r="C243" s="782"/>
      <c r="D243" s="776" t="s">
        <v>1301</v>
      </c>
      <c r="E243" s="783"/>
      <c r="F243" s="783"/>
      <c r="G243" s="433">
        <v>0</v>
      </c>
      <c r="H243" s="433"/>
      <c r="I243" s="433">
        <v>0</v>
      </c>
      <c r="J243" s="433"/>
      <c r="K243" s="433">
        <v>0</v>
      </c>
      <c r="L243" s="433"/>
      <c r="M243" s="433">
        <f t="shared" si="12"/>
        <v>0</v>
      </c>
      <c r="N243" s="433"/>
      <c r="O243" s="433">
        <v>0</v>
      </c>
      <c r="P243" s="778"/>
      <c r="Q243" s="1192"/>
    </row>
    <row r="244" spans="2:17" s="769" customFormat="1" ht="15.5">
      <c r="B244" s="775">
        <v>55056</v>
      </c>
      <c r="C244" s="782"/>
      <c r="D244" s="776" t="s">
        <v>1302</v>
      </c>
      <c r="E244" s="783"/>
      <c r="F244" s="783"/>
      <c r="G244" s="433">
        <v>0</v>
      </c>
      <c r="H244" s="433"/>
      <c r="I244" s="433">
        <v>0</v>
      </c>
      <c r="J244" s="433"/>
      <c r="K244" s="433">
        <v>0</v>
      </c>
      <c r="L244" s="433"/>
      <c r="M244" s="433">
        <f t="shared" si="12"/>
        <v>0</v>
      </c>
      <c r="N244" s="433"/>
      <c r="O244" s="433">
        <v>0</v>
      </c>
      <c r="P244" s="778"/>
      <c r="Q244" s="1192"/>
    </row>
    <row r="245" spans="2:17" s="769" customFormat="1" ht="15.5">
      <c r="B245" s="775">
        <v>55057</v>
      </c>
      <c r="C245" s="782"/>
      <c r="D245" s="776" t="s">
        <v>1303</v>
      </c>
      <c r="E245" s="783"/>
      <c r="F245" s="783"/>
      <c r="G245" s="433">
        <v>25531.02</v>
      </c>
      <c r="H245" s="433"/>
      <c r="I245" s="433">
        <v>935436.41</v>
      </c>
      <c r="J245" s="433"/>
      <c r="K245" s="433">
        <v>0</v>
      </c>
      <c r="L245" s="433"/>
      <c r="M245" s="433">
        <f t="shared" si="12"/>
        <v>16562.78</v>
      </c>
      <c r="N245" s="433"/>
      <c r="O245" s="433">
        <v>16562.78</v>
      </c>
      <c r="P245" s="778"/>
      <c r="Q245" s="1192"/>
    </row>
    <row r="246" spans="2:17" s="769" customFormat="1" ht="15.5">
      <c r="B246" s="775">
        <v>55058</v>
      </c>
      <c r="C246" s="782"/>
      <c r="D246" s="776" t="s">
        <v>1304</v>
      </c>
      <c r="E246" s="783"/>
      <c r="F246" s="783"/>
      <c r="G246" s="433">
        <v>4860025.07</v>
      </c>
      <c r="H246" s="433"/>
      <c r="I246" s="433">
        <v>5098505.03</v>
      </c>
      <c r="J246" s="433"/>
      <c r="K246" s="433">
        <v>5386533.8399999999</v>
      </c>
      <c r="L246" s="433"/>
      <c r="M246" s="433">
        <f t="shared" si="12"/>
        <v>210555.19000000041</v>
      </c>
      <c r="N246" s="433"/>
      <c r="O246" s="433">
        <v>5597089.0300000003</v>
      </c>
      <c r="P246" s="778"/>
      <c r="Q246" s="1192"/>
    </row>
    <row r="247" spans="2:17" s="769" customFormat="1" ht="15.5">
      <c r="B247" s="775">
        <v>55059</v>
      </c>
      <c r="C247" s="782"/>
      <c r="D247" s="776" t="s">
        <v>1305</v>
      </c>
      <c r="E247" s="783"/>
      <c r="F247" s="783"/>
      <c r="G247" s="433">
        <v>8010242.8499999996</v>
      </c>
      <c r="H247" s="433"/>
      <c r="I247" s="433">
        <v>355114.33</v>
      </c>
      <c r="J247" s="433"/>
      <c r="K247" s="433">
        <v>0</v>
      </c>
      <c r="L247" s="433"/>
      <c r="M247" s="433">
        <f t="shared" si="12"/>
        <v>0</v>
      </c>
      <c r="N247" s="433"/>
      <c r="O247" s="433">
        <v>0</v>
      </c>
      <c r="P247" s="778"/>
      <c r="Q247" s="1192"/>
    </row>
    <row r="248" spans="2:17" s="769" customFormat="1" ht="15.5">
      <c r="B248" s="775">
        <v>55060</v>
      </c>
      <c r="C248" s="782"/>
      <c r="D248" s="781" t="s">
        <v>1306</v>
      </c>
      <c r="E248" s="783"/>
      <c r="F248" s="783"/>
      <c r="G248" s="433">
        <v>17898303.899999999</v>
      </c>
      <c r="H248" s="433"/>
      <c r="I248" s="433">
        <v>5644381.5700000003</v>
      </c>
      <c r="J248" s="433"/>
      <c r="K248" s="433">
        <v>1691601.89</v>
      </c>
      <c r="L248" s="433"/>
      <c r="M248" s="433">
        <f t="shared" si="12"/>
        <v>-239080.32999999984</v>
      </c>
      <c r="N248" s="433"/>
      <c r="O248" s="433">
        <v>1452521.56</v>
      </c>
      <c r="P248" s="778"/>
      <c r="Q248" s="1192"/>
    </row>
    <row r="249" spans="2:17" s="769" customFormat="1" ht="15.5">
      <c r="B249" s="775">
        <v>55061</v>
      </c>
      <c r="C249" s="782"/>
      <c r="D249" s="781" t="s">
        <v>1307</v>
      </c>
      <c r="E249" s="783"/>
      <c r="F249" s="783"/>
      <c r="G249" s="433">
        <v>0</v>
      </c>
      <c r="H249" s="433"/>
      <c r="I249" s="433">
        <v>0</v>
      </c>
      <c r="J249" s="433"/>
      <c r="K249" s="433">
        <v>0</v>
      </c>
      <c r="L249" s="433"/>
      <c r="M249" s="433">
        <f t="shared" si="12"/>
        <v>0</v>
      </c>
      <c r="N249" s="433"/>
      <c r="O249" s="433">
        <v>0</v>
      </c>
      <c r="P249" s="778"/>
      <c r="Q249" s="1192"/>
    </row>
    <row r="250" spans="2:17" s="769" customFormat="1" ht="15.5">
      <c r="B250" s="775">
        <v>55062</v>
      </c>
      <c r="C250" s="782"/>
      <c r="D250" s="776" t="s">
        <v>1308</v>
      </c>
      <c r="E250" s="783"/>
      <c r="F250" s="783"/>
      <c r="G250" s="433">
        <v>33883785.219999999</v>
      </c>
      <c r="H250" s="433"/>
      <c r="I250" s="433">
        <v>29872137.460000001</v>
      </c>
      <c r="J250" s="433"/>
      <c r="K250" s="433">
        <v>29872137.460000001</v>
      </c>
      <c r="L250" s="433"/>
      <c r="M250" s="433">
        <f t="shared" si="12"/>
        <v>0</v>
      </c>
      <c r="N250" s="433"/>
      <c r="O250" s="433">
        <v>29872137.460000001</v>
      </c>
      <c r="P250" s="778"/>
      <c r="Q250" s="1192"/>
    </row>
    <row r="251" spans="2:17" s="769" customFormat="1" ht="15.5">
      <c r="B251" s="775">
        <v>55066</v>
      </c>
      <c r="C251" s="782"/>
      <c r="D251" s="776" t="s">
        <v>1309</v>
      </c>
      <c r="E251" s="783"/>
      <c r="F251" s="783"/>
      <c r="G251" s="433">
        <v>1261584.27</v>
      </c>
      <c r="H251" s="433"/>
      <c r="I251" s="433">
        <v>1261584.27</v>
      </c>
      <c r="J251" s="433"/>
      <c r="K251" s="433">
        <v>0</v>
      </c>
      <c r="L251" s="433"/>
      <c r="M251" s="433">
        <f t="shared" si="12"/>
        <v>0</v>
      </c>
      <c r="N251" s="433"/>
      <c r="O251" s="433">
        <v>0</v>
      </c>
      <c r="P251" s="778"/>
      <c r="Q251" s="1192"/>
    </row>
    <row r="252" spans="2:17" s="769" customFormat="1" ht="15.5">
      <c r="B252" s="775">
        <v>55067</v>
      </c>
      <c r="C252" s="782"/>
      <c r="D252" s="776" t="s">
        <v>1310</v>
      </c>
      <c r="E252" s="783"/>
      <c r="F252" s="783"/>
      <c r="G252" s="433">
        <v>704670.23</v>
      </c>
      <c r="H252" s="433"/>
      <c r="I252" s="433">
        <v>790211.77</v>
      </c>
      <c r="J252" s="433"/>
      <c r="K252" s="433">
        <v>747018.92</v>
      </c>
      <c r="L252" s="433"/>
      <c r="M252" s="433">
        <f t="shared" si="12"/>
        <v>3008.7999999999302</v>
      </c>
      <c r="N252" s="433"/>
      <c r="O252" s="433">
        <v>750027.72</v>
      </c>
      <c r="P252" s="778"/>
      <c r="Q252" s="1192"/>
    </row>
    <row r="253" spans="2:17" s="769" customFormat="1" ht="15.5">
      <c r="B253" s="775">
        <v>55069</v>
      </c>
      <c r="C253" s="782"/>
      <c r="D253" s="776" t="s">
        <v>1311</v>
      </c>
      <c r="E253" s="783"/>
      <c r="F253" s="783"/>
      <c r="G253" s="433">
        <v>0</v>
      </c>
      <c r="H253" s="433"/>
      <c r="I253" s="433">
        <v>0</v>
      </c>
      <c r="J253" s="433"/>
      <c r="K253" s="433">
        <v>0</v>
      </c>
      <c r="L253" s="433"/>
      <c r="M253" s="433">
        <f t="shared" si="12"/>
        <v>0</v>
      </c>
      <c r="N253" s="433"/>
      <c r="O253" s="433">
        <v>0</v>
      </c>
      <c r="P253" s="778"/>
      <c r="Q253" s="1192"/>
    </row>
    <row r="254" spans="2:17" s="769" customFormat="1" ht="15.5">
      <c r="B254" s="792">
        <v>55071</v>
      </c>
      <c r="C254" s="782"/>
      <c r="D254" s="776" t="s">
        <v>1312</v>
      </c>
      <c r="E254" s="783"/>
      <c r="F254" s="783"/>
      <c r="G254" s="433">
        <v>555028.56999999995</v>
      </c>
      <c r="H254" s="433"/>
      <c r="I254" s="433">
        <v>753452.97</v>
      </c>
      <c r="J254" s="433"/>
      <c r="K254" s="433">
        <v>165928.74</v>
      </c>
      <c r="L254" s="433"/>
      <c r="M254" s="433">
        <f t="shared" si="12"/>
        <v>113337.18</v>
      </c>
      <c r="N254" s="433"/>
      <c r="O254" s="433">
        <v>279265.91999999998</v>
      </c>
      <c r="P254" s="778"/>
      <c r="Q254" s="1192"/>
    </row>
    <row r="255" spans="2:17" s="769" customFormat="1" ht="15.5">
      <c r="B255" s="775">
        <v>55072</v>
      </c>
      <c r="C255" s="782"/>
      <c r="D255" s="776" t="s">
        <v>1313</v>
      </c>
      <c r="E255" s="783"/>
      <c r="F255" s="783"/>
      <c r="G255" s="433">
        <v>10173389.42</v>
      </c>
      <c r="H255" s="433"/>
      <c r="I255" s="433">
        <v>5343730.88</v>
      </c>
      <c r="J255" s="433"/>
      <c r="K255" s="433">
        <v>5647340.8300000001</v>
      </c>
      <c r="L255" s="433"/>
      <c r="M255" s="433">
        <f t="shared" si="12"/>
        <v>907836.6799999997</v>
      </c>
      <c r="N255" s="433"/>
      <c r="O255" s="433">
        <v>6555177.5099999998</v>
      </c>
      <c r="P255" s="778"/>
      <c r="Q255" s="1192"/>
    </row>
    <row r="256" spans="2:17" s="769" customFormat="1" ht="15.5">
      <c r="B256" s="792">
        <v>55073</v>
      </c>
      <c r="C256" s="782"/>
      <c r="D256" s="776" t="s">
        <v>1314</v>
      </c>
      <c r="E256" s="783"/>
      <c r="F256" s="783"/>
      <c r="G256" s="433">
        <v>0</v>
      </c>
      <c r="H256" s="433"/>
      <c r="I256" s="433">
        <v>0</v>
      </c>
      <c r="J256" s="433"/>
      <c r="K256" s="433">
        <v>0</v>
      </c>
      <c r="L256" s="433"/>
      <c r="M256" s="433">
        <f t="shared" si="12"/>
        <v>0</v>
      </c>
      <c r="N256" s="433"/>
      <c r="O256" s="433">
        <v>0</v>
      </c>
      <c r="P256" s="778"/>
      <c r="Q256" s="1192"/>
    </row>
    <row r="257" spans="2:17" s="769" customFormat="1" ht="15.5">
      <c r="B257" s="792">
        <v>55074</v>
      </c>
      <c r="C257" s="782"/>
      <c r="D257" s="776" t="s">
        <v>1315</v>
      </c>
      <c r="E257" s="783"/>
      <c r="F257" s="783"/>
      <c r="G257" s="433">
        <v>0</v>
      </c>
      <c r="H257" s="433"/>
      <c r="I257" s="433">
        <v>0</v>
      </c>
      <c r="J257" s="433"/>
      <c r="K257" s="433">
        <v>0</v>
      </c>
      <c r="L257" s="433"/>
      <c r="M257" s="433">
        <f t="shared" si="12"/>
        <v>0</v>
      </c>
      <c r="N257" s="433"/>
      <c r="O257" s="433">
        <v>0</v>
      </c>
      <c r="P257" s="778"/>
      <c r="Q257" s="1192"/>
    </row>
    <row r="258" spans="2:17" s="769" customFormat="1" ht="15.5">
      <c r="B258" s="775">
        <v>55251</v>
      </c>
      <c r="C258" s="782"/>
      <c r="D258" s="781" t="s">
        <v>1316</v>
      </c>
      <c r="E258" s="783"/>
      <c r="F258" s="783"/>
      <c r="G258" s="433">
        <v>14980253.09</v>
      </c>
      <c r="H258" s="433"/>
      <c r="I258" s="433">
        <v>12314672.119999999</v>
      </c>
      <c r="J258" s="433"/>
      <c r="K258" s="433">
        <v>12862171.859999999</v>
      </c>
      <c r="L258" s="433"/>
      <c r="M258" s="433">
        <f t="shared" si="12"/>
        <v>364577.78000000119</v>
      </c>
      <c r="N258" s="433"/>
      <c r="O258" s="433">
        <v>13226749.640000001</v>
      </c>
      <c r="P258" s="778"/>
      <c r="Q258" s="1192"/>
    </row>
    <row r="259" spans="2:17" s="769" customFormat="1" ht="15.5">
      <c r="B259" s="775">
        <v>55252</v>
      </c>
      <c r="C259" s="782"/>
      <c r="D259" s="776" t="s">
        <v>1317</v>
      </c>
      <c r="E259" s="783"/>
      <c r="F259" s="783"/>
      <c r="G259" s="433">
        <v>21477274.129999999</v>
      </c>
      <c r="H259" s="433"/>
      <c r="I259" s="433">
        <v>21826224.460000001</v>
      </c>
      <c r="J259" s="433"/>
      <c r="K259" s="433">
        <v>16061223.77</v>
      </c>
      <c r="L259" s="433"/>
      <c r="M259" s="433">
        <f t="shared" si="12"/>
        <v>3649516.8000000007</v>
      </c>
      <c r="N259" s="433"/>
      <c r="O259" s="433">
        <v>19710740.57</v>
      </c>
      <c r="P259" s="778"/>
      <c r="Q259" s="1192"/>
    </row>
    <row r="260" spans="2:17" s="769" customFormat="1" ht="15.5">
      <c r="B260" s="775">
        <v>55300</v>
      </c>
      <c r="C260" s="782"/>
      <c r="D260" s="781" t="s">
        <v>1318</v>
      </c>
      <c r="E260" s="783"/>
      <c r="F260" s="783"/>
      <c r="G260" s="433">
        <v>1783018.12</v>
      </c>
      <c r="H260" s="433"/>
      <c r="I260" s="433">
        <v>3234068.6</v>
      </c>
      <c r="J260" s="433"/>
      <c r="K260" s="433">
        <v>0</v>
      </c>
      <c r="L260" s="433"/>
      <c r="M260" s="433">
        <f t="shared" si="12"/>
        <v>918798.37</v>
      </c>
      <c r="N260" s="433"/>
      <c r="O260" s="433">
        <v>918798.37</v>
      </c>
      <c r="P260" s="778"/>
      <c r="Q260" s="1192"/>
    </row>
    <row r="261" spans="2:17" s="769" customFormat="1" ht="15.5">
      <c r="B261" s="775">
        <v>55301</v>
      </c>
      <c r="C261" s="782"/>
      <c r="D261" s="781" t="s">
        <v>1319</v>
      </c>
      <c r="E261" s="783"/>
      <c r="F261" s="783"/>
      <c r="G261" s="433">
        <v>2814325.98</v>
      </c>
      <c r="H261" s="433"/>
      <c r="I261" s="433">
        <v>2961643.12</v>
      </c>
      <c r="J261" s="433"/>
      <c r="K261" s="433">
        <v>0</v>
      </c>
      <c r="L261" s="433"/>
      <c r="M261" s="433">
        <f t="shared" si="12"/>
        <v>0</v>
      </c>
      <c r="N261" s="433"/>
      <c r="O261" s="433">
        <v>0</v>
      </c>
      <c r="P261" s="778"/>
      <c r="Q261" s="1192"/>
    </row>
    <row r="262" spans="2:17" s="769" customFormat="1" ht="15.5">
      <c r="B262" s="775">
        <v>55350</v>
      </c>
      <c r="C262" s="774"/>
      <c r="D262" s="781" t="s">
        <v>1320</v>
      </c>
      <c r="E262" s="774"/>
      <c r="F262" s="774"/>
      <c r="G262" s="433">
        <v>0</v>
      </c>
      <c r="H262" s="433"/>
      <c r="I262" s="433">
        <v>269482.49</v>
      </c>
      <c r="J262" s="433"/>
      <c r="K262" s="433">
        <v>0</v>
      </c>
      <c r="L262" s="433"/>
      <c r="M262" s="433">
        <f t="shared" si="12"/>
        <v>0</v>
      </c>
      <c r="N262" s="433"/>
      <c r="O262" s="433">
        <v>0</v>
      </c>
      <c r="P262" s="778"/>
      <c r="Q262" s="1192"/>
    </row>
    <row r="263" spans="2:17" s="769" customFormat="1" ht="16" thickBot="1">
      <c r="B263" s="800"/>
      <c r="C263" s="771"/>
      <c r="D263" s="772" t="s">
        <v>1321</v>
      </c>
      <c r="E263" s="773"/>
      <c r="F263" s="773"/>
      <c r="G263" s="1663">
        <f>SUM(G219:G262)</f>
        <v>173419325.48999995</v>
      </c>
      <c r="H263" s="1664"/>
      <c r="I263" s="1663">
        <f>SUM(I219:I262)</f>
        <v>147147595.08000001</v>
      </c>
      <c r="J263" s="1664"/>
      <c r="K263" s="1663">
        <f>SUM(K219:K262)</f>
        <v>125824267.27</v>
      </c>
      <c r="L263" s="1664"/>
      <c r="M263" s="1663">
        <f>SUM(M219:M262)</f>
        <v>-2692800.6099999985</v>
      </c>
      <c r="N263" s="1664"/>
      <c r="O263" s="1663">
        <f>SUM(O219:O262)</f>
        <v>123131466.66000003</v>
      </c>
      <c r="P263" s="778"/>
      <c r="Q263" s="1192"/>
    </row>
    <row r="264" spans="2:17" s="769" customFormat="1" ht="16" thickTop="1">
      <c r="B264" s="786"/>
      <c r="C264" s="774"/>
      <c r="D264" s="801"/>
      <c r="E264" s="774"/>
      <c r="F264" s="774"/>
      <c r="G264" s="433"/>
      <c r="H264" s="1666"/>
      <c r="I264" s="433"/>
      <c r="J264" s="1666"/>
      <c r="K264" s="433"/>
      <c r="L264" s="1666"/>
      <c r="M264" s="433"/>
      <c r="N264" s="1666"/>
      <c r="O264" s="433"/>
      <c r="P264" s="778"/>
      <c r="Q264" s="1192"/>
    </row>
    <row r="265" spans="2:17" s="769" customFormat="1" ht="16" thickBot="1">
      <c r="B265" s="786"/>
      <c r="C265" s="774"/>
      <c r="D265" s="801"/>
      <c r="E265" s="774"/>
      <c r="F265" s="774"/>
      <c r="G265" s="433"/>
      <c r="H265" s="1666"/>
      <c r="I265" s="433"/>
      <c r="J265" s="1666"/>
      <c r="K265" s="433"/>
      <c r="L265" s="1666"/>
      <c r="M265" s="433"/>
      <c r="N265" s="1666"/>
      <c r="O265" s="433"/>
      <c r="P265" s="778"/>
      <c r="Q265" s="1192"/>
    </row>
    <row r="266" spans="2:17" s="769" customFormat="1" ht="16" thickBot="1">
      <c r="B266" s="800"/>
      <c r="C266" s="802"/>
      <c r="D266" s="803" t="s">
        <v>1322</v>
      </c>
      <c r="E266" s="773"/>
      <c r="F266" s="777"/>
      <c r="G266" s="1672">
        <f>G263+G216+G210+G205+G193+G102+G11</f>
        <v>6814692813.2299995</v>
      </c>
      <c r="H266" s="777"/>
      <c r="I266" s="1672">
        <f>I263+I216+I210+I205+I193+I102+I11</f>
        <v>7009299873.4599991</v>
      </c>
      <c r="J266" s="777"/>
      <c r="K266" s="1672">
        <f>K263+K216+K210+K205+K193+K102+K11</f>
        <v>7765830519.4100018</v>
      </c>
      <c r="L266" s="777"/>
      <c r="M266" s="1672">
        <f>M263+M216+M210+M205+M193+M102+M11</f>
        <v>-2016771914.1800001</v>
      </c>
      <c r="N266" s="777"/>
      <c r="O266" s="1672">
        <f>O263+O216+O210+O205+O193+O102+O11</f>
        <v>5749058605.2299995</v>
      </c>
      <c r="P266" s="778"/>
      <c r="Q266" s="1192"/>
    </row>
    <row r="267" spans="2:17" s="769" customFormat="1" ht="15.5">
      <c r="B267" s="786"/>
      <c r="C267" s="774"/>
      <c r="D267" s="801"/>
      <c r="E267" s="774"/>
      <c r="F267" s="774"/>
      <c r="G267"/>
      <c r="H267" s="1664"/>
      <c r="I267" s="1667"/>
      <c r="J267" s="1664"/>
      <c r="K267" s="1667"/>
      <c r="L267" s="1664"/>
      <c r="M267" s="434"/>
      <c r="N267" s="774"/>
      <c r="O267" s="434"/>
      <c r="P267" s="778"/>
    </row>
    <row r="268" spans="2:17" s="769" customFormat="1" ht="15.5">
      <c r="B268" s="920" t="s">
        <v>1323</v>
      </c>
      <c r="C268" s="684" t="s">
        <v>1486</v>
      </c>
      <c r="D268" s="804"/>
      <c r="E268" s="344"/>
      <c r="F268" s="344"/>
      <c r="G268" s="1667"/>
      <c r="H268" s="805"/>
      <c r="I268" s="1177"/>
      <c r="J268" s="266"/>
      <c r="K268" s="1177"/>
      <c r="L268" s="266"/>
      <c r="M268" s="1177"/>
      <c r="N268" s="266"/>
      <c r="O268" s="1177"/>
      <c r="P268" s="778"/>
    </row>
    <row r="269" spans="2:17" s="769" customFormat="1" ht="15.5">
      <c r="B269" s="806"/>
      <c r="C269" s="344" t="s">
        <v>1324</v>
      </c>
      <c r="D269" s="807"/>
      <c r="E269" s="344"/>
      <c r="F269" s="344"/>
      <c r="G269" s="1177"/>
      <c r="H269" s="805"/>
      <c r="I269" s="1177"/>
      <c r="J269" s="266"/>
      <c r="K269" s="1177"/>
      <c r="L269" s="266"/>
      <c r="M269" s="1177"/>
      <c r="N269" s="266"/>
      <c r="O269" s="1177"/>
      <c r="P269" s="778"/>
    </row>
    <row r="270" spans="2:17" s="769" customFormat="1" ht="15.5">
      <c r="B270" s="806"/>
      <c r="C270" s="344" t="s">
        <v>1325</v>
      </c>
      <c r="D270" s="804"/>
      <c r="E270" s="344"/>
      <c r="F270" s="344"/>
      <c r="G270" s="1177"/>
      <c r="H270" s="805"/>
      <c r="I270" s="1178"/>
      <c r="J270" s="346"/>
      <c r="K270" s="1178"/>
      <c r="L270" s="346"/>
      <c r="M270" s="1178"/>
      <c r="N270" s="346"/>
      <c r="O270" s="1178"/>
      <c r="P270" s="778"/>
    </row>
    <row r="271" spans="2:17" s="769" customFormat="1" ht="15.5">
      <c r="B271" s="806"/>
      <c r="C271" s="344" t="s">
        <v>1326</v>
      </c>
      <c r="D271" s="804"/>
      <c r="E271" s="344"/>
      <c r="F271" s="344"/>
      <c r="G271" s="1178"/>
      <c r="H271" s="805"/>
      <c r="I271" s="1178"/>
      <c r="J271" s="346"/>
      <c r="K271" s="1178"/>
      <c r="L271" s="346"/>
      <c r="M271" s="1178"/>
      <c r="N271" s="346"/>
      <c r="O271" s="1178"/>
      <c r="P271" s="778"/>
    </row>
    <row r="272" spans="2:17" s="769" customFormat="1" ht="15.5">
      <c r="B272" s="806"/>
      <c r="C272" s="344" t="s">
        <v>1327</v>
      </c>
      <c r="D272" s="804"/>
      <c r="E272" s="344"/>
      <c r="F272" s="344"/>
      <c r="G272" s="1178"/>
      <c r="H272" s="805"/>
      <c r="I272" s="1179"/>
      <c r="J272" s="808"/>
      <c r="K272" s="1179"/>
      <c r="L272" s="808"/>
      <c r="M272" s="1179"/>
      <c r="N272" s="808"/>
      <c r="O272" s="1179"/>
      <c r="P272" s="778"/>
    </row>
    <row r="273" spans="2:31" s="769" customFormat="1" ht="15.5">
      <c r="B273" s="684"/>
      <c r="C273" s="344" t="s">
        <v>1328</v>
      </c>
      <c r="D273" s="804"/>
      <c r="E273" s="344"/>
      <c r="F273" s="344"/>
      <c r="G273" s="1179"/>
      <c r="H273" s="805"/>
      <c r="I273" s="1179"/>
      <c r="J273" s="808"/>
      <c r="K273" s="1179"/>
      <c r="L273" s="808"/>
      <c r="M273" s="1179"/>
      <c r="N273" s="808"/>
      <c r="O273" s="1179"/>
      <c r="P273" s="778"/>
    </row>
    <row r="274" spans="2:31" s="769" customFormat="1" ht="15.5">
      <c r="B274" s="684"/>
      <c r="C274" s="805" t="s">
        <v>1329</v>
      </c>
      <c r="D274" s="807"/>
      <c r="E274" s="805"/>
      <c r="F274" s="805"/>
      <c r="G274" s="1179"/>
      <c r="H274" s="805"/>
      <c r="I274" s="1179"/>
      <c r="J274" s="808"/>
      <c r="K274" s="1179"/>
      <c r="L274" s="808"/>
      <c r="M274" s="1179"/>
      <c r="N274" s="808"/>
      <c r="O274" s="1179"/>
      <c r="P274" s="778"/>
    </row>
    <row r="275" spans="2:31" s="769" customFormat="1" ht="15.5">
      <c r="B275" s="809" t="s">
        <v>266</v>
      </c>
      <c r="C275" s="344" t="s">
        <v>1449</v>
      </c>
      <c r="D275" s="804"/>
      <c r="E275" s="805"/>
      <c r="F275" s="805"/>
      <c r="G275" s="1179"/>
      <c r="H275" s="805"/>
      <c r="I275" s="810"/>
      <c r="J275" s="811"/>
      <c r="K275" s="810"/>
      <c r="L275" s="810"/>
      <c r="M275" s="346"/>
      <c r="N275" s="346"/>
      <c r="O275" s="810"/>
      <c r="P275" s="774"/>
    </row>
    <row r="276" spans="2:31" s="769" customFormat="1" ht="15.5">
      <c r="B276" s="812"/>
      <c r="C276" s="810" t="s">
        <v>1330</v>
      </c>
      <c r="D276" s="266"/>
      <c r="E276" s="805"/>
      <c r="F276" s="805"/>
      <c r="G276" s="810"/>
      <c r="H276" s="805"/>
      <c r="I276" s="810"/>
      <c r="J276" s="811"/>
      <c r="K276" s="810"/>
      <c r="L276" s="810"/>
      <c r="M276" s="346"/>
      <c r="N276" s="346"/>
      <c r="O276" s="810"/>
      <c r="P276" s="346"/>
    </row>
    <row r="277" spans="2:31" s="769" customFormat="1" ht="15.5">
      <c r="B277" s="813" t="s">
        <v>254</v>
      </c>
      <c r="C277" s="684" t="s">
        <v>1331</v>
      </c>
      <c r="D277" s="266"/>
      <c r="E277" s="266"/>
      <c r="F277" s="266"/>
      <c r="G277" s="810"/>
      <c r="H277" s="1180"/>
      <c r="I277" s="344"/>
      <c r="J277" s="345"/>
      <c r="K277" s="344"/>
      <c r="L277" s="1180"/>
      <c r="M277" s="1656"/>
      <c r="N277" s="346"/>
      <c r="O277" s="344"/>
      <c r="P277" s="1191"/>
    </row>
    <row r="278" spans="2:31" s="769" customFormat="1" ht="15.5">
      <c r="B278" s="920" t="s">
        <v>103</v>
      </c>
      <c r="C278" s="684" t="s">
        <v>103</v>
      </c>
      <c r="D278" s="346"/>
      <c r="E278" s="344"/>
      <c r="F278" s="344"/>
      <c r="G278" s="815"/>
      <c r="H278" s="815"/>
      <c r="I278" s="815"/>
      <c r="J278" s="815"/>
      <c r="K278" s="815"/>
      <c r="L278" s="815"/>
      <c r="M278" s="346"/>
      <c r="N278" s="346"/>
      <c r="O278" s="346"/>
      <c r="P278" s="805"/>
    </row>
    <row r="279" spans="2:31" s="769" customFormat="1" ht="15.5">
      <c r="B279" s="344"/>
      <c r="C279" s="344"/>
      <c r="D279" s="346"/>
      <c r="E279" s="344"/>
      <c r="F279" s="344"/>
      <c r="G279" s="815"/>
      <c r="H279" s="815"/>
      <c r="I279" s="815"/>
      <c r="J279" s="815"/>
      <c r="K279" s="815"/>
      <c r="L279" s="815"/>
      <c r="M279" s="346"/>
      <c r="N279" s="346"/>
      <c r="O279" s="346"/>
      <c r="P279" s="805"/>
    </row>
    <row r="280" spans="2:31" s="769" customFormat="1" ht="15.5">
      <c r="B280" s="809"/>
      <c r="C280" s="805"/>
      <c r="D280" s="346"/>
      <c r="E280" s="344"/>
      <c r="F280" s="344"/>
      <c r="G280" s="815"/>
      <c r="H280" s="805"/>
      <c r="I280" s="805"/>
      <c r="J280" s="805"/>
      <c r="K280" s="805"/>
      <c r="L280" s="346"/>
      <c r="M280" s="346"/>
      <c r="N280" s="346"/>
      <c r="O280" s="346"/>
      <c r="P280" s="814"/>
    </row>
    <row r="281" spans="2:31" s="769" customFormat="1" ht="15.5">
      <c r="B281" s="816"/>
      <c r="C281" s="805"/>
      <c r="D281" s="346"/>
      <c r="E281" s="344"/>
      <c r="F281" s="344"/>
      <c r="G281" s="805"/>
      <c r="H281" s="805"/>
      <c r="I281" s="805"/>
      <c r="J281" s="805"/>
      <c r="K281" s="805"/>
      <c r="L281" s="346"/>
      <c r="M281" s="346"/>
      <c r="N281" s="346"/>
      <c r="O281" s="346"/>
      <c r="P281" s="814"/>
    </row>
    <row r="282" spans="2:31" s="769" customFormat="1" ht="15.5">
      <c r="B282" s="816"/>
      <c r="C282" s="805"/>
      <c r="D282" s="346"/>
      <c r="E282" s="344"/>
      <c r="F282" s="344"/>
      <c r="G282" s="805"/>
      <c r="H282" s="805"/>
      <c r="I282" s="805"/>
      <c r="J282" s="805"/>
      <c r="K282" s="805"/>
      <c r="L282" s="346"/>
      <c r="M282" s="266"/>
      <c r="N282" s="266"/>
      <c r="O282" s="266"/>
      <c r="P282" s="814"/>
    </row>
    <row r="283" spans="2:31" s="769" customFormat="1" ht="15.5">
      <c r="B283" s="814"/>
      <c r="C283" s="805"/>
      <c r="D283" s="346"/>
      <c r="E283"/>
      <c r="F283" s="805"/>
      <c r="G283" s="805"/>
      <c r="H283" s="805"/>
      <c r="I283" s="805"/>
      <c r="J283" s="805"/>
      <c r="K283" s="805"/>
      <c r="L283" s="266"/>
      <c r="M283" s="266"/>
      <c r="N283" s="266"/>
      <c r="O283" s="266"/>
      <c r="P283" s="814"/>
    </row>
    <row r="284" spans="2:31" s="769" customFormat="1" ht="15.5">
      <c r="B284" s="814"/>
      <c r="C284" s="805"/>
      <c r="D284" s="346"/>
      <c r="E284"/>
      <c r="F284" s="805"/>
      <c r="G284" s="805"/>
      <c r="H284" s="805"/>
      <c r="I284" s="805"/>
      <c r="J284" s="805"/>
      <c r="K284" s="805"/>
      <c r="L284" s="805"/>
      <c r="M284" s="805"/>
      <c r="N284" s="805"/>
      <c r="O284" s="805"/>
      <c r="P284" s="814"/>
    </row>
    <row r="285" spans="2:31" ht="15.5">
      <c r="B285" s="814"/>
      <c r="C285" s="805"/>
      <c r="D285" s="346"/>
      <c r="E285"/>
      <c r="F285" s="805"/>
      <c r="G285" s="805"/>
      <c r="H285" s="805"/>
      <c r="I285" s="805"/>
      <c r="J285" s="805"/>
      <c r="K285" s="805"/>
      <c r="L285" s="266"/>
      <c r="M285" s="266"/>
      <c r="N285" s="266"/>
      <c r="O285" s="266"/>
      <c r="P285" s="814"/>
      <c r="Q285" s="1094"/>
      <c r="R285" s="1094"/>
      <c r="S285" s="1094"/>
      <c r="T285" s="1094"/>
      <c r="U285" s="1094"/>
      <c r="V285" s="1094"/>
      <c r="W285" s="1094"/>
      <c r="X285" s="1094"/>
      <c r="Y285" s="1094"/>
      <c r="Z285" s="1094"/>
      <c r="AA285" s="1094"/>
      <c r="AB285" s="1094"/>
      <c r="AC285" s="1094"/>
      <c r="AD285" s="1094"/>
      <c r="AE285" s="1094"/>
    </row>
    <row r="286" spans="2:31" ht="15.5">
      <c r="B286" s="1094"/>
      <c r="C286" s="1094"/>
      <c r="D286" s="1094"/>
      <c r="E286" s="1094"/>
      <c r="G286" s="805"/>
      <c r="H286" s="1094"/>
      <c r="I286" s="1094"/>
      <c r="J286" s="1094"/>
      <c r="K286" s="1094"/>
      <c r="L286" s="1094"/>
      <c r="M286" s="1094"/>
      <c r="N286" s="1094"/>
      <c r="O286" s="1094"/>
      <c r="P286" s="1094"/>
      <c r="Q286" s="1094"/>
      <c r="R286" s="1094"/>
      <c r="S286" s="1094"/>
      <c r="T286" s="1094"/>
      <c r="U286" s="1094"/>
      <c r="V286" s="1094"/>
      <c r="W286" s="1094"/>
      <c r="X286" s="1094"/>
      <c r="Y286" s="1094"/>
      <c r="Z286" s="1094"/>
      <c r="AA286" s="1094"/>
      <c r="AB286" s="1094"/>
      <c r="AC286" s="1094"/>
      <c r="AD286" s="1094"/>
      <c r="AE286" s="1094"/>
    </row>
    <row r="291" spans="2:31" ht="15.5">
      <c r="B291" s="1094"/>
      <c r="C291" s="434"/>
      <c r="D291" s="434"/>
      <c r="E291" s="434"/>
      <c r="F291" s="758"/>
      <c r="G291" s="1094"/>
      <c r="H291" s="818"/>
      <c r="I291" s="818"/>
      <c r="J291" s="818"/>
      <c r="K291" s="818"/>
      <c r="L291" s="818"/>
      <c r="M291" s="1094"/>
      <c r="N291" s="1094"/>
      <c r="O291" s="1094"/>
      <c r="P291" s="1094"/>
      <c r="Q291" s="1094"/>
      <c r="R291" s="1094"/>
      <c r="S291" s="1094"/>
      <c r="T291" s="1094"/>
      <c r="U291" s="1094"/>
      <c r="V291" s="1094"/>
      <c r="W291" s="1094"/>
      <c r="X291" s="1094"/>
      <c r="Y291" s="1094"/>
      <c r="Z291" s="1094"/>
      <c r="AA291" s="1094"/>
      <c r="AB291" s="1094"/>
      <c r="AC291" s="1094"/>
      <c r="AD291" s="1094"/>
      <c r="AE291" s="1094"/>
    </row>
    <row r="292" spans="2:31" ht="15.5">
      <c r="B292" s="1094"/>
      <c r="C292" s="434"/>
      <c r="D292" s="434"/>
      <c r="E292" s="434"/>
      <c r="F292" s="758"/>
      <c r="G292" s="818"/>
      <c r="H292" s="818"/>
      <c r="I292" s="818"/>
      <c r="J292" s="818"/>
      <c r="K292" s="818"/>
      <c r="L292" s="818"/>
      <c r="M292" s="1094"/>
      <c r="N292" s="1094"/>
      <c r="O292" s="1094"/>
      <c r="P292" s="1094"/>
      <c r="Q292" s="1094"/>
      <c r="R292" s="1094"/>
      <c r="S292" s="1094"/>
      <c r="T292" s="1094"/>
      <c r="U292" s="1094"/>
      <c r="V292" s="1094"/>
      <c r="W292" s="1094"/>
      <c r="X292" s="1094"/>
      <c r="Y292" s="1094"/>
      <c r="Z292" s="1094"/>
      <c r="AA292" s="1094"/>
      <c r="AB292" s="1094"/>
      <c r="AC292" s="1094"/>
      <c r="AD292" s="1094"/>
      <c r="AE292" s="1094"/>
    </row>
    <row r="293" spans="2:31" ht="15.5">
      <c r="B293" s="1094"/>
      <c r="C293" s="434"/>
      <c r="D293" s="434"/>
      <c r="E293" s="434"/>
      <c r="F293" s="758"/>
      <c r="G293" s="818"/>
      <c r="H293" s="818"/>
      <c r="I293" s="818"/>
      <c r="J293" s="818"/>
      <c r="K293" s="818"/>
      <c r="L293" s="818"/>
      <c r="M293" s="1094"/>
      <c r="N293" s="1094"/>
      <c r="O293" s="1094"/>
      <c r="P293" s="1094"/>
      <c r="Q293" s="1094"/>
      <c r="R293" s="1094"/>
      <c r="S293" s="1094"/>
      <c r="T293" s="1094"/>
      <c r="U293" s="1094"/>
      <c r="V293" s="1094"/>
      <c r="W293" s="1094"/>
      <c r="X293" s="1094"/>
      <c r="Y293" s="1094"/>
      <c r="Z293" s="1094"/>
      <c r="AA293" s="1094"/>
      <c r="AB293" s="1094"/>
      <c r="AC293" s="1094"/>
      <c r="AD293" s="1094"/>
      <c r="AE293" s="1094"/>
    </row>
    <row r="294" spans="2:31" ht="15.5">
      <c r="B294" s="1094"/>
      <c r="C294" s="434"/>
      <c r="D294" s="434"/>
      <c r="E294" s="434"/>
      <c r="F294" s="758"/>
      <c r="G294" s="818"/>
      <c r="H294" s="818"/>
      <c r="I294" s="818"/>
      <c r="J294" s="818"/>
      <c r="K294" s="818"/>
      <c r="L294" s="818"/>
      <c r="M294" s="1094"/>
      <c r="N294" s="1094"/>
      <c r="O294" s="1094"/>
      <c r="P294" s="1094"/>
      <c r="Q294" s="1094"/>
      <c r="R294" s="1094"/>
      <c r="S294" s="1094"/>
      <c r="T294" s="1094"/>
      <c r="U294" s="1094"/>
      <c r="V294" s="1094"/>
      <c r="W294" s="1094"/>
      <c r="X294" s="1094"/>
      <c r="Y294" s="1094"/>
      <c r="Z294" s="1094"/>
      <c r="AA294" s="1094"/>
      <c r="AB294" s="1094"/>
      <c r="AC294" s="1094"/>
      <c r="AD294" s="1094"/>
      <c r="AE294" s="1094"/>
    </row>
    <row r="295" spans="2:31" ht="15.5">
      <c r="B295" s="1094"/>
      <c r="C295" s="434"/>
      <c r="D295" s="434"/>
      <c r="E295" s="434"/>
      <c r="F295" s="758"/>
      <c r="G295" s="818"/>
      <c r="H295" s="818"/>
      <c r="I295" s="818"/>
      <c r="J295" s="818"/>
      <c r="K295" s="818"/>
      <c r="L295" s="818"/>
      <c r="M295" s="1094"/>
      <c r="N295" s="1094"/>
      <c r="O295" s="1094"/>
      <c r="P295" s="1094"/>
      <c r="Q295" s="1094"/>
      <c r="R295" s="1094"/>
      <c r="S295" s="1094"/>
      <c r="T295" s="1094"/>
      <c r="U295" s="1094"/>
      <c r="V295" s="1094"/>
      <c r="W295" s="1094"/>
      <c r="X295" s="1094"/>
      <c r="Y295" s="1094"/>
      <c r="Z295" s="1094"/>
      <c r="AA295" s="1094"/>
      <c r="AB295" s="1094"/>
      <c r="AC295" s="1094"/>
      <c r="AD295" s="1094"/>
      <c r="AE295" s="1094"/>
    </row>
    <row r="296" spans="2:31">
      <c r="B296" s="1094"/>
      <c r="C296" s="1094"/>
      <c r="D296" s="1094"/>
      <c r="E296" s="1094"/>
      <c r="G296" s="818"/>
      <c r="H296" s="1094"/>
      <c r="I296" s="1094"/>
      <c r="J296" s="1094"/>
      <c r="K296" s="1094"/>
      <c r="L296" s="1094"/>
      <c r="M296" s="1094"/>
      <c r="N296" s="1094"/>
      <c r="O296" s="1094"/>
      <c r="P296" s="1094"/>
      <c r="Q296" s="1094"/>
      <c r="R296" s="1094"/>
      <c r="S296" s="1094"/>
      <c r="T296" s="1094"/>
      <c r="U296" s="1094"/>
      <c r="V296" s="1094"/>
      <c r="W296" s="1094"/>
      <c r="X296" s="1094"/>
      <c r="Y296" s="1094"/>
      <c r="Z296" s="1094"/>
      <c r="AA296" s="1094"/>
      <c r="AB296" s="1094"/>
      <c r="AC296" s="1094"/>
      <c r="AD296" s="1094"/>
      <c r="AE296" s="1094"/>
    </row>
  </sheetData>
  <printOptions horizontalCentered="1"/>
  <pageMargins left="0.45" right="0.45" top="0.5" bottom="0.5" header="0.3" footer="0.25"/>
  <pageSetup scale="45"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10 N210 L216 N216 L263 N263 L266 N266 L12:N13 L103:N104 L194:N195 L206:N207 L211:N212 L217:N218 L264:N265"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3"/>
  <sheetViews>
    <sheetView showGridLines="0" zoomScale="80" zoomScaleNormal="80" workbookViewId="0"/>
  </sheetViews>
  <sheetFormatPr defaultColWidth="8.84375" defaultRowHeight="12.5"/>
  <cols>
    <col min="1" max="1" width="54.84375" style="167" customWidth="1"/>
    <col min="2" max="2" width="15" style="564" bestFit="1" customWidth="1"/>
    <col min="3" max="3" width="1.84375" style="564" customWidth="1"/>
    <col min="4" max="4" width="15" style="564" bestFit="1" customWidth="1"/>
    <col min="5" max="5" width="1.84375" style="563" customWidth="1"/>
    <col min="6" max="6" width="13.84375" style="564" customWidth="1"/>
    <col min="7" max="7" width="1.84375" style="563" customWidth="1"/>
    <col min="8" max="8" width="13.84375" style="564" customWidth="1"/>
    <col min="9" max="9" width="1.84375" style="563" customWidth="1"/>
    <col min="10" max="10" width="13.84375" style="564" customWidth="1"/>
    <col min="11" max="11" width="1.84375" style="564" customWidth="1"/>
    <col min="12" max="12" width="13.84375" style="564" customWidth="1"/>
    <col min="13" max="13" width="1.84375" style="563" customWidth="1"/>
    <col min="14" max="14" width="13.84375" style="564" customWidth="1"/>
    <col min="15" max="15" width="1.84375" style="563" customWidth="1"/>
    <col min="16" max="16" width="13.84375" style="564" customWidth="1"/>
    <col min="17" max="17" width="1.84375" style="563" customWidth="1"/>
    <col min="18" max="18" width="13.84375" style="564" customWidth="1"/>
    <col min="19" max="19" width="1.84375" style="563" customWidth="1"/>
    <col min="20" max="20" width="13.84375" style="564" customWidth="1"/>
    <col min="21" max="21" width="1.84375" style="563" customWidth="1"/>
    <col min="22" max="22" width="13.84375" style="564" customWidth="1"/>
    <col min="23" max="23" width="1.84375" style="563" customWidth="1"/>
    <col min="24" max="24" width="13.84375" style="564" customWidth="1"/>
    <col min="25" max="25" width="1.84375" style="563" customWidth="1"/>
    <col min="26" max="26" width="18.84375" style="114" customWidth="1"/>
    <col min="27" max="27" width="1.53515625" style="167" customWidth="1"/>
    <col min="28" max="28" width="18.84375" style="167" bestFit="1" customWidth="1"/>
    <col min="29" max="29" width="12.84375" style="167" bestFit="1" customWidth="1"/>
    <col min="30" max="16384" width="8.84375" style="167"/>
  </cols>
  <sheetData>
    <row r="1" spans="1:33" ht="15.5">
      <c r="A1" s="387" t="s">
        <v>97</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row>
    <row r="2" spans="1:33" ht="15.5">
      <c r="A2" s="387"/>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row>
    <row r="3" spans="1:33" ht="24" customHeight="1">
      <c r="A3" s="347" t="s">
        <v>98</v>
      </c>
      <c r="B3" s="164"/>
      <c r="C3" s="164"/>
      <c r="D3" s="165"/>
      <c r="E3" s="166"/>
      <c r="F3" s="165"/>
      <c r="G3" s="166"/>
      <c r="H3" s="165"/>
      <c r="I3" s="166"/>
      <c r="K3" s="164"/>
      <c r="L3" s="113"/>
      <c r="M3" s="164"/>
      <c r="N3" s="165"/>
      <c r="O3" s="166"/>
      <c r="P3" s="165"/>
      <c r="Q3" s="166"/>
      <c r="R3" s="165"/>
      <c r="S3" s="166"/>
      <c r="T3" s="165"/>
      <c r="U3" s="166"/>
      <c r="V3" s="165"/>
      <c r="W3" s="166"/>
      <c r="X3" s="165"/>
      <c r="Y3" s="166"/>
      <c r="Z3" s="343" t="s">
        <v>1332</v>
      </c>
      <c r="AA3" s="164"/>
      <c r="AC3" s="164"/>
      <c r="AE3" s="164"/>
    </row>
    <row r="4" spans="1:33" ht="16.5">
      <c r="A4" s="347" t="s">
        <v>1333</v>
      </c>
      <c r="B4" s="480"/>
      <c r="C4" s="480"/>
      <c r="D4" s="168"/>
      <c r="E4" s="166"/>
      <c r="F4" s="480"/>
      <c r="G4" s="166"/>
      <c r="H4" s="480"/>
      <c r="I4" s="166"/>
      <c r="J4" s="480"/>
      <c r="K4" s="480"/>
      <c r="L4" s="480"/>
      <c r="M4" s="169"/>
      <c r="N4" s="480"/>
      <c r="O4" s="166"/>
      <c r="P4" s="480"/>
      <c r="Q4" s="166"/>
      <c r="R4" s="480"/>
      <c r="S4" s="166"/>
      <c r="T4" s="480"/>
      <c r="U4" s="166"/>
      <c r="V4" s="480"/>
      <c r="W4" s="166"/>
      <c r="X4" s="480"/>
      <c r="Y4" s="166"/>
      <c r="Z4" s="481"/>
      <c r="AA4" s="170"/>
      <c r="AC4" s="164"/>
    </row>
    <row r="5" spans="1:33" ht="16.5">
      <c r="A5" s="348" t="s">
        <v>1334</v>
      </c>
      <c r="B5" s="480"/>
      <c r="C5" s="480"/>
      <c r="D5" s="480"/>
      <c r="E5" s="166"/>
      <c r="F5" s="480"/>
      <c r="G5" s="166"/>
      <c r="H5" s="480"/>
      <c r="I5" s="166"/>
      <c r="J5" s="480"/>
      <c r="K5" s="480"/>
      <c r="L5" s="480"/>
      <c r="M5" s="169"/>
      <c r="N5" s="480"/>
      <c r="O5" s="166"/>
      <c r="P5" s="480"/>
      <c r="Q5" s="166"/>
      <c r="R5" s="480"/>
      <c r="S5" s="166"/>
      <c r="T5" s="480"/>
      <c r="U5" s="166"/>
      <c r="V5" s="480"/>
      <c r="W5" s="166"/>
      <c r="X5" s="480"/>
      <c r="Y5" s="166"/>
      <c r="Z5" s="481"/>
    </row>
    <row r="6" spans="1:33" ht="18" customHeight="1">
      <c r="A6" s="171" t="str">
        <f>'Cashflow Governmental'!A6</f>
        <v>FISCAL YEAR 2026-2027</v>
      </c>
      <c r="B6" s="480"/>
      <c r="C6" s="480"/>
      <c r="D6" s="173"/>
      <c r="E6" s="166"/>
      <c r="F6" s="480"/>
      <c r="G6" s="166"/>
      <c r="H6" s="480"/>
      <c r="I6" s="166"/>
      <c r="J6" s="480"/>
      <c r="K6" s="480"/>
      <c r="L6" s="480"/>
      <c r="M6" s="169"/>
      <c r="N6" s="480"/>
      <c r="O6" s="166"/>
      <c r="P6" s="480"/>
      <c r="Q6" s="166"/>
      <c r="R6" s="480"/>
      <c r="S6" s="166"/>
      <c r="T6" s="480"/>
      <c r="U6" s="166"/>
      <c r="V6" s="480"/>
      <c r="W6" s="166"/>
      <c r="X6" s="480"/>
      <c r="Y6" s="166"/>
      <c r="Z6" s="481"/>
    </row>
    <row r="7" spans="1:33" ht="15" customHeight="1">
      <c r="A7" s="172"/>
      <c r="B7" s="480"/>
      <c r="C7" s="480"/>
      <c r="D7" s="480"/>
      <c r="E7" s="166"/>
      <c r="F7" s="480"/>
      <c r="G7" s="166"/>
      <c r="H7" s="480"/>
      <c r="I7" s="166"/>
      <c r="J7" s="480"/>
      <c r="K7" s="480"/>
      <c r="L7" s="480"/>
      <c r="M7" s="169"/>
      <c r="N7" s="480"/>
      <c r="O7" s="166"/>
      <c r="P7" s="480"/>
      <c r="Q7" s="166"/>
      <c r="R7" s="482"/>
      <c r="S7" s="166"/>
      <c r="T7" s="482"/>
      <c r="U7" s="166"/>
      <c r="V7" s="482"/>
      <c r="W7" s="166"/>
      <c r="X7" s="482"/>
      <c r="Y7" s="166"/>
      <c r="Z7" s="481"/>
    </row>
    <row r="8" spans="1:33" ht="15.5">
      <c r="A8" s="163"/>
      <c r="B8" s="480"/>
      <c r="C8" s="480"/>
      <c r="D8" s="480"/>
      <c r="E8" s="166"/>
      <c r="F8" s="480"/>
      <c r="G8" s="166"/>
      <c r="H8" s="480"/>
      <c r="I8" s="166"/>
      <c r="J8" s="480"/>
      <c r="K8" s="480"/>
      <c r="L8" s="480"/>
      <c r="M8" s="166"/>
      <c r="N8" s="480"/>
      <c r="O8" s="166"/>
      <c r="P8" s="480"/>
      <c r="Q8" s="166"/>
      <c r="R8" s="480"/>
      <c r="S8" s="166"/>
      <c r="T8" s="480"/>
      <c r="U8" s="166"/>
      <c r="V8" s="480"/>
      <c r="W8" s="166"/>
      <c r="X8" s="480"/>
      <c r="Y8" s="166"/>
      <c r="Z8" s="174"/>
      <c r="AA8" s="175"/>
    </row>
    <row r="9" spans="1:33" ht="15" customHeight="1">
      <c r="A9" s="483"/>
      <c r="B9" s="373" t="str">
        <f>'Cashflow Governmental'!C13</f>
        <v>2026</v>
      </c>
      <c r="C9" s="176"/>
      <c r="D9" s="176"/>
      <c r="E9" s="169"/>
      <c r="F9" s="176"/>
      <c r="G9" s="169"/>
      <c r="H9" s="176"/>
      <c r="I9" s="169"/>
      <c r="J9" s="176"/>
      <c r="K9" s="176"/>
      <c r="L9" s="177"/>
      <c r="M9" s="169"/>
      <c r="N9" s="177"/>
      <c r="O9" s="169"/>
      <c r="P9" s="177"/>
      <c r="Q9" s="169"/>
      <c r="R9" s="177"/>
      <c r="S9" s="169"/>
      <c r="T9" s="373">
        <f>'Cashflow Governmental'!U13</f>
        <v>2027</v>
      </c>
      <c r="U9" s="169"/>
      <c r="V9" s="177"/>
      <c r="W9" s="169"/>
      <c r="X9" s="177"/>
      <c r="Y9" s="169"/>
      <c r="Z9" s="177" t="str">
        <f>_xlfn.CONCAT(_xlfn.TEXTBEFORE('Exhibit A'!$F$11," ")," MONTH ENDED")</f>
        <v>1 MONTH ENDED</v>
      </c>
      <c r="AA9" s="177"/>
      <c r="AB9" s="1657"/>
    </row>
    <row r="10" spans="1:33" ht="15" customHeight="1">
      <c r="A10" s="483"/>
      <c r="B10" s="178" t="s">
        <v>329</v>
      </c>
      <c r="C10" s="178"/>
      <c r="D10" s="177" t="s">
        <v>330</v>
      </c>
      <c r="E10" s="169"/>
      <c r="F10" s="177" t="s">
        <v>331</v>
      </c>
      <c r="G10" s="169"/>
      <c r="H10" s="177" t="s">
        <v>332</v>
      </c>
      <c r="I10" s="169"/>
      <c r="J10" s="177" t="s">
        <v>333</v>
      </c>
      <c r="K10" s="179"/>
      <c r="L10" s="177" t="s">
        <v>445</v>
      </c>
      <c r="M10" s="169"/>
      <c r="N10" s="177" t="s">
        <v>446</v>
      </c>
      <c r="O10" s="169"/>
      <c r="P10" s="177" t="s">
        <v>336</v>
      </c>
      <c r="Q10" s="169"/>
      <c r="R10" s="177" t="s">
        <v>337</v>
      </c>
      <c r="S10" s="169"/>
      <c r="T10" s="177" t="s">
        <v>338</v>
      </c>
      <c r="U10" s="169"/>
      <c r="V10" s="177" t="s">
        <v>339</v>
      </c>
      <c r="W10" s="169"/>
      <c r="X10" s="177" t="s">
        <v>447</v>
      </c>
      <c r="Y10" s="169"/>
      <c r="Z10" s="180" t="str">
        <f>'Sch 5 '!G12</f>
        <v>APRIL 30, 2026</v>
      </c>
      <c r="AA10" s="180"/>
      <c r="AB10" s="1657"/>
    </row>
    <row r="11" spans="1:33" ht="15" customHeight="1">
      <c r="A11" s="483"/>
      <c r="B11" s="613" t="s">
        <v>103</v>
      </c>
      <c r="C11" s="484"/>
      <c r="D11" s="613" t="s">
        <v>103</v>
      </c>
      <c r="E11" s="485"/>
      <c r="F11" s="613" t="s">
        <v>103</v>
      </c>
      <c r="G11" s="485"/>
      <c r="H11" s="613" t="s">
        <v>103</v>
      </c>
      <c r="I11" s="485"/>
      <c r="J11" s="613" t="s">
        <v>103</v>
      </c>
      <c r="K11" s="179"/>
      <c r="L11" s="613" t="s">
        <v>103</v>
      </c>
      <c r="M11" s="485"/>
      <c r="N11" s="613" t="s">
        <v>103</v>
      </c>
      <c r="O11" s="485"/>
      <c r="P11" s="613" t="s">
        <v>103</v>
      </c>
      <c r="Q11" s="485"/>
      <c r="R11" s="613" t="s">
        <v>103</v>
      </c>
      <c r="S11" s="485"/>
      <c r="T11" s="613" t="s">
        <v>103</v>
      </c>
      <c r="U11" s="485"/>
      <c r="V11" s="613" t="s">
        <v>103</v>
      </c>
      <c r="W11" s="485"/>
      <c r="X11" s="613" t="s">
        <v>103</v>
      </c>
      <c r="Y11" s="485"/>
      <c r="Z11" s="1278" t="s">
        <v>103</v>
      </c>
    </row>
    <row r="12" spans="1:33" s="182" customFormat="1" ht="15" customHeight="1">
      <c r="A12" s="185" t="s">
        <v>923</v>
      </c>
      <c r="B12" s="181">
        <v>108964727</v>
      </c>
      <c r="C12" s="181"/>
      <c r="D12" s="181"/>
      <c r="E12" s="486"/>
      <c r="F12" s="181"/>
      <c r="G12" s="486"/>
      <c r="H12" s="181"/>
      <c r="I12" s="486"/>
      <c r="J12" s="181"/>
      <c r="K12" s="181"/>
      <c r="L12" s="181"/>
      <c r="M12" s="179"/>
      <c r="N12" s="181"/>
      <c r="O12" s="181"/>
      <c r="P12" s="181"/>
      <c r="Q12" s="181"/>
      <c r="R12" s="181"/>
      <c r="S12" s="181"/>
      <c r="T12" s="181"/>
      <c r="U12" s="181"/>
      <c r="V12" s="181"/>
      <c r="W12" s="181"/>
      <c r="X12" s="181"/>
      <c r="Y12" s="181"/>
      <c r="Z12" s="181">
        <f>+B12</f>
        <v>108964727</v>
      </c>
    </row>
    <row r="13" spans="1:33" ht="15" customHeight="1">
      <c r="A13" s="487"/>
      <c r="B13" s="488"/>
      <c r="C13" s="488"/>
      <c r="D13" s="488"/>
      <c r="E13" s="488"/>
      <c r="F13" s="488"/>
      <c r="G13" s="488"/>
      <c r="H13" s="488"/>
      <c r="I13" s="488"/>
      <c r="J13" s="488"/>
      <c r="K13" s="179"/>
      <c r="L13" s="488"/>
      <c r="M13" s="488"/>
      <c r="N13" s="488"/>
      <c r="O13" s="488"/>
      <c r="P13" s="488"/>
      <c r="Q13" s="488"/>
      <c r="R13" s="488"/>
      <c r="S13" s="488"/>
      <c r="T13" s="488"/>
      <c r="U13" s="488"/>
      <c r="V13" s="488"/>
      <c r="W13" s="488"/>
      <c r="X13" s="488"/>
      <c r="Y13" s="488"/>
      <c r="Z13" s="489"/>
    </row>
    <row r="14" spans="1:33" ht="15" customHeight="1">
      <c r="A14" s="183" t="s">
        <v>114</v>
      </c>
      <c r="B14" s="488"/>
      <c r="C14" s="488"/>
      <c r="D14" s="488"/>
      <c r="E14" s="488"/>
      <c r="F14" s="488"/>
      <c r="G14" s="488"/>
      <c r="H14" s="488"/>
      <c r="I14" s="488"/>
      <c r="J14" s="488"/>
      <c r="K14" s="488"/>
      <c r="L14" s="488"/>
      <c r="M14" s="488"/>
      <c r="N14" s="488"/>
      <c r="O14" s="488"/>
      <c r="P14" s="488"/>
      <c r="Q14" s="488"/>
      <c r="R14" s="488"/>
      <c r="S14" s="488"/>
      <c r="T14" s="488"/>
      <c r="U14" s="488"/>
      <c r="V14" s="488"/>
      <c r="W14" s="488"/>
      <c r="X14" s="488"/>
      <c r="Y14" s="488"/>
      <c r="Z14" s="489"/>
      <c r="AC14" s="614"/>
    </row>
    <row r="15" spans="1:33" ht="15" customHeight="1">
      <c r="A15" s="349" t="s">
        <v>1335</v>
      </c>
      <c r="B15" s="490">
        <v>0</v>
      </c>
      <c r="C15" s="490"/>
      <c r="D15" s="490"/>
      <c r="E15" s="490"/>
      <c r="F15" s="490"/>
      <c r="G15" s="490"/>
      <c r="H15" s="490"/>
      <c r="I15" s="490"/>
      <c r="J15" s="614"/>
      <c r="K15" s="490"/>
      <c r="L15" s="490"/>
      <c r="M15" s="488"/>
      <c r="N15" s="490"/>
      <c r="O15" s="490"/>
      <c r="P15" s="490"/>
      <c r="Q15" s="490"/>
      <c r="R15" s="490"/>
      <c r="S15" s="490"/>
      <c r="T15" s="490"/>
      <c r="U15" s="490"/>
      <c r="V15" s="490"/>
      <c r="W15" s="490"/>
      <c r="X15" s="490"/>
      <c r="Y15" s="490"/>
      <c r="Z15" s="491">
        <f>SUM(B15:X15)</f>
        <v>0</v>
      </c>
    </row>
    <row r="16" spans="1:33" ht="15" customHeight="1">
      <c r="A16" s="349" t="s">
        <v>1336</v>
      </c>
      <c r="B16" s="490">
        <v>0</v>
      </c>
      <c r="C16" s="490"/>
      <c r="D16" s="490"/>
      <c r="E16" s="490"/>
      <c r="F16" s="490"/>
      <c r="G16" s="490"/>
      <c r="H16" s="1257"/>
      <c r="I16" s="490"/>
      <c r="J16" s="614"/>
      <c r="K16" s="490"/>
      <c r="L16" s="490"/>
      <c r="M16" s="488"/>
      <c r="N16" s="490"/>
      <c r="O16" s="490"/>
      <c r="P16" s="490"/>
      <c r="Q16" s="490"/>
      <c r="R16" s="490"/>
      <c r="S16" s="490"/>
      <c r="T16" s="490"/>
      <c r="U16" s="490"/>
      <c r="V16" s="490"/>
      <c r="W16" s="490"/>
      <c r="X16" s="490"/>
      <c r="Y16" s="490"/>
      <c r="Z16" s="491">
        <f>SUM(B16:X16)</f>
        <v>0</v>
      </c>
    </row>
    <row r="17" spans="1:28" s="182" customFormat="1" ht="22.5" customHeight="1">
      <c r="A17" s="183" t="s">
        <v>427</v>
      </c>
      <c r="B17" s="594">
        <f>ROUND(SUM(B15:B16),0)</f>
        <v>0</v>
      </c>
      <c r="C17" s="184"/>
      <c r="D17" s="594">
        <f>ROUND(SUM(D15:D16),0)</f>
        <v>0</v>
      </c>
      <c r="E17" s="184"/>
      <c r="F17" s="594">
        <f>ROUND(SUM(F15:F16),0)</f>
        <v>0</v>
      </c>
      <c r="G17" s="184"/>
      <c r="H17" s="1258">
        <f>SUM(H15:H16)</f>
        <v>0</v>
      </c>
      <c r="I17" s="184"/>
      <c r="J17" s="594">
        <f>ROUND(SUM(J15:J16),0)</f>
        <v>0</v>
      </c>
      <c r="K17" s="184"/>
      <c r="L17" s="594">
        <f>ROUND(SUM(L15:L16),0)</f>
        <v>0</v>
      </c>
      <c r="M17" s="179"/>
      <c r="N17" s="594">
        <f>ROUND(SUM(N15:N16),0)</f>
        <v>0</v>
      </c>
      <c r="O17" s="184"/>
      <c r="P17" s="594">
        <f>ROUND(SUM(P15:P16),0)</f>
        <v>0</v>
      </c>
      <c r="Q17" s="184"/>
      <c r="R17" s="594">
        <f>ROUND(SUM(R15:R16),0)</f>
        <v>0</v>
      </c>
      <c r="S17" s="184"/>
      <c r="T17" s="594">
        <f>ROUND(SUM(T15:T16),0)</f>
        <v>0</v>
      </c>
      <c r="U17" s="184"/>
      <c r="V17" s="594">
        <f>ROUND(SUM(V15:V16),0)</f>
        <v>0</v>
      </c>
      <c r="W17" s="184"/>
      <c r="X17" s="594">
        <f>ROUND(SUM(X15:X16),0)</f>
        <v>0</v>
      </c>
      <c r="Y17" s="184"/>
      <c r="Z17" s="594">
        <f>ROUND(SUM(Z15:Z16),0)</f>
        <v>0</v>
      </c>
      <c r="AB17" s="115"/>
    </row>
    <row r="18" spans="1:28" ht="15" customHeight="1">
      <c r="A18" s="487"/>
      <c r="B18" s="490"/>
      <c r="C18" s="490"/>
      <c r="D18" s="490"/>
      <c r="E18" s="490"/>
      <c r="F18" s="490"/>
      <c r="G18" s="490"/>
      <c r="H18" s="490"/>
      <c r="I18" s="490"/>
      <c r="J18" s="490"/>
      <c r="K18" s="490"/>
      <c r="L18" s="490"/>
      <c r="M18" s="488"/>
      <c r="N18" s="490"/>
      <c r="O18" s="490"/>
      <c r="P18" s="490"/>
      <c r="Q18" s="490"/>
      <c r="R18" s="490"/>
      <c r="S18" s="490"/>
      <c r="T18" s="490"/>
      <c r="U18" s="490"/>
      <c r="V18" s="490"/>
      <c r="W18" s="490"/>
      <c r="X18" s="490"/>
      <c r="Y18" s="490"/>
      <c r="Z18" s="493"/>
    </row>
    <row r="19" spans="1:28" ht="15" customHeight="1">
      <c r="A19" s="183" t="s">
        <v>122</v>
      </c>
      <c r="B19" s="490"/>
      <c r="C19" s="490"/>
      <c r="D19" s="490"/>
      <c r="E19" s="490"/>
      <c r="F19" s="490"/>
      <c r="G19" s="490"/>
      <c r="H19" s="490"/>
      <c r="I19" s="490"/>
      <c r="J19" s="490"/>
      <c r="K19" s="490"/>
      <c r="L19" s="490"/>
      <c r="M19" s="488"/>
      <c r="N19" s="490"/>
      <c r="O19" s="490"/>
      <c r="P19" s="490"/>
      <c r="Q19" s="490"/>
      <c r="R19" s="490"/>
      <c r="S19" s="490"/>
      <c r="T19" s="490"/>
      <c r="U19" s="490"/>
      <c r="V19" s="490"/>
      <c r="W19" s="490"/>
      <c r="X19" s="490"/>
      <c r="Y19" s="490"/>
      <c r="Z19" s="491"/>
    </row>
    <row r="20" spans="1:28" ht="15" customHeight="1">
      <c r="A20" s="349" t="s">
        <v>1337</v>
      </c>
      <c r="B20" s="490">
        <v>0</v>
      </c>
      <c r="C20" s="490"/>
      <c r="D20" s="490"/>
      <c r="E20" s="490"/>
      <c r="F20" s="490"/>
      <c r="G20" s="490"/>
      <c r="H20" s="490"/>
      <c r="I20" s="490"/>
      <c r="J20" s="490"/>
      <c r="K20" s="490"/>
      <c r="L20" s="490"/>
      <c r="M20" s="488"/>
      <c r="N20" s="490"/>
      <c r="O20" s="490"/>
      <c r="P20" s="490"/>
      <c r="Q20" s="490"/>
      <c r="R20" s="490"/>
      <c r="S20" s="490"/>
      <c r="T20" s="490"/>
      <c r="U20" s="490"/>
      <c r="V20" s="490"/>
      <c r="W20" s="490"/>
      <c r="X20" s="490"/>
      <c r="Y20" s="490"/>
      <c r="Z20" s="491">
        <f>ROUND(SUM(B20:X20),0)</f>
        <v>0</v>
      </c>
    </row>
    <row r="21" spans="1:28" ht="15" customHeight="1">
      <c r="A21" s="349" t="s">
        <v>1338</v>
      </c>
      <c r="B21" s="490">
        <v>0</v>
      </c>
      <c r="C21" s="490"/>
      <c r="D21" s="490"/>
      <c r="E21" s="490"/>
      <c r="F21" s="490"/>
      <c r="G21" s="490"/>
      <c r="H21" s="490"/>
      <c r="I21" s="490"/>
      <c r="J21" s="490"/>
      <c r="K21" s="490"/>
      <c r="L21" s="490"/>
      <c r="M21" s="488"/>
      <c r="N21" s="490"/>
      <c r="O21" s="490"/>
      <c r="P21" s="490"/>
      <c r="Q21" s="490"/>
      <c r="R21" s="490"/>
      <c r="S21" s="490"/>
      <c r="T21" s="490"/>
      <c r="U21" s="490"/>
      <c r="V21" s="490"/>
      <c r="W21" s="490"/>
      <c r="X21" s="490"/>
      <c r="Y21" s="490"/>
      <c r="Z21" s="949">
        <f>ROUND(SUM(B21:X21),0)</f>
        <v>0</v>
      </c>
    </row>
    <row r="22" spans="1:28" ht="15" customHeight="1">
      <c r="A22" s="349" t="s">
        <v>1339</v>
      </c>
      <c r="B22" s="490">
        <v>228741</v>
      </c>
      <c r="C22" s="490"/>
      <c r="D22" s="490"/>
      <c r="E22" s="490"/>
      <c r="F22" s="490"/>
      <c r="G22" s="490"/>
      <c r="H22" s="490"/>
      <c r="I22" s="490"/>
      <c r="J22" s="490"/>
      <c r="K22" s="490"/>
      <c r="L22" s="490"/>
      <c r="M22" s="488"/>
      <c r="N22" s="490"/>
      <c r="O22" s="490"/>
      <c r="P22" s="490"/>
      <c r="Q22" s="490"/>
      <c r="R22" s="490"/>
      <c r="S22" s="490"/>
      <c r="T22" s="490"/>
      <c r="U22" s="490"/>
      <c r="V22" s="490"/>
      <c r="W22" s="490"/>
      <c r="X22" s="490"/>
      <c r="Y22" s="490"/>
      <c r="Z22" s="949">
        <f>ROUND(SUM(B22:X22),0)</f>
        <v>228741</v>
      </c>
      <c r="AB22" s="873"/>
    </row>
    <row r="23" spans="1:28" ht="15" customHeight="1">
      <c r="A23" s="349" t="s">
        <v>1472</v>
      </c>
      <c r="B23" s="490">
        <v>0</v>
      </c>
      <c r="C23" s="490"/>
      <c r="D23" s="490"/>
      <c r="E23" s="490"/>
      <c r="F23" s="490"/>
      <c r="G23" s="490"/>
      <c r="H23" s="490"/>
      <c r="I23" s="490"/>
      <c r="J23" s="490"/>
      <c r="K23" s="490"/>
      <c r="L23" s="490"/>
      <c r="M23" s="488"/>
      <c r="N23" s="490"/>
      <c r="O23" s="490"/>
      <c r="P23" s="490"/>
      <c r="Q23" s="490"/>
      <c r="R23" s="490"/>
      <c r="S23" s="490"/>
      <c r="T23" s="490"/>
      <c r="U23" s="490"/>
      <c r="V23" s="490"/>
      <c r="W23" s="490"/>
      <c r="X23" s="490"/>
      <c r="Y23" s="490"/>
      <c r="Z23" s="949">
        <f t="shared" ref="Z23:Z25" si="0">ROUND(SUM(B23:X23),0)</f>
        <v>0</v>
      </c>
      <c r="AB23" s="873"/>
    </row>
    <row r="24" spans="1:28" ht="15" customHeight="1">
      <c r="A24" s="349" t="s">
        <v>1340</v>
      </c>
      <c r="B24" s="490">
        <v>0</v>
      </c>
      <c r="C24" s="490"/>
      <c r="D24" s="490"/>
      <c r="E24" s="490"/>
      <c r="F24" s="490"/>
      <c r="G24" s="490"/>
      <c r="H24" s="490"/>
      <c r="I24" s="490"/>
      <c r="J24" s="490"/>
      <c r="K24" s="490"/>
      <c r="L24" s="490"/>
      <c r="M24" s="488"/>
      <c r="N24" s="490"/>
      <c r="O24" s="490"/>
      <c r="P24" s="490"/>
      <c r="Q24" s="490"/>
      <c r="R24" s="490"/>
      <c r="S24" s="490"/>
      <c r="T24" s="490"/>
      <c r="U24" s="490"/>
      <c r="V24" s="490"/>
      <c r="W24" s="490"/>
      <c r="X24" s="490"/>
      <c r="Y24" s="490"/>
      <c r="Z24" s="949">
        <f t="shared" si="0"/>
        <v>0</v>
      </c>
    </row>
    <row r="25" spans="1:28" ht="15" customHeight="1">
      <c r="A25" s="349" t="s">
        <v>1341</v>
      </c>
      <c r="B25" s="490">
        <v>0</v>
      </c>
      <c r="C25" s="490"/>
      <c r="D25" s="490"/>
      <c r="E25" s="490"/>
      <c r="F25" s="490"/>
      <c r="G25" s="490"/>
      <c r="H25" s="490"/>
      <c r="I25" s="490"/>
      <c r="J25" s="490"/>
      <c r="K25" s="490"/>
      <c r="L25" s="490"/>
      <c r="M25" s="488"/>
      <c r="N25" s="490"/>
      <c r="O25" s="490"/>
      <c r="P25" s="490"/>
      <c r="Q25" s="490"/>
      <c r="R25" s="490"/>
      <c r="S25" s="490"/>
      <c r="T25" s="490"/>
      <c r="U25" s="490"/>
      <c r="V25" s="490"/>
      <c r="W25" s="490"/>
      <c r="X25" s="490"/>
      <c r="Y25" s="490"/>
      <c r="Z25" s="949">
        <f t="shared" si="0"/>
        <v>0</v>
      </c>
    </row>
    <row r="26" spans="1:28" ht="15" customHeight="1">
      <c r="A26" s="349" t="s">
        <v>1342</v>
      </c>
      <c r="B26" s="490">
        <v>3840</v>
      </c>
      <c r="C26" s="490"/>
      <c r="D26" s="490"/>
      <c r="E26" s="490"/>
      <c r="F26" s="490"/>
      <c r="G26" s="490"/>
      <c r="H26" s="490"/>
      <c r="I26" s="490"/>
      <c r="J26" s="490"/>
      <c r="K26" s="490"/>
      <c r="L26" s="490"/>
      <c r="M26" s="488"/>
      <c r="N26" s="490"/>
      <c r="O26" s="490"/>
      <c r="P26" s="490"/>
      <c r="Q26" s="490"/>
      <c r="R26" s="490"/>
      <c r="S26" s="490"/>
      <c r="T26" s="490"/>
      <c r="U26" s="490"/>
      <c r="V26" s="490"/>
      <c r="W26" s="490"/>
      <c r="X26" s="490"/>
      <c r="Y26" s="490"/>
      <c r="Z26" s="949">
        <f>ROUND(SUM(B26:X26),0)</f>
        <v>3840</v>
      </c>
    </row>
    <row r="27" spans="1:28" ht="14.9" customHeight="1">
      <c r="A27" s="349" t="s">
        <v>1343</v>
      </c>
      <c r="B27" s="490">
        <v>1029250</v>
      </c>
      <c r="C27" s="490"/>
      <c r="D27" s="490"/>
      <c r="E27" s="490"/>
      <c r="F27" s="490"/>
      <c r="G27" s="490"/>
      <c r="H27" s="490"/>
      <c r="I27" s="490"/>
      <c r="J27" s="490"/>
      <c r="K27" s="490"/>
      <c r="L27" s="490"/>
      <c r="M27" s="488"/>
      <c r="N27" s="490"/>
      <c r="O27" s="490"/>
      <c r="P27" s="490"/>
      <c r="Q27" s="490"/>
      <c r="R27" s="490"/>
      <c r="S27" s="490"/>
      <c r="T27" s="490"/>
      <c r="U27" s="490"/>
      <c r="V27" s="490"/>
      <c r="W27" s="490"/>
      <c r="X27" s="490"/>
      <c r="Y27" s="490"/>
      <c r="Z27" s="949">
        <f t="shared" ref="Z27:Z30" si="1">ROUND(SUM(B27:X27),0)</f>
        <v>1029250</v>
      </c>
    </row>
    <row r="28" spans="1:28" ht="14.9" customHeight="1">
      <c r="A28" s="349" t="s">
        <v>1344</v>
      </c>
      <c r="B28" s="490">
        <v>858000</v>
      </c>
      <c r="C28" s="490"/>
      <c r="D28" s="490"/>
      <c r="E28" s="490"/>
      <c r="F28" s="490"/>
      <c r="G28" s="490"/>
      <c r="H28" s="490"/>
      <c r="I28" s="490"/>
      <c r="J28" s="490"/>
      <c r="K28" s="490"/>
      <c r="L28" s="490"/>
      <c r="M28" s="488"/>
      <c r="N28" s="490"/>
      <c r="O28" s="490"/>
      <c r="P28" s="490"/>
      <c r="Q28" s="490"/>
      <c r="R28" s="490"/>
      <c r="S28" s="490"/>
      <c r="T28" s="490"/>
      <c r="U28" s="490"/>
      <c r="V28" s="490"/>
      <c r="W28" s="490"/>
      <c r="X28" s="490"/>
      <c r="Y28" s="490"/>
      <c r="Z28" s="949">
        <f>ROUND(SUM(B28:X28),0)</f>
        <v>858000</v>
      </c>
    </row>
    <row r="29" spans="1:28" ht="14.9" customHeight="1">
      <c r="A29" s="349" t="s">
        <v>1405</v>
      </c>
      <c r="B29" s="490">
        <v>0</v>
      </c>
      <c r="C29" s="490"/>
      <c r="D29" s="490"/>
      <c r="E29" s="490"/>
      <c r="F29" s="490"/>
      <c r="G29" s="490"/>
      <c r="H29" s="490"/>
      <c r="I29" s="490"/>
      <c r="J29" s="490"/>
      <c r="K29" s="490"/>
      <c r="L29" s="490"/>
      <c r="M29" s="488"/>
      <c r="N29" s="490"/>
      <c r="O29" s="490"/>
      <c r="P29" s="490"/>
      <c r="Q29" s="490"/>
      <c r="R29" s="490"/>
      <c r="S29" s="490"/>
      <c r="T29" s="490"/>
      <c r="U29" s="490"/>
      <c r="V29" s="490"/>
      <c r="W29" s="490"/>
      <c r="X29" s="490"/>
      <c r="Y29" s="490"/>
      <c r="Z29" s="949">
        <f t="shared" si="1"/>
        <v>0</v>
      </c>
    </row>
    <row r="30" spans="1:28" ht="14.9" customHeight="1">
      <c r="A30" s="349" t="s">
        <v>1406</v>
      </c>
      <c r="B30" s="490">
        <v>0</v>
      </c>
      <c r="C30" s="490"/>
      <c r="D30" s="490"/>
      <c r="E30" s="490"/>
      <c r="F30" s="490"/>
      <c r="G30" s="490"/>
      <c r="H30" s="490"/>
      <c r="I30" s="490"/>
      <c r="J30" s="490"/>
      <c r="K30" s="490"/>
      <c r="L30" s="490"/>
      <c r="M30" s="488"/>
      <c r="N30" s="490"/>
      <c r="O30" s="490"/>
      <c r="P30" s="490"/>
      <c r="Q30" s="490"/>
      <c r="R30" s="490"/>
      <c r="S30" s="490"/>
      <c r="T30" s="490"/>
      <c r="U30" s="490"/>
      <c r="V30" s="490"/>
      <c r="W30" s="490"/>
      <c r="X30" s="490"/>
      <c r="Y30" s="490"/>
      <c r="Z30" s="949">
        <f t="shared" si="1"/>
        <v>0</v>
      </c>
    </row>
    <row r="31" spans="1:28" ht="15" customHeight="1">
      <c r="A31" s="349" t="s">
        <v>1345</v>
      </c>
      <c r="B31" s="490">
        <v>0</v>
      </c>
      <c r="C31" s="490"/>
      <c r="D31" s="490"/>
      <c r="E31" s="490"/>
      <c r="F31" s="490"/>
      <c r="G31" s="490"/>
      <c r="H31" s="490"/>
      <c r="I31" s="490"/>
      <c r="J31" s="490"/>
      <c r="K31" s="490"/>
      <c r="L31" s="490"/>
      <c r="M31" s="488"/>
      <c r="N31" s="490"/>
      <c r="O31" s="490"/>
      <c r="P31" s="490"/>
      <c r="Q31" s="490"/>
      <c r="R31" s="490"/>
      <c r="S31" s="490"/>
      <c r="T31" s="490"/>
      <c r="U31" s="490"/>
      <c r="V31" s="490"/>
      <c r="W31" s="490"/>
      <c r="X31" s="490"/>
      <c r="Y31" s="490"/>
      <c r="Z31" s="491">
        <f>ROUND(SUM(B31:X31),0)</f>
        <v>0</v>
      </c>
    </row>
    <row r="32" spans="1:28" ht="15" customHeight="1">
      <c r="A32" s="349" t="s">
        <v>1346</v>
      </c>
      <c r="B32" s="490">
        <v>0</v>
      </c>
      <c r="C32" s="490"/>
      <c r="D32" s="490"/>
      <c r="E32" s="490"/>
      <c r="F32" s="490"/>
      <c r="G32" s="490"/>
      <c r="H32" s="490"/>
      <c r="I32" s="490"/>
      <c r="J32" s="490"/>
      <c r="K32" s="490"/>
      <c r="L32" s="490"/>
      <c r="M32" s="488"/>
      <c r="N32" s="490"/>
      <c r="O32" s="490"/>
      <c r="P32" s="490"/>
      <c r="Q32" s="490"/>
      <c r="R32" s="490"/>
      <c r="S32" s="490"/>
      <c r="T32" s="490"/>
      <c r="U32" s="490"/>
      <c r="V32" s="490"/>
      <c r="W32" s="490"/>
      <c r="X32" s="490"/>
      <c r="Y32" s="490"/>
      <c r="Z32" s="491">
        <f t="shared" ref="Z32" si="2">ROUND(SUM(B32:X32),0)</f>
        <v>0</v>
      </c>
    </row>
    <row r="33" spans="1:28" ht="15" customHeight="1">
      <c r="A33" s="349" t="s">
        <v>1347</v>
      </c>
      <c r="B33" s="490">
        <v>3420458</v>
      </c>
      <c r="C33" s="490"/>
      <c r="D33" s="490"/>
      <c r="E33" s="490"/>
      <c r="F33" s="490"/>
      <c r="G33" s="490"/>
      <c r="H33" s="490"/>
      <c r="I33" s="490"/>
      <c r="J33" s="490"/>
      <c r="K33" s="490"/>
      <c r="L33" s="490"/>
      <c r="M33" s="488"/>
      <c r="N33" s="490"/>
      <c r="O33" s="490"/>
      <c r="P33" s="490"/>
      <c r="Q33" s="490"/>
      <c r="R33" s="490"/>
      <c r="S33" s="490"/>
      <c r="T33" s="490"/>
      <c r="U33" s="490"/>
      <c r="V33" s="490"/>
      <c r="W33" s="490"/>
      <c r="X33" s="490"/>
      <c r="Y33" s="490"/>
      <c r="Z33" s="491">
        <f>ROUND(SUM(B33:X33),0)</f>
        <v>3420458</v>
      </c>
    </row>
    <row r="34" spans="1:28" ht="15" customHeight="1">
      <c r="A34" s="349" t="s">
        <v>1454</v>
      </c>
      <c r="B34" s="490">
        <v>0</v>
      </c>
      <c r="C34" s="490"/>
      <c r="D34" s="490"/>
      <c r="E34" s="490"/>
      <c r="F34" s="490"/>
      <c r="G34" s="490"/>
      <c r="H34" s="490"/>
      <c r="I34" s="490"/>
      <c r="J34" s="490"/>
      <c r="K34" s="490"/>
      <c r="L34" s="490"/>
      <c r="M34" s="488"/>
      <c r="N34" s="490"/>
      <c r="O34" s="490"/>
      <c r="P34" s="490"/>
      <c r="Q34" s="490"/>
      <c r="R34" s="490"/>
      <c r="S34" s="490"/>
      <c r="T34" s="490"/>
      <c r="U34" s="490"/>
      <c r="V34" s="490"/>
      <c r="W34" s="490"/>
      <c r="X34" s="490"/>
      <c r="Y34" s="490"/>
      <c r="Z34" s="491">
        <f>ROUND(SUM(B34:X34),0)</f>
        <v>0</v>
      </c>
    </row>
    <row r="35" spans="1:28" ht="15" customHeight="1">
      <c r="A35" s="349" t="s">
        <v>1348</v>
      </c>
      <c r="B35" s="490">
        <v>1443533</v>
      </c>
      <c r="C35" s="490"/>
      <c r="D35" s="490"/>
      <c r="E35" s="490"/>
      <c r="F35" s="490"/>
      <c r="G35" s="490"/>
      <c r="H35" s="490"/>
      <c r="I35" s="490"/>
      <c r="J35" s="490"/>
      <c r="K35" s="490"/>
      <c r="L35" s="490"/>
      <c r="M35" s="488"/>
      <c r="N35" s="490"/>
      <c r="O35" s="490"/>
      <c r="P35" s="490"/>
      <c r="Q35" s="490"/>
      <c r="R35" s="490"/>
      <c r="S35" s="490"/>
      <c r="T35" s="490"/>
      <c r="U35" s="490"/>
      <c r="V35" s="490"/>
      <c r="W35" s="490"/>
      <c r="X35" s="490"/>
      <c r="Y35" s="490"/>
      <c r="Z35" s="491">
        <f>ROUND(SUM(B35:X35),0)</f>
        <v>1443533</v>
      </c>
    </row>
    <row r="36" spans="1:28" ht="22.5" customHeight="1">
      <c r="A36" s="183" t="s">
        <v>457</v>
      </c>
      <c r="B36" s="594">
        <f>ROUND(SUM(B20:B35),0)</f>
        <v>6983822</v>
      </c>
      <c r="C36" s="490"/>
      <c r="D36" s="594">
        <f>ROUND(SUM(D20:D35),0)</f>
        <v>0</v>
      </c>
      <c r="E36" s="490"/>
      <c r="F36" s="594">
        <f>ROUND(SUM(F20:F35),0)</f>
        <v>0</v>
      </c>
      <c r="G36" s="490"/>
      <c r="H36" s="594">
        <f>ROUND(SUM(H20:H35),0)</f>
        <v>0</v>
      </c>
      <c r="I36" s="490"/>
      <c r="J36" s="594">
        <f>ROUND(SUM(J20:J35),0)</f>
        <v>0</v>
      </c>
      <c r="K36" s="490"/>
      <c r="L36" s="594">
        <f>ROUND(SUM(L20:L35),0)</f>
        <v>0</v>
      </c>
      <c r="M36" s="488"/>
      <c r="N36" s="594">
        <f>ROUND(SUM(N20:N35),0)</f>
        <v>0</v>
      </c>
      <c r="O36" s="490"/>
      <c r="P36" s="594">
        <f>ROUND(SUM(P20:P35),0)</f>
        <v>0</v>
      </c>
      <c r="Q36" s="490"/>
      <c r="R36" s="594">
        <f>ROUND(SUM(R20:R35),0)</f>
        <v>0</v>
      </c>
      <c r="S36" s="490"/>
      <c r="T36" s="594">
        <f>ROUND(SUM(T20:T35),0)</f>
        <v>0</v>
      </c>
      <c r="U36" s="490"/>
      <c r="V36" s="594">
        <f>ROUND(SUM(V20:V35),0)</f>
        <v>0</v>
      </c>
      <c r="W36" s="490"/>
      <c r="X36" s="594">
        <f>ROUND(SUM(X20:X35),0)</f>
        <v>0</v>
      </c>
      <c r="Y36" s="490"/>
      <c r="Z36" s="594">
        <f>ROUND(SUM(Z20:Z35),0)</f>
        <v>6983822</v>
      </c>
    </row>
    <row r="37" spans="1:28" ht="15" customHeight="1">
      <c r="A37" s="183"/>
      <c r="B37" s="490"/>
      <c r="C37" s="490"/>
      <c r="D37" s="490"/>
      <c r="E37" s="490"/>
      <c r="F37" s="492"/>
      <c r="G37" s="490"/>
      <c r="H37" s="492"/>
      <c r="I37" s="490"/>
      <c r="J37" s="490"/>
      <c r="K37" s="490"/>
      <c r="L37" s="495"/>
      <c r="M37" s="488"/>
      <c r="N37" s="495"/>
      <c r="O37" s="490"/>
      <c r="P37" s="490"/>
      <c r="Q37" s="490"/>
      <c r="R37" s="492"/>
      <c r="S37" s="490"/>
      <c r="T37" s="492"/>
      <c r="U37" s="490"/>
      <c r="V37" s="490"/>
      <c r="W37" s="490"/>
      <c r="X37" s="492"/>
      <c r="Y37" s="490"/>
      <c r="Z37" s="491"/>
    </row>
    <row r="38" spans="1:28" ht="15" customHeight="1">
      <c r="A38" s="185" t="s">
        <v>939</v>
      </c>
      <c r="B38" s="492"/>
      <c r="C38" s="492"/>
      <c r="D38" s="492"/>
      <c r="E38" s="490"/>
      <c r="F38" s="495"/>
      <c r="G38" s="490"/>
      <c r="H38" s="492"/>
      <c r="I38" s="490"/>
      <c r="J38" s="492"/>
      <c r="K38" s="490"/>
      <c r="L38" s="492"/>
      <c r="M38" s="488"/>
      <c r="N38" s="492"/>
      <c r="O38" s="490"/>
      <c r="P38" s="490"/>
      <c r="Q38" s="490"/>
      <c r="R38" s="492"/>
      <c r="S38" s="490"/>
      <c r="T38" s="492"/>
      <c r="U38" s="490"/>
      <c r="V38" s="495"/>
      <c r="W38" s="490"/>
      <c r="X38" s="495"/>
      <c r="Y38" s="490"/>
      <c r="Z38" s="491"/>
    </row>
    <row r="39" spans="1:28" ht="15" customHeight="1">
      <c r="A39" s="349" t="s">
        <v>941</v>
      </c>
      <c r="B39" s="490">
        <v>0</v>
      </c>
      <c r="C39" s="492"/>
      <c r="D39" s="490"/>
      <c r="E39" s="490"/>
      <c r="F39" s="490"/>
      <c r="G39" s="490"/>
      <c r="H39" s="490"/>
      <c r="I39" s="490"/>
      <c r="J39" s="494"/>
      <c r="K39" s="490"/>
      <c r="L39" s="490"/>
      <c r="M39" s="488"/>
      <c r="N39" s="490"/>
      <c r="O39" s="490"/>
      <c r="P39" s="490"/>
      <c r="Q39" s="490"/>
      <c r="R39" s="490"/>
      <c r="S39" s="490"/>
      <c r="T39" s="490"/>
      <c r="U39" s="490"/>
      <c r="V39" s="490"/>
      <c r="W39" s="490"/>
      <c r="X39" s="490"/>
      <c r="Y39" s="490"/>
      <c r="Z39" s="491">
        <f>ROUND(SUM(B39:X39),0)</f>
        <v>0</v>
      </c>
    </row>
    <row r="40" spans="1:28" ht="22.5" customHeight="1">
      <c r="A40" s="183" t="s">
        <v>946</v>
      </c>
      <c r="B40" s="601">
        <f>ROUND(SUM(B39:B39),0)</f>
        <v>0</v>
      </c>
      <c r="C40" s="492"/>
      <c r="D40" s="601">
        <f>ROUND(SUM(D39:D39),0)</f>
        <v>0</v>
      </c>
      <c r="E40" s="490"/>
      <c r="F40" s="601">
        <f>ROUND(SUM(F39:F39),0)</f>
        <v>0</v>
      </c>
      <c r="G40" s="490"/>
      <c r="H40" s="601">
        <f>ROUND(SUM(H39:H39),0)</f>
        <v>0</v>
      </c>
      <c r="I40" s="490"/>
      <c r="J40" s="601">
        <f>ROUND(SUM(J39:J39),0)</f>
        <v>0</v>
      </c>
      <c r="K40" s="490"/>
      <c r="L40" s="601">
        <f>ROUND(SUM(L39:L39),0)</f>
        <v>0</v>
      </c>
      <c r="M40" s="488"/>
      <c r="N40" s="601">
        <f>ROUND(SUM(N39:N39),0)</f>
        <v>0</v>
      </c>
      <c r="O40" s="490"/>
      <c r="P40" s="601">
        <f>ROUND(SUM(P39:P39),0)</f>
        <v>0</v>
      </c>
      <c r="Q40" s="490"/>
      <c r="R40" s="601">
        <f>ROUND(SUM(R39:R39),0)</f>
        <v>0</v>
      </c>
      <c r="S40" s="490"/>
      <c r="T40" s="601">
        <f>ROUND(SUM(T39:T39),0)</f>
        <v>0</v>
      </c>
      <c r="U40" s="490"/>
      <c r="V40" s="601">
        <f>ROUND(SUM(V39:V39),0)</f>
        <v>0</v>
      </c>
      <c r="W40" s="490"/>
      <c r="X40" s="601">
        <f>ROUND(SUM(X39:X39),0)</f>
        <v>0</v>
      </c>
      <c r="Y40" s="490"/>
      <c r="Z40" s="601">
        <f>ROUND(SUM(Z39:Z39),0)</f>
        <v>0</v>
      </c>
    </row>
    <row r="41" spans="1:28" ht="15" customHeight="1">
      <c r="B41" s="615"/>
      <c r="C41" s="492"/>
      <c r="D41" s="615"/>
      <c r="E41" s="490"/>
      <c r="F41" s="615"/>
      <c r="G41" s="490"/>
      <c r="H41" s="615"/>
      <c r="I41" s="490"/>
      <c r="J41" s="615"/>
      <c r="K41" s="490"/>
      <c r="L41" s="615"/>
      <c r="M41" s="488"/>
      <c r="N41" s="615"/>
      <c r="O41" s="490"/>
      <c r="P41" s="615"/>
      <c r="Q41" s="490"/>
      <c r="R41" s="615"/>
      <c r="S41" s="490"/>
      <c r="T41" s="615"/>
      <c r="U41" s="490"/>
      <c r="V41" s="615"/>
      <c r="W41" s="490"/>
      <c r="X41" s="615"/>
      <c r="Y41" s="490"/>
      <c r="Z41" s="1095"/>
    </row>
    <row r="42" spans="1:28" s="182" customFormat="1" ht="20.25" customHeight="1">
      <c r="A42" s="183" t="s">
        <v>947</v>
      </c>
      <c r="B42" s="1088">
        <f>ROUND(B36+B40,0)</f>
        <v>6983822</v>
      </c>
      <c r="C42" s="184"/>
      <c r="D42" s="1088">
        <f>ROUND(D36+D40,0)</f>
        <v>0</v>
      </c>
      <c r="E42" s="184"/>
      <c r="F42" s="1088">
        <f>ROUND(F36+F40,0)</f>
        <v>0</v>
      </c>
      <c r="G42" s="184"/>
      <c r="H42" s="1088">
        <f>ROUND(H36+H40,0)</f>
        <v>0</v>
      </c>
      <c r="I42" s="184"/>
      <c r="J42" s="1816">
        <f>ROUND(J36+J40,0)</f>
        <v>0</v>
      </c>
      <c r="K42" s="184"/>
      <c r="L42" s="1088">
        <f>ROUND(L36+L40,0)</f>
        <v>0</v>
      </c>
      <c r="M42" s="179"/>
      <c r="N42" s="1088">
        <f>ROUND(N36+N40,0)</f>
        <v>0</v>
      </c>
      <c r="O42" s="184"/>
      <c r="P42" s="1088">
        <f>ROUND(P36+P40,0)</f>
        <v>0</v>
      </c>
      <c r="Q42" s="184"/>
      <c r="R42" s="1088">
        <f>ROUND(R36+R40,0)</f>
        <v>0</v>
      </c>
      <c r="S42" s="184"/>
      <c r="T42" s="1088">
        <f>ROUND(T36+T40,0)</f>
        <v>0</v>
      </c>
      <c r="U42" s="184"/>
      <c r="V42" s="1088">
        <f>ROUND(V36+V40,0)</f>
        <v>0</v>
      </c>
      <c r="W42" s="184"/>
      <c r="X42" s="1088">
        <f>ROUND(X36+X40,0)</f>
        <v>0</v>
      </c>
      <c r="Y42" s="184"/>
      <c r="Z42" s="1088">
        <f>ROUND(Z36+Z40,0)</f>
        <v>6983822</v>
      </c>
      <c r="AB42" s="115"/>
    </row>
    <row r="43" spans="1:28" ht="15" customHeight="1">
      <c r="A43" s="487"/>
      <c r="B43" s="488"/>
      <c r="C43" s="488"/>
      <c r="D43" s="488"/>
      <c r="E43" s="488"/>
      <c r="F43" s="488"/>
      <c r="G43" s="488"/>
      <c r="H43" s="488"/>
      <c r="I43" s="488"/>
      <c r="J43" s="488"/>
      <c r="K43" s="488"/>
      <c r="L43" s="488"/>
      <c r="M43" s="488"/>
      <c r="N43" s="488"/>
      <c r="O43" s="488"/>
      <c r="P43" s="488"/>
      <c r="Q43" s="488"/>
      <c r="R43" s="488"/>
      <c r="S43" s="488"/>
      <c r="T43" s="488"/>
      <c r="U43" s="488"/>
      <c r="V43" s="488"/>
      <c r="W43" s="488"/>
      <c r="X43" s="488"/>
      <c r="Y43" s="488"/>
    </row>
    <row r="44" spans="1:28" s="182" customFormat="1" ht="20.25" customHeight="1" thickBot="1">
      <c r="A44" s="185" t="s">
        <v>948</v>
      </c>
      <c r="B44" s="820">
        <f>ROUND(B12+B17-B42,0)</f>
        <v>101980905</v>
      </c>
      <c r="C44" s="181"/>
      <c r="D44" s="820">
        <f>ROUND(D12+D17-D42,0)</f>
        <v>0</v>
      </c>
      <c r="E44" s="486"/>
      <c r="F44" s="820">
        <f>ROUND(F12+F17-F42,0)</f>
        <v>0</v>
      </c>
      <c r="G44" s="486"/>
      <c r="H44" s="820">
        <f>ROUND(H12+H17-H42,0)</f>
        <v>0</v>
      </c>
      <c r="I44" s="946"/>
      <c r="J44" s="1817">
        <f>ROUND(J12+J17-J42,0)</f>
        <v>0</v>
      </c>
      <c r="K44" s="947"/>
      <c r="L44" s="820">
        <f>ROUND(L12+L17-L42,0)</f>
        <v>0</v>
      </c>
      <c r="M44" s="948"/>
      <c r="N44" s="820">
        <f>ROUND(N12+N17-N42,0)</f>
        <v>0</v>
      </c>
      <c r="O44" s="947"/>
      <c r="P44" s="820">
        <f>ROUND(P12+P17-P42,0)</f>
        <v>0</v>
      </c>
      <c r="Q44" s="947"/>
      <c r="R44" s="820">
        <f>ROUND(R12+R17-R42,0)</f>
        <v>0</v>
      </c>
      <c r="S44" s="947"/>
      <c r="T44" s="820">
        <f>ROUND(T12+T17-T42,0)</f>
        <v>0</v>
      </c>
      <c r="U44" s="947"/>
      <c r="V44" s="820">
        <f>ROUND(V12+V17-V42,0)</f>
        <v>0</v>
      </c>
      <c r="W44" s="947"/>
      <c r="X44" s="820">
        <f>ROUND(X12+X17-X42,0)</f>
        <v>0</v>
      </c>
      <c r="Y44" s="947"/>
      <c r="Z44" s="2008">
        <f>ROUND(Z12+Z17-Z42,0)</f>
        <v>101980905</v>
      </c>
    </row>
    <row r="45" spans="1:28" ht="15" customHeight="1" thickTop="1">
      <c r="A45" s="487"/>
      <c r="B45" s="484"/>
      <c r="C45" s="484"/>
      <c r="D45" s="484"/>
      <c r="E45" s="485"/>
      <c r="F45" s="484"/>
      <c r="G45" s="485"/>
      <c r="H45" s="484"/>
      <c r="I45" s="485"/>
      <c r="J45" s="484"/>
      <c r="K45" s="484"/>
      <c r="L45" s="484"/>
      <c r="M45" s="485"/>
      <c r="N45" s="484"/>
      <c r="O45" s="485"/>
      <c r="P45" s="484"/>
      <c r="Q45" s="485"/>
      <c r="R45" s="484"/>
      <c r="S45" s="485"/>
      <c r="T45" s="484"/>
      <c r="U45" s="485"/>
      <c r="V45" s="484"/>
      <c r="W45" s="485"/>
      <c r="X45" s="484"/>
      <c r="Y45" s="485"/>
      <c r="Z45" s="496"/>
    </row>
    <row r="46" spans="1:28" ht="20.149999999999999" customHeight="1">
      <c r="A46" s="186"/>
      <c r="B46" s="484"/>
      <c r="C46" s="484"/>
      <c r="D46" s="484"/>
      <c r="E46" s="485"/>
      <c r="F46" s="484"/>
      <c r="G46" s="485"/>
      <c r="H46" s="484"/>
      <c r="I46" s="485"/>
      <c r="J46" s="484"/>
      <c r="K46" s="484"/>
      <c r="L46" s="484"/>
      <c r="M46" s="485"/>
      <c r="N46" s="484"/>
      <c r="O46" s="485"/>
      <c r="P46" s="484"/>
      <c r="Q46" s="485"/>
      <c r="R46" s="484"/>
      <c r="S46" s="485"/>
      <c r="T46" s="484"/>
      <c r="U46" s="485"/>
      <c r="V46" s="484"/>
      <c r="W46" s="485"/>
      <c r="X46" s="484"/>
      <c r="Y46" s="485"/>
      <c r="Z46" s="489"/>
    </row>
    <row r="47" spans="1:28">
      <c r="L47" s="564" t="s">
        <v>103</v>
      </c>
    </row>
    <row r="48" spans="1:28" ht="18" customHeight="1">
      <c r="A48" s="566" t="s">
        <v>1349</v>
      </c>
      <c r="B48" s="480"/>
      <c r="C48" s="480"/>
      <c r="D48" s="480"/>
      <c r="E48" s="166"/>
      <c r="F48" s="480"/>
      <c r="G48" s="166"/>
      <c r="H48" s="480"/>
      <c r="I48" s="166"/>
      <c r="J48" s="480"/>
      <c r="K48" s="480"/>
      <c r="L48" s="480"/>
      <c r="M48" s="485"/>
      <c r="N48" s="480" t="s">
        <v>103</v>
      </c>
      <c r="O48" s="166"/>
      <c r="P48" s="480"/>
      <c r="Q48" s="166"/>
      <c r="R48" s="480"/>
      <c r="S48" s="166"/>
      <c r="T48" s="480"/>
      <c r="U48" s="166"/>
      <c r="V48" s="480"/>
      <c r="W48" s="166"/>
      <c r="X48" s="480"/>
      <c r="Y48" s="166"/>
      <c r="Z48" s="481"/>
    </row>
    <row r="49" spans="1:26" ht="20.149999999999999" customHeight="1">
      <c r="A49" s="565" t="s">
        <v>1350</v>
      </c>
      <c r="B49" s="484"/>
      <c r="C49" s="484"/>
      <c r="D49" s="484"/>
      <c r="E49" s="485"/>
      <c r="F49" s="484"/>
      <c r="G49" s="485"/>
      <c r="H49" s="484"/>
      <c r="I49" s="485"/>
      <c r="J49" s="484"/>
      <c r="K49" s="484"/>
      <c r="L49" s="484"/>
      <c r="M49" s="485"/>
      <c r="N49" s="484" t="s">
        <v>103</v>
      </c>
      <c r="O49" s="485"/>
      <c r="P49" s="484"/>
      <c r="Q49" s="485"/>
      <c r="R49" s="484"/>
      <c r="S49" s="485"/>
      <c r="T49" s="484"/>
      <c r="U49" s="485"/>
      <c r="V49" s="484"/>
      <c r="W49" s="485"/>
      <c r="X49" s="484"/>
      <c r="Y49" s="485"/>
      <c r="Z49" s="489"/>
    </row>
    <row r="50" spans="1:26" ht="20.149999999999999" customHeight="1">
      <c r="A50" s="565"/>
      <c r="B50" s="484"/>
      <c r="C50" s="484"/>
      <c r="D50" s="484"/>
      <c r="E50" s="485"/>
      <c r="F50" s="484"/>
      <c r="G50" s="485"/>
      <c r="H50" s="484"/>
      <c r="I50" s="485"/>
      <c r="J50" s="484"/>
      <c r="K50" s="484"/>
      <c r="L50" s="484"/>
      <c r="M50" s="485"/>
      <c r="N50" s="484" t="s">
        <v>103</v>
      </c>
      <c r="O50" s="485"/>
      <c r="P50" s="484"/>
      <c r="Q50" s="485"/>
      <c r="R50" s="484"/>
      <c r="S50" s="485"/>
      <c r="T50" s="484"/>
      <c r="U50" s="485"/>
      <c r="V50" s="484"/>
      <c r="W50" s="485"/>
      <c r="X50" s="484"/>
      <c r="Y50" s="485"/>
      <c r="Z50" s="489"/>
    </row>
    <row r="51" spans="1:26" ht="20.149999999999999" customHeight="1">
      <c r="A51" s="565"/>
      <c r="B51" s="165"/>
      <c r="C51" s="165"/>
      <c r="D51" s="165"/>
      <c r="E51" s="166"/>
      <c r="F51" s="165"/>
      <c r="G51" s="166"/>
      <c r="H51" s="165"/>
      <c r="I51" s="166"/>
      <c r="J51" s="165"/>
      <c r="K51" s="165"/>
      <c r="L51" s="165"/>
      <c r="M51" s="166"/>
      <c r="N51" s="165"/>
      <c r="O51" s="166"/>
      <c r="P51" s="165"/>
      <c r="Q51" s="166"/>
      <c r="R51" s="165"/>
      <c r="S51" s="166"/>
      <c r="T51" s="165"/>
      <c r="U51" s="166"/>
      <c r="V51" s="165"/>
      <c r="W51" s="166"/>
      <c r="X51" s="165"/>
      <c r="Y51" s="166"/>
      <c r="Z51" s="116"/>
    </row>
    <row r="52" spans="1:26" ht="20.149999999999999" customHeight="1">
      <c r="A52" s="163"/>
      <c r="B52" s="165"/>
      <c r="C52" s="165"/>
      <c r="D52" s="165"/>
      <c r="E52" s="166"/>
      <c r="F52" s="165"/>
      <c r="G52" s="166"/>
      <c r="H52" s="165"/>
      <c r="I52" s="166"/>
      <c r="J52" s="165"/>
      <c r="K52" s="165"/>
      <c r="L52" s="165"/>
      <c r="M52" s="166"/>
      <c r="N52" s="165"/>
      <c r="O52" s="166"/>
      <c r="P52" s="165"/>
      <c r="Q52" s="166"/>
      <c r="R52" s="165"/>
      <c r="S52" s="166"/>
      <c r="T52" s="165"/>
      <c r="U52" s="166"/>
      <c r="V52" s="165"/>
      <c r="W52" s="166"/>
      <c r="X52" s="165"/>
      <c r="Y52" s="166"/>
      <c r="Z52" s="116"/>
    </row>
    <row r="53" spans="1:26" ht="20.149999999999999" customHeight="1">
      <c r="A53" s="163"/>
      <c r="B53" s="165"/>
      <c r="C53" s="165"/>
      <c r="D53" s="165"/>
      <c r="E53" s="166"/>
      <c r="F53" s="165"/>
      <c r="G53" s="166"/>
      <c r="H53" s="165"/>
      <c r="I53" s="166"/>
      <c r="J53" s="165"/>
      <c r="K53" s="165"/>
      <c r="L53" s="165"/>
      <c r="M53" s="166"/>
      <c r="N53" s="165"/>
      <c r="O53" s="166"/>
      <c r="P53" s="165"/>
      <c r="Q53" s="166"/>
      <c r="R53" s="165"/>
      <c r="S53" s="166"/>
      <c r="T53" s="165"/>
      <c r="U53" s="166"/>
      <c r="V53" s="165"/>
      <c r="W53" s="166"/>
      <c r="X53" s="165"/>
      <c r="Y53" s="166"/>
      <c r="Z53" s="116"/>
    </row>
    <row r="54" spans="1:26" ht="20.149999999999999" customHeight="1">
      <c r="A54" s="163"/>
      <c r="B54" s="165"/>
      <c r="C54" s="165"/>
      <c r="D54" s="165"/>
      <c r="E54" s="166"/>
      <c r="F54" s="165"/>
      <c r="G54" s="166"/>
      <c r="H54" s="165"/>
      <c r="I54" s="166"/>
      <c r="J54" s="165"/>
      <c r="K54" s="165"/>
      <c r="L54" s="165"/>
      <c r="M54" s="166"/>
      <c r="N54" s="165"/>
      <c r="O54" s="166"/>
      <c r="P54" s="165"/>
      <c r="Q54" s="166"/>
      <c r="R54" s="165"/>
      <c r="S54" s="166"/>
      <c r="T54" s="165"/>
      <c r="U54" s="166"/>
      <c r="V54" s="165"/>
      <c r="W54" s="166"/>
      <c r="X54" s="165"/>
      <c r="Y54" s="166"/>
      <c r="Z54" s="116"/>
    </row>
    <row r="55" spans="1:26" ht="20.149999999999999" customHeight="1">
      <c r="A55" s="163"/>
      <c r="B55" s="165"/>
      <c r="C55" s="165"/>
      <c r="D55" s="165"/>
      <c r="E55" s="166"/>
      <c r="F55" s="165"/>
      <c r="G55" s="166"/>
      <c r="H55" s="165"/>
      <c r="I55" s="166"/>
      <c r="J55" s="165"/>
      <c r="K55" s="165"/>
      <c r="L55" s="165"/>
      <c r="M55" s="166"/>
      <c r="N55" s="165"/>
      <c r="O55" s="166"/>
      <c r="P55" s="165"/>
      <c r="Q55" s="166"/>
      <c r="R55" s="165"/>
      <c r="S55" s="166"/>
      <c r="T55" s="165"/>
      <c r="U55" s="166"/>
      <c r="V55" s="165"/>
      <c r="W55" s="166"/>
      <c r="X55" s="165"/>
      <c r="Y55" s="166"/>
      <c r="Z55" s="116"/>
    </row>
    <row r="56" spans="1:26">
      <c r="A56" s="163"/>
      <c r="B56" s="165"/>
      <c r="C56" s="165"/>
      <c r="D56" s="165"/>
      <c r="E56" s="166"/>
      <c r="F56" s="165"/>
      <c r="G56" s="166"/>
      <c r="H56" s="165"/>
      <c r="I56" s="166"/>
      <c r="J56" s="165"/>
      <c r="K56" s="165"/>
      <c r="L56" s="165"/>
      <c r="M56" s="166"/>
      <c r="N56" s="165"/>
      <c r="O56" s="166"/>
      <c r="P56" s="165"/>
      <c r="Q56" s="166"/>
      <c r="R56" s="165"/>
      <c r="S56" s="166"/>
      <c r="T56" s="165"/>
      <c r="U56" s="166"/>
      <c r="V56" s="165"/>
      <c r="W56" s="166"/>
      <c r="X56" s="165"/>
      <c r="Y56" s="166"/>
      <c r="Z56" s="116"/>
    </row>
    <row r="57" spans="1:26">
      <c r="A57" s="163"/>
      <c r="B57" s="165"/>
      <c r="C57" s="165"/>
      <c r="D57" s="165"/>
      <c r="E57" s="166"/>
      <c r="F57" s="165"/>
      <c r="G57" s="166"/>
      <c r="H57" s="165"/>
      <c r="I57" s="166"/>
      <c r="J57" s="165"/>
      <c r="K57" s="165"/>
      <c r="L57" s="165"/>
      <c r="M57" s="166"/>
      <c r="N57" s="165"/>
      <c r="O57" s="166"/>
      <c r="P57" s="165"/>
      <c r="Q57" s="166"/>
      <c r="R57" s="165"/>
      <c r="S57" s="166"/>
      <c r="T57" s="165"/>
      <c r="U57" s="166"/>
      <c r="V57" s="165"/>
      <c r="W57" s="166"/>
      <c r="X57" s="165"/>
      <c r="Y57" s="166"/>
      <c r="Z57" s="116"/>
    </row>
    <row r="58" spans="1:26">
      <c r="A58" s="163"/>
      <c r="B58" s="165"/>
      <c r="C58" s="165"/>
      <c r="D58" s="165"/>
      <c r="E58" s="166"/>
      <c r="F58" s="165"/>
      <c r="G58" s="166"/>
      <c r="H58" s="165"/>
      <c r="I58" s="166"/>
      <c r="J58" s="165"/>
      <c r="K58" s="165"/>
      <c r="L58" s="165"/>
      <c r="M58" s="166"/>
      <c r="N58" s="165"/>
      <c r="O58" s="166"/>
      <c r="P58" s="165"/>
      <c r="Q58" s="166"/>
      <c r="R58" s="165"/>
      <c r="S58" s="166"/>
      <c r="T58" s="165"/>
      <c r="U58" s="166"/>
      <c r="V58" s="165"/>
      <c r="W58" s="166"/>
      <c r="X58" s="165"/>
      <c r="Y58" s="166"/>
      <c r="Z58" s="116"/>
    </row>
    <row r="59" spans="1:26">
      <c r="A59" s="163"/>
      <c r="B59" s="165"/>
      <c r="C59" s="165"/>
      <c r="D59" s="165"/>
      <c r="E59" s="166"/>
      <c r="F59" s="165"/>
      <c r="G59" s="166"/>
      <c r="H59" s="165"/>
      <c r="I59" s="166"/>
      <c r="J59" s="165"/>
      <c r="K59" s="165"/>
      <c r="L59" s="165"/>
      <c r="M59" s="166"/>
      <c r="N59" s="165"/>
      <c r="O59" s="166"/>
      <c r="P59" s="165"/>
      <c r="Q59" s="166"/>
      <c r="R59" s="165"/>
      <c r="S59" s="166"/>
      <c r="T59" s="165"/>
      <c r="U59" s="166"/>
      <c r="V59" s="165"/>
      <c r="W59" s="166"/>
      <c r="X59" s="165"/>
      <c r="Y59" s="166"/>
      <c r="Z59" s="116"/>
    </row>
    <row r="60" spans="1:26">
      <c r="A60" s="163"/>
      <c r="B60" s="165"/>
      <c r="C60" s="165"/>
      <c r="D60" s="165"/>
      <c r="E60" s="166"/>
      <c r="F60" s="165"/>
      <c r="G60" s="166"/>
      <c r="H60" s="165"/>
      <c r="I60" s="166"/>
      <c r="J60" s="165"/>
      <c r="K60" s="165"/>
      <c r="L60" s="165"/>
      <c r="M60" s="166"/>
      <c r="N60" s="165"/>
      <c r="O60" s="166"/>
      <c r="P60" s="165"/>
      <c r="Q60" s="166"/>
      <c r="R60" s="165"/>
      <c r="S60" s="166"/>
      <c r="T60" s="165"/>
      <c r="U60" s="166"/>
      <c r="V60" s="165"/>
      <c r="W60" s="166"/>
      <c r="X60" s="165"/>
      <c r="Y60" s="166"/>
      <c r="Z60" s="116"/>
    </row>
    <row r="61" spans="1:26">
      <c r="A61" s="163"/>
      <c r="B61" s="165"/>
      <c r="C61" s="165"/>
      <c r="D61" s="165"/>
      <c r="E61" s="166"/>
      <c r="F61" s="165"/>
      <c r="G61" s="166"/>
      <c r="H61" s="165"/>
      <c r="I61" s="166"/>
      <c r="J61" s="165"/>
      <c r="K61" s="165"/>
      <c r="L61" s="165"/>
      <c r="M61" s="166"/>
      <c r="N61" s="165"/>
      <c r="O61" s="166"/>
      <c r="P61" s="165"/>
      <c r="Q61" s="166"/>
      <c r="R61" s="165"/>
      <c r="S61" s="166"/>
      <c r="T61" s="165"/>
      <c r="U61" s="166"/>
      <c r="V61" s="165"/>
      <c r="W61" s="166"/>
      <c r="X61" s="165"/>
      <c r="Y61" s="166"/>
      <c r="Z61" s="116"/>
    </row>
    <row r="62" spans="1:26">
      <c r="A62" s="163"/>
      <c r="B62" s="165"/>
      <c r="C62" s="165"/>
      <c r="D62" s="165"/>
      <c r="E62" s="166"/>
      <c r="F62" s="165"/>
      <c r="G62" s="166"/>
      <c r="H62" s="165"/>
      <c r="I62" s="166"/>
      <c r="J62" s="165"/>
      <c r="K62" s="165"/>
      <c r="L62" s="165"/>
      <c r="M62" s="166"/>
      <c r="N62" s="165"/>
      <c r="O62" s="166"/>
      <c r="P62" s="165"/>
      <c r="Q62" s="166"/>
      <c r="R62" s="165"/>
      <c r="S62" s="166"/>
      <c r="T62" s="165"/>
      <c r="U62" s="166"/>
      <c r="V62" s="165"/>
      <c r="W62" s="166"/>
      <c r="X62" s="165"/>
      <c r="Y62" s="166"/>
      <c r="Z62" s="116"/>
    </row>
    <row r="63" spans="1:26">
      <c r="A63" s="163"/>
      <c r="B63" s="165"/>
      <c r="C63" s="165"/>
      <c r="D63" s="165"/>
      <c r="E63" s="166"/>
      <c r="F63" s="165"/>
      <c r="G63" s="166"/>
      <c r="H63" s="165"/>
      <c r="I63" s="166"/>
      <c r="J63" s="165"/>
      <c r="K63" s="165"/>
      <c r="L63" s="165"/>
      <c r="M63" s="166"/>
      <c r="N63" s="165"/>
      <c r="O63" s="166"/>
      <c r="P63" s="165"/>
      <c r="Q63" s="166"/>
      <c r="R63" s="165"/>
      <c r="S63" s="166"/>
      <c r="T63" s="165"/>
      <c r="U63" s="166"/>
      <c r="V63" s="165"/>
      <c r="W63" s="166"/>
      <c r="X63" s="165"/>
      <c r="Y63" s="166"/>
      <c r="Z63" s="116"/>
    </row>
    <row r="64" spans="1:26">
      <c r="A64" s="163"/>
      <c r="B64" s="165"/>
      <c r="C64" s="165"/>
      <c r="D64" s="165"/>
      <c r="E64" s="166"/>
      <c r="F64" s="165"/>
      <c r="G64" s="166"/>
      <c r="H64" s="165"/>
      <c r="I64" s="166"/>
      <c r="J64" s="165"/>
      <c r="K64" s="165"/>
      <c r="L64" s="165"/>
      <c r="M64" s="166"/>
      <c r="N64" s="165"/>
      <c r="O64" s="166"/>
      <c r="P64" s="165"/>
      <c r="Q64" s="166"/>
      <c r="R64" s="165"/>
      <c r="S64" s="166"/>
      <c r="T64" s="165"/>
      <c r="U64" s="166"/>
      <c r="V64" s="165"/>
      <c r="W64" s="166"/>
      <c r="X64" s="165"/>
      <c r="Y64" s="166"/>
      <c r="Z64" s="116"/>
    </row>
    <row r="65" spans="1:26">
      <c r="A65" s="163"/>
      <c r="B65" s="165"/>
      <c r="C65" s="165"/>
      <c r="D65" s="165"/>
      <c r="E65" s="166"/>
      <c r="F65" s="165"/>
      <c r="G65" s="166"/>
      <c r="H65" s="165"/>
      <c r="I65" s="166"/>
      <c r="J65" s="165"/>
      <c r="K65" s="165"/>
      <c r="L65" s="165"/>
      <c r="M65" s="166"/>
      <c r="N65" s="165"/>
      <c r="O65" s="166"/>
      <c r="P65" s="165"/>
      <c r="Q65" s="166"/>
      <c r="R65" s="165"/>
      <c r="S65" s="166"/>
      <c r="T65" s="165"/>
      <c r="U65" s="166"/>
      <c r="V65" s="165"/>
      <c r="W65" s="166"/>
      <c r="X65" s="165"/>
      <c r="Y65" s="166"/>
      <c r="Z65" s="116"/>
    </row>
    <row r="66" spans="1:26">
      <c r="A66" s="163"/>
      <c r="B66" s="165"/>
      <c r="C66" s="165"/>
      <c r="D66" s="165"/>
      <c r="E66" s="166"/>
      <c r="F66" s="165"/>
      <c r="G66" s="166"/>
      <c r="H66" s="165"/>
      <c r="I66" s="166"/>
      <c r="J66" s="165"/>
      <c r="K66" s="165"/>
      <c r="L66" s="165"/>
      <c r="M66" s="166"/>
      <c r="N66" s="165"/>
      <c r="O66" s="166"/>
      <c r="P66" s="165"/>
      <c r="Q66" s="166"/>
      <c r="R66" s="165"/>
      <c r="S66" s="166"/>
      <c r="T66" s="165"/>
      <c r="U66" s="166"/>
      <c r="V66" s="165"/>
      <c r="W66" s="166"/>
      <c r="X66" s="165"/>
      <c r="Y66" s="166"/>
      <c r="Z66" s="116"/>
    </row>
    <row r="67" spans="1:26">
      <c r="A67" s="163"/>
      <c r="B67" s="165"/>
      <c r="C67" s="165"/>
      <c r="D67" s="165"/>
      <c r="E67" s="166"/>
      <c r="F67" s="165"/>
      <c r="G67" s="166"/>
      <c r="H67" s="165"/>
      <c r="I67" s="166"/>
      <c r="J67" s="165"/>
      <c r="K67" s="165"/>
      <c r="L67" s="165"/>
      <c r="M67" s="166"/>
      <c r="N67" s="165"/>
      <c r="O67" s="166"/>
      <c r="P67" s="165"/>
      <c r="Q67" s="166"/>
      <c r="R67" s="165"/>
      <c r="S67" s="166"/>
      <c r="T67" s="165"/>
      <c r="U67" s="166"/>
      <c r="V67" s="165"/>
      <c r="W67" s="166"/>
      <c r="X67" s="165"/>
      <c r="Y67" s="166"/>
      <c r="Z67" s="116"/>
    </row>
    <row r="68" spans="1:26">
      <c r="A68" s="163"/>
      <c r="B68" s="165"/>
      <c r="C68" s="165"/>
      <c r="D68" s="165"/>
      <c r="E68" s="166"/>
      <c r="F68" s="165"/>
      <c r="G68" s="166"/>
      <c r="H68" s="165"/>
      <c r="I68" s="166"/>
      <c r="J68" s="165"/>
      <c r="K68" s="165"/>
      <c r="L68" s="165"/>
      <c r="M68" s="166"/>
      <c r="N68" s="165"/>
      <c r="O68" s="166"/>
      <c r="P68" s="165"/>
      <c r="Q68" s="166"/>
      <c r="R68" s="165"/>
      <c r="S68" s="166"/>
      <c r="T68" s="165"/>
      <c r="U68" s="166"/>
      <c r="V68" s="165"/>
      <c r="W68" s="166"/>
      <c r="X68" s="165"/>
      <c r="Y68" s="166"/>
      <c r="Z68" s="116"/>
    </row>
    <row r="69" spans="1:26">
      <c r="A69" s="163"/>
      <c r="B69" s="165"/>
      <c r="C69" s="165"/>
      <c r="D69" s="165"/>
      <c r="E69" s="166"/>
      <c r="F69" s="165"/>
      <c r="G69" s="166"/>
      <c r="H69" s="165"/>
      <c r="I69" s="166"/>
      <c r="J69" s="165"/>
      <c r="K69" s="165"/>
      <c r="L69" s="165"/>
      <c r="M69" s="166"/>
      <c r="N69" s="165"/>
      <c r="O69" s="166"/>
      <c r="P69" s="165"/>
      <c r="Q69" s="166"/>
      <c r="R69" s="165"/>
      <c r="S69" s="166"/>
      <c r="T69" s="165"/>
      <c r="U69" s="166"/>
      <c r="V69" s="165"/>
      <c r="W69" s="166"/>
      <c r="X69" s="165"/>
      <c r="Y69" s="166"/>
      <c r="Z69" s="116"/>
    </row>
    <row r="70" spans="1:26">
      <c r="A70" s="163"/>
      <c r="B70" s="165"/>
      <c r="C70" s="165"/>
      <c r="D70" s="165"/>
      <c r="E70" s="166"/>
      <c r="F70" s="165"/>
      <c r="G70" s="166"/>
      <c r="H70" s="165"/>
      <c r="I70" s="166"/>
      <c r="J70" s="165"/>
      <c r="K70" s="165"/>
      <c r="L70" s="165"/>
      <c r="M70" s="166"/>
      <c r="N70" s="165"/>
      <c r="O70" s="166"/>
      <c r="P70" s="165"/>
      <c r="Q70" s="166"/>
      <c r="R70" s="165"/>
      <c r="S70" s="166"/>
      <c r="T70" s="165"/>
      <c r="U70" s="166"/>
      <c r="V70" s="165"/>
      <c r="W70" s="166"/>
      <c r="X70" s="165"/>
      <c r="Y70" s="166"/>
      <c r="Z70" s="116"/>
    </row>
    <row r="71" spans="1:26">
      <c r="A71" s="163"/>
      <c r="B71" s="165"/>
      <c r="C71" s="165"/>
      <c r="D71" s="165"/>
      <c r="E71" s="166"/>
      <c r="F71" s="165"/>
      <c r="G71" s="166"/>
      <c r="H71" s="165"/>
      <c r="I71" s="166"/>
      <c r="J71" s="165"/>
      <c r="K71" s="165"/>
      <c r="L71" s="165"/>
      <c r="M71" s="166"/>
      <c r="N71" s="165"/>
      <c r="O71" s="166"/>
      <c r="P71" s="165"/>
      <c r="Q71" s="166"/>
      <c r="R71" s="165"/>
      <c r="S71" s="166"/>
      <c r="T71" s="165"/>
      <c r="U71" s="166"/>
      <c r="V71" s="165"/>
      <c r="W71" s="166"/>
      <c r="X71" s="165"/>
      <c r="Y71" s="166"/>
      <c r="Z71" s="116"/>
    </row>
    <row r="72" spans="1:26">
      <c r="A72" s="163"/>
      <c r="B72" s="165"/>
      <c r="C72" s="165"/>
      <c r="D72" s="165"/>
      <c r="E72" s="166"/>
      <c r="F72" s="165"/>
      <c r="G72" s="166"/>
      <c r="H72" s="165"/>
      <c r="I72" s="166"/>
      <c r="J72" s="165"/>
      <c r="K72" s="165"/>
      <c r="L72" s="165"/>
      <c r="M72" s="166"/>
      <c r="N72" s="165"/>
      <c r="O72" s="166"/>
      <c r="P72" s="165"/>
      <c r="Q72" s="166"/>
      <c r="R72" s="165"/>
      <c r="S72" s="166"/>
      <c r="T72" s="165"/>
      <c r="U72" s="166"/>
      <c r="V72" s="165"/>
      <c r="W72" s="166"/>
      <c r="X72" s="165"/>
      <c r="Y72" s="166"/>
      <c r="Z72" s="116"/>
    </row>
    <row r="73" spans="1:26">
      <c r="A73" s="163"/>
      <c r="B73" s="165"/>
      <c r="C73" s="165"/>
      <c r="D73" s="165"/>
      <c r="E73" s="166"/>
      <c r="F73" s="165"/>
      <c r="G73" s="166"/>
      <c r="H73" s="165"/>
      <c r="I73" s="166"/>
      <c r="J73" s="165"/>
      <c r="K73" s="165"/>
      <c r="L73" s="165"/>
      <c r="M73" s="166"/>
      <c r="N73" s="165"/>
      <c r="O73" s="166"/>
      <c r="P73" s="165"/>
      <c r="Q73" s="166"/>
      <c r="R73" s="165"/>
      <c r="S73" s="166"/>
      <c r="T73" s="165"/>
      <c r="U73" s="166"/>
      <c r="V73" s="165"/>
      <c r="W73" s="166"/>
      <c r="X73" s="165"/>
      <c r="Y73" s="166"/>
      <c r="Z73" s="116"/>
    </row>
    <row r="74" spans="1:26">
      <c r="A74" s="163"/>
      <c r="B74" s="165"/>
      <c r="C74" s="165"/>
      <c r="D74" s="165"/>
      <c r="E74" s="166"/>
      <c r="F74" s="165"/>
      <c r="G74" s="166"/>
      <c r="H74" s="165"/>
      <c r="I74" s="166"/>
      <c r="J74" s="165"/>
      <c r="K74" s="165"/>
      <c r="L74" s="165"/>
      <c r="M74" s="166"/>
      <c r="N74" s="165"/>
      <c r="O74" s="166"/>
      <c r="P74" s="165"/>
      <c r="Q74" s="166"/>
      <c r="R74" s="165"/>
      <c r="S74" s="166"/>
      <c r="T74" s="165"/>
      <c r="U74" s="166"/>
      <c r="V74" s="165"/>
      <c r="W74" s="166"/>
      <c r="X74" s="165"/>
      <c r="Y74" s="166"/>
      <c r="Z74" s="116"/>
    </row>
    <row r="75" spans="1:26">
      <c r="A75" s="163"/>
      <c r="B75" s="165"/>
      <c r="C75" s="165"/>
      <c r="D75" s="165"/>
      <c r="E75" s="166"/>
      <c r="F75" s="165"/>
      <c r="G75" s="166"/>
      <c r="H75" s="165"/>
      <c r="I75" s="166"/>
      <c r="J75" s="165"/>
      <c r="K75" s="165"/>
      <c r="L75" s="165"/>
      <c r="M75" s="166"/>
      <c r="N75" s="165"/>
      <c r="O75" s="166"/>
      <c r="P75" s="165"/>
      <c r="Q75" s="166"/>
      <c r="R75" s="165"/>
      <c r="S75" s="166"/>
      <c r="T75" s="165"/>
      <c r="U75" s="166"/>
      <c r="V75" s="165"/>
      <c r="W75" s="166"/>
      <c r="X75" s="165"/>
      <c r="Y75" s="166"/>
      <c r="Z75" s="116"/>
    </row>
    <row r="76" spans="1:26">
      <c r="A76" s="163"/>
      <c r="B76" s="165"/>
      <c r="C76" s="165"/>
      <c r="D76" s="165"/>
      <c r="E76" s="166"/>
      <c r="F76" s="165"/>
      <c r="G76" s="166"/>
      <c r="H76" s="165"/>
      <c r="I76" s="166"/>
      <c r="J76" s="165"/>
      <c r="K76" s="165"/>
      <c r="L76" s="165"/>
      <c r="M76" s="166"/>
      <c r="N76" s="165"/>
      <c r="O76" s="166"/>
      <c r="P76" s="165"/>
      <c r="Q76" s="166"/>
      <c r="R76" s="165"/>
      <c r="S76" s="166"/>
      <c r="T76" s="165"/>
      <c r="U76" s="166"/>
      <c r="V76" s="165"/>
      <c r="W76" s="166"/>
      <c r="X76" s="165"/>
      <c r="Y76" s="166"/>
      <c r="Z76" s="116"/>
    </row>
    <row r="77" spans="1:26">
      <c r="A77" s="163"/>
      <c r="B77" s="165"/>
      <c r="C77" s="165"/>
      <c r="D77" s="165"/>
      <c r="E77" s="166"/>
      <c r="F77" s="165"/>
      <c r="G77" s="166"/>
      <c r="H77" s="165"/>
      <c r="I77" s="166"/>
      <c r="J77" s="165"/>
      <c r="K77" s="165"/>
      <c r="L77" s="165"/>
      <c r="M77" s="166"/>
      <c r="N77" s="165"/>
      <c r="O77" s="166"/>
      <c r="P77" s="165"/>
      <c r="Q77" s="166"/>
      <c r="R77" s="165"/>
      <c r="S77" s="166"/>
      <c r="T77" s="165"/>
      <c r="U77" s="166"/>
      <c r="V77" s="165"/>
      <c r="W77" s="166"/>
      <c r="X77" s="165"/>
      <c r="Y77" s="166"/>
      <c r="Z77" s="116"/>
    </row>
    <row r="78" spans="1:26">
      <c r="A78" s="163"/>
      <c r="B78" s="165"/>
      <c r="C78" s="165"/>
      <c r="D78" s="165"/>
      <c r="E78" s="166"/>
      <c r="F78" s="165"/>
      <c r="G78" s="166"/>
      <c r="H78" s="165"/>
      <c r="I78" s="166"/>
      <c r="J78" s="165"/>
      <c r="K78" s="165"/>
      <c r="L78" s="165"/>
      <c r="M78" s="166"/>
      <c r="N78" s="165"/>
      <c r="O78" s="166"/>
      <c r="P78" s="165"/>
      <c r="Q78" s="166"/>
      <c r="R78" s="165"/>
      <c r="S78" s="166"/>
      <c r="T78" s="165"/>
      <c r="U78" s="166"/>
      <c r="V78" s="165"/>
      <c r="W78" s="166"/>
      <c r="X78" s="165"/>
      <c r="Y78" s="166"/>
      <c r="Z78" s="116"/>
    </row>
    <row r="79" spans="1:26">
      <c r="A79" s="163"/>
      <c r="B79" s="165"/>
      <c r="C79" s="165"/>
      <c r="D79" s="165"/>
      <c r="E79" s="166"/>
      <c r="F79" s="165"/>
      <c r="G79" s="166"/>
      <c r="H79" s="165"/>
      <c r="I79" s="166"/>
      <c r="J79" s="165"/>
      <c r="K79" s="165"/>
      <c r="L79" s="165"/>
      <c r="M79" s="166"/>
      <c r="N79" s="165"/>
      <c r="O79" s="166"/>
      <c r="P79" s="165"/>
      <c r="Q79" s="166"/>
      <c r="R79" s="165"/>
      <c r="S79" s="166"/>
      <c r="T79" s="165"/>
      <c r="U79" s="166"/>
      <c r="V79" s="165"/>
      <c r="W79" s="166"/>
      <c r="X79" s="165"/>
      <c r="Y79" s="166"/>
      <c r="Z79" s="116"/>
    </row>
    <row r="80" spans="1:26">
      <c r="A80" s="163"/>
      <c r="B80" s="165"/>
      <c r="C80" s="165"/>
      <c r="D80" s="165"/>
      <c r="E80" s="166"/>
      <c r="F80" s="165"/>
      <c r="G80" s="166"/>
      <c r="H80" s="165"/>
      <c r="I80" s="166"/>
      <c r="J80" s="165"/>
      <c r="K80" s="165"/>
      <c r="L80" s="165"/>
      <c r="M80" s="166"/>
      <c r="N80" s="165"/>
      <c r="O80" s="166"/>
      <c r="P80" s="165"/>
      <c r="Q80" s="166"/>
      <c r="R80" s="165"/>
      <c r="S80" s="166"/>
      <c r="T80" s="165"/>
      <c r="U80" s="166"/>
      <c r="V80" s="165"/>
      <c r="W80" s="166"/>
      <c r="X80" s="165"/>
      <c r="Y80" s="166"/>
      <c r="Z80" s="116"/>
    </row>
    <row r="81" spans="1:26">
      <c r="A81" s="163"/>
      <c r="B81" s="165"/>
      <c r="C81" s="165"/>
      <c r="D81" s="165"/>
      <c r="E81" s="166"/>
      <c r="F81" s="165"/>
      <c r="G81" s="166"/>
      <c r="H81" s="165"/>
      <c r="I81" s="166"/>
      <c r="J81" s="165"/>
      <c r="K81" s="165"/>
      <c r="L81" s="165"/>
      <c r="M81" s="166"/>
      <c r="N81" s="165"/>
      <c r="O81" s="166"/>
      <c r="P81" s="165"/>
      <c r="Q81" s="166"/>
      <c r="R81" s="165"/>
      <c r="S81" s="166"/>
      <c r="T81" s="165"/>
      <c r="U81" s="166"/>
      <c r="V81" s="165"/>
      <c r="W81" s="166"/>
      <c r="X81" s="165"/>
      <c r="Y81" s="166"/>
      <c r="Z81" s="116"/>
    </row>
    <row r="82" spans="1:26">
      <c r="A82" s="163"/>
      <c r="B82" s="165"/>
      <c r="C82" s="165"/>
      <c r="D82" s="165"/>
      <c r="E82" s="166"/>
      <c r="F82" s="165"/>
      <c r="G82" s="166"/>
      <c r="H82" s="165"/>
      <c r="I82" s="166"/>
      <c r="J82" s="165"/>
      <c r="K82" s="165"/>
      <c r="L82" s="165"/>
      <c r="M82" s="166"/>
      <c r="N82" s="165"/>
      <c r="O82" s="166"/>
      <c r="P82" s="165"/>
      <c r="Q82" s="166"/>
      <c r="R82" s="165"/>
      <c r="S82" s="166"/>
      <c r="T82" s="165"/>
      <c r="U82" s="166"/>
      <c r="V82" s="165"/>
      <c r="W82" s="166"/>
      <c r="X82" s="165"/>
      <c r="Y82" s="166"/>
      <c r="Z82" s="116"/>
    </row>
    <row r="83" spans="1:26">
      <c r="A83" s="163"/>
      <c r="B83" s="165"/>
      <c r="C83" s="165"/>
      <c r="D83" s="165"/>
      <c r="E83" s="166"/>
      <c r="F83" s="165"/>
      <c r="G83" s="166"/>
      <c r="H83" s="165"/>
      <c r="I83" s="166"/>
      <c r="J83" s="165"/>
      <c r="K83" s="165"/>
      <c r="L83" s="165"/>
      <c r="M83" s="166"/>
      <c r="N83" s="165"/>
      <c r="O83" s="166"/>
      <c r="P83" s="165"/>
      <c r="Q83" s="166"/>
      <c r="R83" s="165"/>
      <c r="S83" s="166"/>
      <c r="T83" s="165"/>
      <c r="U83" s="166"/>
      <c r="V83" s="165"/>
      <c r="W83" s="166"/>
      <c r="X83" s="165"/>
      <c r="Y83" s="166"/>
      <c r="Z83" s="116"/>
    </row>
    <row r="84" spans="1:26">
      <c r="A84" s="163"/>
      <c r="B84" s="165"/>
      <c r="C84" s="165"/>
      <c r="D84" s="165"/>
      <c r="E84" s="166"/>
      <c r="F84" s="165"/>
      <c r="G84" s="166"/>
      <c r="H84" s="165"/>
      <c r="I84" s="166"/>
      <c r="J84" s="165"/>
      <c r="K84" s="165"/>
      <c r="L84" s="165"/>
      <c r="M84" s="166"/>
      <c r="N84" s="165"/>
      <c r="O84" s="166"/>
      <c r="P84" s="165"/>
      <c r="Q84" s="166"/>
      <c r="R84" s="165"/>
      <c r="S84" s="166"/>
      <c r="T84" s="165"/>
      <c r="U84" s="166"/>
      <c r="V84" s="165"/>
      <c r="W84" s="166"/>
      <c r="X84" s="165"/>
      <c r="Y84" s="166"/>
      <c r="Z84" s="116"/>
    </row>
    <row r="85" spans="1:26">
      <c r="A85" s="163"/>
      <c r="B85" s="165"/>
      <c r="C85" s="165"/>
      <c r="D85" s="165"/>
      <c r="E85" s="166"/>
      <c r="F85" s="165"/>
      <c r="G85" s="166"/>
      <c r="H85" s="165"/>
      <c r="I85" s="166"/>
      <c r="J85" s="165"/>
      <c r="K85" s="165"/>
      <c r="L85" s="165"/>
      <c r="M85" s="166"/>
      <c r="N85" s="165"/>
      <c r="O85" s="166"/>
      <c r="P85" s="165"/>
      <c r="Q85" s="166"/>
      <c r="R85" s="165"/>
      <c r="S85" s="166"/>
      <c r="T85" s="165"/>
      <c r="U85" s="166"/>
      <c r="V85" s="165"/>
      <c r="W85" s="166"/>
      <c r="X85" s="165"/>
      <c r="Y85" s="166"/>
      <c r="Z85" s="116"/>
    </row>
    <row r="86" spans="1:26">
      <c r="A86" s="163"/>
      <c r="B86" s="165"/>
      <c r="C86" s="165"/>
      <c r="D86" s="165"/>
      <c r="E86" s="166"/>
      <c r="F86" s="165"/>
      <c r="G86" s="166"/>
      <c r="H86" s="165"/>
      <c r="I86" s="166"/>
      <c r="J86" s="165"/>
      <c r="K86" s="165"/>
      <c r="L86" s="165"/>
      <c r="M86" s="166"/>
      <c r="N86" s="165"/>
      <c r="O86" s="166"/>
      <c r="P86" s="165"/>
      <c r="Q86" s="166"/>
      <c r="R86" s="165"/>
      <c r="S86" s="166"/>
      <c r="T86" s="165"/>
      <c r="U86" s="166"/>
      <c r="V86" s="165"/>
      <c r="W86" s="166"/>
      <c r="X86" s="165"/>
      <c r="Y86" s="166"/>
      <c r="Z86" s="116"/>
    </row>
    <row r="87" spans="1:26">
      <c r="A87" s="163"/>
      <c r="B87" s="165"/>
      <c r="C87" s="165"/>
      <c r="D87" s="165"/>
      <c r="E87" s="166"/>
      <c r="F87" s="165"/>
      <c r="G87" s="166"/>
      <c r="H87" s="165"/>
      <c r="I87" s="166"/>
      <c r="J87" s="165"/>
      <c r="K87" s="165"/>
      <c r="L87" s="165"/>
      <c r="M87" s="166"/>
      <c r="N87" s="165"/>
      <c r="O87" s="166"/>
      <c r="P87" s="165"/>
      <c r="Q87" s="166"/>
      <c r="R87" s="165"/>
      <c r="S87" s="166"/>
      <c r="T87" s="165"/>
      <c r="U87" s="166"/>
      <c r="V87" s="165"/>
      <c r="W87" s="166"/>
      <c r="X87" s="165"/>
      <c r="Y87" s="166"/>
      <c r="Z87" s="116"/>
    </row>
    <row r="88" spans="1:26">
      <c r="A88" s="163"/>
      <c r="B88" s="165"/>
      <c r="C88" s="165"/>
      <c r="D88" s="165"/>
      <c r="E88" s="166"/>
      <c r="F88" s="165"/>
      <c r="G88" s="166"/>
      <c r="H88" s="165"/>
      <c r="I88" s="166"/>
      <c r="J88" s="165"/>
      <c r="K88" s="165"/>
      <c r="L88" s="165"/>
      <c r="M88" s="166"/>
      <c r="N88" s="165"/>
      <c r="O88" s="166"/>
      <c r="P88" s="165"/>
      <c r="Q88" s="166"/>
      <c r="R88" s="165"/>
      <c r="S88" s="166"/>
      <c r="T88" s="165"/>
      <c r="U88" s="166"/>
      <c r="V88" s="165"/>
      <c r="W88" s="166"/>
      <c r="X88" s="165"/>
      <c r="Y88" s="166"/>
      <c r="Z88" s="116"/>
    </row>
    <row r="89" spans="1:26">
      <c r="A89" s="163"/>
      <c r="B89" s="165"/>
      <c r="C89" s="165"/>
      <c r="D89" s="165"/>
      <c r="E89" s="166"/>
      <c r="F89" s="165"/>
      <c r="G89" s="166"/>
      <c r="H89" s="165"/>
      <c r="I89" s="166"/>
      <c r="J89" s="165"/>
      <c r="K89" s="165"/>
      <c r="L89" s="165"/>
      <c r="M89" s="166"/>
      <c r="N89" s="165"/>
      <c r="O89" s="166"/>
      <c r="P89" s="165"/>
      <c r="Q89" s="166"/>
      <c r="R89" s="165"/>
      <c r="S89" s="166"/>
      <c r="T89" s="165"/>
      <c r="U89" s="166"/>
      <c r="V89" s="165"/>
      <c r="W89" s="166"/>
      <c r="X89" s="165"/>
      <c r="Y89" s="166"/>
      <c r="Z89" s="116"/>
    </row>
    <row r="90" spans="1:26">
      <c r="A90" s="163"/>
      <c r="B90" s="165"/>
      <c r="C90" s="165"/>
      <c r="D90" s="165"/>
      <c r="E90" s="166"/>
      <c r="F90" s="165"/>
      <c r="G90" s="166"/>
      <c r="H90" s="165"/>
      <c r="I90" s="166"/>
      <c r="J90" s="165"/>
      <c r="K90" s="165"/>
      <c r="L90" s="165"/>
      <c r="M90" s="166"/>
      <c r="N90" s="165"/>
      <c r="O90" s="166"/>
      <c r="P90" s="165"/>
      <c r="Q90" s="166"/>
      <c r="R90" s="165"/>
      <c r="S90" s="166"/>
      <c r="T90" s="165"/>
      <c r="U90" s="166"/>
      <c r="V90" s="165"/>
      <c r="W90" s="166"/>
      <c r="X90" s="165"/>
      <c r="Y90" s="166"/>
      <c r="Z90" s="116"/>
    </row>
    <row r="91" spans="1:26">
      <c r="A91" s="163"/>
      <c r="B91" s="165"/>
      <c r="C91" s="165"/>
      <c r="D91" s="165"/>
      <c r="E91" s="166"/>
      <c r="F91" s="165"/>
      <c r="G91" s="166"/>
      <c r="H91" s="165"/>
      <c r="I91" s="166"/>
      <c r="J91" s="165"/>
      <c r="K91" s="165"/>
      <c r="L91" s="165"/>
      <c r="M91" s="166"/>
      <c r="N91" s="165"/>
      <c r="O91" s="166"/>
      <c r="P91" s="165"/>
      <c r="Q91" s="166"/>
      <c r="R91" s="165"/>
      <c r="S91" s="166"/>
      <c r="T91" s="165"/>
      <c r="U91" s="166"/>
      <c r="V91" s="165"/>
      <c r="W91" s="166"/>
      <c r="X91" s="165"/>
      <c r="Y91" s="166"/>
      <c r="Z91" s="116"/>
    </row>
    <row r="92" spans="1:26">
      <c r="A92" s="163"/>
      <c r="B92" s="165"/>
      <c r="C92" s="165"/>
      <c r="D92" s="165"/>
      <c r="E92" s="166"/>
      <c r="F92" s="165"/>
      <c r="G92" s="166"/>
      <c r="H92" s="165"/>
      <c r="I92" s="166"/>
      <c r="J92" s="165"/>
      <c r="K92" s="165"/>
      <c r="L92" s="165"/>
      <c r="M92" s="166"/>
      <c r="N92" s="165"/>
      <c r="O92" s="166"/>
      <c r="P92" s="165"/>
      <c r="Q92" s="166"/>
      <c r="R92" s="165"/>
      <c r="S92" s="166"/>
      <c r="T92" s="165"/>
      <c r="U92" s="166"/>
      <c r="V92" s="165"/>
      <c r="W92" s="166"/>
      <c r="X92" s="165"/>
      <c r="Y92" s="166"/>
      <c r="Z92" s="116"/>
    </row>
    <row r="93" spans="1:26">
      <c r="A93" s="163"/>
      <c r="B93" s="165"/>
      <c r="C93" s="165"/>
      <c r="D93" s="165"/>
      <c r="E93" s="166"/>
      <c r="F93" s="165"/>
      <c r="G93" s="166"/>
      <c r="H93" s="165"/>
      <c r="I93" s="166"/>
      <c r="J93" s="165"/>
      <c r="K93" s="165"/>
      <c r="L93" s="165"/>
      <c r="M93" s="166"/>
      <c r="N93" s="165"/>
      <c r="O93" s="166"/>
      <c r="P93" s="165"/>
      <c r="Q93" s="166"/>
      <c r="R93" s="165"/>
      <c r="S93" s="166"/>
      <c r="T93" s="165"/>
      <c r="U93" s="166"/>
      <c r="V93" s="165"/>
      <c r="W93" s="166"/>
      <c r="X93" s="165"/>
      <c r="Y93" s="166"/>
      <c r="Z93" s="116"/>
    </row>
  </sheetData>
  <sortState xmlns:xlrd2="http://schemas.microsoft.com/office/spreadsheetml/2017/richdata2" ref="A19:AN27">
    <sortCondition ref="A19:A27"/>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O70"/>
  <sheetViews>
    <sheetView showGridLines="0" zoomScale="88" zoomScaleNormal="88" workbookViewId="0"/>
  </sheetViews>
  <sheetFormatPr defaultColWidth="8.84375" defaultRowHeight="17.25" customHeight="1"/>
  <cols>
    <col min="1" max="1" width="56.07421875" style="1280" customWidth="1"/>
    <col min="2" max="2" width="2.07421875" style="1279" customWidth="1"/>
    <col min="3" max="4" width="24" style="1280" customWidth="1"/>
    <col min="5" max="5" width="24" style="1957" customWidth="1"/>
    <col min="6" max="6" width="2" style="1280" customWidth="1"/>
    <col min="7" max="7" width="24" style="1884" customWidth="1"/>
    <col min="8" max="9" width="24" style="1279" customWidth="1"/>
    <col min="10" max="10" width="20" style="1279" customWidth="1"/>
    <col min="11" max="11" width="20.07421875" style="1279" customWidth="1"/>
    <col min="12" max="12" width="8.84375" style="1279"/>
    <col min="13" max="13" width="18.53515625" style="1279" customWidth="1"/>
    <col min="14" max="14" width="18" style="1279" customWidth="1"/>
    <col min="15" max="16384" width="8.84375" style="1279"/>
  </cols>
  <sheetData>
    <row r="1" spans="1:14" ht="17.25" customHeight="1">
      <c r="A1" s="265" t="s">
        <v>97</v>
      </c>
    </row>
    <row r="3" spans="1:14" ht="25.4" customHeight="1">
      <c r="A3" s="1282" t="s">
        <v>98</v>
      </c>
      <c r="C3" s="1885"/>
      <c r="D3" s="1885"/>
      <c r="E3" s="1958"/>
      <c r="F3" s="1885"/>
      <c r="H3" s="1886" t="s">
        <v>103</v>
      </c>
      <c r="I3" s="1887" t="s">
        <v>1351</v>
      </c>
    </row>
    <row r="4" spans="1:14" ht="25.4" customHeight="1">
      <c r="A4" s="1282" t="s">
        <v>1352</v>
      </c>
      <c r="C4" s="1885"/>
      <c r="D4" s="1885"/>
      <c r="E4" s="1958"/>
      <c r="F4" s="1885"/>
    </row>
    <row r="5" spans="1:14" ht="21" customHeight="1">
      <c r="A5" s="1283" t="str">
        <f>'Cashflow Governmental'!A6</f>
        <v>FISCAL YEAR 2026-2027</v>
      </c>
      <c r="C5" s="1885"/>
      <c r="D5" s="1885"/>
      <c r="E5" s="1958"/>
      <c r="F5" s="1885"/>
    </row>
    <row r="6" spans="1:14" ht="17.25" customHeight="1">
      <c r="A6" s="1284"/>
      <c r="C6" s="1885"/>
      <c r="D6" s="1885"/>
      <c r="E6" s="1958"/>
      <c r="F6" s="1885"/>
    </row>
    <row r="7" spans="1:14" ht="17.25" customHeight="1">
      <c r="A7" s="1285"/>
      <c r="B7" s="1286"/>
      <c r="C7" s="2086" t="str">
        <f>Footnotes!$O$3</f>
        <v>APRIL 2026</v>
      </c>
      <c r="D7" s="2086"/>
      <c r="E7" s="2086"/>
      <c r="F7" s="1888"/>
      <c r="G7" s="2087" t="str">
        <f>UPPER('Cashflow Governmental'!$AB$12)</f>
        <v>1 MONTH ENDED APRIL 30</v>
      </c>
      <c r="H7" s="2087"/>
      <c r="I7" s="2087"/>
    </row>
    <row r="8" spans="1:14" ht="17.25" customHeight="1">
      <c r="A8" s="1285"/>
      <c r="B8" s="1286"/>
      <c r="C8" s="1285"/>
      <c r="D8" s="1285"/>
      <c r="E8" s="1285"/>
      <c r="F8" s="1285"/>
      <c r="G8" s="1889"/>
      <c r="H8" s="1286"/>
      <c r="I8" s="1286"/>
    </row>
    <row r="9" spans="1:14" ht="17.25" customHeight="1">
      <c r="A9" s="1287"/>
      <c r="B9" s="1286"/>
      <c r="C9" s="1287" t="s">
        <v>1353</v>
      </c>
      <c r="D9" s="1287" t="s">
        <v>1354</v>
      </c>
      <c r="E9" s="1287" t="str">
        <f>PROPER(_xlfn.TEXTBEFORE(C7," "))</f>
        <v>April</v>
      </c>
      <c r="F9" s="1287"/>
      <c r="G9" s="1287" t="s">
        <v>1353</v>
      </c>
      <c r="H9" s="1287" t="s">
        <v>1354</v>
      </c>
      <c r="I9" s="1890" t="s">
        <v>1355</v>
      </c>
    </row>
    <row r="10" spans="1:14" s="1290" customFormat="1" ht="17.25" customHeight="1">
      <c r="A10" s="933"/>
      <c r="B10" s="1289"/>
      <c r="C10" s="1891"/>
      <c r="D10" s="1891"/>
      <c r="E10" s="1891"/>
      <c r="F10" s="1891"/>
      <c r="G10" s="2015"/>
      <c r="H10" s="2015"/>
      <c r="I10" s="2015"/>
    </row>
    <row r="11" spans="1:14" s="1293" customFormat="1" ht="17.25" customHeight="1">
      <c r="A11" s="1291" t="s">
        <v>1356</v>
      </c>
      <c r="B11" s="1292"/>
      <c r="C11" s="1260">
        <v>0</v>
      </c>
      <c r="D11" s="1260">
        <v>0</v>
      </c>
      <c r="E11" s="934">
        <f t="shared" ref="E11:E51" si="0">C11+D11</f>
        <v>0</v>
      </c>
      <c r="F11" s="934"/>
      <c r="G11" s="1260">
        <v>0</v>
      </c>
      <c r="H11" s="1260">
        <v>0</v>
      </c>
      <c r="I11" s="934">
        <f t="shared" ref="I11:I51" si="1">G11+H11</f>
        <v>0</v>
      </c>
      <c r="J11" s="1827"/>
      <c r="K11" s="1828"/>
      <c r="M11" s="1827"/>
      <c r="N11" s="1828"/>
    </row>
    <row r="12" spans="1:14" s="1293" customFormat="1" ht="17.25" customHeight="1">
      <c r="A12" s="1291" t="s">
        <v>1357</v>
      </c>
      <c r="B12" s="1292"/>
      <c r="C12" s="1261">
        <v>0</v>
      </c>
      <c r="D12" s="1991">
        <v>910253.53</v>
      </c>
      <c r="E12" s="1992">
        <f t="shared" si="0"/>
        <v>910253.53</v>
      </c>
      <c r="F12" s="1992"/>
      <c r="G12" s="1261">
        <v>0</v>
      </c>
      <c r="H12" s="1991">
        <v>910253.53</v>
      </c>
      <c r="I12" s="913">
        <f t="shared" si="1"/>
        <v>910253.53</v>
      </c>
      <c r="J12" s="1827"/>
      <c r="K12" s="1828"/>
      <c r="M12" s="1827"/>
      <c r="N12" s="1828"/>
    </row>
    <row r="13" spans="1:14" s="1293" customFormat="1" ht="17.25" customHeight="1">
      <c r="A13" s="1294" t="s">
        <v>1358</v>
      </c>
      <c r="B13" s="1295"/>
      <c r="C13" s="1261">
        <v>127980694.84999999</v>
      </c>
      <c r="D13" s="1991">
        <v>0</v>
      </c>
      <c r="E13" s="1992">
        <f t="shared" si="0"/>
        <v>127980694.84999999</v>
      </c>
      <c r="F13" s="1992"/>
      <c r="G13" s="1261">
        <v>127980694.84999999</v>
      </c>
      <c r="H13" s="1991">
        <v>0</v>
      </c>
      <c r="I13" s="913">
        <f t="shared" si="1"/>
        <v>127980694.84999999</v>
      </c>
      <c r="J13" s="1827"/>
      <c r="K13" s="1828"/>
      <c r="M13" s="1827"/>
      <c r="N13" s="1828"/>
    </row>
    <row r="14" spans="1:14" s="1293" customFormat="1" ht="17.25" customHeight="1">
      <c r="A14" s="1294" t="s">
        <v>1460</v>
      </c>
      <c r="B14" s="1295"/>
      <c r="C14" s="1261">
        <v>0</v>
      </c>
      <c r="D14" s="1991">
        <v>0</v>
      </c>
      <c r="E14" s="1992">
        <f t="shared" si="0"/>
        <v>0</v>
      </c>
      <c r="F14" s="1992"/>
      <c r="G14" s="1261">
        <v>0</v>
      </c>
      <c r="H14" s="1991">
        <v>0</v>
      </c>
      <c r="I14" s="913">
        <f t="shared" si="1"/>
        <v>0</v>
      </c>
      <c r="J14" s="1827"/>
      <c r="K14" s="1828"/>
      <c r="M14" s="1827"/>
      <c r="N14" s="1828"/>
    </row>
    <row r="15" spans="1:14" s="1293" customFormat="1" ht="17.25" customHeight="1">
      <c r="A15" s="1291" t="s">
        <v>1475</v>
      </c>
      <c r="B15" s="1292"/>
      <c r="C15" s="1261">
        <v>0</v>
      </c>
      <c r="D15" s="1991">
        <v>0</v>
      </c>
      <c r="E15" s="1992">
        <f t="shared" si="0"/>
        <v>0</v>
      </c>
      <c r="F15" s="1992"/>
      <c r="G15" s="1261">
        <v>0</v>
      </c>
      <c r="H15" s="1991">
        <v>0</v>
      </c>
      <c r="I15" s="913">
        <f t="shared" si="1"/>
        <v>0</v>
      </c>
      <c r="J15" s="1827"/>
      <c r="K15" s="1828"/>
      <c r="M15" s="1827"/>
      <c r="N15" s="1828"/>
    </row>
    <row r="16" spans="1:14" s="1293" customFormat="1" ht="17.25" customHeight="1">
      <c r="A16" s="1291" t="s">
        <v>1359</v>
      </c>
      <c r="B16" s="1292"/>
      <c r="C16" s="1261">
        <v>809279.98</v>
      </c>
      <c r="D16" s="1991">
        <v>0</v>
      </c>
      <c r="E16" s="1992">
        <f t="shared" si="0"/>
        <v>809279.98</v>
      </c>
      <c r="F16" s="1992"/>
      <c r="G16" s="1261">
        <v>809279.98</v>
      </c>
      <c r="H16" s="1991">
        <v>0</v>
      </c>
      <c r="I16" s="913">
        <f t="shared" si="1"/>
        <v>809279.98</v>
      </c>
      <c r="J16" s="1827"/>
      <c r="K16" s="1828"/>
      <c r="M16" s="1827"/>
      <c r="N16" s="1828"/>
    </row>
    <row r="17" spans="1:14" s="1293" customFormat="1" ht="17.25" customHeight="1">
      <c r="A17" s="1291" t="s">
        <v>1360</v>
      </c>
      <c r="B17" s="1292"/>
      <c r="C17" s="1261">
        <v>97621.900000000009</v>
      </c>
      <c r="D17" s="1991">
        <v>0</v>
      </c>
      <c r="E17" s="1992">
        <f t="shared" si="0"/>
        <v>97621.900000000009</v>
      </c>
      <c r="F17" s="1992"/>
      <c r="G17" s="1261">
        <v>97621.900000000009</v>
      </c>
      <c r="H17" s="1991">
        <v>0</v>
      </c>
      <c r="I17" s="913">
        <f t="shared" si="1"/>
        <v>97621.900000000009</v>
      </c>
      <c r="J17" s="1827"/>
      <c r="K17" s="1828"/>
      <c r="M17" s="1827"/>
      <c r="N17" s="1828"/>
    </row>
    <row r="18" spans="1:14" s="1293" customFormat="1" ht="17.25" customHeight="1">
      <c r="A18" s="1291" t="s">
        <v>1498</v>
      </c>
      <c r="B18" s="1292"/>
      <c r="C18" s="1261">
        <v>4302067.83</v>
      </c>
      <c r="D18" s="1991">
        <v>0</v>
      </c>
      <c r="E18" s="1992">
        <f t="shared" si="0"/>
        <v>4302067.83</v>
      </c>
      <c r="F18" s="1992"/>
      <c r="G18" s="1261">
        <v>4302067.83</v>
      </c>
      <c r="H18" s="1991">
        <v>0</v>
      </c>
      <c r="I18" s="913">
        <f t="shared" si="1"/>
        <v>4302067.83</v>
      </c>
      <c r="K18" s="1828"/>
      <c r="M18" s="1827"/>
      <c r="N18" s="1828"/>
    </row>
    <row r="19" spans="1:14" s="1293" customFormat="1" ht="17.25" customHeight="1">
      <c r="A19" s="1291" t="s">
        <v>1361</v>
      </c>
      <c r="B19" s="1292"/>
      <c r="C19" s="1261">
        <v>0</v>
      </c>
      <c r="D19" s="1991">
        <v>0</v>
      </c>
      <c r="E19" s="1992">
        <f t="shared" si="0"/>
        <v>0</v>
      </c>
      <c r="F19" s="1992"/>
      <c r="G19" s="1261">
        <v>0</v>
      </c>
      <c r="H19" s="1991">
        <v>0</v>
      </c>
      <c r="I19" s="913">
        <f t="shared" si="1"/>
        <v>0</v>
      </c>
      <c r="J19" s="1827"/>
      <c r="K19" s="1828"/>
      <c r="M19" s="1827"/>
      <c r="N19" s="1828"/>
    </row>
    <row r="20" spans="1:14" s="1293" customFormat="1" ht="17.25" customHeight="1">
      <c r="A20" s="1291" t="s">
        <v>1476</v>
      </c>
      <c r="B20" s="1292"/>
      <c r="C20" s="1261">
        <v>0</v>
      </c>
      <c r="D20" s="1991">
        <v>0</v>
      </c>
      <c r="E20" s="1992">
        <f t="shared" si="0"/>
        <v>0</v>
      </c>
      <c r="F20" s="1992"/>
      <c r="G20" s="1261">
        <v>0</v>
      </c>
      <c r="H20" s="1991">
        <v>0</v>
      </c>
      <c r="I20" s="913">
        <f t="shared" si="1"/>
        <v>0</v>
      </c>
      <c r="J20" s="1827"/>
      <c r="K20" s="1828"/>
      <c r="N20" s="1828"/>
    </row>
    <row r="21" spans="1:14" s="1293" customFormat="1" ht="17.25" customHeight="1">
      <c r="A21" s="1291" t="s">
        <v>1362</v>
      </c>
      <c r="B21" s="1292"/>
      <c r="C21" s="1261">
        <v>0</v>
      </c>
      <c r="D21" s="1991">
        <v>126508.37000000001</v>
      </c>
      <c r="E21" s="1992">
        <f t="shared" si="0"/>
        <v>126508.37000000001</v>
      </c>
      <c r="F21" s="1992"/>
      <c r="G21" s="1261">
        <v>0</v>
      </c>
      <c r="H21" s="1991">
        <v>126508.37</v>
      </c>
      <c r="I21" s="913">
        <f t="shared" si="1"/>
        <v>126508.37</v>
      </c>
      <c r="J21" s="1827"/>
      <c r="K21" s="1828"/>
      <c r="M21" s="1827"/>
      <c r="N21" s="1828"/>
    </row>
    <row r="22" spans="1:14" s="1293" customFormat="1" ht="17.25" customHeight="1">
      <c r="A22" s="1291" t="s">
        <v>1363</v>
      </c>
      <c r="B22" s="1292"/>
      <c r="C22" s="1261">
        <v>0</v>
      </c>
      <c r="D22" s="1991">
        <v>0</v>
      </c>
      <c r="E22" s="1992">
        <f t="shared" si="0"/>
        <v>0</v>
      </c>
      <c r="F22" s="1992"/>
      <c r="G22" s="1261">
        <v>0</v>
      </c>
      <c r="H22" s="1991">
        <v>0</v>
      </c>
      <c r="I22" s="913">
        <f t="shared" si="1"/>
        <v>0</v>
      </c>
      <c r="J22" s="1827"/>
      <c r="K22" s="1828"/>
      <c r="M22" s="1827"/>
      <c r="N22" s="1828"/>
    </row>
    <row r="23" spans="1:14" s="1293" customFormat="1" ht="17.25" customHeight="1">
      <c r="A23" s="1291" t="s">
        <v>1364</v>
      </c>
      <c r="B23" s="1292"/>
      <c r="C23" s="1261">
        <v>207442.61000000002</v>
      </c>
      <c r="D23" s="1991">
        <v>0</v>
      </c>
      <c r="E23" s="1992">
        <f t="shared" si="0"/>
        <v>207442.61000000002</v>
      </c>
      <c r="F23" s="1992"/>
      <c r="G23" s="1261">
        <v>207442.61000000002</v>
      </c>
      <c r="H23" s="1991">
        <v>0</v>
      </c>
      <c r="I23" s="913">
        <f t="shared" si="1"/>
        <v>207442.61000000002</v>
      </c>
      <c r="J23" s="1827"/>
      <c r="K23" s="1828"/>
      <c r="M23" s="1827"/>
      <c r="N23" s="1828"/>
    </row>
    <row r="24" spans="1:14" s="1293" customFormat="1" ht="17.25" customHeight="1">
      <c r="A24" s="1291" t="s">
        <v>1365</v>
      </c>
      <c r="B24" s="1292"/>
      <c r="C24" s="1261">
        <v>964802.72</v>
      </c>
      <c r="D24" s="1991">
        <v>0</v>
      </c>
      <c r="E24" s="1992">
        <f t="shared" si="0"/>
        <v>964802.72</v>
      </c>
      <c r="F24" s="1992"/>
      <c r="G24" s="1261">
        <v>964802.72</v>
      </c>
      <c r="H24" s="1991">
        <v>0</v>
      </c>
      <c r="I24" s="913">
        <f t="shared" si="1"/>
        <v>964802.72</v>
      </c>
      <c r="J24" s="1827"/>
      <c r="K24" s="1828"/>
      <c r="M24" s="1827"/>
      <c r="N24" s="1828"/>
    </row>
    <row r="25" spans="1:14" s="1293" customFormat="1" ht="17.25" customHeight="1">
      <c r="A25" s="1291" t="s">
        <v>1366</v>
      </c>
      <c r="B25" s="1292"/>
      <c r="C25" s="1261">
        <v>10900000</v>
      </c>
      <c r="D25" s="1991">
        <v>0</v>
      </c>
      <c r="E25" s="1992">
        <f t="shared" si="0"/>
        <v>10900000</v>
      </c>
      <c r="F25" s="1992"/>
      <c r="G25" s="1261">
        <v>10900000</v>
      </c>
      <c r="H25" s="1991">
        <v>0</v>
      </c>
      <c r="I25" s="913">
        <f t="shared" si="1"/>
        <v>10900000</v>
      </c>
      <c r="J25" s="1827"/>
      <c r="K25" s="1828"/>
      <c r="M25" s="1827"/>
      <c r="N25" s="1828"/>
    </row>
    <row r="26" spans="1:14" s="1293" customFormat="1" ht="17.25" customHeight="1">
      <c r="A26" s="1291" t="s">
        <v>1367</v>
      </c>
      <c r="B26" s="1292"/>
      <c r="C26" s="1261">
        <v>1082719.77</v>
      </c>
      <c r="D26" s="1991">
        <v>0</v>
      </c>
      <c r="E26" s="1992">
        <f t="shared" si="0"/>
        <v>1082719.77</v>
      </c>
      <c r="F26" s="1992"/>
      <c r="G26" s="1261">
        <v>1082719.77</v>
      </c>
      <c r="H26" s="1991">
        <v>0</v>
      </c>
      <c r="I26" s="913">
        <f t="shared" si="1"/>
        <v>1082719.77</v>
      </c>
      <c r="J26" s="1827"/>
      <c r="K26" s="1828"/>
      <c r="M26" s="1827"/>
      <c r="N26" s="1828"/>
    </row>
    <row r="27" spans="1:14" s="1293" customFormat="1" ht="17.25" customHeight="1">
      <c r="A27" s="1291" t="s">
        <v>1368</v>
      </c>
      <c r="B27" s="1292"/>
      <c r="C27" s="1261">
        <v>953384.53</v>
      </c>
      <c r="D27" s="1991">
        <v>0</v>
      </c>
      <c r="E27" s="1992">
        <f t="shared" si="0"/>
        <v>953384.53</v>
      </c>
      <c r="F27" s="1992"/>
      <c r="G27" s="1261">
        <v>953384.53</v>
      </c>
      <c r="H27" s="1991">
        <v>0</v>
      </c>
      <c r="I27" s="913">
        <f t="shared" si="1"/>
        <v>953384.53</v>
      </c>
      <c r="J27" s="1827"/>
      <c r="K27" s="1828"/>
      <c r="M27" s="1827"/>
      <c r="N27" s="1828"/>
    </row>
    <row r="28" spans="1:14" s="1293" customFormat="1" ht="17.25" customHeight="1">
      <c r="A28" s="1291" t="s">
        <v>1369</v>
      </c>
      <c r="B28" s="1292"/>
      <c r="C28" s="1261">
        <v>1364532.62</v>
      </c>
      <c r="D28" s="1991">
        <v>1450881.7</v>
      </c>
      <c r="E28" s="1992">
        <f t="shared" si="0"/>
        <v>2815414.3200000003</v>
      </c>
      <c r="F28" s="1992"/>
      <c r="G28" s="1261">
        <v>1364532.62</v>
      </c>
      <c r="H28" s="1991">
        <v>1450881.7</v>
      </c>
      <c r="I28" s="913">
        <f t="shared" si="1"/>
        <v>2815414.3200000003</v>
      </c>
      <c r="J28" s="1827"/>
      <c r="K28" s="1828"/>
      <c r="M28" s="1827"/>
      <c r="N28" s="1828"/>
    </row>
    <row r="29" spans="1:14" s="1293" customFormat="1" ht="17.25" customHeight="1">
      <c r="A29" s="1291" t="s">
        <v>1370</v>
      </c>
      <c r="B29" s="1292"/>
      <c r="C29" s="1261">
        <v>0</v>
      </c>
      <c r="D29" s="1991">
        <v>0</v>
      </c>
      <c r="E29" s="1992">
        <f t="shared" si="0"/>
        <v>0</v>
      </c>
      <c r="F29" s="1992"/>
      <c r="G29" s="1261">
        <v>0</v>
      </c>
      <c r="H29" s="1991">
        <v>0</v>
      </c>
      <c r="I29" s="913">
        <f t="shared" si="1"/>
        <v>0</v>
      </c>
      <c r="J29" s="1827"/>
      <c r="K29" s="1828"/>
      <c r="M29" s="1827"/>
      <c r="N29" s="1828"/>
    </row>
    <row r="30" spans="1:14" s="1293" customFormat="1" ht="17.25" customHeight="1">
      <c r="A30" s="1291" t="s">
        <v>1371</v>
      </c>
      <c r="B30" s="1292"/>
      <c r="C30" s="1261">
        <v>133162020.68000001</v>
      </c>
      <c r="D30" s="1991">
        <v>0</v>
      </c>
      <c r="E30" s="1992">
        <f t="shared" si="0"/>
        <v>133162020.68000001</v>
      </c>
      <c r="F30" s="1992"/>
      <c r="G30" s="1261">
        <v>133162020.68000001</v>
      </c>
      <c r="H30" s="1991">
        <v>0</v>
      </c>
      <c r="I30" s="913">
        <f t="shared" si="1"/>
        <v>133162020.68000001</v>
      </c>
      <c r="J30" s="1827"/>
      <c r="K30" s="1828"/>
      <c r="M30" s="1827"/>
      <c r="N30" s="1828"/>
    </row>
    <row r="31" spans="1:14" s="1293" customFormat="1" ht="17.25" customHeight="1">
      <c r="A31" s="1291" t="s">
        <v>1372</v>
      </c>
      <c r="B31" s="1292"/>
      <c r="C31" s="1261">
        <v>0</v>
      </c>
      <c r="D31" s="1991">
        <v>0</v>
      </c>
      <c r="E31" s="1992">
        <f t="shared" si="0"/>
        <v>0</v>
      </c>
      <c r="F31" s="1992"/>
      <c r="G31" s="1261">
        <v>0</v>
      </c>
      <c r="H31" s="1991">
        <v>0</v>
      </c>
      <c r="I31" s="913">
        <f t="shared" si="1"/>
        <v>0</v>
      </c>
      <c r="J31" s="1827"/>
      <c r="K31" s="1828"/>
      <c r="M31" s="1827"/>
      <c r="N31" s="1828"/>
    </row>
    <row r="32" spans="1:14" s="1293" customFormat="1" ht="17.25" customHeight="1">
      <c r="A32" s="1291" t="s">
        <v>1373</v>
      </c>
      <c r="B32" s="1292"/>
      <c r="C32" s="1261">
        <v>25014492.030000001</v>
      </c>
      <c r="D32" s="1991">
        <v>0</v>
      </c>
      <c r="E32" s="1992">
        <f t="shared" si="0"/>
        <v>25014492.030000001</v>
      </c>
      <c r="F32" s="1992"/>
      <c r="G32" s="1261">
        <v>25014492.030000001</v>
      </c>
      <c r="H32" s="1991">
        <v>0</v>
      </c>
      <c r="I32" s="913">
        <f t="shared" si="1"/>
        <v>25014492.030000001</v>
      </c>
      <c r="J32" s="1827"/>
      <c r="K32" s="1828"/>
      <c r="M32" s="1827"/>
      <c r="N32" s="1828"/>
    </row>
    <row r="33" spans="1:14" s="1293" customFormat="1" ht="17.25" customHeight="1">
      <c r="A33" s="1291" t="s">
        <v>1374</v>
      </c>
      <c r="B33" s="1292"/>
      <c r="C33" s="1261">
        <v>38515710.240000002</v>
      </c>
      <c r="D33" s="1991">
        <v>0</v>
      </c>
      <c r="E33" s="1992">
        <f t="shared" si="0"/>
        <v>38515710.240000002</v>
      </c>
      <c r="F33" s="1992"/>
      <c r="G33" s="1261">
        <v>38515710.240000002</v>
      </c>
      <c r="H33" s="1991">
        <v>0</v>
      </c>
      <c r="I33" s="913">
        <f t="shared" si="1"/>
        <v>38515710.240000002</v>
      </c>
      <c r="J33" s="1827"/>
      <c r="K33" s="1828"/>
      <c r="M33" s="1827"/>
      <c r="N33" s="1828"/>
    </row>
    <row r="34" spans="1:14" s="1293" customFormat="1" ht="17.25" customHeight="1">
      <c r="A34" s="1291" t="s">
        <v>1375</v>
      </c>
      <c r="B34" s="1292"/>
      <c r="C34" s="1261">
        <v>138197174.75999999</v>
      </c>
      <c r="D34" s="1991">
        <v>0</v>
      </c>
      <c r="E34" s="1992">
        <f t="shared" si="0"/>
        <v>138197174.75999999</v>
      </c>
      <c r="F34" s="1992"/>
      <c r="G34" s="1261">
        <v>138197174.75999999</v>
      </c>
      <c r="H34" s="1991">
        <v>0</v>
      </c>
      <c r="I34" s="913">
        <f t="shared" si="1"/>
        <v>138197174.75999999</v>
      </c>
      <c r="J34" s="1827"/>
      <c r="K34" s="1828"/>
      <c r="M34" s="1827"/>
      <c r="N34" s="1828"/>
    </row>
    <row r="35" spans="1:14" s="1293" customFormat="1" ht="17.25" customHeight="1">
      <c r="A35" s="1291" t="s">
        <v>1376</v>
      </c>
      <c r="B35" s="1292"/>
      <c r="C35" s="1261">
        <v>1573951323.03</v>
      </c>
      <c r="D35" s="1991">
        <v>0</v>
      </c>
      <c r="E35" s="1992">
        <f t="shared" si="0"/>
        <v>1573951323.03</v>
      </c>
      <c r="F35" s="1992"/>
      <c r="G35" s="1261">
        <v>1573951323.03</v>
      </c>
      <c r="H35" s="1991">
        <v>0</v>
      </c>
      <c r="I35" s="913">
        <f t="shared" si="1"/>
        <v>1573951323.03</v>
      </c>
      <c r="J35" s="1827"/>
      <c r="K35" s="1828"/>
      <c r="M35" s="1827"/>
      <c r="N35" s="1828"/>
    </row>
    <row r="36" spans="1:14" s="1293" customFormat="1" ht="17.25" customHeight="1">
      <c r="A36" s="1291" t="s">
        <v>1377</v>
      </c>
      <c r="B36" s="1292"/>
      <c r="C36" s="1261">
        <v>800924649.60000002</v>
      </c>
      <c r="D36" s="1991">
        <v>0</v>
      </c>
      <c r="E36" s="1992">
        <f t="shared" si="0"/>
        <v>800924649.60000002</v>
      </c>
      <c r="F36" s="1992"/>
      <c r="G36" s="1261">
        <v>800924649.60000002</v>
      </c>
      <c r="H36" s="1991">
        <v>0</v>
      </c>
      <c r="I36" s="913">
        <f t="shared" si="1"/>
        <v>800924649.60000002</v>
      </c>
      <c r="J36" s="1827"/>
      <c r="K36" s="1828"/>
      <c r="M36" s="1827"/>
      <c r="N36" s="1828"/>
    </row>
    <row r="37" spans="1:14" s="1293" customFormat="1" ht="17.25" customHeight="1">
      <c r="A37" s="1291" t="s">
        <v>1378</v>
      </c>
      <c r="B37" s="1292"/>
      <c r="C37" s="1261">
        <v>224072915.18000001</v>
      </c>
      <c r="D37" s="1991">
        <v>0</v>
      </c>
      <c r="E37" s="1992">
        <f t="shared" si="0"/>
        <v>224072915.18000001</v>
      </c>
      <c r="F37" s="1992"/>
      <c r="G37" s="1261">
        <v>224072915.18000001</v>
      </c>
      <c r="H37" s="1991">
        <v>0</v>
      </c>
      <c r="I37" s="913">
        <f t="shared" si="1"/>
        <v>224072915.18000001</v>
      </c>
      <c r="J37" s="1827"/>
      <c r="K37" s="1828"/>
      <c r="M37" s="1827"/>
      <c r="N37" s="1828"/>
    </row>
    <row r="38" spans="1:14" s="1293" customFormat="1" ht="17.25" customHeight="1">
      <c r="A38" s="1291" t="s">
        <v>1379</v>
      </c>
      <c r="B38" s="1292"/>
      <c r="C38" s="1261">
        <v>29617474.399999999</v>
      </c>
      <c r="D38" s="1991">
        <v>0</v>
      </c>
      <c r="E38" s="1992">
        <f t="shared" si="0"/>
        <v>29617474.399999999</v>
      </c>
      <c r="F38" s="1992"/>
      <c r="G38" s="1261">
        <v>29617474.399999999</v>
      </c>
      <c r="H38" s="1991">
        <v>0</v>
      </c>
      <c r="I38" s="913">
        <f t="shared" si="1"/>
        <v>29617474.399999999</v>
      </c>
      <c r="J38" s="1827"/>
      <c r="K38" s="1828"/>
      <c r="M38" s="1827"/>
      <c r="N38" s="1828"/>
    </row>
    <row r="39" spans="1:14" s="1293" customFormat="1" ht="17.25" customHeight="1">
      <c r="A39" s="1291" t="s">
        <v>1380</v>
      </c>
      <c r="B39" s="1292"/>
      <c r="C39" s="1261">
        <v>230055.09</v>
      </c>
      <c r="D39" s="1991">
        <v>0</v>
      </c>
      <c r="E39" s="1992">
        <f t="shared" si="0"/>
        <v>230055.09</v>
      </c>
      <c r="F39" s="1992"/>
      <c r="G39" s="1261">
        <v>230055.09</v>
      </c>
      <c r="H39" s="1991">
        <v>0</v>
      </c>
      <c r="I39" s="913">
        <f t="shared" si="1"/>
        <v>230055.09</v>
      </c>
      <c r="J39" s="1827"/>
      <c r="K39" s="1828"/>
      <c r="M39" s="1827"/>
      <c r="N39" s="1828"/>
    </row>
    <row r="40" spans="1:14" s="1293" customFormat="1" ht="17.25" customHeight="1">
      <c r="A40" s="1294" t="s">
        <v>1381</v>
      </c>
      <c r="B40" s="1292"/>
      <c r="C40" s="1261">
        <v>1359399664.72</v>
      </c>
      <c r="D40" s="1991">
        <v>0</v>
      </c>
      <c r="E40" s="1992">
        <f t="shared" si="0"/>
        <v>1359399664.72</v>
      </c>
      <c r="F40" s="1992"/>
      <c r="G40" s="1261">
        <v>1359399664.72</v>
      </c>
      <c r="H40" s="1991">
        <v>0</v>
      </c>
      <c r="I40" s="913">
        <f t="shared" si="1"/>
        <v>1359399664.72</v>
      </c>
      <c r="J40" s="1827"/>
      <c r="K40" s="1828"/>
      <c r="M40" s="1827"/>
      <c r="N40" s="1828"/>
    </row>
    <row r="41" spans="1:14" s="1293" customFormat="1" ht="17.25" customHeight="1">
      <c r="A41" s="1291" t="s">
        <v>1382</v>
      </c>
      <c r="B41" s="1292"/>
      <c r="C41" s="1261">
        <v>223352797.03</v>
      </c>
      <c r="D41" s="1991">
        <v>0</v>
      </c>
      <c r="E41" s="1992">
        <f t="shared" si="0"/>
        <v>223352797.03</v>
      </c>
      <c r="F41" s="1992"/>
      <c r="G41" s="1261">
        <v>223352797.03</v>
      </c>
      <c r="H41" s="1991">
        <v>0</v>
      </c>
      <c r="I41" s="913">
        <f t="shared" si="1"/>
        <v>223352797.03</v>
      </c>
      <c r="J41" s="1827"/>
      <c r="K41" s="1828"/>
      <c r="M41" s="1827"/>
      <c r="N41" s="1828"/>
    </row>
    <row r="42" spans="1:14" s="1293" customFormat="1" ht="17.25" customHeight="1">
      <c r="A42" s="1291" t="s">
        <v>1383</v>
      </c>
      <c r="B42" s="1292"/>
      <c r="C42" s="1261">
        <v>0</v>
      </c>
      <c r="D42" s="1991">
        <v>0</v>
      </c>
      <c r="E42" s="1992">
        <f t="shared" si="0"/>
        <v>0</v>
      </c>
      <c r="F42" s="1992"/>
      <c r="G42" s="1261">
        <v>0</v>
      </c>
      <c r="H42" s="1991">
        <v>0</v>
      </c>
      <c r="I42" s="913">
        <f t="shared" si="1"/>
        <v>0</v>
      </c>
      <c r="J42" s="1827"/>
      <c r="K42" s="1828"/>
      <c r="M42" s="1827"/>
      <c r="N42" s="1828"/>
    </row>
    <row r="43" spans="1:14" s="1293" customFormat="1" ht="17.25" customHeight="1">
      <c r="A43" s="1291" t="s">
        <v>1384</v>
      </c>
      <c r="B43" s="1292"/>
      <c r="C43" s="1261">
        <v>350000000</v>
      </c>
      <c r="D43" s="1991">
        <v>0</v>
      </c>
      <c r="E43" s="1992">
        <f t="shared" si="0"/>
        <v>350000000</v>
      </c>
      <c r="F43" s="1992"/>
      <c r="G43" s="1261">
        <v>350000000</v>
      </c>
      <c r="H43" s="1991">
        <v>0</v>
      </c>
      <c r="I43" s="913">
        <f t="shared" si="1"/>
        <v>350000000</v>
      </c>
      <c r="J43" s="1827"/>
      <c r="K43" s="1828"/>
      <c r="M43" s="1827"/>
      <c r="N43" s="1828"/>
    </row>
    <row r="44" spans="1:14" s="1293" customFormat="1" ht="17.25" customHeight="1">
      <c r="A44" s="1291" t="s">
        <v>1478</v>
      </c>
      <c r="B44" s="1292"/>
      <c r="C44" s="1261">
        <v>0</v>
      </c>
      <c r="D44" s="1991">
        <v>0</v>
      </c>
      <c r="E44" s="1992">
        <f t="shared" si="0"/>
        <v>0</v>
      </c>
      <c r="F44" s="1992"/>
      <c r="G44" s="1261">
        <v>0</v>
      </c>
      <c r="H44" s="1991">
        <v>0</v>
      </c>
      <c r="I44" s="913">
        <f t="shared" si="1"/>
        <v>0</v>
      </c>
      <c r="J44" s="1827"/>
      <c r="K44" s="1828"/>
      <c r="M44" s="1827"/>
      <c r="N44" s="1828"/>
    </row>
    <row r="45" spans="1:14" s="1293" customFormat="1" ht="17.25" customHeight="1">
      <c r="A45" s="1291" t="s">
        <v>1385</v>
      </c>
      <c r="B45" s="1292"/>
      <c r="C45" s="1261">
        <v>0</v>
      </c>
      <c r="D45" s="1991">
        <v>0</v>
      </c>
      <c r="E45" s="1992">
        <f t="shared" si="0"/>
        <v>0</v>
      </c>
      <c r="F45" s="1992"/>
      <c r="G45" s="1261">
        <v>0</v>
      </c>
      <c r="H45" s="1991">
        <v>0</v>
      </c>
      <c r="I45" s="913">
        <f t="shared" si="1"/>
        <v>0</v>
      </c>
      <c r="J45" s="1827"/>
      <c r="K45" s="1828"/>
      <c r="M45" s="1827"/>
      <c r="N45" s="1828"/>
    </row>
    <row r="46" spans="1:14" s="1293" customFormat="1" ht="17.25" customHeight="1">
      <c r="A46" s="1291" t="s">
        <v>1479</v>
      </c>
      <c r="B46" s="1292"/>
      <c r="C46" s="1261">
        <v>0</v>
      </c>
      <c r="D46" s="1991">
        <v>0</v>
      </c>
      <c r="E46" s="1992">
        <f t="shared" si="0"/>
        <v>0</v>
      </c>
      <c r="F46" s="1992"/>
      <c r="G46" s="1261">
        <v>0</v>
      </c>
      <c r="H46" s="1991">
        <v>0</v>
      </c>
      <c r="I46" s="913">
        <f t="shared" si="1"/>
        <v>0</v>
      </c>
      <c r="J46" s="1827"/>
      <c r="K46" s="1828"/>
      <c r="M46" s="1827"/>
      <c r="N46" s="1828"/>
    </row>
    <row r="47" spans="1:14" s="1293" customFormat="1" ht="17.25" customHeight="1">
      <c r="A47" s="1291" t="s">
        <v>1480</v>
      </c>
      <c r="B47" s="1292"/>
      <c r="C47" s="1261">
        <v>0</v>
      </c>
      <c r="D47" s="1991">
        <v>0</v>
      </c>
      <c r="E47" s="1992">
        <f t="shared" si="0"/>
        <v>0</v>
      </c>
      <c r="F47" s="1992"/>
      <c r="G47" s="1261">
        <v>0</v>
      </c>
      <c r="H47" s="1991">
        <v>0</v>
      </c>
      <c r="I47" s="913">
        <f t="shared" si="1"/>
        <v>0</v>
      </c>
      <c r="J47" s="1827"/>
      <c r="K47" s="1828"/>
      <c r="M47" s="1827"/>
      <c r="N47" s="1828"/>
    </row>
    <row r="48" spans="1:14" s="1293" customFormat="1" ht="17.25" customHeight="1">
      <c r="A48" s="1291" t="s">
        <v>1386</v>
      </c>
      <c r="B48" s="1292"/>
      <c r="C48" s="1261">
        <v>90000000</v>
      </c>
      <c r="D48" s="1991">
        <v>0</v>
      </c>
      <c r="E48" s="1992">
        <f t="shared" si="0"/>
        <v>90000000</v>
      </c>
      <c r="F48" s="1992"/>
      <c r="G48" s="1261">
        <v>90000000</v>
      </c>
      <c r="H48" s="1991">
        <v>0</v>
      </c>
      <c r="I48" s="913">
        <f t="shared" si="1"/>
        <v>90000000</v>
      </c>
      <c r="J48" s="1827"/>
      <c r="K48" s="1828"/>
      <c r="M48" s="1827"/>
      <c r="N48" s="1828"/>
    </row>
    <row r="49" spans="1:15" s="1293" customFormat="1" ht="17.25" customHeight="1">
      <c r="A49" s="1291" t="s">
        <v>1477</v>
      </c>
      <c r="B49" s="1292"/>
      <c r="C49" s="1261">
        <v>21875</v>
      </c>
      <c r="D49" s="1991">
        <v>0</v>
      </c>
      <c r="E49" s="1992">
        <f t="shared" si="0"/>
        <v>21875</v>
      </c>
      <c r="F49" s="1992"/>
      <c r="G49" s="1261">
        <v>21875</v>
      </c>
      <c r="H49" s="1991">
        <v>0</v>
      </c>
      <c r="I49" s="913">
        <f t="shared" si="1"/>
        <v>21875</v>
      </c>
      <c r="J49" s="1827"/>
      <c r="K49" s="1828"/>
      <c r="M49" s="1827"/>
      <c r="N49" s="1828"/>
    </row>
    <row r="50" spans="1:15" s="1293" customFormat="1" ht="17.25" customHeight="1">
      <c r="A50" s="1291" t="s">
        <v>1458</v>
      </c>
      <c r="B50" s="1292"/>
      <c r="C50" s="1261">
        <v>944374</v>
      </c>
      <c r="D50" s="1991">
        <v>0</v>
      </c>
      <c r="E50" s="1992">
        <f t="shared" si="0"/>
        <v>944374</v>
      </c>
      <c r="F50" s="1992"/>
      <c r="G50" s="1261">
        <v>944374</v>
      </c>
      <c r="H50" s="1991">
        <v>0</v>
      </c>
      <c r="I50" s="913">
        <f t="shared" si="1"/>
        <v>944374</v>
      </c>
      <c r="J50" s="1827"/>
      <c r="K50" s="1828"/>
      <c r="M50" s="1827"/>
      <c r="N50" s="1828"/>
    </row>
    <row r="51" spans="1:15" s="1293" customFormat="1" ht="17.25" customHeight="1">
      <c r="A51" s="1291" t="s">
        <v>1387</v>
      </c>
      <c r="B51" s="1292"/>
      <c r="C51" s="1261">
        <v>0</v>
      </c>
      <c r="D51" s="1991">
        <v>0</v>
      </c>
      <c r="E51" s="1992">
        <f t="shared" si="0"/>
        <v>0</v>
      </c>
      <c r="F51" s="1992"/>
      <c r="G51" s="1261">
        <v>0</v>
      </c>
      <c r="H51" s="1991">
        <v>0</v>
      </c>
      <c r="I51" s="913">
        <f t="shared" si="1"/>
        <v>0</v>
      </c>
      <c r="J51" s="1827"/>
      <c r="K51" s="1828"/>
      <c r="M51" s="1827"/>
      <c r="N51" s="1828"/>
    </row>
    <row r="52" spans="1:15" s="1290" customFormat="1" ht="17.25" customHeight="1">
      <c r="A52" s="935" t="s">
        <v>1388</v>
      </c>
      <c r="B52" s="1289"/>
      <c r="C52" s="972">
        <f>SUM(C11:C51)</f>
        <v>5136067072.5699997</v>
      </c>
      <c r="D52" s="972">
        <f>SUM(D11:D51)</f>
        <v>2487643.6</v>
      </c>
      <c r="E52" s="972">
        <f>SUM(E11:E51)</f>
        <v>5138554716.1700001</v>
      </c>
      <c r="F52" s="936"/>
      <c r="G52" s="972">
        <f>SUM(G11:G51)</f>
        <v>5136067072.5699997</v>
      </c>
      <c r="H52" s="972">
        <f>SUM(H11:H51)</f>
        <v>2487643.6</v>
      </c>
      <c r="I52" s="972">
        <f>SUM(I11:I51)</f>
        <v>5138554716.1700001</v>
      </c>
      <c r="J52" s="1827"/>
      <c r="K52" s="1828"/>
      <c r="L52" s="1293"/>
      <c r="M52" s="1827"/>
      <c r="N52" s="1828"/>
      <c r="O52" s="1293"/>
    </row>
    <row r="53" spans="1:15" ht="9.65" customHeight="1">
      <c r="A53" s="1285"/>
      <c r="B53" s="1286"/>
      <c r="C53" s="2048"/>
      <c r="D53" s="2048"/>
      <c r="E53" s="2048"/>
      <c r="F53" s="2048"/>
      <c r="G53" s="2049"/>
      <c r="H53" s="2049"/>
      <c r="I53" s="2049"/>
      <c r="J53" s="1290"/>
      <c r="K53" s="1930"/>
      <c r="L53" s="1292"/>
    </row>
    <row r="54" spans="1:15" ht="43.4" customHeight="1">
      <c r="A54" s="1296" t="s">
        <v>1492</v>
      </c>
      <c r="B54" s="1286"/>
      <c r="C54" s="1892">
        <v>-238988921.06</v>
      </c>
      <c r="D54" s="1893">
        <v>0</v>
      </c>
      <c r="E54" s="954">
        <f>C54+D54</f>
        <v>-238988921.06</v>
      </c>
      <c r="F54" s="955"/>
      <c r="G54" s="1893">
        <f>+C54</f>
        <v>-238988921.06</v>
      </c>
      <c r="H54" s="1893">
        <v>0</v>
      </c>
      <c r="I54" s="956">
        <f>G54+H54</f>
        <v>-238988921.06</v>
      </c>
      <c r="J54" s="1827"/>
      <c r="K54" s="1828"/>
      <c r="L54" s="1293"/>
    </row>
    <row r="55" spans="1:15" ht="15.65" customHeight="1">
      <c r="A55" s="1297"/>
      <c r="B55" s="1286"/>
      <c r="C55" s="2016"/>
      <c r="D55" s="2016"/>
      <c r="E55" s="2016"/>
      <c r="F55" s="2016"/>
      <c r="G55" s="1894"/>
      <c r="H55" s="1894" t="s">
        <v>103</v>
      </c>
      <c r="I55" s="1894"/>
      <c r="J55" s="1827"/>
      <c r="K55" s="1930"/>
      <c r="L55" s="1292"/>
    </row>
    <row r="56" spans="1:15" ht="17.25" customHeight="1" thickBot="1">
      <c r="A56" s="1297" t="s">
        <v>1389</v>
      </c>
      <c r="B56" s="1286"/>
      <c r="C56" s="937">
        <f>+C52+C54</f>
        <v>4897078151.5099993</v>
      </c>
      <c r="D56" s="937">
        <f t="shared" ref="D56:H56" si="2">+D52+D54</f>
        <v>2487643.6</v>
      </c>
      <c r="E56" s="937">
        <f>+E52+E54</f>
        <v>4899565795.1099997</v>
      </c>
      <c r="F56" s="934">
        <f t="shared" si="2"/>
        <v>0</v>
      </c>
      <c r="G56" s="937">
        <f>+G52+G54</f>
        <v>4897078151.5099993</v>
      </c>
      <c r="H56" s="937">
        <f t="shared" si="2"/>
        <v>2487643.6</v>
      </c>
      <c r="I56" s="937">
        <f>+I52+I54</f>
        <v>4899565795.1099997</v>
      </c>
      <c r="J56" s="1826"/>
      <c r="K56" s="1828"/>
      <c r="L56" s="1293"/>
    </row>
    <row r="57" spans="1:15" ht="17.25" customHeight="1" thickTop="1">
      <c r="A57" s="1298"/>
      <c r="B57" s="1288"/>
      <c r="C57" s="1298"/>
      <c r="D57" s="1298"/>
      <c r="E57" s="1895"/>
      <c r="F57" s="1895"/>
      <c r="G57" s="1896"/>
      <c r="H57" s="1896"/>
      <c r="I57" s="1896" t="s">
        <v>103</v>
      </c>
    </row>
    <row r="58" spans="1:15" ht="16.399999999999999" customHeight="1">
      <c r="A58" s="1299" t="s">
        <v>1390</v>
      </c>
      <c r="B58" s="1288"/>
      <c r="C58" s="1897"/>
      <c r="D58" s="1898"/>
      <c r="E58" s="1899"/>
      <c r="F58" s="1900"/>
      <c r="G58" s="1898"/>
      <c r="H58" s="1898"/>
      <c r="I58" s="1898" t="s">
        <v>103</v>
      </c>
    </row>
    <row r="59" spans="1:15" ht="16.399999999999999" customHeight="1">
      <c r="A59" s="1300" t="s">
        <v>1391</v>
      </c>
      <c r="B59" s="1288"/>
      <c r="C59" s="1917"/>
      <c r="D59" s="1998"/>
      <c r="E59" s="1959" t="s">
        <v>103</v>
      </c>
      <c r="F59" s="955"/>
      <c r="G59" s="1893" t="s">
        <v>103</v>
      </c>
      <c r="H59" s="1894"/>
      <c r="I59" s="912"/>
    </row>
    <row r="60" spans="1:15" ht="16.399999999999999" customHeight="1">
      <c r="A60" s="1300" t="s">
        <v>1392</v>
      </c>
      <c r="B60" s="1288"/>
      <c r="C60" s="1999"/>
      <c r="D60" s="1897"/>
      <c r="E60" s="1898" t="s">
        <v>103</v>
      </c>
      <c r="F60" s="1899"/>
      <c r="G60" s="1901" t="s">
        <v>103</v>
      </c>
      <c r="H60" s="1898"/>
      <c r="I60" s="1898"/>
    </row>
    <row r="61" spans="1:15" s="1280" customFormat="1" ht="16.399999999999999" customHeight="1">
      <c r="A61" s="1300" t="s">
        <v>1393</v>
      </c>
      <c r="B61" s="1279"/>
      <c r="C61" s="1892"/>
      <c r="D61" s="1893"/>
      <c r="E61" s="954"/>
      <c r="F61" s="955"/>
      <c r="G61" s="1893" t="s">
        <v>103</v>
      </c>
      <c r="H61" s="1893"/>
      <c r="I61" s="956"/>
    </row>
    <row r="62" spans="1:15" s="1280" customFormat="1" ht="13.4" customHeight="1">
      <c r="A62" s="1300" t="s">
        <v>1394</v>
      </c>
      <c r="B62" s="1279"/>
      <c r="C62" s="1915"/>
      <c r="D62" s="1913"/>
      <c r="E62" s="2000"/>
      <c r="F62" s="1913"/>
      <c r="G62" s="1903"/>
      <c r="H62" s="1288"/>
      <c r="I62" s="1904"/>
    </row>
    <row r="63" spans="1:15" ht="17.25" customHeight="1">
      <c r="A63" s="1300" t="s">
        <v>1395</v>
      </c>
      <c r="C63" s="1915"/>
      <c r="D63" s="1913"/>
      <c r="E63" s="2000"/>
      <c r="F63" s="1913"/>
      <c r="G63" s="1898"/>
      <c r="H63" s="1288"/>
      <c r="I63" s="1288"/>
    </row>
    <row r="64" spans="1:15" ht="17.25" customHeight="1">
      <c r="C64" s="1892"/>
      <c r="D64" s="1893"/>
      <c r="E64" s="954"/>
      <c r="F64" s="955"/>
      <c r="G64" s="1893"/>
      <c r="H64" s="1893"/>
      <c r="I64" s="956"/>
    </row>
    <row r="65" spans="3:9" ht="17.25" customHeight="1">
      <c r="C65" s="1897"/>
      <c r="D65" s="1898"/>
      <c r="E65" s="1899"/>
      <c r="F65" s="1900"/>
      <c r="G65" s="1898"/>
      <c r="H65" s="1898"/>
      <c r="I65" s="1898"/>
    </row>
    <row r="66" spans="3:9" ht="17.25" customHeight="1">
      <c r="C66" s="1892"/>
      <c r="D66" s="1893"/>
      <c r="E66" s="954"/>
      <c r="F66" s="955"/>
      <c r="G66" s="1893"/>
      <c r="H66" s="1893"/>
      <c r="I66" s="956"/>
    </row>
    <row r="67" spans="3:9" ht="17.25" customHeight="1">
      <c r="G67" s="1281"/>
    </row>
    <row r="68" spans="3:9" ht="17.25" customHeight="1">
      <c r="C68" s="1902"/>
      <c r="G68" s="1281"/>
      <c r="I68" s="1822"/>
    </row>
    <row r="69" spans="3:9" ht="17.25" customHeight="1">
      <c r="G69" s="1281"/>
    </row>
    <row r="70" spans="3:9" ht="17.25" customHeight="1">
      <c r="I70" s="1822"/>
    </row>
  </sheetData>
  <mergeCells count="2">
    <mergeCell ref="C7:E7"/>
    <mergeCell ref="G7:I7"/>
  </mergeCells>
  <printOptions horizontalCentered="1"/>
  <pageMargins left="0.17" right="0.18" top="0.44" bottom="0.27" header="0.23" footer="0.18"/>
  <pageSetup scale="54" firstPageNumber="57" orientation="landscape" useFirstPageNumber="1" r:id="rId1"/>
  <headerFooter scaleWithDoc="0" alignWithMargins="0">
    <oddFooter>&amp;C&amp;8&amp;P</oddFooter>
  </headerFooter>
  <customProperties>
    <customPr name="SheetOptions"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A1:L43"/>
  <sheetViews>
    <sheetView showGridLines="0" zoomScale="80" zoomScaleNormal="80" workbookViewId="0"/>
  </sheetViews>
  <sheetFormatPr defaultColWidth="8.84375" defaultRowHeight="14.5"/>
  <cols>
    <col min="1" max="1" width="58.53515625" style="1305" customWidth="1"/>
    <col min="2" max="2" width="2" style="1279" customWidth="1"/>
    <col min="3" max="3" width="21.07421875" style="1280" customWidth="1"/>
    <col min="4" max="4" width="21.84375" style="1280" customWidth="1"/>
    <col min="5" max="5" width="19.84375" style="1280" customWidth="1"/>
    <col min="6" max="6" width="1.07421875" style="1280" customWidth="1"/>
    <col min="7" max="7" width="22.07421875" style="1884" customWidth="1"/>
    <col min="8" max="8" width="20.84375" style="1279" customWidth="1"/>
    <col min="9" max="9" width="21.84375" style="1279" customWidth="1"/>
    <col min="10" max="10" width="17.84375" style="1281" customWidth="1"/>
    <col min="11" max="11" width="23.84375" style="1279" customWidth="1"/>
    <col min="12" max="12" width="15.84375" style="1279" customWidth="1"/>
    <col min="13" max="16384" width="8.84375" style="1279"/>
  </cols>
  <sheetData>
    <row r="1" spans="1:12" ht="15.5">
      <c r="A1" s="265" t="s">
        <v>97</v>
      </c>
    </row>
    <row r="3" spans="1:12" ht="25.4" customHeight="1">
      <c r="A3" s="1282" t="s">
        <v>98</v>
      </c>
      <c r="C3" s="1885"/>
      <c r="D3" s="1885"/>
      <c r="E3" s="1885"/>
      <c r="F3" s="1885"/>
      <c r="I3" s="1887" t="s">
        <v>1396</v>
      </c>
    </row>
    <row r="4" spans="1:12" ht="25.4" customHeight="1">
      <c r="A4" s="1282" t="s">
        <v>1397</v>
      </c>
      <c r="C4" s="1885"/>
      <c r="D4" s="1885"/>
      <c r="E4" s="1885"/>
      <c r="F4" s="1885"/>
    </row>
    <row r="5" spans="1:12" ht="18.649999999999999" customHeight="1">
      <c r="A5" s="1283" t="str">
        <f>'Appendix H'!A5</f>
        <v>FISCAL YEAR 2026-2027</v>
      </c>
      <c r="C5" s="1885"/>
      <c r="D5" s="1885"/>
      <c r="E5" s="1885"/>
      <c r="F5" s="1885"/>
    </row>
    <row r="6" spans="1:12" ht="21">
      <c r="A6" s="1301"/>
      <c r="C6" s="1885"/>
      <c r="D6" s="1885"/>
      <c r="E6" s="1885"/>
      <c r="F6" s="1885"/>
    </row>
    <row r="7" spans="1:12" ht="15.5">
      <c r="A7" s="1302"/>
      <c r="B7" s="1286"/>
      <c r="C7" s="2088" t="str">
        <f>'Appendix H'!C7</f>
        <v>APRIL 2026</v>
      </c>
      <c r="D7" s="2089"/>
      <c r="E7" s="2089"/>
      <c r="F7" s="1888"/>
      <c r="G7" s="2089" t="str">
        <f>'Appendix H'!G7</f>
        <v>1 MONTH ENDED APRIL 30</v>
      </c>
      <c r="H7" s="2089"/>
      <c r="I7" s="2089"/>
    </row>
    <row r="8" spans="1:12" ht="15.5">
      <c r="A8" s="1302"/>
      <c r="B8" s="1286"/>
      <c r="C8" s="1905"/>
      <c r="D8" s="1905"/>
      <c r="E8" s="1905"/>
      <c r="F8" s="1905"/>
      <c r="G8" s="1889"/>
      <c r="H8" s="1286"/>
      <c r="I8" s="1286"/>
    </row>
    <row r="9" spans="1:12" ht="15.5">
      <c r="A9" s="1303"/>
      <c r="B9" s="1286"/>
      <c r="C9" s="1287" t="s">
        <v>1353</v>
      </c>
      <c r="D9" s="1287" t="s">
        <v>1354</v>
      </c>
      <c r="E9" s="1287" t="str">
        <f>'Appendix H'!E9</f>
        <v>April</v>
      </c>
      <c r="F9" s="1287"/>
      <c r="G9" s="1287" t="s">
        <v>1353</v>
      </c>
      <c r="H9" s="1287" t="s">
        <v>1354</v>
      </c>
      <c r="I9" s="1890" t="s">
        <v>1355</v>
      </c>
    </row>
    <row r="10" spans="1:12" s="1290" customFormat="1" ht="15.5">
      <c r="A10" s="933"/>
      <c r="B10" s="1289"/>
      <c r="C10" s="1906"/>
      <c r="D10" s="1906"/>
      <c r="E10" s="1906"/>
      <c r="F10" s="1906"/>
      <c r="G10" s="1907"/>
      <c r="H10" s="1289"/>
      <c r="I10" s="1907"/>
      <c r="J10" s="1826"/>
    </row>
    <row r="11" spans="1:12" s="1293" customFormat="1" ht="15.5">
      <c r="A11" s="1291" t="s">
        <v>1398</v>
      </c>
      <c r="B11" s="1292"/>
      <c r="C11" s="927">
        <v>15648945.99</v>
      </c>
      <c r="D11" s="927">
        <v>0</v>
      </c>
      <c r="E11" s="928">
        <f>C11+D11</f>
        <v>15648945.99</v>
      </c>
      <c r="F11" s="928"/>
      <c r="G11" s="927">
        <v>15648945.99</v>
      </c>
      <c r="H11" s="927">
        <v>0</v>
      </c>
      <c r="I11" s="928">
        <f>G11+H11</f>
        <v>15648945.99</v>
      </c>
      <c r="J11" s="1827"/>
      <c r="K11" s="1828"/>
      <c r="L11" s="1930"/>
    </row>
    <row r="12" spans="1:12" s="1293" customFormat="1" ht="15.5">
      <c r="A12" s="1291" t="s">
        <v>1358</v>
      </c>
      <c r="B12" s="1292"/>
      <c r="C12" s="1991">
        <v>50690516.609999999</v>
      </c>
      <c r="D12" s="1991">
        <v>0</v>
      </c>
      <c r="E12" s="1992">
        <f>C12+D12</f>
        <v>50690516.609999999</v>
      </c>
      <c r="F12" s="1992"/>
      <c r="G12" s="1991">
        <v>50690516.609999999</v>
      </c>
      <c r="H12" s="1991">
        <v>0</v>
      </c>
      <c r="I12" s="1992">
        <f>G12+H12</f>
        <v>50690516.609999999</v>
      </c>
      <c r="J12" s="1827"/>
      <c r="K12" s="1828"/>
      <c r="L12" s="1930"/>
    </row>
    <row r="13" spans="1:12" s="1293" customFormat="1" ht="15.5">
      <c r="A13" s="1291" t="s">
        <v>1371</v>
      </c>
      <c r="B13" s="1292"/>
      <c r="C13" s="1991">
        <v>356094209.74000001</v>
      </c>
      <c r="D13" s="1991">
        <v>0</v>
      </c>
      <c r="E13" s="1992">
        <f t="shared" ref="E13:E23" si="0">C13+D13</f>
        <v>356094209.74000001</v>
      </c>
      <c r="F13" s="1992"/>
      <c r="G13" s="1991">
        <v>356094209.74000001</v>
      </c>
      <c r="H13" s="1991">
        <v>0</v>
      </c>
      <c r="I13" s="1992">
        <f t="shared" ref="I13:I25" si="1">G13+H13</f>
        <v>356094209.74000001</v>
      </c>
      <c r="J13" s="1827"/>
      <c r="K13" s="1828"/>
      <c r="L13" s="1930"/>
    </row>
    <row r="14" spans="1:12" s="1293" customFormat="1" ht="15.5">
      <c r="A14" s="1291" t="s">
        <v>1373</v>
      </c>
      <c r="B14" s="1292"/>
      <c r="C14" s="1991">
        <v>52028787.509999998</v>
      </c>
      <c r="D14" s="1991">
        <v>0</v>
      </c>
      <c r="E14" s="1992">
        <f t="shared" si="0"/>
        <v>52028787.509999998</v>
      </c>
      <c r="F14" s="1992"/>
      <c r="G14" s="1991">
        <v>52028787.509999998</v>
      </c>
      <c r="H14" s="1991">
        <v>0</v>
      </c>
      <c r="I14" s="1992">
        <f>G14+H14</f>
        <v>52028787.509999998</v>
      </c>
      <c r="J14" s="1827"/>
      <c r="K14" s="1828"/>
      <c r="L14" s="1930"/>
    </row>
    <row r="15" spans="1:12" s="1293" customFormat="1" ht="15.5">
      <c r="A15" s="1291" t="s">
        <v>1374</v>
      </c>
      <c r="B15" s="1292"/>
      <c r="C15" s="1991">
        <v>76000790.069999993</v>
      </c>
      <c r="D15" s="1991">
        <v>0</v>
      </c>
      <c r="E15" s="1992">
        <f t="shared" si="0"/>
        <v>76000790.069999993</v>
      </c>
      <c r="F15" s="1992"/>
      <c r="G15" s="1991">
        <v>76000790.069999993</v>
      </c>
      <c r="H15" s="1991">
        <v>0</v>
      </c>
      <c r="I15" s="1992">
        <f t="shared" si="1"/>
        <v>76000790.069999993</v>
      </c>
      <c r="J15" s="1827"/>
      <c r="K15" s="1828"/>
      <c r="L15" s="1930"/>
    </row>
    <row r="16" spans="1:12" s="1293" customFormat="1" ht="15.5">
      <c r="A16" s="1291" t="s">
        <v>1375</v>
      </c>
      <c r="B16" s="1292"/>
      <c r="C16" s="1991">
        <v>138279190.69999999</v>
      </c>
      <c r="D16" s="1991">
        <v>0</v>
      </c>
      <c r="E16" s="1992">
        <f t="shared" si="0"/>
        <v>138279190.69999999</v>
      </c>
      <c r="F16" s="1992"/>
      <c r="G16" s="1991">
        <v>138279190.69999999</v>
      </c>
      <c r="H16" s="1991">
        <v>0</v>
      </c>
      <c r="I16" s="1992">
        <f t="shared" si="1"/>
        <v>138279190.69999999</v>
      </c>
      <c r="J16" s="1827"/>
      <c r="K16" s="1828"/>
      <c r="L16" s="1930"/>
    </row>
    <row r="17" spans="1:12" s="1293" customFormat="1" ht="15.5">
      <c r="A17" s="1291" t="s">
        <v>1376</v>
      </c>
      <c r="B17" s="1292"/>
      <c r="C17" s="1991">
        <v>2350028673.9400001</v>
      </c>
      <c r="D17" s="1991">
        <v>0</v>
      </c>
      <c r="E17" s="1992">
        <f t="shared" si="0"/>
        <v>2350028673.9400001</v>
      </c>
      <c r="F17" s="1992"/>
      <c r="G17" s="1991">
        <v>2350028673.9400001</v>
      </c>
      <c r="H17" s="1991">
        <v>0</v>
      </c>
      <c r="I17" s="1992">
        <f t="shared" si="1"/>
        <v>2350028673.9400001</v>
      </c>
      <c r="J17" s="1827"/>
      <c r="K17" s="1828"/>
      <c r="L17" s="1930"/>
    </row>
    <row r="18" spans="1:12" s="1293" customFormat="1" ht="15.5">
      <c r="A18" s="1291" t="s">
        <v>1377</v>
      </c>
      <c r="B18" s="1292"/>
      <c r="C18" s="1991">
        <v>1213652959.9399998</v>
      </c>
      <c r="D18" s="1991">
        <v>0</v>
      </c>
      <c r="E18" s="1992">
        <f t="shared" si="0"/>
        <v>1213652959.9399998</v>
      </c>
      <c r="F18" s="1992"/>
      <c r="G18" s="1991">
        <v>1213652959.9399998</v>
      </c>
      <c r="H18" s="1991">
        <v>0</v>
      </c>
      <c r="I18" s="1992">
        <f t="shared" si="1"/>
        <v>1213652959.9399998</v>
      </c>
      <c r="J18" s="1827"/>
      <c r="K18" s="1828"/>
      <c r="L18" s="1930"/>
    </row>
    <row r="19" spans="1:12" s="1293" customFormat="1" ht="15.5">
      <c r="A19" s="1291" t="s">
        <v>1490</v>
      </c>
      <c r="B19" s="1292"/>
      <c r="C19" s="1991">
        <v>0</v>
      </c>
      <c r="D19" s="1991">
        <v>0</v>
      </c>
      <c r="E19" s="1992">
        <f t="shared" si="0"/>
        <v>0</v>
      </c>
      <c r="F19" s="1992"/>
      <c r="G19" s="1991">
        <v>0</v>
      </c>
      <c r="H19" s="1991">
        <v>0</v>
      </c>
      <c r="I19" s="1992">
        <f t="shared" si="1"/>
        <v>0</v>
      </c>
      <c r="J19" s="1827"/>
      <c r="K19" s="1828"/>
      <c r="L19" s="1930"/>
    </row>
    <row r="20" spans="1:12" s="1293" customFormat="1" ht="15.5">
      <c r="A20" s="1291" t="s">
        <v>1378</v>
      </c>
      <c r="B20" s="1292"/>
      <c r="C20" s="1991">
        <v>-268049442.34</v>
      </c>
      <c r="D20" s="1991">
        <v>0</v>
      </c>
      <c r="E20" s="1992">
        <f t="shared" si="0"/>
        <v>-268049442.34</v>
      </c>
      <c r="F20" s="1992"/>
      <c r="G20" s="1991">
        <v>-268049442.34</v>
      </c>
      <c r="H20" s="1991">
        <v>0</v>
      </c>
      <c r="I20" s="1992">
        <f t="shared" si="1"/>
        <v>-268049442.34</v>
      </c>
      <c r="J20" s="1827"/>
      <c r="K20" s="1828"/>
      <c r="L20" s="1930"/>
    </row>
    <row r="21" spans="1:12" s="1293" customFormat="1" ht="15.5">
      <c r="A21" s="1291" t="s">
        <v>1379</v>
      </c>
      <c r="B21" s="1292"/>
      <c r="C21" s="1991">
        <v>54937017.18</v>
      </c>
      <c r="D21" s="1991">
        <v>0</v>
      </c>
      <c r="E21" s="1992">
        <f t="shared" si="0"/>
        <v>54937017.18</v>
      </c>
      <c r="F21" s="1992"/>
      <c r="G21" s="1991">
        <v>54937017.18</v>
      </c>
      <c r="H21" s="1991">
        <v>0</v>
      </c>
      <c r="I21" s="1992">
        <f t="shared" si="1"/>
        <v>54937017.18</v>
      </c>
      <c r="J21" s="1827"/>
      <c r="K21" s="1828"/>
      <c r="L21" s="1930"/>
    </row>
    <row r="22" spans="1:12" s="1293" customFormat="1" ht="15.5">
      <c r="A22" s="1291" t="s">
        <v>1380</v>
      </c>
      <c r="B22" s="1292"/>
      <c r="C22" s="1991">
        <v>386836.45</v>
      </c>
      <c r="D22" s="1991">
        <v>0</v>
      </c>
      <c r="E22" s="1992">
        <f t="shared" si="0"/>
        <v>386836.45</v>
      </c>
      <c r="F22" s="1992"/>
      <c r="G22" s="1991">
        <v>386836.45</v>
      </c>
      <c r="H22" s="1991">
        <v>0</v>
      </c>
      <c r="I22" s="1992">
        <f t="shared" si="1"/>
        <v>386836.45</v>
      </c>
      <c r="J22" s="1827"/>
      <c r="K22" s="1828"/>
      <c r="L22" s="1930"/>
    </row>
    <row r="23" spans="1:12" s="1293" customFormat="1" ht="15.5">
      <c r="A23" s="1291" t="s">
        <v>1399</v>
      </c>
      <c r="B23" s="1292"/>
      <c r="C23" s="1991">
        <v>147672242.09</v>
      </c>
      <c r="D23" s="1991">
        <v>0</v>
      </c>
      <c r="E23" s="1992">
        <f t="shared" si="0"/>
        <v>147672242.09</v>
      </c>
      <c r="F23" s="1992"/>
      <c r="G23" s="1991">
        <v>147672242.09</v>
      </c>
      <c r="H23" s="1991">
        <v>0</v>
      </c>
      <c r="I23" s="1992">
        <f t="shared" si="1"/>
        <v>147672242.09</v>
      </c>
      <c r="J23" s="1827"/>
      <c r="K23" s="1828"/>
      <c r="L23" s="1930"/>
    </row>
    <row r="24" spans="1:12" s="1293" customFormat="1" ht="15.5">
      <c r="A24" s="1291" t="s">
        <v>1382</v>
      </c>
      <c r="B24" s="1292"/>
      <c r="C24" s="332">
        <v>0</v>
      </c>
      <c r="D24" s="1991">
        <v>0</v>
      </c>
      <c r="E24" s="1992">
        <f>C24+D24</f>
        <v>0</v>
      </c>
      <c r="F24" s="1992"/>
      <c r="G24" s="332">
        <v>0</v>
      </c>
      <c r="H24" s="1991">
        <v>0</v>
      </c>
      <c r="I24" s="1992">
        <f t="shared" si="1"/>
        <v>0</v>
      </c>
      <c r="J24" s="1827"/>
      <c r="K24" s="1828"/>
      <c r="L24" s="1930"/>
    </row>
    <row r="25" spans="1:12" s="1293" customFormat="1" ht="15.5">
      <c r="A25" s="1291" t="s">
        <v>1387</v>
      </c>
      <c r="B25" s="1292"/>
      <c r="C25" s="1991">
        <v>0</v>
      </c>
      <c r="D25" s="1991">
        <v>0</v>
      </c>
      <c r="E25" s="1992">
        <f>C25</f>
        <v>0</v>
      </c>
      <c r="F25" s="1992"/>
      <c r="G25" s="1991">
        <v>0</v>
      </c>
      <c r="H25" s="1991">
        <v>0</v>
      </c>
      <c r="I25" s="1992">
        <f t="shared" si="1"/>
        <v>0</v>
      </c>
      <c r="J25" s="1827"/>
      <c r="K25" s="1828"/>
      <c r="L25" s="1930"/>
    </row>
    <row r="26" spans="1:12" s="1290" customFormat="1" ht="26.15" customHeight="1">
      <c r="A26" s="935" t="s">
        <v>1388</v>
      </c>
      <c r="B26" s="1289"/>
      <c r="C26" s="970">
        <f>SUM(C11:C25)</f>
        <v>4187370727.8799996</v>
      </c>
      <c r="D26" s="970">
        <f>SUM(D11:D25)</f>
        <v>0</v>
      </c>
      <c r="E26" s="970">
        <f>SUM(E11:E25)</f>
        <v>4187370727.8799996</v>
      </c>
      <c r="F26" s="971"/>
      <c r="G26" s="970">
        <f>SUM(G11:G25)</f>
        <v>4187370727.8799996</v>
      </c>
      <c r="H26" s="970">
        <f>SUM(H11:H25)</f>
        <v>0</v>
      </c>
      <c r="I26" s="970">
        <f>SUM(I11:I25)</f>
        <v>4187370727.8799996</v>
      </c>
      <c r="J26" s="1826"/>
      <c r="K26" s="1828"/>
      <c r="L26" s="1930"/>
    </row>
    <row r="27" spans="1:12" ht="6.65" customHeight="1">
      <c r="A27" s="1304"/>
      <c r="B27" s="1286"/>
      <c r="C27" s="2050"/>
      <c r="D27" s="2050"/>
      <c r="E27" s="2050"/>
      <c r="F27" s="2050"/>
      <c r="G27" s="1898"/>
      <c r="H27" s="1898"/>
      <c r="I27" s="1898"/>
      <c r="K27" s="1930"/>
      <c r="L27" s="1930"/>
    </row>
    <row r="28" spans="1:12" ht="42" customHeight="1">
      <c r="A28" s="1296" t="s">
        <v>1493</v>
      </c>
      <c r="B28" s="1286"/>
      <c r="C28" s="1908">
        <v>760385504.25</v>
      </c>
      <c r="D28" s="1909">
        <v>0</v>
      </c>
      <c r="E28" s="2051">
        <f t="shared" ref="E28" si="2">C28+D28</f>
        <v>760385504.25</v>
      </c>
      <c r="F28" s="1910"/>
      <c r="G28" s="1911">
        <f>+C28</f>
        <v>760385504.25</v>
      </c>
      <c r="H28" s="1911">
        <v>0</v>
      </c>
      <c r="I28" s="1912">
        <f>G28+H28</f>
        <v>760385504.25</v>
      </c>
      <c r="J28" s="1898"/>
      <c r="K28" s="1828"/>
      <c r="L28" s="1930"/>
    </row>
    <row r="29" spans="1:12" ht="15.65" customHeight="1">
      <c r="A29" s="1297"/>
      <c r="B29" s="1286"/>
      <c r="C29" s="2013"/>
      <c r="D29" s="2013"/>
      <c r="E29" s="2013"/>
      <c r="F29" s="2013"/>
      <c r="G29" s="2014"/>
      <c r="H29" s="2014"/>
      <c r="I29" s="2014"/>
      <c r="K29" s="1930"/>
      <c r="L29" s="1930"/>
    </row>
    <row r="30" spans="1:12" ht="18" thickBot="1">
      <c r="A30" s="1297" t="s">
        <v>1400</v>
      </c>
      <c r="B30" s="1286"/>
      <c r="C30" s="918">
        <f>+C26+C28</f>
        <v>4947756232.1299992</v>
      </c>
      <c r="D30" s="918">
        <f>+D26+D28</f>
        <v>0</v>
      </c>
      <c r="E30" s="918">
        <f>+E26+E28</f>
        <v>4947756232.1299992</v>
      </c>
      <c r="F30" s="928"/>
      <c r="G30" s="918">
        <f>+G26+G28</f>
        <v>4947756232.1299992</v>
      </c>
      <c r="H30" s="918">
        <f>+H26+H28</f>
        <v>0</v>
      </c>
      <c r="I30" s="918">
        <f>+I26+I28</f>
        <v>4947756232.1299992</v>
      </c>
      <c r="K30" s="1828"/>
      <c r="L30" s="1930"/>
    </row>
    <row r="31" spans="1:12" ht="15" thickTop="1">
      <c r="C31" s="1913"/>
      <c r="D31" s="1913"/>
      <c r="E31" s="1913"/>
      <c r="F31" s="1913"/>
      <c r="G31" s="1914"/>
      <c r="H31" s="1288"/>
      <c r="I31" s="1288"/>
    </row>
    <row r="32" spans="1:12" ht="16.399999999999999" customHeight="1">
      <c r="A32" s="1299" t="s">
        <v>1401</v>
      </c>
      <c r="C32" s="1915"/>
      <c r="D32" s="1916"/>
      <c r="E32" s="1915" t="s">
        <v>103</v>
      </c>
      <c r="F32" s="1913"/>
      <c r="G32" s="1893"/>
      <c r="H32" s="1903"/>
      <c r="I32" s="1903"/>
    </row>
    <row r="33" spans="1:9" ht="16.399999999999999" customHeight="1">
      <c r="A33" s="1300" t="s">
        <v>1391</v>
      </c>
      <c r="C33" s="1917" t="s">
        <v>103</v>
      </c>
      <c r="D33" s="1917"/>
      <c r="E33" s="1918" t="s">
        <v>103</v>
      </c>
      <c r="F33" s="1919"/>
      <c r="G33" s="1893"/>
      <c r="H33" s="1893"/>
      <c r="I33" s="1920" t="s">
        <v>103</v>
      </c>
    </row>
    <row r="34" spans="1:9" ht="14.9" customHeight="1">
      <c r="A34" s="1306" t="s">
        <v>1392</v>
      </c>
      <c r="C34" s="1897" t="s">
        <v>103</v>
      </c>
      <c r="D34" s="1899"/>
      <c r="E34" s="1921" t="s">
        <v>103</v>
      </c>
      <c r="F34" s="332"/>
      <c r="G34" s="1898" t="s">
        <v>103</v>
      </c>
      <c r="H34" s="1898"/>
      <c r="I34" s="1922"/>
    </row>
    <row r="35" spans="1:9" ht="16.399999999999999" customHeight="1">
      <c r="A35" s="1306" t="s">
        <v>1402</v>
      </c>
      <c r="C35" s="1915" t="s">
        <v>103</v>
      </c>
      <c r="D35" s="1913"/>
      <c r="E35" s="1915" t="s">
        <v>103</v>
      </c>
      <c r="F35" s="1913"/>
      <c r="G35" s="1898"/>
      <c r="H35" s="1288" t="s">
        <v>103</v>
      </c>
      <c r="I35" s="1903" t="s">
        <v>103</v>
      </c>
    </row>
    <row r="36" spans="1:9" ht="16.399999999999999" customHeight="1">
      <c r="A36" s="1306" t="s">
        <v>1403</v>
      </c>
      <c r="C36" s="1915"/>
      <c r="D36" s="1913"/>
      <c r="E36" s="1915" t="s">
        <v>103</v>
      </c>
      <c r="F36" s="1913"/>
      <c r="G36" s="1903" t="s">
        <v>103</v>
      </c>
      <c r="H36" s="1288"/>
      <c r="I36" s="1904" t="s">
        <v>103</v>
      </c>
    </row>
    <row r="37" spans="1:9">
      <c r="C37" s="1913"/>
      <c r="D37" s="1915"/>
      <c r="E37" s="1913"/>
      <c r="F37" s="1913"/>
      <c r="G37" s="1903"/>
      <c r="H37" s="1288"/>
      <c r="I37" s="1903" t="s">
        <v>103</v>
      </c>
    </row>
    <row r="38" spans="1:9" ht="15.5">
      <c r="C38" s="1908"/>
      <c r="D38" s="1909"/>
      <c r="E38" s="1923"/>
      <c r="F38" s="1910"/>
      <c r="G38" s="1911"/>
      <c r="H38" s="1911"/>
      <c r="I38" s="1912"/>
    </row>
    <row r="39" spans="1:9" ht="15.5">
      <c r="C39" s="1908"/>
      <c r="D39" s="1909"/>
      <c r="E39" s="1923"/>
      <c r="F39" s="1910"/>
      <c r="G39" s="1911"/>
      <c r="H39" s="1911"/>
      <c r="I39" s="1912"/>
    </row>
    <row r="40" spans="1:9">
      <c r="B40" s="1281"/>
      <c r="C40" s="1902"/>
      <c r="D40" s="1902"/>
      <c r="E40" s="1902"/>
      <c r="F40" s="1902"/>
      <c r="G40" s="1281"/>
      <c r="H40" s="1281"/>
      <c r="I40" s="1903" t="s">
        <v>103</v>
      </c>
    </row>
    <row r="41" spans="1:9">
      <c r="B41" s="1281"/>
      <c r="C41" s="1902"/>
      <c r="D41" s="1902"/>
      <c r="E41" s="1902"/>
      <c r="F41" s="1902"/>
      <c r="G41" s="1281"/>
      <c r="H41" s="1281"/>
      <c r="I41" s="1281"/>
    </row>
    <row r="42" spans="1:9">
      <c r="B42" s="1281"/>
      <c r="C42" s="1902"/>
      <c r="D42" s="1902"/>
      <c r="E42" s="1902"/>
      <c r="F42" s="1902"/>
      <c r="G42" s="1281"/>
      <c r="H42" s="1281"/>
      <c r="I42" s="1281"/>
    </row>
    <row r="43" spans="1:9">
      <c r="B43" s="1281"/>
      <c r="C43" s="1902"/>
      <c r="D43" s="1902"/>
      <c r="E43" s="1902"/>
      <c r="F43" s="1902"/>
      <c r="G43" s="1281"/>
      <c r="H43" s="1281"/>
      <c r="I43" s="1281"/>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AA57"/>
  <sheetViews>
    <sheetView showGridLines="0" zoomScale="90" zoomScaleNormal="90" workbookViewId="0"/>
  </sheetViews>
  <sheetFormatPr defaultColWidth="8.84375" defaultRowHeight="15.5"/>
  <cols>
    <col min="1" max="1" width="44.84375" style="10" customWidth="1"/>
    <col min="2" max="2" width="13.84375" style="10" customWidth="1"/>
    <col min="3" max="3" width="1.07421875" style="10" customWidth="1"/>
    <col min="4" max="4" width="13.84375" style="10" customWidth="1"/>
    <col min="5" max="5" width="1.84375" style="10" customWidth="1"/>
    <col min="6" max="6" width="13.84375" style="10" customWidth="1"/>
    <col min="7" max="7" width="1.07421875" style="10" customWidth="1"/>
    <col min="8" max="8" width="13.84375" style="10" customWidth="1"/>
    <col min="9" max="11" width="1.07421875" style="10" customWidth="1"/>
    <col min="12" max="12" width="13.84375" style="10" customWidth="1"/>
    <col min="13" max="13" width="1.53515625" style="10" customWidth="1"/>
    <col min="14" max="14" width="13.84375" style="10" customWidth="1"/>
    <col min="15" max="17" width="1.07421875" style="10" customWidth="1"/>
    <col min="18" max="18" width="13.84375" style="10" customWidth="1"/>
    <col min="19" max="19" width="1.07421875" style="10" customWidth="1"/>
    <col min="20" max="20" width="13.84375" style="10" customWidth="1"/>
    <col min="21" max="22" width="1.07421875" style="10" customWidth="1"/>
    <col min="23" max="23" width="13.84375" style="10" customWidth="1"/>
    <col min="24" max="24" width="1.07421875" style="10" customWidth="1"/>
    <col min="25" max="25" width="13.84375" style="10" customWidth="1"/>
    <col min="26" max="26" width="3.07421875" style="10" customWidth="1"/>
    <col min="27" max="16384" width="8.84375" style="10"/>
  </cols>
  <sheetData>
    <row r="1" spans="1:26">
      <c r="A1" s="265" t="s">
        <v>97</v>
      </c>
    </row>
    <row r="2" spans="1:26">
      <c r="A2" s="354"/>
    </row>
    <row r="3" spans="1:26" s="5" customFormat="1" ht="18" customHeight="1">
      <c r="A3" s="3" t="s">
        <v>98</v>
      </c>
      <c r="B3" s="3"/>
      <c r="C3" s="3"/>
      <c r="D3" s="3"/>
      <c r="E3" s="3"/>
      <c r="F3" s="364"/>
      <c r="G3" s="364"/>
      <c r="H3" s="3"/>
      <c r="I3" s="3"/>
      <c r="J3" s="3"/>
      <c r="K3" s="3"/>
      <c r="L3" s="3"/>
      <c r="M3" s="3"/>
      <c r="N3" s="3"/>
      <c r="O3" s="3"/>
      <c r="P3" s="3"/>
      <c r="Q3" s="3"/>
      <c r="R3" s="890"/>
      <c r="S3" s="2060"/>
      <c r="T3" s="2060"/>
      <c r="U3" s="503"/>
      <c r="V3" s="503"/>
      <c r="W3" s="291"/>
      <c r="X3" s="354"/>
      <c r="Y3" s="2061" t="s">
        <v>199</v>
      </c>
      <c r="Z3" s="2061"/>
    </row>
    <row r="4" spans="1:26" s="5" customFormat="1">
      <c r="A4" s="3" t="s">
        <v>200</v>
      </c>
      <c r="B4" s="3"/>
      <c r="C4" s="3"/>
      <c r="D4" s="3"/>
      <c r="E4" s="3"/>
      <c r="F4" s="364"/>
      <c r="G4" s="364"/>
      <c r="H4" s="3"/>
      <c r="I4" s="3"/>
      <c r="J4" s="3"/>
      <c r="K4" s="3"/>
      <c r="L4" s="3"/>
      <c r="M4" s="3"/>
      <c r="N4" s="3"/>
      <c r="O4" s="3"/>
      <c r="P4" s="3"/>
      <c r="Q4" s="3"/>
      <c r="R4" s="3"/>
      <c r="S4" s="3"/>
      <c r="T4" s="3"/>
      <c r="U4" s="3"/>
      <c r="V4" s="3"/>
      <c r="W4" s="291"/>
      <c r="X4" s="354"/>
      <c r="Y4" s="354"/>
      <c r="Z4" s="354"/>
    </row>
    <row r="5" spans="1:26" s="5" customFormat="1" ht="15.75" customHeight="1">
      <c r="A5" s="1218" t="s">
        <v>158</v>
      </c>
      <c r="B5" s="3"/>
      <c r="C5" s="3"/>
      <c r="D5" s="3"/>
      <c r="E5" s="3"/>
      <c r="F5" s="364"/>
      <c r="G5" s="364"/>
      <c r="H5" s="3"/>
      <c r="I5" s="3"/>
      <c r="J5" s="3"/>
      <c r="K5" s="3"/>
      <c r="L5" s="3"/>
      <c r="M5" s="3"/>
      <c r="N5" s="3"/>
      <c r="O5" s="3"/>
      <c r="P5" s="3"/>
      <c r="Q5" s="3"/>
      <c r="R5" s="3"/>
      <c r="S5" s="3"/>
      <c r="T5" s="3" t="s">
        <v>103</v>
      </c>
      <c r="U5" s="3"/>
      <c r="V5" s="3"/>
      <c r="W5" s="291"/>
      <c r="X5" s="354"/>
      <c r="Y5" s="354"/>
      <c r="Z5" s="354"/>
    </row>
    <row r="6" spans="1:26" s="5" customFormat="1">
      <c r="A6" s="3" t="s">
        <v>102</v>
      </c>
      <c r="B6" s="3"/>
      <c r="C6" s="3"/>
      <c r="D6" s="3"/>
      <c r="E6" s="3"/>
      <c r="F6" s="364"/>
      <c r="G6" s="364"/>
      <c r="H6" s="3"/>
      <c r="I6" s="3"/>
      <c r="J6" s="3"/>
      <c r="K6" s="3"/>
      <c r="L6" s="3"/>
      <c r="M6" s="3"/>
      <c r="N6" s="3"/>
      <c r="O6" s="3"/>
      <c r="P6" s="3"/>
      <c r="Q6" s="3"/>
      <c r="R6" s="3"/>
      <c r="S6" s="3"/>
      <c r="T6" s="3"/>
      <c r="U6" s="3"/>
      <c r="V6" s="3"/>
      <c r="W6" s="291"/>
      <c r="X6" s="354"/>
      <c r="Y6" s="354"/>
      <c r="Z6" s="354"/>
    </row>
    <row r="7" spans="1:26" s="5" customFormat="1">
      <c r="A7" s="6"/>
      <c r="B7" s="3"/>
      <c r="C7" s="3"/>
      <c r="D7" s="3"/>
      <c r="E7" s="3"/>
      <c r="F7" s="364"/>
      <c r="G7" s="364"/>
      <c r="H7" s="3"/>
      <c r="I7" s="3"/>
      <c r="J7" s="3"/>
      <c r="K7" s="3"/>
      <c r="L7" s="3"/>
      <c r="M7" s="3"/>
      <c r="N7" s="3"/>
      <c r="O7" s="3"/>
      <c r="P7" s="3"/>
      <c r="Q7" s="3"/>
      <c r="R7" s="3"/>
      <c r="S7" s="3"/>
      <c r="T7" s="3"/>
      <c r="U7" s="3"/>
      <c r="V7" s="3"/>
      <c r="W7" s="291"/>
      <c r="X7" s="354"/>
      <c r="Y7" s="354"/>
      <c r="Z7" s="354"/>
    </row>
    <row r="8" spans="1:26" s="5" customFormat="1">
      <c r="A8" s="291"/>
      <c r="B8" s="3"/>
      <c r="C8" s="3"/>
      <c r="D8" s="3"/>
      <c r="E8" s="3"/>
      <c r="F8" s="364"/>
      <c r="G8" s="364"/>
      <c r="H8" s="3"/>
      <c r="I8" s="3"/>
      <c r="J8" s="3"/>
      <c r="K8" s="3"/>
      <c r="L8" s="3"/>
      <c r="M8" s="3"/>
      <c r="N8" s="3"/>
      <c r="O8" s="3"/>
      <c r="P8" s="3"/>
      <c r="Q8" s="3"/>
      <c r="R8" s="3"/>
      <c r="S8" s="3"/>
      <c r="T8" s="3"/>
      <c r="U8" s="3"/>
      <c r="V8" s="3"/>
      <c r="W8" s="291"/>
      <c r="X8" s="354"/>
      <c r="Y8" s="354"/>
      <c r="Z8" s="354"/>
    </row>
    <row r="9" spans="1:26" s="5" customFormat="1" ht="8.15" customHeight="1">
      <c r="A9" s="291"/>
      <c r="B9" s="3"/>
      <c r="C9" s="3"/>
      <c r="D9" s="3"/>
      <c r="E9" s="3"/>
      <c r="F9" s="3"/>
      <c r="G9" s="364"/>
      <c r="H9" s="3"/>
      <c r="I9" s="3"/>
      <c r="J9" s="3"/>
      <c r="K9" s="3"/>
      <c r="L9" s="3"/>
      <c r="M9" s="3"/>
      <c r="N9" s="3"/>
      <c r="O9" s="3"/>
      <c r="P9" s="3"/>
      <c r="Q9" s="3"/>
      <c r="R9" s="3"/>
      <c r="S9" s="3"/>
      <c r="T9" s="3"/>
      <c r="U9" s="3"/>
      <c r="V9" s="3"/>
      <c r="W9" s="291"/>
      <c r="X9" s="291"/>
      <c r="Y9" s="291"/>
      <c r="Z9" s="364"/>
    </row>
    <row r="10" spans="1:26" s="5" customFormat="1">
      <c r="A10" s="291"/>
      <c r="B10" s="3"/>
      <c r="C10" s="3"/>
      <c r="D10" s="3"/>
      <c r="E10" s="3"/>
      <c r="F10" s="3"/>
      <c r="G10" s="364"/>
      <c r="H10" s="3"/>
      <c r="I10" s="3"/>
      <c r="J10" s="3"/>
      <c r="K10" s="3"/>
      <c r="L10" s="3"/>
      <c r="M10" s="3"/>
      <c r="N10" s="3"/>
      <c r="O10" s="3"/>
      <c r="P10" s="3"/>
      <c r="Q10" s="3"/>
      <c r="R10" s="3"/>
      <c r="S10" s="3"/>
      <c r="T10" s="3"/>
      <c r="U10" s="3"/>
      <c r="V10" s="3"/>
      <c r="W10" s="291"/>
      <c r="X10" s="354"/>
      <c r="Y10" s="354"/>
      <c r="Z10" s="354"/>
    </row>
    <row r="11" spans="1:26" s="5" customFormat="1">
      <c r="A11" s="291"/>
      <c r="B11" s="3"/>
      <c r="C11" s="3"/>
      <c r="D11" s="3"/>
      <c r="E11" s="3"/>
      <c r="F11" s="3"/>
      <c r="G11" s="364"/>
      <c r="H11" s="3"/>
      <c r="I11" s="3"/>
      <c r="J11" s="3"/>
      <c r="K11" s="3"/>
      <c r="L11" s="291"/>
      <c r="M11" s="52"/>
      <c r="N11" s="504"/>
      <c r="O11" s="504"/>
      <c r="P11" s="504"/>
      <c r="Q11" s="987"/>
      <c r="R11" s="52"/>
      <c r="S11" s="52"/>
      <c r="T11" s="52"/>
      <c r="U11" s="52"/>
      <c r="V11" s="52"/>
      <c r="W11" s="291"/>
      <c r="X11" s="354"/>
      <c r="Y11" s="354"/>
      <c r="Z11" s="354"/>
    </row>
    <row r="12" spans="1:26" ht="16.399999999999999" customHeight="1">
      <c r="A12" s="291"/>
      <c r="B12" s="52"/>
      <c r="C12" s="52" t="s">
        <v>201</v>
      </c>
      <c r="D12" s="52"/>
      <c r="E12" s="3"/>
      <c r="F12" s="52"/>
      <c r="G12" s="52" t="s">
        <v>202</v>
      </c>
      <c r="H12" s="52"/>
      <c r="I12" s="52"/>
      <c r="J12" s="52"/>
      <c r="K12" s="3"/>
      <c r="L12" s="52"/>
      <c r="M12" s="52"/>
      <c r="N12" s="504"/>
      <c r="O12" s="504"/>
      <c r="P12" s="504"/>
      <c r="Q12" s="52" t="s">
        <v>203</v>
      </c>
      <c r="R12" s="52"/>
      <c r="S12" s="52"/>
      <c r="T12" s="52"/>
      <c r="U12" s="52"/>
      <c r="V12" s="52"/>
      <c r="W12" s="1809" t="s">
        <v>204</v>
      </c>
      <c r="X12" s="696"/>
      <c r="Y12" s="696"/>
      <c r="Z12" s="8"/>
    </row>
    <row r="13" spans="1:26" ht="13.4" customHeight="1">
      <c r="A13" s="291"/>
      <c r="B13" s="988"/>
      <c r="C13" s="988"/>
      <c r="D13" s="988"/>
      <c r="E13" s="291"/>
      <c r="F13" s="988"/>
      <c r="G13" s="989"/>
      <c r="H13" s="988"/>
      <c r="I13" s="291"/>
      <c r="J13" s="291"/>
      <c r="K13" s="291"/>
      <c r="L13" s="988"/>
      <c r="M13" s="988"/>
      <c r="N13" s="988"/>
      <c r="O13" s="988"/>
      <c r="P13" s="988"/>
      <c r="Q13" s="988"/>
      <c r="R13" s="988"/>
      <c r="S13" s="988"/>
      <c r="T13" s="988"/>
      <c r="U13" s="291"/>
      <c r="V13" s="403"/>
      <c r="W13" s="7"/>
      <c r="X13" s="9"/>
      <c r="Y13" s="9"/>
      <c r="Z13" s="9"/>
    </row>
    <row r="14" spans="1:26" ht="16.399999999999999" customHeight="1">
      <c r="A14" s="291"/>
      <c r="B14" s="52" t="s">
        <v>109</v>
      </c>
      <c r="C14" s="3"/>
      <c r="D14" s="52" t="str">
        <f>'Exhibit A'!F11</f>
        <v>1 MO. ENDED</v>
      </c>
      <c r="E14" s="3"/>
      <c r="F14" s="52" t="s">
        <v>109</v>
      </c>
      <c r="G14" s="57"/>
      <c r="H14" s="52" t="str">
        <f>D14</f>
        <v>1 MO. ENDED</v>
      </c>
      <c r="I14" s="52"/>
      <c r="J14" s="52"/>
      <c r="K14" s="3"/>
      <c r="L14" s="52" t="s">
        <v>109</v>
      </c>
      <c r="M14" s="3"/>
      <c r="N14" s="52" t="str">
        <f>D14</f>
        <v>1 MO. ENDED</v>
      </c>
      <c r="O14" s="52"/>
      <c r="P14" s="52"/>
      <c r="Q14" s="3"/>
      <c r="R14" s="52" t="s">
        <v>109</v>
      </c>
      <c r="S14" s="3"/>
      <c r="T14" s="52" t="str">
        <f>H14</f>
        <v>1 MO. ENDED</v>
      </c>
      <c r="U14" s="52"/>
      <c r="V14" s="395"/>
      <c r="W14" s="319" t="s">
        <v>110</v>
      </c>
      <c r="X14" s="57"/>
      <c r="Y14" s="320" t="s">
        <v>111</v>
      </c>
      <c r="Z14" s="9"/>
    </row>
    <row r="15" spans="1:26" ht="16.399999999999999" customHeight="1">
      <c r="A15" s="291"/>
      <c r="B15" s="1802" t="str">
        <f>'Exhibit A'!D12</f>
        <v>APR. 2026</v>
      </c>
      <c r="C15" s="3"/>
      <c r="D15" s="1805" t="str">
        <f>'Exhibit A'!F12</f>
        <v>APR. 30, 2026</v>
      </c>
      <c r="E15" s="3"/>
      <c r="F15" s="52" t="str">
        <f>B15</f>
        <v>APR. 2026</v>
      </c>
      <c r="G15" s="3"/>
      <c r="H15" s="52" t="str">
        <f>D15</f>
        <v>APR. 30, 2026</v>
      </c>
      <c r="I15" s="52"/>
      <c r="J15" s="52"/>
      <c r="K15" s="3"/>
      <c r="L15" s="52" t="str">
        <f>B15</f>
        <v>APR. 2026</v>
      </c>
      <c r="M15" s="3"/>
      <c r="N15" s="52" t="str">
        <f>'Exhibit A'!X12</f>
        <v>APR. 30, 2026</v>
      </c>
      <c r="O15" s="52"/>
      <c r="P15" s="52"/>
      <c r="Q15" s="3"/>
      <c r="R15" s="1222" t="str">
        <f>'Exhibit A'!AB12</f>
        <v>APR. 2025</v>
      </c>
      <c r="S15" s="3"/>
      <c r="T15" s="1222" t="str">
        <f>'Exhibit A'!AD12</f>
        <v>APR. 30, 2025</v>
      </c>
      <c r="U15" s="314"/>
      <c r="V15" s="396"/>
      <c r="W15" s="1221" t="s">
        <v>112</v>
      </c>
      <c r="X15" s="57"/>
      <c r="Y15" s="990" t="s">
        <v>113</v>
      </c>
      <c r="Z15" s="9"/>
    </row>
    <row r="16" spans="1:26" ht="13.4" customHeight="1">
      <c r="A16" s="291"/>
      <c r="B16" s="988"/>
      <c r="C16" s="291"/>
      <c r="D16" s="988" t="s">
        <v>103</v>
      </c>
      <c r="E16" s="291"/>
      <c r="F16" s="988"/>
      <c r="G16" s="291"/>
      <c r="H16" s="989" t="s">
        <v>103</v>
      </c>
      <c r="I16" s="364"/>
      <c r="J16" s="1500"/>
      <c r="K16" s="291"/>
      <c r="L16" s="988"/>
      <c r="M16" s="291"/>
      <c r="N16" s="988"/>
      <c r="O16" s="291"/>
      <c r="P16" s="1501"/>
      <c r="Q16" s="291"/>
      <c r="R16" s="291"/>
      <c r="S16" s="291"/>
      <c r="T16" s="291"/>
      <c r="U16" s="291"/>
      <c r="V16" s="403"/>
      <c r="W16" s="7"/>
      <c r="X16" s="291"/>
      <c r="Y16" s="9"/>
      <c r="Z16" s="291"/>
    </row>
    <row r="17" spans="1:27" ht="16.399999999999999" customHeight="1">
      <c r="A17" s="3" t="s">
        <v>114</v>
      </c>
      <c r="B17" s="291"/>
      <c r="C17" s="291"/>
      <c r="D17" s="291"/>
      <c r="E17" s="291"/>
      <c r="F17" s="291"/>
      <c r="G17" s="291"/>
      <c r="H17" s="291"/>
      <c r="I17" s="291"/>
      <c r="J17" s="1501"/>
      <c r="K17" s="291"/>
      <c r="L17" s="291"/>
      <c r="M17" s="291"/>
      <c r="N17" s="291"/>
      <c r="O17" s="291"/>
      <c r="P17" s="1501"/>
      <c r="Q17" s="291"/>
      <c r="R17" s="291"/>
      <c r="S17" s="291"/>
      <c r="T17" s="291"/>
      <c r="U17" s="291"/>
      <c r="V17" s="403"/>
      <c r="W17" s="7"/>
      <c r="X17" s="291"/>
      <c r="Y17" s="9"/>
      <c r="Z17" s="291"/>
    </row>
    <row r="18" spans="1:27" ht="16.399999999999999" customHeight="1">
      <c r="A18" s="291" t="s">
        <v>119</v>
      </c>
      <c r="B18" s="274">
        <f>'Exhibit J'!C17</f>
        <v>292.2</v>
      </c>
      <c r="C18" s="274"/>
      <c r="D18" s="274">
        <f>+'Exhibit J'!AB17</f>
        <v>292.2</v>
      </c>
      <c r="E18" s="274"/>
      <c r="F18" s="274">
        <f>'Exhibit K'!B17</f>
        <v>37.6</v>
      </c>
      <c r="G18" s="274"/>
      <c r="H18" s="274">
        <f>+'Exhibit K'!AA17</f>
        <v>37.6</v>
      </c>
      <c r="I18" s="274"/>
      <c r="J18" s="1502"/>
      <c r="K18" s="274"/>
      <c r="L18" s="274">
        <f>ROUND(SUM(B18)+SUM(F18),1)</f>
        <v>329.8</v>
      </c>
      <c r="M18" s="274"/>
      <c r="N18" s="274">
        <f>ROUND(SUM(D18)+SUM(H18),1)</f>
        <v>329.8</v>
      </c>
      <c r="O18" s="274"/>
      <c r="P18" s="1502"/>
      <c r="Q18" s="274"/>
      <c r="R18" s="274">
        <v>177.9</v>
      </c>
      <c r="S18" s="274"/>
      <c r="T18" s="274">
        <f>'Exhibit J'!AE17+'Exhibit K'!AD17</f>
        <v>177.9</v>
      </c>
      <c r="U18" s="274"/>
      <c r="V18" s="523"/>
      <c r="W18" s="274">
        <f>ROUND(SUM(N18-T18),1)</f>
        <v>151.9</v>
      </c>
      <c r="X18" s="380"/>
      <c r="Y18" s="283">
        <f>ROUND(+W18/T18,3)</f>
        <v>0.85399999999999998</v>
      </c>
      <c r="Z18" s="380"/>
      <c r="AA18" s="1491"/>
    </row>
    <row r="19" spans="1:27" ht="16.399999999999999" customHeight="1">
      <c r="A19" s="350" t="s">
        <v>205</v>
      </c>
      <c r="B19" s="264">
        <f>'Exhibit J'!C18</f>
        <v>2.2000000000000002</v>
      </c>
      <c r="C19" s="264"/>
      <c r="D19" s="264">
        <f>+'Exhibit J'!AB18</f>
        <v>2.2000000000000002</v>
      </c>
      <c r="E19" s="264"/>
      <c r="F19" s="275">
        <v>0</v>
      </c>
      <c r="G19" s="264"/>
      <c r="H19" s="275">
        <v>0</v>
      </c>
      <c r="I19" s="275"/>
      <c r="J19" s="1503"/>
      <c r="K19" s="264"/>
      <c r="L19" s="264">
        <f>ROUND(SUM(B19)+SUM(F19),1)</f>
        <v>2.2000000000000002</v>
      </c>
      <c r="M19" s="264"/>
      <c r="N19" s="264">
        <f>ROUND(SUM(D19)+SUM(H19),1)</f>
        <v>2.2000000000000002</v>
      </c>
      <c r="O19" s="264"/>
      <c r="P19" s="991"/>
      <c r="Q19" s="264"/>
      <c r="R19" s="264">
        <v>1</v>
      </c>
      <c r="S19" s="264"/>
      <c r="T19" s="264">
        <f>'Exhibit J'!AE18</f>
        <v>1</v>
      </c>
      <c r="U19" s="264"/>
      <c r="V19" s="526"/>
      <c r="W19" s="264">
        <f>ROUND(SUM(N19-T19),1)</f>
        <v>1.2</v>
      </c>
      <c r="X19" s="527"/>
      <c r="Y19" s="1073">
        <f>ROUND(+W19/T19,3)</f>
        <v>1.2</v>
      </c>
      <c r="Z19" s="268"/>
      <c r="AA19" s="1491"/>
    </row>
    <row r="20" spans="1:27" ht="16.399999999999999" customHeight="1">
      <c r="A20" s="291" t="s">
        <v>206</v>
      </c>
      <c r="B20" s="264">
        <f>'Exhibit J'!C19</f>
        <v>314.8</v>
      </c>
      <c r="C20" s="264"/>
      <c r="D20" s="264">
        <f>+'Exhibit J'!AB19</f>
        <v>314.8</v>
      </c>
      <c r="E20" s="264"/>
      <c r="F20" s="275">
        <v>0</v>
      </c>
      <c r="G20" s="264"/>
      <c r="H20" s="275">
        <v>0</v>
      </c>
      <c r="I20" s="275"/>
      <c r="J20" s="1503"/>
      <c r="K20" s="264"/>
      <c r="L20" s="383">
        <f>ROUND(SUM(B20+F20),1)</f>
        <v>314.8</v>
      </c>
      <c r="M20" s="264"/>
      <c r="N20" s="264">
        <f>ROUND(SUM(D20)+SUM(H20),1)</f>
        <v>314.8</v>
      </c>
      <c r="O20" s="264"/>
      <c r="P20" s="991"/>
      <c r="Q20" s="264"/>
      <c r="R20" s="264">
        <v>238.9</v>
      </c>
      <c r="S20" s="367"/>
      <c r="T20" s="264">
        <f>'Exhibit J'!AE19</f>
        <v>238.9</v>
      </c>
      <c r="U20" s="264"/>
      <c r="V20" s="526"/>
      <c r="W20" s="264">
        <f>ROUND(SUM(N20-T20),1)</f>
        <v>75.900000000000006</v>
      </c>
      <c r="X20" s="527"/>
      <c r="Y20" s="608">
        <f>ROUND(+W20/T20,3)</f>
        <v>0.318</v>
      </c>
      <c r="Z20" s="268"/>
      <c r="AA20" s="1491"/>
    </row>
    <row r="21" spans="1:27">
      <c r="A21" s="3" t="s">
        <v>121</v>
      </c>
      <c r="B21" s="1803">
        <f>ROUND(SUM(B18:B20),1)</f>
        <v>609.20000000000005</v>
      </c>
      <c r="C21" s="13"/>
      <c r="D21" s="1803">
        <f>ROUND(SUM(D18:D20),1)</f>
        <v>609.20000000000005</v>
      </c>
      <c r="E21" s="13"/>
      <c r="F21" s="1803">
        <f>ROUND(SUM(F18:F20),1)</f>
        <v>37.6</v>
      </c>
      <c r="G21" s="13"/>
      <c r="H21" s="1803">
        <f>ROUND(SUM(H18:H20),1)</f>
        <v>37.6</v>
      </c>
      <c r="I21" s="13"/>
      <c r="J21" s="1504"/>
      <c r="K21" s="13"/>
      <c r="L21" s="1803">
        <f>SUM(L18:L20)</f>
        <v>646.79999999999995</v>
      </c>
      <c r="M21" s="13"/>
      <c r="N21" s="1803">
        <f>SUM(N18:N20)</f>
        <v>646.79999999999995</v>
      </c>
      <c r="O21" s="13"/>
      <c r="P21" s="1504"/>
      <c r="Q21" s="13"/>
      <c r="R21" s="1803">
        <f>ROUND(SUM(R18:R20),1)</f>
        <v>417.8</v>
      </c>
      <c r="S21" s="13"/>
      <c r="T21" s="1803">
        <f>ROUND(SUM(T18:T20),1)</f>
        <v>417.8</v>
      </c>
      <c r="U21" s="13"/>
      <c r="V21" s="98"/>
      <c r="W21" s="1803">
        <f>ROUND(SUM(W18:W20),1)</f>
        <v>229</v>
      </c>
      <c r="X21" s="268"/>
      <c r="Y21" s="1811">
        <f>ROUND(+W21/T21,3)</f>
        <v>0.54800000000000004</v>
      </c>
      <c r="Z21" s="268"/>
      <c r="AA21" s="1491"/>
    </row>
    <row r="22" spans="1:27">
      <c r="A22" s="3"/>
      <c r="B22" s="264"/>
      <c r="C22" s="264"/>
      <c r="D22" s="264"/>
      <c r="E22" s="264"/>
      <c r="F22" s="264"/>
      <c r="G22" s="264"/>
      <c r="H22" s="264"/>
      <c r="I22" s="264"/>
      <c r="J22" s="991"/>
      <c r="K22" s="264"/>
      <c r="L22" s="264"/>
      <c r="M22" s="264"/>
      <c r="N22" s="264"/>
      <c r="O22" s="264"/>
      <c r="P22" s="991"/>
      <c r="Q22" s="264"/>
      <c r="R22" s="264"/>
      <c r="S22" s="264"/>
      <c r="T22" s="264"/>
      <c r="U22" s="264"/>
      <c r="V22" s="526"/>
      <c r="W22" s="364"/>
      <c r="X22" s="291"/>
      <c r="Y22" s="364"/>
      <c r="Z22" s="291"/>
      <c r="AA22" s="1491"/>
    </row>
    <row r="23" spans="1:27" ht="16.399999999999999" customHeight="1">
      <c r="A23" s="3" t="s">
        <v>122</v>
      </c>
      <c r="B23" s="264"/>
      <c r="C23" s="264"/>
      <c r="D23" s="264"/>
      <c r="E23" s="264"/>
      <c r="F23" s="264"/>
      <c r="G23" s="264"/>
      <c r="H23" s="264"/>
      <c r="I23" s="264"/>
      <c r="J23" s="991"/>
      <c r="K23" s="264"/>
      <c r="L23" s="264"/>
      <c r="M23" s="264"/>
      <c r="N23" s="264"/>
      <c r="O23" s="264"/>
      <c r="P23" s="991"/>
      <c r="Q23" s="264"/>
      <c r="R23" s="264"/>
      <c r="S23" s="264"/>
      <c r="T23" s="264"/>
      <c r="U23" s="264"/>
      <c r="V23" s="526"/>
      <c r="W23" s="364"/>
      <c r="X23" s="291"/>
      <c r="Y23" s="364"/>
      <c r="Z23" s="291"/>
      <c r="AA23" s="1491"/>
    </row>
    <row r="24" spans="1:27" ht="16.399999999999999" customHeight="1">
      <c r="A24" s="291" t="s">
        <v>135</v>
      </c>
      <c r="B24" s="264"/>
      <c r="C24" s="264"/>
      <c r="D24" s="264"/>
      <c r="E24" s="264"/>
      <c r="F24" s="264"/>
      <c r="G24" s="264"/>
      <c r="H24" s="264"/>
      <c r="I24" s="264"/>
      <c r="J24" s="991"/>
      <c r="K24" s="264"/>
      <c r="L24" s="264"/>
      <c r="M24" s="264"/>
      <c r="N24" s="264"/>
      <c r="O24" s="264"/>
      <c r="P24" s="991"/>
      <c r="Q24" s="264"/>
      <c r="R24" s="264"/>
      <c r="S24" s="264"/>
      <c r="T24" s="264"/>
      <c r="U24" s="264"/>
      <c r="V24" s="526"/>
      <c r="W24" s="364"/>
      <c r="X24" s="291"/>
      <c r="Y24" s="364"/>
      <c r="Z24" s="291"/>
      <c r="AA24" s="1491"/>
    </row>
    <row r="25" spans="1:27" ht="16.399999999999999" customHeight="1">
      <c r="A25" s="291" t="s">
        <v>207</v>
      </c>
      <c r="B25" s="264">
        <f>'Exhibit J'!C26</f>
        <v>240.1</v>
      </c>
      <c r="C25" s="264"/>
      <c r="D25" s="264">
        <f>+'Exhibit J'!AB26</f>
        <v>240.1</v>
      </c>
      <c r="E25" s="264"/>
      <c r="F25" s="264">
        <f>'Exhibit K'!B24</f>
        <v>14.6</v>
      </c>
      <c r="G25" s="264"/>
      <c r="H25" s="264">
        <f>+'Exhibit K'!AA24</f>
        <v>14.6</v>
      </c>
      <c r="I25" s="264"/>
      <c r="J25" s="991"/>
      <c r="K25" s="264"/>
      <c r="L25" s="264">
        <f>ROUND(SUM(B25)+SUM(F25),1)</f>
        <v>254.7</v>
      </c>
      <c r="M25" s="264"/>
      <c r="N25" s="264">
        <f>ROUND(SUM(D25)+SUM(H25),1)</f>
        <v>254.7</v>
      </c>
      <c r="O25" s="264"/>
      <c r="P25" s="991"/>
      <c r="Q25" s="264"/>
      <c r="R25" s="264">
        <v>158.19999999999999</v>
      </c>
      <c r="S25" s="264"/>
      <c r="T25" s="264">
        <f>'Exhibit J'!AE26+'Exhibit K'!AD24</f>
        <v>158.20000000000002</v>
      </c>
      <c r="U25" s="264"/>
      <c r="V25" s="526"/>
      <c r="W25" s="264">
        <f>ROUND(SUM(N25-T25),1)</f>
        <v>96.5</v>
      </c>
      <c r="X25" s="268"/>
      <c r="Y25" s="608">
        <f>ROUND(+W25/T25,3)</f>
        <v>0.61</v>
      </c>
      <c r="Z25" s="291"/>
      <c r="AA25" s="1491"/>
    </row>
    <row r="26" spans="1:27" ht="16.399999999999999" customHeight="1">
      <c r="A26" s="291" t="s">
        <v>208</v>
      </c>
      <c r="B26" s="264">
        <f>'Exhibit J'!C27</f>
        <v>39.6</v>
      </c>
      <c r="C26" s="264"/>
      <c r="D26" s="264">
        <f>+'Exhibit J'!AB27</f>
        <v>39.6</v>
      </c>
      <c r="E26" s="264"/>
      <c r="F26" s="264">
        <f>'Exhibit K'!B25</f>
        <v>67.3</v>
      </c>
      <c r="G26" s="264"/>
      <c r="H26" s="264">
        <f>+'Exhibit K'!AA25</f>
        <v>67.3</v>
      </c>
      <c r="I26" s="264"/>
      <c r="J26" s="991"/>
      <c r="K26" s="264"/>
      <c r="L26" s="264">
        <f>ROUND(SUM(B26)+SUM(F26),1)</f>
        <v>106.9</v>
      </c>
      <c r="M26" s="264"/>
      <c r="N26" s="264">
        <f>ROUND(SUM(D26)+SUM(H26),1)</f>
        <v>106.9</v>
      </c>
      <c r="O26" s="264"/>
      <c r="P26" s="991"/>
      <c r="Q26" s="264"/>
      <c r="R26" s="264">
        <v>140.9</v>
      </c>
      <c r="S26" s="264"/>
      <c r="T26" s="264">
        <f>'Exhibit J'!AE27+'Exhibit K'!AD25</f>
        <v>140.9</v>
      </c>
      <c r="U26" s="264"/>
      <c r="V26" s="526"/>
      <c r="W26" s="264">
        <f>ROUND(SUM(N26-T26),1)</f>
        <v>-34</v>
      </c>
      <c r="X26" s="268"/>
      <c r="Y26" s="608">
        <f>ROUND(+W26/T26,3)</f>
        <v>-0.24099999999999999</v>
      </c>
      <c r="Z26" s="291"/>
      <c r="AA26" s="1491"/>
    </row>
    <row r="27" spans="1:27" ht="16.399999999999999" customHeight="1">
      <c r="A27" s="291" t="s">
        <v>209</v>
      </c>
      <c r="B27" s="264">
        <f>'Exhibit J'!C28</f>
        <v>71.699999999999989</v>
      </c>
      <c r="C27" s="264"/>
      <c r="D27" s="264">
        <f>+'Exhibit J'!AB28</f>
        <v>71.699999999999989</v>
      </c>
      <c r="E27" s="264"/>
      <c r="F27" s="264">
        <f>'Exhibit K'!B26</f>
        <v>0</v>
      </c>
      <c r="G27" s="264"/>
      <c r="H27" s="264">
        <f>+'Exhibit K'!AA26</f>
        <v>0</v>
      </c>
      <c r="I27" s="264"/>
      <c r="J27" s="991"/>
      <c r="K27" s="264"/>
      <c r="L27" s="264">
        <f>ROUND(SUM(B27)+SUM(F27),1)</f>
        <v>71.7</v>
      </c>
      <c r="M27" s="264"/>
      <c r="N27" s="264">
        <f>ROUND(SUM(D27)+SUM(H27),1)</f>
        <v>71.7</v>
      </c>
      <c r="O27" s="264"/>
      <c r="P27" s="991"/>
      <c r="Q27" s="264"/>
      <c r="R27" s="264">
        <v>71.3</v>
      </c>
      <c r="S27" s="367"/>
      <c r="T27" s="264">
        <f>'Exhibit J'!AE28+'Exhibit K'!AD26</f>
        <v>71.3</v>
      </c>
      <c r="U27" s="264"/>
      <c r="V27" s="526"/>
      <c r="W27" s="264">
        <f>ROUND(SUM(N27-T27),1)</f>
        <v>0.4</v>
      </c>
      <c r="X27" s="268"/>
      <c r="Y27" s="608">
        <f>ROUND(+W27/T27,3)</f>
        <v>6.0000000000000001E-3</v>
      </c>
      <c r="Z27" s="291"/>
      <c r="AA27" s="1491"/>
    </row>
    <row r="28" spans="1:27" ht="15.75" customHeight="1">
      <c r="A28" s="350" t="s">
        <v>210</v>
      </c>
      <c r="B28" s="264">
        <f>'Exhibit J'!C29</f>
        <v>316.10000000000002</v>
      </c>
      <c r="C28" s="264"/>
      <c r="D28" s="264">
        <f>+'Exhibit J'!AB29</f>
        <v>316.10000000000002</v>
      </c>
      <c r="E28" s="264"/>
      <c r="F28" s="275">
        <v>0</v>
      </c>
      <c r="G28" s="264"/>
      <c r="H28" s="836">
        <v>0</v>
      </c>
      <c r="I28" s="275"/>
      <c r="J28" s="1503"/>
      <c r="K28" s="264"/>
      <c r="L28" s="264">
        <f>ROUND(SUM(B28)+SUM(F28),1)</f>
        <v>316.10000000000002</v>
      </c>
      <c r="M28" s="367"/>
      <c r="N28" s="264">
        <f>ROUND(SUM(D28)+SUM(H28),1)</f>
        <v>316.10000000000002</v>
      </c>
      <c r="O28" s="264"/>
      <c r="P28" s="991"/>
      <c r="Q28" s="264"/>
      <c r="R28" s="264">
        <v>240</v>
      </c>
      <c r="S28" s="287"/>
      <c r="T28" s="1941">
        <f>'Exhibit J'!AE29</f>
        <v>240</v>
      </c>
      <c r="U28" s="288"/>
      <c r="V28" s="528"/>
      <c r="W28" s="264">
        <f>ROUND(SUM(N28-T28),1)</f>
        <v>76.099999999999994</v>
      </c>
      <c r="X28" s="268"/>
      <c r="Y28" s="608">
        <f>ROUND(IF(T28=0,0,W28/ABS(T28)),3)</f>
        <v>0.317</v>
      </c>
      <c r="Z28" s="268"/>
      <c r="AA28" s="1491"/>
    </row>
    <row r="29" spans="1:27">
      <c r="A29" s="3" t="s">
        <v>162</v>
      </c>
      <c r="B29" s="1803">
        <f>ROUND(SUM(B25:B28),1)</f>
        <v>667.5</v>
      </c>
      <c r="C29" s="13"/>
      <c r="D29" s="1803">
        <f>ROUND(SUM(D25:D28),1)</f>
        <v>667.5</v>
      </c>
      <c r="E29" s="13"/>
      <c r="F29" s="1803">
        <f>ROUND(SUM(F24:F28),1)</f>
        <v>81.900000000000006</v>
      </c>
      <c r="G29" s="13"/>
      <c r="H29" s="1803">
        <f>ROUND(SUM(H25:H28),1)</f>
        <v>81.900000000000006</v>
      </c>
      <c r="I29" s="13"/>
      <c r="J29" s="1504"/>
      <c r="K29" s="13"/>
      <c r="L29" s="1803">
        <f>ROUND(SUM(L25:L28),1)</f>
        <v>749.4</v>
      </c>
      <c r="M29" s="13"/>
      <c r="N29" s="1803">
        <f>ROUND(SUM(N25:N28),1)</f>
        <v>749.4</v>
      </c>
      <c r="O29" s="13"/>
      <c r="P29" s="1504"/>
      <c r="Q29" s="13"/>
      <c r="R29" s="1803">
        <f>ROUND(SUM(R25:R28),1)</f>
        <v>610.4</v>
      </c>
      <c r="S29" s="13"/>
      <c r="T29" s="1803">
        <f>ROUND(SUM(T25:T28),1)</f>
        <v>610.4</v>
      </c>
      <c r="U29" s="13"/>
      <c r="V29" s="98"/>
      <c r="W29" s="1803">
        <f>ROUND(SUM(W25:W28),1)</f>
        <v>139</v>
      </c>
      <c r="X29" s="268"/>
      <c r="Y29" s="1811">
        <f>ROUND(+W29/T29,3)</f>
        <v>0.22800000000000001</v>
      </c>
      <c r="Z29" s="268"/>
      <c r="AA29" s="1491"/>
    </row>
    <row r="30" spans="1:27">
      <c r="A30" s="3"/>
      <c r="B30" s="264"/>
      <c r="C30" s="264"/>
      <c r="D30" s="264"/>
      <c r="E30" s="264"/>
      <c r="F30" s="264"/>
      <c r="G30" s="264"/>
      <c r="H30" s="264"/>
      <c r="I30" s="264"/>
      <c r="J30" s="991"/>
      <c r="K30" s="264"/>
      <c r="L30" s="264"/>
      <c r="M30" s="264"/>
      <c r="N30" s="264"/>
      <c r="O30" s="264"/>
      <c r="P30" s="991"/>
      <c r="Q30" s="264"/>
      <c r="R30" s="264"/>
      <c r="S30" s="264"/>
      <c r="T30" s="264"/>
      <c r="U30" s="264"/>
      <c r="V30" s="526"/>
      <c r="W30" s="364"/>
      <c r="X30" s="291"/>
      <c r="Y30" s="364"/>
      <c r="Z30" s="291"/>
      <c r="AA30" s="1491"/>
    </row>
    <row r="31" spans="1:27" ht="16.399999999999999" customHeight="1">
      <c r="A31" s="3" t="s">
        <v>143</v>
      </c>
      <c r="B31" s="264"/>
      <c r="C31" s="264"/>
      <c r="D31" s="264"/>
      <c r="E31" s="264"/>
      <c r="F31" s="264"/>
      <c r="G31" s="264"/>
      <c r="H31" s="264"/>
      <c r="I31" s="264"/>
      <c r="J31" s="991"/>
      <c r="K31" s="264"/>
      <c r="L31" s="264"/>
      <c r="M31" s="264"/>
      <c r="N31" s="264"/>
      <c r="O31" s="264"/>
      <c r="P31" s="991"/>
      <c r="Q31" s="264"/>
      <c r="R31" s="264"/>
      <c r="S31" s="264"/>
      <c r="T31" s="264"/>
      <c r="U31" s="264"/>
      <c r="V31" s="526"/>
      <c r="W31" s="364"/>
      <c r="X31" s="291"/>
      <c r="Y31" s="364"/>
      <c r="Z31" s="291"/>
      <c r="AA31" s="1491"/>
    </row>
    <row r="32" spans="1:27">
      <c r="A32" s="3" t="s">
        <v>211</v>
      </c>
      <c r="B32" s="1804">
        <f>ROUND(SUM(B21-B29),1)</f>
        <v>-58.3</v>
      </c>
      <c r="C32" s="13"/>
      <c r="D32" s="357">
        <f>ROUND(SUM(D21-D29),1)</f>
        <v>-58.3</v>
      </c>
      <c r="E32" s="13"/>
      <c r="F32" s="357">
        <f>ROUND(SUM(F21-F29),1)</f>
        <v>-44.3</v>
      </c>
      <c r="G32" s="13"/>
      <c r="H32" s="357">
        <f>ROUND(SUM(H21-H29),1)</f>
        <v>-44.3</v>
      </c>
      <c r="I32" s="13"/>
      <c r="J32" s="1504"/>
      <c r="K32" s="13"/>
      <c r="L32" s="357">
        <f>ROUND(SUM(L21-L29),1)</f>
        <v>-102.6</v>
      </c>
      <c r="M32" s="13"/>
      <c r="N32" s="357">
        <f>ROUND(SUM(N21-N29),1)</f>
        <v>-102.6</v>
      </c>
      <c r="O32" s="13"/>
      <c r="P32" s="1504"/>
      <c r="Q32" s="13"/>
      <c r="R32" s="357">
        <f>ROUND(SUM(R21-R29),1)</f>
        <v>-192.6</v>
      </c>
      <c r="S32" s="13"/>
      <c r="T32" s="357">
        <f>ROUND(SUM(T21-T29),1)</f>
        <v>-192.6</v>
      </c>
      <c r="U32" s="13"/>
      <c r="V32" s="98"/>
      <c r="W32" s="357">
        <f>ROUND(SUM(W21-W29),1)</f>
        <v>90</v>
      </c>
      <c r="X32" s="291"/>
      <c r="Y32" s="1812">
        <f>ROUND(+W32/T32,3)</f>
        <v>-0.46700000000000003</v>
      </c>
      <c r="Z32" s="291"/>
      <c r="AA32" s="1491"/>
    </row>
    <row r="33" spans="1:27">
      <c r="A33" s="291"/>
      <c r="B33" s="264"/>
      <c r="C33" s="264"/>
      <c r="D33" s="264"/>
      <c r="E33" s="264"/>
      <c r="F33" s="264"/>
      <c r="G33" s="264"/>
      <c r="H33" s="264"/>
      <c r="I33" s="264"/>
      <c r="J33" s="991"/>
      <c r="K33" s="264"/>
      <c r="L33" s="264"/>
      <c r="M33" s="264"/>
      <c r="N33" s="264"/>
      <c r="O33" s="264"/>
      <c r="P33" s="991"/>
      <c r="Q33" s="264"/>
      <c r="R33" s="264"/>
      <c r="S33" s="264"/>
      <c r="T33" s="264"/>
      <c r="U33" s="264"/>
      <c r="V33" s="526"/>
      <c r="W33" s="364"/>
      <c r="X33" s="291"/>
      <c r="Y33" s="364"/>
      <c r="Z33" s="291"/>
      <c r="AA33" s="1491"/>
    </row>
    <row r="34" spans="1:27" ht="16.399999999999999" customHeight="1">
      <c r="A34" s="3" t="s">
        <v>145</v>
      </c>
      <c r="B34" s="264"/>
      <c r="C34" s="264"/>
      <c r="D34" s="264"/>
      <c r="E34" s="264"/>
      <c r="F34" s="264"/>
      <c r="G34" s="264"/>
      <c r="H34" s="264"/>
      <c r="I34" s="264"/>
      <c r="J34" s="991"/>
      <c r="K34" s="264"/>
      <c r="L34" s="264"/>
      <c r="M34" s="264"/>
      <c r="N34" s="264"/>
      <c r="O34" s="264"/>
      <c r="P34" s="991"/>
      <c r="Q34" s="264"/>
      <c r="R34" s="264"/>
      <c r="S34" s="264"/>
      <c r="T34" s="264"/>
      <c r="U34" s="264"/>
      <c r="V34" s="526"/>
      <c r="W34" s="364"/>
      <c r="X34" s="291"/>
      <c r="Y34" s="364"/>
      <c r="Z34" s="291"/>
      <c r="AA34" s="1491"/>
    </row>
    <row r="35" spans="1:27" ht="16.399999999999999" customHeight="1">
      <c r="A35" s="291" t="s">
        <v>147</v>
      </c>
      <c r="B35" s="275">
        <f>+'Exhibit J'!C39</f>
        <v>0</v>
      </c>
      <c r="C35" s="264"/>
      <c r="D35" s="275">
        <f>+'Exhibit J'!AB39</f>
        <v>0</v>
      </c>
      <c r="E35" s="264"/>
      <c r="F35" s="264">
        <f>'Exhibit K'!B36</f>
        <v>1.6</v>
      </c>
      <c r="G35" s="287"/>
      <c r="H35" s="288">
        <f>+'Exhibit K'!AA36</f>
        <v>1.6</v>
      </c>
      <c r="I35" s="288"/>
      <c r="J35" s="1505"/>
      <c r="K35" s="264"/>
      <c r="L35" s="264">
        <f>ROUND(SUM(B35)+SUM(F35),1)</f>
        <v>1.6</v>
      </c>
      <c r="M35" s="287"/>
      <c r="N35" s="264">
        <f>ROUND(SUM(D35)+SUM(H35),1)</f>
        <v>1.6</v>
      </c>
      <c r="O35" s="264"/>
      <c r="P35" s="991"/>
      <c r="Q35" s="264"/>
      <c r="R35" s="264">
        <v>1</v>
      </c>
      <c r="S35" s="264"/>
      <c r="T35" s="289">
        <f>'Exhibit J'!AE39+'Exhibit K'!AD36</f>
        <v>1</v>
      </c>
      <c r="U35" s="289"/>
      <c r="V35" s="529"/>
      <c r="W35" s="264">
        <f>ROUND(SUM(N35-T35),1)</f>
        <v>0.6</v>
      </c>
      <c r="X35" s="268"/>
      <c r="Y35" s="543">
        <f>ROUND(IF(W35=0,0,W35/(T35)),3)</f>
        <v>0.6</v>
      </c>
      <c r="Z35" s="992"/>
      <c r="AA35" s="1491"/>
    </row>
    <row r="36" spans="1:27" ht="16.399999999999999" customHeight="1">
      <c r="A36" s="291" t="s">
        <v>212</v>
      </c>
      <c r="B36" s="836">
        <f>+'Exhibit J'!C40</f>
        <v>0</v>
      </c>
      <c r="C36" s="367"/>
      <c r="D36" s="836">
        <f>+'Exhibit J'!AB40</f>
        <v>0</v>
      </c>
      <c r="E36" s="264"/>
      <c r="F36" s="264">
        <f>'Exhibit K'!B37</f>
        <v>0</v>
      </c>
      <c r="G36" s="264"/>
      <c r="H36" s="288">
        <f>+'Exhibit K'!AA37</f>
        <v>0</v>
      </c>
      <c r="I36" s="288"/>
      <c r="J36" s="1505"/>
      <c r="K36" s="264"/>
      <c r="L36" s="264">
        <f>ROUND(SUM(B36)+SUM(F36),1)</f>
        <v>0</v>
      </c>
      <c r="M36" s="264"/>
      <c r="N36" s="264">
        <f>ROUND(SUM(D36)+SUM(H36),1)</f>
        <v>0</v>
      </c>
      <c r="O36" s="264"/>
      <c r="P36" s="991"/>
      <c r="Q36" s="264"/>
      <c r="R36" s="264">
        <v>0</v>
      </c>
      <c r="S36" s="367"/>
      <c r="T36" s="289">
        <f>'Exhibit J'!AE40+'Exhibit K'!AD37</f>
        <v>0</v>
      </c>
      <c r="U36" s="289"/>
      <c r="V36" s="529"/>
      <c r="W36" s="1810">
        <f>-ROUND(SUM(N36-T36),1)</f>
        <v>0</v>
      </c>
      <c r="X36" s="268"/>
      <c r="Y36" s="1025">
        <f>ROUND(IF(T36=0,0,W36/ABS(T36)),3)</f>
        <v>0</v>
      </c>
      <c r="Z36" s="993"/>
      <c r="AA36" s="1491"/>
    </row>
    <row r="37" spans="1:27">
      <c r="A37" s="3" t="s">
        <v>150</v>
      </c>
      <c r="B37" s="16">
        <f>ROUND(SUM(B35:B36),1)</f>
        <v>0</v>
      </c>
      <c r="C37" s="17"/>
      <c r="D37" s="16">
        <f>ROUND(SUM(D35:D36),1)</f>
        <v>0</v>
      </c>
      <c r="E37" s="13"/>
      <c r="F37" s="891">
        <f>ROUND(SUM(F35:F36),1)</f>
        <v>1.6</v>
      </c>
      <c r="G37" s="18"/>
      <c r="H37" s="1806">
        <f>ROUND(SUM(H35:H36),1)</f>
        <v>1.6</v>
      </c>
      <c r="I37" s="26"/>
      <c r="J37" s="1506"/>
      <c r="K37" s="13"/>
      <c r="L37" s="891">
        <f>ROUND(SUM(L35:L36),1)</f>
        <v>1.6</v>
      </c>
      <c r="M37" s="18"/>
      <c r="N37" s="1806">
        <f>ROUND(SUM(N35:N36),1)</f>
        <v>1.6</v>
      </c>
      <c r="O37" s="26"/>
      <c r="P37" s="1506"/>
      <c r="Q37" s="13"/>
      <c r="R37" s="891">
        <f>ROUND(SUM(R35:R36),1)</f>
        <v>1</v>
      </c>
      <c r="S37" s="13"/>
      <c r="T37" s="891">
        <f>ROUND(SUM(T35:T36),1)</f>
        <v>1</v>
      </c>
      <c r="U37" s="394"/>
      <c r="V37" s="397"/>
      <c r="W37" s="891">
        <f>N37-T37</f>
        <v>0.60000000000000009</v>
      </c>
      <c r="X37" s="530"/>
      <c r="Y37" s="540">
        <f>ROUND(SUM(W37/T37),3)</f>
        <v>0.6</v>
      </c>
      <c r="Z37" s="530"/>
      <c r="AA37" s="1491"/>
    </row>
    <row r="38" spans="1:27">
      <c r="A38" s="3"/>
      <c r="B38" s="616"/>
      <c r="C38" s="264"/>
      <c r="D38" s="616"/>
      <c r="E38" s="264"/>
      <c r="F38" s="264"/>
      <c r="G38" s="264"/>
      <c r="H38" s="264"/>
      <c r="I38" s="264"/>
      <c r="J38" s="991"/>
      <c r="K38" s="264"/>
      <c r="L38" s="264"/>
      <c r="M38" s="264"/>
      <c r="N38" s="616"/>
      <c r="O38" s="264"/>
      <c r="P38" s="991"/>
      <c r="Q38" s="264"/>
      <c r="R38" s="264"/>
      <c r="S38" s="264"/>
      <c r="T38" s="264"/>
      <c r="U38" s="264"/>
      <c r="V38" s="526"/>
      <c r="W38" s="364"/>
      <c r="X38" s="291"/>
      <c r="Y38" s="354"/>
      <c r="Z38" s="291"/>
      <c r="AA38" s="1491"/>
    </row>
    <row r="39" spans="1:27" ht="15.75" customHeight="1">
      <c r="A39" s="3" t="s">
        <v>143</v>
      </c>
      <c r="B39" s="264"/>
      <c r="C39" s="264"/>
      <c r="D39" s="264"/>
      <c r="E39" s="264"/>
      <c r="F39" s="264"/>
      <c r="G39" s="264"/>
      <c r="H39" s="264"/>
      <c r="I39" s="264"/>
      <c r="J39" s="991"/>
      <c r="K39" s="264"/>
      <c r="L39" s="264"/>
      <c r="M39" s="264"/>
      <c r="N39" s="264"/>
      <c r="O39" s="264"/>
      <c r="P39" s="991"/>
      <c r="Q39" s="264"/>
      <c r="R39" s="264"/>
      <c r="S39" s="264"/>
      <c r="T39" s="264"/>
      <c r="U39" s="264"/>
      <c r="V39" s="526"/>
      <c r="W39" s="364"/>
      <c r="X39" s="291"/>
      <c r="Y39" s="354"/>
      <c r="Z39" s="291"/>
      <c r="AA39" s="1491"/>
    </row>
    <row r="40" spans="1:27" ht="15.75" customHeight="1">
      <c r="A40" s="3" t="s">
        <v>213</v>
      </c>
      <c r="B40" s="264"/>
      <c r="C40" s="264"/>
      <c r="D40" s="264"/>
      <c r="E40" s="264"/>
      <c r="F40" s="264"/>
      <c r="G40" s="264"/>
      <c r="H40" s="264"/>
      <c r="I40" s="264"/>
      <c r="J40" s="991"/>
      <c r="K40" s="264"/>
      <c r="L40" s="264"/>
      <c r="M40" s="264"/>
      <c r="N40" s="264"/>
      <c r="O40" s="264"/>
      <c r="P40" s="991"/>
      <c r="Q40" s="264"/>
      <c r="R40" s="264"/>
      <c r="S40" s="264"/>
      <c r="T40" s="264"/>
      <c r="U40" s="264"/>
      <c r="V40" s="526"/>
      <c r="W40" s="364"/>
      <c r="X40" s="291"/>
      <c r="Y40" s="354"/>
      <c r="Z40" s="291"/>
      <c r="AA40" s="1491"/>
    </row>
    <row r="41" spans="1:27" ht="15.75" customHeight="1">
      <c r="A41" s="3" t="s">
        <v>214</v>
      </c>
      <c r="B41" s="264"/>
      <c r="C41" s="264"/>
      <c r="D41" s="264"/>
      <c r="E41" s="264"/>
      <c r="F41" s="264"/>
      <c r="G41" s="264"/>
      <c r="H41" s="264"/>
      <c r="I41" s="264"/>
      <c r="J41" s="991"/>
      <c r="K41" s="264"/>
      <c r="L41" s="264"/>
      <c r="M41" s="264"/>
      <c r="N41" s="264"/>
      <c r="O41" s="264"/>
      <c r="P41" s="991"/>
      <c r="Q41" s="264"/>
      <c r="R41" s="264"/>
      <c r="S41" s="264"/>
      <c r="T41" s="264"/>
      <c r="U41" s="264"/>
      <c r="V41" s="526"/>
      <c r="W41" s="364"/>
      <c r="X41" s="291"/>
      <c r="Y41" s="354"/>
      <c r="Z41" s="291"/>
      <c r="AA41" s="1491"/>
    </row>
    <row r="42" spans="1:27" ht="15.75" customHeight="1">
      <c r="A42" s="3" t="s">
        <v>215</v>
      </c>
      <c r="B42" s="19">
        <f>ROUND(SUM(B32,B37),1)</f>
        <v>-58.3</v>
      </c>
      <c r="C42" s="13"/>
      <c r="D42" s="19">
        <f>ROUND(SUM(D32,D37),1)</f>
        <v>-58.3</v>
      </c>
      <c r="E42" s="13"/>
      <c r="F42" s="19">
        <f>ROUND(SUM(F32,F37),1)</f>
        <v>-42.7</v>
      </c>
      <c r="G42" s="13"/>
      <c r="H42" s="19">
        <f>ROUND(SUM(H32,H37),1)</f>
        <v>-42.7</v>
      </c>
      <c r="I42" s="19"/>
      <c r="J42" s="1507"/>
      <c r="K42" s="13"/>
      <c r="L42" s="19">
        <f>ROUND(SUM(L32,L37),1)</f>
        <v>-101</v>
      </c>
      <c r="M42" s="13"/>
      <c r="N42" s="19">
        <f>ROUND(SUM(N32,N37),1)</f>
        <v>-101</v>
      </c>
      <c r="O42" s="19"/>
      <c r="P42" s="1507"/>
      <c r="Q42" s="13"/>
      <c r="R42" s="19">
        <f>ROUND(SUM(R32,R37),1)</f>
        <v>-191.6</v>
      </c>
      <c r="S42" s="13"/>
      <c r="T42" s="19">
        <f>ROUND(SUM(T32,T37),1)</f>
        <v>-191.6</v>
      </c>
      <c r="U42" s="19"/>
      <c r="V42" s="398"/>
      <c r="W42" s="19">
        <f>ROUND(SUM(W32,W37),1)</f>
        <v>90.6</v>
      </c>
      <c r="X42" s="3"/>
      <c r="Y42" s="1813">
        <f>ROUND(IF(T42=0,0,W42/ABS(T42)),3)</f>
        <v>0.47299999999999998</v>
      </c>
      <c r="Z42" s="291"/>
      <c r="AA42" s="1491"/>
    </row>
    <row r="43" spans="1:27">
      <c r="A43" s="3"/>
      <c r="B43" s="264"/>
      <c r="C43" s="264"/>
      <c r="D43" s="264"/>
      <c r="E43" s="264"/>
      <c r="F43" s="264"/>
      <c r="G43" s="264"/>
      <c r="H43" s="264"/>
      <c r="I43" s="264"/>
      <c r="J43" s="991"/>
      <c r="K43" s="264"/>
      <c r="L43" s="264"/>
      <c r="M43" s="264"/>
      <c r="N43" s="264"/>
      <c r="O43" s="264"/>
      <c r="P43" s="991"/>
      <c r="Q43" s="264"/>
      <c r="R43" s="264"/>
      <c r="S43" s="264"/>
      <c r="T43" s="264"/>
      <c r="U43" s="264"/>
      <c r="V43" s="526"/>
      <c r="W43" s="364"/>
      <c r="X43" s="291"/>
      <c r="Y43" s="364"/>
      <c r="Z43" s="291"/>
      <c r="AA43" s="1491"/>
    </row>
    <row r="44" spans="1:27" s="15" customFormat="1">
      <c r="A44" s="3" t="s">
        <v>216</v>
      </c>
      <c r="B44" s="13">
        <f>+'Exhibit J'!C14</f>
        <v>1279.9000000000001</v>
      </c>
      <c r="C44" s="13"/>
      <c r="D44" s="13">
        <f>+'Exhibit J'!AB14</f>
        <v>1279.9000000000001</v>
      </c>
      <c r="E44" s="13"/>
      <c r="F44" s="1940">
        <f>+'Exhibit K'!B14</f>
        <v>108.2</v>
      </c>
      <c r="G44" s="13"/>
      <c r="H44" s="13">
        <f>+'Exhibit K'!AA14</f>
        <v>108.2</v>
      </c>
      <c r="I44" s="13"/>
      <c r="J44" s="1504"/>
      <c r="K44" s="13"/>
      <c r="L44" s="13">
        <f>ROUND(SUM(B44)+SUM(F44),1)</f>
        <v>1388.1</v>
      </c>
      <c r="M44" s="13"/>
      <c r="N44" s="13">
        <f>ROUND(SUM(D44)+SUM(H44),1)</f>
        <v>1388.1</v>
      </c>
      <c r="O44" s="13"/>
      <c r="P44" s="1504"/>
      <c r="Q44" s="13"/>
      <c r="R44" s="985">
        <v>1078.3</v>
      </c>
      <c r="S44" s="13"/>
      <c r="T44" s="357">
        <f>'Exhibit J'!AE14+'Exhibit K'!AD14</f>
        <v>1078.3</v>
      </c>
      <c r="U44" s="13"/>
      <c r="V44" s="98"/>
      <c r="W44" s="13">
        <f>ROUND(SUM(N44-T44),1)</f>
        <v>309.8</v>
      </c>
      <c r="X44" s="3"/>
      <c r="Y44" s="1814">
        <f>ROUND(SUM(W44/T44),3)</f>
        <v>0.28699999999999998</v>
      </c>
      <c r="Z44" s="3"/>
      <c r="AA44" s="1492"/>
    </row>
    <row r="45" spans="1:27" ht="16" thickBot="1">
      <c r="A45" s="3" t="s">
        <v>217</v>
      </c>
      <c r="B45" s="995">
        <f>ROUND(SUM(B42+B44),1)</f>
        <v>1221.5999999999999</v>
      </c>
      <c r="C45" s="20"/>
      <c r="D45" s="995">
        <f>ROUND(SUM(D42+D44),1)</f>
        <v>1221.5999999999999</v>
      </c>
      <c r="E45" s="20"/>
      <c r="F45" s="995">
        <f>ROUND(SUM(F42+F44),1)</f>
        <v>65.5</v>
      </c>
      <c r="G45" s="20"/>
      <c r="H45" s="995">
        <f>ROUND(SUM(H42+H44),1)</f>
        <v>65.5</v>
      </c>
      <c r="I45" s="20"/>
      <c r="J45" s="340"/>
      <c r="K45" s="20"/>
      <c r="L45" s="995">
        <f>ROUND(SUM(L42+L44),1)</f>
        <v>1287.0999999999999</v>
      </c>
      <c r="M45" s="20"/>
      <c r="N45" s="1807">
        <f>ROUND(SUM(N42+N44),1)</f>
        <v>1287.0999999999999</v>
      </c>
      <c r="O45" s="20"/>
      <c r="P45" s="340"/>
      <c r="Q45" s="20"/>
      <c r="R45" s="675">
        <f>ROUND(SUM(R42+R44),1)</f>
        <v>886.7</v>
      </c>
      <c r="S45" s="20"/>
      <c r="T45" s="675">
        <f>ROUND(SUM(T42+T44),1)</f>
        <v>886.7</v>
      </c>
      <c r="U45" s="20"/>
      <c r="V45" s="94"/>
      <c r="W45" s="675">
        <f>ROUND(SUM(W42+W44),1)</f>
        <v>400.4</v>
      </c>
      <c r="X45" s="380"/>
      <c r="Y45" s="996">
        <f>ROUND(SUM(W45/ABS(T45)),3)</f>
        <v>0.45200000000000001</v>
      </c>
      <c r="Z45" s="380"/>
      <c r="AA45" s="1491"/>
    </row>
    <row r="46" spans="1:27" ht="4.4000000000000004" customHeight="1" thickTop="1">
      <c r="A46" s="291"/>
      <c r="B46" s="411"/>
      <c r="C46" s="380"/>
      <c r="D46" s="411"/>
      <c r="E46" s="380"/>
      <c r="F46" s="411"/>
      <c r="G46" s="380"/>
      <c r="H46" s="411"/>
      <c r="I46" s="380"/>
      <c r="J46" s="380"/>
      <c r="K46" s="380"/>
      <c r="L46" s="411"/>
      <c r="M46" s="380"/>
      <c r="N46" s="411"/>
      <c r="O46" s="380"/>
      <c r="P46" s="380"/>
      <c r="Q46" s="380"/>
      <c r="R46" s="380"/>
      <c r="S46" s="380"/>
      <c r="T46" s="380"/>
      <c r="U46" s="380"/>
      <c r="V46" s="380"/>
      <c r="W46" s="380"/>
      <c r="X46" s="405"/>
      <c r="Y46" s="405"/>
      <c r="Z46" s="22"/>
    </row>
    <row r="47" spans="1:27">
      <c r="A47" s="291"/>
      <c r="B47" s="7" t="s">
        <v>103</v>
      </c>
      <c r="C47" s="7"/>
      <c r="D47" s="7"/>
      <c r="E47" s="7"/>
      <c r="F47" s="23"/>
      <c r="G47" s="7"/>
      <c r="H47" s="7"/>
      <c r="I47" s="7"/>
      <c r="J47" s="7"/>
      <c r="K47" s="7"/>
      <c r="L47" s="7"/>
      <c r="M47" s="7"/>
      <c r="N47" s="7"/>
      <c r="O47" s="7"/>
      <c r="P47" s="7"/>
      <c r="Q47" s="7"/>
      <c r="R47" s="1808"/>
      <c r="S47" s="7"/>
      <c r="T47" s="7"/>
      <c r="U47" s="7"/>
      <c r="V47" s="7"/>
      <c r="W47" s="7"/>
      <c r="X47" s="9"/>
      <c r="Y47" s="9"/>
      <c r="Z47" s="9"/>
    </row>
    <row r="48" spans="1:27" s="24" customFormat="1" ht="16.5" customHeight="1">
      <c r="A48" s="413"/>
      <c r="B48" s="24" t="s">
        <v>103</v>
      </c>
    </row>
    <row r="49" spans="1:25">
      <c r="A49" s="291"/>
      <c r="B49" s="11" t="s">
        <v>103</v>
      </c>
      <c r="C49" s="7"/>
      <c r="D49" s="7"/>
      <c r="E49" s="7"/>
      <c r="F49" s="7"/>
      <c r="G49" s="7"/>
      <c r="H49" s="7"/>
      <c r="I49" s="7"/>
      <c r="J49" s="7"/>
      <c r="K49" s="7"/>
      <c r="L49" s="7"/>
      <c r="M49" s="7"/>
      <c r="N49" s="7"/>
      <c r="O49" s="7"/>
      <c r="P49" s="7"/>
      <c r="Q49" s="7"/>
      <c r="R49" s="1808"/>
      <c r="S49" s="7"/>
      <c r="T49" s="1808"/>
      <c r="U49" s="7"/>
      <c r="V49" s="7"/>
      <c r="W49" s="7"/>
      <c r="X49" s="7"/>
      <c r="Y49" s="7"/>
    </row>
    <row r="50" spans="1:25">
      <c r="A50" s="291"/>
      <c r="B50" s="7"/>
      <c r="C50" s="7"/>
      <c r="D50" s="7"/>
      <c r="E50" s="7"/>
      <c r="F50" s="7"/>
      <c r="G50" s="7"/>
      <c r="H50" s="7"/>
      <c r="I50" s="7"/>
      <c r="J50" s="7"/>
      <c r="K50" s="7"/>
      <c r="L50" s="7"/>
      <c r="M50" s="7"/>
      <c r="N50" s="7"/>
      <c r="O50" s="7"/>
      <c r="P50" s="7"/>
      <c r="Q50" s="7"/>
      <c r="R50" s="11" t="s">
        <v>103</v>
      </c>
      <c r="S50" s="7"/>
      <c r="T50" s="11"/>
      <c r="U50" s="7"/>
      <c r="V50" s="7"/>
      <c r="W50" s="7"/>
      <c r="X50" s="7"/>
      <c r="Y50" s="7"/>
    </row>
    <row r="51" spans="1:25">
      <c r="A51" s="291"/>
      <c r="B51" s="7"/>
      <c r="C51" s="7"/>
      <c r="D51" s="7"/>
      <c r="E51" s="7"/>
      <c r="F51" s="7"/>
      <c r="G51" s="7"/>
      <c r="H51" s="7"/>
      <c r="I51" s="7"/>
      <c r="J51" s="7"/>
      <c r="K51" s="7"/>
      <c r="L51" s="7"/>
      <c r="M51" s="7"/>
      <c r="N51" s="7"/>
      <c r="O51" s="7"/>
      <c r="P51" s="7"/>
      <c r="Q51" s="7"/>
      <c r="R51" s="7" t="s">
        <v>103</v>
      </c>
      <c r="S51" s="7"/>
      <c r="T51" s="7"/>
      <c r="U51" s="7"/>
      <c r="V51" s="7"/>
      <c r="W51" s="7"/>
      <c r="X51" s="7"/>
      <c r="Y51" s="7"/>
    </row>
    <row r="52" spans="1:25">
      <c r="A52" s="291"/>
      <c r="B52" s="7"/>
      <c r="C52" s="7"/>
      <c r="D52" s="7"/>
      <c r="E52" s="7"/>
      <c r="F52" s="7"/>
      <c r="G52" s="7"/>
      <c r="H52" s="7"/>
      <c r="I52" s="7"/>
      <c r="J52" s="7"/>
      <c r="K52" s="7"/>
      <c r="L52" s="7"/>
      <c r="M52" s="7"/>
      <c r="N52" s="7"/>
      <c r="O52" s="7"/>
      <c r="P52" s="7"/>
      <c r="Q52" s="7"/>
      <c r="R52" s="7"/>
      <c r="S52" s="7"/>
      <c r="T52" s="7"/>
      <c r="U52" s="7"/>
      <c r="V52" s="7"/>
      <c r="W52" s="7"/>
      <c r="X52" s="7"/>
      <c r="Y52" s="7"/>
    </row>
    <row r="53" spans="1:25">
      <c r="A53" s="364"/>
    </row>
    <row r="54" spans="1:25">
      <c r="A54" s="364"/>
    </row>
    <row r="55" spans="1:25">
      <c r="A55" s="364"/>
    </row>
    <row r="56" spans="1:25">
      <c r="A56" s="364"/>
    </row>
    <row r="57" spans="1:25">
      <c r="A57" s="364"/>
    </row>
  </sheetData>
  <mergeCells count="2">
    <mergeCell ref="S3:T3"/>
    <mergeCell ref="Y3:Z3"/>
  </mergeCells>
  <printOptions horizontalCentered="1"/>
  <pageMargins left="0.25" right="0.25" top="0.5" bottom="0.36" header="0" footer="0.25"/>
  <pageSetup scale="55" firstPageNumber="5" orientation="landscape" useFirstPageNumber="1" r:id="rId1"/>
  <headerFooter scaleWithDoc="0" alignWithMargins="0">
    <oddFooter>&amp;C&amp;8&amp;P</oddFooter>
  </headerFooter>
  <customProperties>
    <customPr name="SheetOptions" r:id="rId2"/>
  </customProperties>
  <ignoredErrors>
    <ignoredError sqref="Y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AA61"/>
  <sheetViews>
    <sheetView showGridLines="0" zoomScale="90" zoomScaleNormal="90" workbookViewId="0"/>
  </sheetViews>
  <sheetFormatPr defaultColWidth="8.84375" defaultRowHeight="15.5"/>
  <cols>
    <col min="1" max="1" width="38.07421875" style="364" customWidth="1"/>
    <col min="2" max="2" width="13.84375" style="364" customWidth="1"/>
    <col min="3" max="3" width="1.07421875" style="364" customWidth="1"/>
    <col min="4" max="4" width="13.84375" style="364" customWidth="1"/>
    <col min="5" max="5" width="1.84375" style="364" customWidth="1"/>
    <col min="6" max="6" width="13.84375" style="364" customWidth="1"/>
    <col min="7" max="7" width="1.07421875" style="364" customWidth="1"/>
    <col min="8" max="8" width="13.84375" style="364" customWidth="1"/>
    <col min="9" max="11" width="1.07421875" style="364" customWidth="1"/>
    <col min="12" max="12" width="13.84375" style="364" customWidth="1"/>
    <col min="13" max="13" width="1.84375" style="364" customWidth="1"/>
    <col min="14" max="14" width="13.84375" style="364" customWidth="1"/>
    <col min="15" max="17" width="1.07421875" style="364" customWidth="1"/>
    <col min="18" max="18" width="13.84375" style="364" customWidth="1"/>
    <col min="19" max="19" width="1.07421875" style="364" customWidth="1"/>
    <col min="20" max="20" width="13.84375" style="364" customWidth="1"/>
    <col min="21" max="22" width="1.07421875" style="364" customWidth="1"/>
    <col min="23" max="23" width="13.84375" style="364" customWidth="1"/>
    <col min="24" max="24" width="1.07421875" style="364" customWidth="1"/>
    <col min="25" max="25" width="13.84375" style="364" customWidth="1"/>
    <col min="26" max="26" width="9.07421875" style="1497" bestFit="1" customWidth="1"/>
    <col min="27" max="27" width="8.84375" style="1118"/>
    <col min="28" max="16384" width="8.84375" style="364"/>
  </cols>
  <sheetData>
    <row r="1" spans="1:27">
      <c r="A1" s="265" t="s">
        <v>97</v>
      </c>
    </row>
    <row r="2" spans="1:27">
      <c r="A2" s="354"/>
    </row>
    <row r="3" spans="1:27" s="291" customFormat="1" ht="18" customHeight="1">
      <c r="A3" s="3" t="s">
        <v>98</v>
      </c>
      <c r="B3" s="3"/>
      <c r="C3" s="3"/>
      <c r="D3" s="3"/>
      <c r="E3" s="3"/>
      <c r="F3" s="364"/>
      <c r="G3" s="364"/>
      <c r="H3" s="3"/>
      <c r="I3" s="3"/>
      <c r="J3" s="3"/>
      <c r="K3" s="3"/>
      <c r="L3" s="3"/>
      <c r="M3" s="3"/>
      <c r="N3" s="3"/>
      <c r="O3" s="3"/>
      <c r="P3" s="3"/>
      <c r="Q3" s="3"/>
      <c r="R3" s="890"/>
      <c r="V3" s="354"/>
      <c r="W3" s="354"/>
      <c r="X3" s="354"/>
      <c r="Y3" s="1217" t="s">
        <v>218</v>
      </c>
      <c r="Z3" s="1494"/>
      <c r="AA3" s="1493"/>
    </row>
    <row r="4" spans="1:27" s="291" customFormat="1" ht="15.75" customHeight="1">
      <c r="A4" s="3" t="s">
        <v>219</v>
      </c>
      <c r="B4" s="3"/>
      <c r="C4" s="3"/>
      <c r="D4" s="3"/>
      <c r="E4" s="3"/>
      <c r="F4" s="364"/>
      <c r="G4" s="364"/>
      <c r="H4" s="3"/>
      <c r="I4" s="3"/>
      <c r="J4" s="3"/>
      <c r="K4" s="3"/>
      <c r="L4" s="3"/>
      <c r="M4" s="3"/>
      <c r="N4" s="3"/>
      <c r="O4" s="3"/>
      <c r="P4" s="3"/>
      <c r="Q4" s="3"/>
      <c r="R4" s="3"/>
      <c r="S4" s="3"/>
      <c r="T4" s="3"/>
      <c r="V4" s="354"/>
      <c r="W4" s="354"/>
      <c r="X4" s="354"/>
      <c r="Y4" s="354"/>
      <c r="Z4" s="1494"/>
      <c r="AA4" s="1493"/>
    </row>
    <row r="5" spans="1:27" s="291" customFormat="1" ht="15.75" customHeight="1">
      <c r="A5" s="1218" t="s">
        <v>101</v>
      </c>
      <c r="B5" s="3"/>
      <c r="C5" s="3"/>
      <c r="D5" s="3"/>
      <c r="E5" s="3"/>
      <c r="F5" s="364"/>
      <c r="G5" s="364"/>
      <c r="H5" s="3"/>
      <c r="I5" s="3"/>
      <c r="J5" s="3"/>
      <c r="K5" s="3"/>
      <c r="L5" s="3"/>
      <c r="M5" s="3"/>
      <c r="N5" s="3"/>
      <c r="O5" s="3"/>
      <c r="P5" s="3"/>
      <c r="Q5" s="3"/>
      <c r="R5" s="3"/>
      <c r="S5" s="3"/>
      <c r="T5" s="3" t="s">
        <v>103</v>
      </c>
      <c r="V5" s="354"/>
      <c r="W5" s="354"/>
      <c r="X5" s="354"/>
      <c r="Y5" s="354"/>
      <c r="Z5" s="1494"/>
      <c r="AA5" s="1493"/>
    </row>
    <row r="6" spans="1:27" s="291" customFormat="1" ht="15.75" customHeight="1">
      <c r="A6" s="3" t="s">
        <v>102</v>
      </c>
      <c r="B6" s="3"/>
      <c r="C6" s="3"/>
      <c r="D6" s="3"/>
      <c r="E6" s="3"/>
      <c r="F6" s="364"/>
      <c r="G6" s="364"/>
      <c r="H6" s="3"/>
      <c r="I6" s="3"/>
      <c r="J6" s="3"/>
      <c r="K6" s="3"/>
      <c r="L6" s="3"/>
      <c r="M6" s="3"/>
      <c r="N6" s="3"/>
      <c r="O6" s="3"/>
      <c r="P6" s="3"/>
      <c r="Q6" s="3"/>
      <c r="R6" s="3"/>
      <c r="S6" s="3"/>
      <c r="T6" s="3"/>
      <c r="V6" s="354"/>
      <c r="W6" s="354"/>
      <c r="X6" s="354"/>
      <c r="Y6" s="354"/>
      <c r="Z6" s="1494"/>
      <c r="AA6" s="1493"/>
    </row>
    <row r="7" spans="1:27" s="291" customFormat="1">
      <c r="A7" s="6"/>
      <c r="B7" s="3"/>
      <c r="C7" s="3"/>
      <c r="D7" s="3"/>
      <c r="E7" s="3"/>
      <c r="F7" s="364"/>
      <c r="G7" s="364"/>
      <c r="H7" s="3"/>
      <c r="I7" s="3"/>
      <c r="J7" s="3"/>
      <c r="K7" s="3"/>
      <c r="L7" s="3"/>
      <c r="M7" s="3"/>
      <c r="N7" s="3"/>
      <c r="O7" s="3"/>
      <c r="P7" s="3"/>
      <c r="Q7" s="3"/>
      <c r="R7" s="3"/>
      <c r="S7" s="3"/>
      <c r="T7" s="3"/>
      <c r="V7" s="354"/>
      <c r="W7" s="354"/>
      <c r="X7" s="354"/>
      <c r="Y7" s="354"/>
      <c r="Z7" s="1494"/>
      <c r="AA7" s="1493"/>
    </row>
    <row r="8" spans="1:27" s="291" customFormat="1">
      <c r="B8" s="3"/>
      <c r="C8" s="3"/>
      <c r="D8" s="3"/>
      <c r="E8" s="3"/>
      <c r="F8" s="364"/>
      <c r="G8" s="364"/>
      <c r="H8" s="3"/>
      <c r="I8" s="3"/>
      <c r="J8" s="3"/>
      <c r="K8" s="3"/>
      <c r="L8" s="3"/>
      <c r="M8" s="3"/>
      <c r="N8" s="3"/>
      <c r="O8" s="3"/>
      <c r="P8" s="3"/>
      <c r="Q8" s="3"/>
      <c r="R8" s="3"/>
      <c r="S8" s="3"/>
      <c r="T8" s="3"/>
      <c r="V8" s="354"/>
      <c r="W8" s="354"/>
      <c r="X8" s="354"/>
      <c r="Y8" s="354"/>
      <c r="Z8" s="1494"/>
      <c r="AA8" s="1493"/>
    </row>
    <row r="9" spans="1:27" s="291" customFormat="1" ht="8.15" customHeight="1">
      <c r="B9" s="3"/>
      <c r="C9" s="3"/>
      <c r="D9" s="3"/>
      <c r="E9" s="3"/>
      <c r="F9" s="3"/>
      <c r="G9" s="364"/>
      <c r="H9" s="3"/>
      <c r="I9" s="3"/>
      <c r="J9" s="3"/>
      <c r="K9" s="3"/>
      <c r="L9" s="3"/>
      <c r="M9" s="3"/>
      <c r="N9" s="3"/>
      <c r="O9" s="3"/>
      <c r="P9" s="3"/>
      <c r="Q9" s="3"/>
      <c r="R9" s="3"/>
      <c r="S9" s="3"/>
      <c r="T9" s="3"/>
      <c r="X9" s="364"/>
      <c r="Y9" s="364"/>
      <c r="Z9" s="1497"/>
      <c r="AA9" s="1118"/>
    </row>
    <row r="10" spans="1:27" s="291" customFormat="1">
      <c r="B10" s="3"/>
      <c r="C10" s="3"/>
      <c r="D10" s="3"/>
      <c r="E10" s="3"/>
      <c r="F10" s="3"/>
      <c r="G10" s="364"/>
      <c r="H10" s="3"/>
      <c r="I10" s="3"/>
      <c r="J10" s="3"/>
      <c r="K10" s="3"/>
      <c r="L10" s="3"/>
      <c r="M10" s="3"/>
      <c r="N10" s="3"/>
      <c r="O10" s="3"/>
      <c r="P10" s="3"/>
      <c r="Q10" s="3"/>
      <c r="R10" s="3"/>
      <c r="S10" s="3"/>
      <c r="T10" s="3"/>
      <c r="V10" s="354"/>
      <c r="W10" s="354"/>
      <c r="X10" s="354"/>
      <c r="Y10" s="354"/>
      <c r="Z10" s="1494"/>
      <c r="AA10" s="1493"/>
    </row>
    <row r="11" spans="1:27" s="291" customFormat="1">
      <c r="B11" s="3"/>
      <c r="C11" s="3"/>
      <c r="D11" s="3"/>
      <c r="E11" s="3"/>
      <c r="F11" s="3"/>
      <c r="G11" s="364"/>
      <c r="H11" s="3"/>
      <c r="I11" s="3"/>
      <c r="J11" s="3"/>
      <c r="K11" s="3"/>
      <c r="M11" s="25"/>
      <c r="N11" s="365"/>
      <c r="O11" s="365"/>
      <c r="P11" s="365"/>
      <c r="Q11" s="365"/>
      <c r="R11" s="25"/>
      <c r="S11" s="25"/>
      <c r="T11" s="25"/>
      <c r="V11" s="354"/>
      <c r="W11" s="354"/>
      <c r="X11" s="354"/>
      <c r="Y11" s="354"/>
      <c r="Z11" s="1494"/>
      <c r="AA11" s="1493"/>
    </row>
    <row r="12" spans="1:27" ht="16.399999999999999" customHeight="1">
      <c r="A12" s="291"/>
      <c r="B12" s="25" t="s">
        <v>220</v>
      </c>
      <c r="C12" s="400"/>
      <c r="D12" s="25"/>
      <c r="E12" s="3"/>
      <c r="F12" s="25" t="s">
        <v>221</v>
      </c>
      <c r="G12" s="400"/>
      <c r="H12" s="25"/>
      <c r="I12" s="25"/>
      <c r="J12" s="25"/>
      <c r="K12" s="3"/>
      <c r="L12" s="25" t="s">
        <v>222</v>
      </c>
      <c r="M12" s="25"/>
      <c r="N12" s="365"/>
      <c r="O12" s="365"/>
      <c r="P12" s="365"/>
      <c r="Q12" s="25"/>
      <c r="R12" s="25"/>
      <c r="S12" s="25"/>
      <c r="T12" s="25"/>
      <c r="U12" s="291"/>
      <c r="V12" s="401"/>
      <c r="W12" s="2062" t="s">
        <v>204</v>
      </c>
      <c r="X12" s="2062"/>
      <c r="Y12" s="2062"/>
      <c r="Z12" s="1494"/>
      <c r="AA12" s="1493"/>
    </row>
    <row r="13" spans="1:27" ht="13.4" customHeight="1">
      <c r="A13" s="291"/>
      <c r="B13" s="988"/>
      <c r="C13" s="988"/>
      <c r="D13" s="988"/>
      <c r="E13" s="291"/>
      <c r="F13" s="988"/>
      <c r="G13" s="989"/>
      <c r="H13" s="988"/>
      <c r="I13" s="291"/>
      <c r="J13" s="291"/>
      <c r="K13" s="291"/>
      <c r="L13" s="988"/>
      <c r="M13" s="988"/>
      <c r="N13" s="988"/>
      <c r="O13" s="988"/>
      <c r="P13" s="988"/>
      <c r="Q13" s="988"/>
      <c r="R13" s="988"/>
      <c r="S13" s="988"/>
      <c r="T13" s="988"/>
      <c r="U13" s="291"/>
      <c r="V13" s="402"/>
      <c r="W13" s="291"/>
      <c r="X13" s="354"/>
      <c r="Y13" s="354"/>
      <c r="Z13" s="1494"/>
      <c r="AA13" s="1493"/>
    </row>
    <row r="14" spans="1:27" ht="16.399999999999999" customHeight="1">
      <c r="A14" s="291"/>
      <c r="B14" s="52" t="s">
        <v>109</v>
      </c>
      <c r="C14" s="3"/>
      <c r="D14" s="314" t="str">
        <f>'Exhibit A'!F11</f>
        <v>1 MO. ENDED</v>
      </c>
      <c r="E14" s="3"/>
      <c r="F14" s="52" t="s">
        <v>109</v>
      </c>
      <c r="G14" s="57"/>
      <c r="H14" s="52" t="str">
        <f>D14</f>
        <v>1 MO. ENDED</v>
      </c>
      <c r="I14" s="52"/>
      <c r="J14" s="52"/>
      <c r="K14" s="3"/>
      <c r="L14" s="52" t="s">
        <v>109</v>
      </c>
      <c r="M14" s="3"/>
      <c r="N14" s="52" t="str">
        <f>D14</f>
        <v>1 MO. ENDED</v>
      </c>
      <c r="O14" s="52"/>
      <c r="P14" s="52"/>
      <c r="Q14" s="3"/>
      <c r="R14" s="52" t="s">
        <v>109</v>
      </c>
      <c r="S14" s="3"/>
      <c r="T14" s="52" t="str">
        <f>H14</f>
        <v>1 MO. ENDED</v>
      </c>
      <c r="U14" s="291"/>
      <c r="V14" s="402"/>
      <c r="W14" s="319" t="s">
        <v>110</v>
      </c>
      <c r="X14" s="57"/>
      <c r="Y14" s="320" t="s">
        <v>111</v>
      </c>
      <c r="Z14" s="1494"/>
      <c r="AA14" s="1493"/>
    </row>
    <row r="15" spans="1:27" ht="16.399999999999999" customHeight="1">
      <c r="A15" s="291"/>
      <c r="B15" s="370" t="str">
        <f>'Exhibit A'!D12</f>
        <v>APR. 2026</v>
      </c>
      <c r="C15" s="3"/>
      <c r="D15" s="370" t="str">
        <f>'Exhibit A'!F12</f>
        <v>APR. 30, 2026</v>
      </c>
      <c r="E15" s="3"/>
      <c r="F15" s="315" t="str">
        <f>B15</f>
        <v>APR. 2026</v>
      </c>
      <c r="G15" s="3"/>
      <c r="H15" s="316" t="str">
        <f>D15</f>
        <v>APR. 30, 2026</v>
      </c>
      <c r="I15" s="316"/>
      <c r="J15" s="316"/>
      <c r="K15" s="3"/>
      <c r="L15" s="315" t="str">
        <f>F15</f>
        <v>APR. 2026</v>
      </c>
      <c r="M15" s="3"/>
      <c r="N15" s="316" t="str">
        <f>'Exhibit A'!X12</f>
        <v>APR. 30, 2026</v>
      </c>
      <c r="O15" s="316"/>
      <c r="P15" s="316"/>
      <c r="Q15" s="3"/>
      <c r="R15" s="1222" t="str">
        <f>'Exhibit A'!AB12</f>
        <v>APR. 2025</v>
      </c>
      <c r="S15" s="3"/>
      <c r="T15" s="370" t="str">
        <f>'Exhibit A'!AD12</f>
        <v>APR. 30, 2025</v>
      </c>
      <c r="U15" s="291"/>
      <c r="V15" s="402"/>
      <c r="W15" s="1221" t="s">
        <v>112</v>
      </c>
      <c r="X15" s="57"/>
      <c r="Y15" s="990" t="s">
        <v>113</v>
      </c>
      <c r="Z15" s="1494"/>
      <c r="AA15" s="1493"/>
    </row>
    <row r="16" spans="1:27" ht="13.4" customHeight="1">
      <c r="A16" s="291"/>
      <c r="B16" s="291"/>
      <c r="C16" s="291"/>
      <c r="D16" s="291" t="s">
        <v>103</v>
      </c>
      <c r="E16" s="291"/>
      <c r="F16" s="988"/>
      <c r="G16" s="291"/>
      <c r="H16" s="989" t="s">
        <v>103</v>
      </c>
      <c r="J16" s="1500"/>
      <c r="K16" s="291"/>
      <c r="L16" s="988"/>
      <c r="M16" s="291"/>
      <c r="N16" s="988"/>
      <c r="O16" s="291"/>
      <c r="P16" s="1501"/>
      <c r="Q16" s="291"/>
      <c r="R16" s="291"/>
      <c r="S16" s="291"/>
      <c r="T16" s="291"/>
      <c r="U16" s="291"/>
      <c r="V16" s="403"/>
      <c r="W16" s="354"/>
      <c r="X16" s="291"/>
      <c r="Y16" s="354"/>
      <c r="Z16" s="1494"/>
      <c r="AA16" s="1493"/>
    </row>
    <row r="17" spans="1:27" ht="16.399999999999999" customHeight="1">
      <c r="A17" s="3" t="s">
        <v>114</v>
      </c>
      <c r="B17" s="291"/>
      <c r="C17" s="291"/>
      <c r="D17" s="291"/>
      <c r="E17" s="291"/>
      <c r="F17" s="291"/>
      <c r="G17" s="291"/>
      <c r="H17" s="291"/>
      <c r="I17" s="291"/>
      <c r="J17" s="1501"/>
      <c r="K17" s="291"/>
      <c r="L17" s="291"/>
      <c r="M17" s="291"/>
      <c r="N17" s="291"/>
      <c r="O17" s="291"/>
      <c r="P17" s="1501"/>
      <c r="Q17" s="291"/>
      <c r="R17" s="291"/>
      <c r="S17" s="291"/>
      <c r="T17" s="291"/>
      <c r="U17" s="291"/>
      <c r="V17" s="403"/>
      <c r="W17" s="354"/>
      <c r="X17" s="291"/>
      <c r="Y17" s="354"/>
      <c r="Z17" s="1494"/>
      <c r="AA17" s="1493"/>
    </row>
    <row r="18" spans="1:27" ht="16.399999999999999" customHeight="1">
      <c r="A18" s="291" t="s">
        <v>119</v>
      </c>
      <c r="B18" s="388">
        <f>+'Exhibit L'!B17</f>
        <v>16.3</v>
      </c>
      <c r="C18" s="274"/>
      <c r="D18" s="276">
        <f>+'Exhibit L'!AA17</f>
        <v>16.3</v>
      </c>
      <c r="E18" s="274"/>
      <c r="F18" s="997">
        <f>'Exhibit M'!B17</f>
        <v>0.3</v>
      </c>
      <c r="G18" s="274"/>
      <c r="H18" s="276">
        <f>+'Exhibit M'!AA17</f>
        <v>0.3</v>
      </c>
      <c r="I18" s="276"/>
      <c r="J18" s="1509"/>
      <c r="K18" s="274"/>
      <c r="L18" s="276">
        <f>SUM(B18)+SUM(F18)</f>
        <v>16.600000000000001</v>
      </c>
      <c r="M18" s="274"/>
      <c r="N18" s="276">
        <f>D18+SUM(H18)</f>
        <v>16.600000000000001</v>
      </c>
      <c r="O18" s="276"/>
      <c r="P18" s="1509"/>
      <c r="Q18" s="274"/>
      <c r="R18" s="276">
        <v>14.9</v>
      </c>
      <c r="S18" s="274"/>
      <c r="T18" s="276">
        <f>'Exhibit L'!AD17+'Exhibit M'!AD17</f>
        <v>14.9</v>
      </c>
      <c r="U18" s="380"/>
      <c r="V18" s="404"/>
      <c r="W18" s="425">
        <f>ROUND(SUM(N18-T18),1)</f>
        <v>1.7</v>
      </c>
      <c r="X18" s="380"/>
      <c r="Y18" s="521">
        <f>ROUND(IF(W18=0,0,W18/ABS(T18)),3)</f>
        <v>0.114</v>
      </c>
      <c r="Z18" s="1494"/>
      <c r="AA18" s="1494"/>
    </row>
    <row r="19" spans="1:27">
      <c r="A19" s="3" t="s">
        <v>121</v>
      </c>
      <c r="B19" s="998">
        <f>ROUND(SUM(B18),1)</f>
        <v>16.3</v>
      </c>
      <c r="C19" s="13"/>
      <c r="D19" s="998">
        <f>ROUND(SUM(D18),1)</f>
        <v>16.3</v>
      </c>
      <c r="E19" s="13"/>
      <c r="F19" s="357">
        <f>ROUND(SUM(F18),1)</f>
        <v>0.3</v>
      </c>
      <c r="G19" s="13"/>
      <c r="H19" s="998">
        <f>ROUND(SUM(H18),1)</f>
        <v>0.3</v>
      </c>
      <c r="I19" s="18"/>
      <c r="J19" s="1510"/>
      <c r="K19" s="13"/>
      <c r="L19" s="998">
        <f>ROUND(SUM(L18),1)</f>
        <v>16.600000000000001</v>
      </c>
      <c r="M19" s="13"/>
      <c r="N19" s="998">
        <f>ROUND(SUM(N18),1)</f>
        <v>16.600000000000001</v>
      </c>
      <c r="O19" s="18"/>
      <c r="P19" s="1510"/>
      <c r="Q19" s="13"/>
      <c r="R19" s="998">
        <f>ROUND(SUM(R18),1)</f>
        <v>14.9</v>
      </c>
      <c r="S19" s="13"/>
      <c r="T19" s="998">
        <f>ROUND(SUM(T18),1)</f>
        <v>14.9</v>
      </c>
      <c r="U19" s="57"/>
      <c r="V19" s="407"/>
      <c r="W19" s="999">
        <f>ROUND(SUM(W18),3)</f>
        <v>1.7</v>
      </c>
      <c r="X19" s="268"/>
      <c r="Y19" s="1000">
        <f>ROUND(+W19/T19,3)</f>
        <v>0.114</v>
      </c>
      <c r="Z19" s="1494"/>
      <c r="AA19" s="1495"/>
    </row>
    <row r="20" spans="1:27">
      <c r="A20" s="3"/>
      <c r="B20" s="264"/>
      <c r="C20" s="264"/>
      <c r="D20" s="264"/>
      <c r="E20" s="264"/>
      <c r="F20" s="264"/>
      <c r="G20" s="264"/>
      <c r="H20" s="1037"/>
      <c r="I20" s="264"/>
      <c r="J20" s="991"/>
      <c r="K20" s="264"/>
      <c r="L20" s="264"/>
      <c r="M20" s="264"/>
      <c r="N20" s="264"/>
      <c r="O20" s="264"/>
      <c r="P20" s="991"/>
      <c r="Q20" s="264"/>
      <c r="R20" s="264"/>
      <c r="S20" s="264"/>
      <c r="T20" s="264"/>
      <c r="V20" s="403"/>
      <c r="W20" s="412"/>
      <c r="X20" s="291"/>
      <c r="Y20" s="354"/>
      <c r="Z20" s="1494"/>
      <c r="AA20" s="1493"/>
    </row>
    <row r="21" spans="1:27" ht="16.399999999999999" customHeight="1">
      <c r="A21" s="3" t="s">
        <v>122</v>
      </c>
      <c r="B21" s="264"/>
      <c r="C21" s="264"/>
      <c r="D21" s="264"/>
      <c r="E21" s="264"/>
      <c r="F21" s="264"/>
      <c r="G21" s="264"/>
      <c r="H21" s="264"/>
      <c r="I21" s="264"/>
      <c r="J21" s="991"/>
      <c r="K21" s="264"/>
      <c r="L21" s="264"/>
      <c r="M21" s="264"/>
      <c r="N21" s="264"/>
      <c r="O21" s="264"/>
      <c r="P21" s="991"/>
      <c r="Q21" s="264"/>
      <c r="R21" s="264"/>
      <c r="S21" s="264"/>
      <c r="T21" s="264"/>
      <c r="V21" s="403"/>
      <c r="W21" s="412"/>
      <c r="X21" s="291"/>
      <c r="Y21" s="354"/>
      <c r="Z21" s="1494"/>
      <c r="AA21" s="1493"/>
    </row>
    <row r="22" spans="1:27" ht="16.399999999999999" customHeight="1">
      <c r="A22" s="291" t="s">
        <v>135</v>
      </c>
      <c r="B22" s="264"/>
      <c r="C22" s="264"/>
      <c r="D22" s="264"/>
      <c r="E22" s="264"/>
      <c r="F22" s="264"/>
      <c r="G22" s="264"/>
      <c r="H22" s="264"/>
      <c r="I22" s="264"/>
      <c r="J22" s="991"/>
      <c r="K22" s="264"/>
      <c r="L22" s="264"/>
      <c r="M22" s="264"/>
      <c r="N22" s="264"/>
      <c r="O22" s="264"/>
      <c r="P22" s="991"/>
      <c r="Q22" s="264"/>
      <c r="R22" s="264"/>
      <c r="S22" s="264"/>
      <c r="T22" s="264"/>
      <c r="V22" s="403"/>
      <c r="W22" s="412"/>
      <c r="X22" s="291"/>
      <c r="Y22" s="354"/>
      <c r="Z22" s="1494"/>
      <c r="AA22" s="1493"/>
    </row>
    <row r="23" spans="1:27" ht="16.399999999999999" customHeight="1">
      <c r="A23" s="291" t="s">
        <v>207</v>
      </c>
      <c r="B23" s="287">
        <f>+'Exhibit L'!B24</f>
        <v>8</v>
      </c>
      <c r="C23" s="264"/>
      <c r="D23" s="287">
        <f>+'Exhibit L'!AA24</f>
        <v>8</v>
      </c>
      <c r="E23" s="264"/>
      <c r="F23" s="275">
        <f>+'Exhibit M'!B24</f>
        <v>0.1</v>
      </c>
      <c r="G23" s="264"/>
      <c r="H23" s="288">
        <f>+'Exhibit M'!AA24</f>
        <v>0.1</v>
      </c>
      <c r="I23" s="288"/>
      <c r="J23" s="1505"/>
      <c r="K23" s="264"/>
      <c r="L23" s="287">
        <f>SUM(B23)+SUM(F23)</f>
        <v>8.1</v>
      </c>
      <c r="M23" s="264"/>
      <c r="N23" s="287">
        <f>SUM(D23)+SUM(H23)</f>
        <v>8.1</v>
      </c>
      <c r="O23" s="287"/>
      <c r="P23" s="1514"/>
      <c r="Q23" s="264"/>
      <c r="R23" s="1943">
        <v>7.7</v>
      </c>
      <c r="S23" s="264"/>
      <c r="T23" s="287">
        <f>'Exhibit L'!AD24+'Exhibit M'!AD24</f>
        <v>7.6999999999999993</v>
      </c>
      <c r="V23" s="403"/>
      <c r="W23" s="412">
        <f>ROUND(SUM(N23-T23),1)</f>
        <v>0.4</v>
      </c>
      <c r="X23" s="291"/>
      <c r="Y23" s="521">
        <f>ROUND(IF(W23=0,0,W23/ABS(T23)),3)</f>
        <v>5.1999999999999998E-2</v>
      </c>
      <c r="Z23" s="1494"/>
      <c r="AA23" s="1493"/>
    </row>
    <row r="24" spans="1:27" ht="16.399999999999999" customHeight="1">
      <c r="A24" s="291" t="s">
        <v>208</v>
      </c>
      <c r="B24" s="287">
        <f>+'Exhibit L'!B25</f>
        <v>1.5</v>
      </c>
      <c r="C24" s="264"/>
      <c r="D24" s="287">
        <f>+'Exhibit L'!AA25</f>
        <v>1.5</v>
      </c>
      <c r="E24" s="264"/>
      <c r="F24" s="275">
        <f>+'Exhibit M'!B25</f>
        <v>0</v>
      </c>
      <c r="G24" s="264"/>
      <c r="H24" s="288">
        <f>+'Exhibit M'!AA25</f>
        <v>0</v>
      </c>
      <c r="I24" s="288"/>
      <c r="J24" s="1505"/>
      <c r="K24" s="264"/>
      <c r="L24" s="287">
        <f>SUM(B24)+SUM(F24)</f>
        <v>1.5</v>
      </c>
      <c r="M24" s="264"/>
      <c r="N24" s="287">
        <f>SUM(D24)+SUM(H24)</f>
        <v>1.5</v>
      </c>
      <c r="O24" s="287"/>
      <c r="P24" s="1514"/>
      <c r="Q24" s="264"/>
      <c r="R24" s="1943">
        <v>0.6</v>
      </c>
      <c r="S24" s="264"/>
      <c r="T24" s="287">
        <f>'Exhibit L'!AD25+'Exhibit M'!AD25</f>
        <v>0.6</v>
      </c>
      <c r="V24" s="403"/>
      <c r="W24" s="412">
        <f>ROUND(SUM(N24-T24),1)</f>
        <v>0.9</v>
      </c>
      <c r="X24" s="291"/>
      <c r="Y24" s="521">
        <f>ROUND(IF(W24=0,0,W24/ABS(T24)),3)</f>
        <v>1.5</v>
      </c>
      <c r="Z24" s="1494"/>
      <c r="AA24" s="1493"/>
    </row>
    <row r="25" spans="1:27" ht="16.399999999999999" customHeight="1">
      <c r="A25" s="291" t="s">
        <v>209</v>
      </c>
      <c r="B25" s="287">
        <f>+'Exhibit L'!B26</f>
        <v>0</v>
      </c>
      <c r="C25" s="264"/>
      <c r="D25" s="288">
        <f>+'Exhibit L'!AA26</f>
        <v>0</v>
      </c>
      <c r="E25" s="264"/>
      <c r="F25" s="275">
        <f>+'Exhibit M'!B26</f>
        <v>0</v>
      </c>
      <c r="G25" s="264"/>
      <c r="H25" s="1508">
        <f>+'Exhibit M'!AA26</f>
        <v>0</v>
      </c>
      <c r="I25" s="289"/>
      <c r="J25" s="1511"/>
      <c r="K25" s="264"/>
      <c r="L25" s="287">
        <f>SUM(B25)+SUM(F25)</f>
        <v>0</v>
      </c>
      <c r="M25" s="264"/>
      <c r="N25" s="287">
        <f>SUM(D25)+SUM(H25)</f>
        <v>0</v>
      </c>
      <c r="O25" s="287"/>
      <c r="P25" s="1514"/>
      <c r="Q25" s="264"/>
      <c r="R25" s="1943">
        <v>0</v>
      </c>
      <c r="S25" s="367"/>
      <c r="T25" s="287">
        <f>'Exhibit L'!AD26+'Exhibit M'!AD26</f>
        <v>0</v>
      </c>
      <c r="V25" s="403"/>
      <c r="W25" s="412">
        <f>ROUND(SUM(N25-T25),1)</f>
        <v>0</v>
      </c>
      <c r="X25" s="291"/>
      <c r="Y25" s="521">
        <f>ROUND(IF(W25=0,0,W25/ABS(T25)),3)</f>
        <v>0</v>
      </c>
      <c r="Z25" s="1494"/>
      <c r="AA25" s="1493"/>
    </row>
    <row r="26" spans="1:27">
      <c r="A26" s="3" t="s">
        <v>162</v>
      </c>
      <c r="B26" s="998">
        <f>ROUND(SUM(B23:B25),1)</f>
        <v>9.5</v>
      </c>
      <c r="C26" s="13"/>
      <c r="D26" s="998">
        <f>ROUND(SUM(D23:D25),1)</f>
        <v>9.5</v>
      </c>
      <c r="E26" s="13"/>
      <c r="F26" s="998">
        <f>ROUND(SUM(F23:F25),1)</f>
        <v>0.1</v>
      </c>
      <c r="G26" s="13"/>
      <c r="H26" s="998">
        <f>ROUND(SUM(H23:H25),1)</f>
        <v>0.1</v>
      </c>
      <c r="I26" s="18"/>
      <c r="J26" s="1510"/>
      <c r="K26" s="13"/>
      <c r="L26" s="998">
        <f>ROUND(SUM(L23:L25),1)</f>
        <v>9.6</v>
      </c>
      <c r="M26" s="13"/>
      <c r="N26" s="998">
        <f>ROUND(SUM(N23:N25),1)</f>
        <v>9.6</v>
      </c>
      <c r="O26" s="18"/>
      <c r="P26" s="1510"/>
      <c r="Q26" s="13"/>
      <c r="R26" s="1944">
        <f>ROUND(SUM(R23:R25),1)</f>
        <v>8.3000000000000007</v>
      </c>
      <c r="S26" s="13"/>
      <c r="T26" s="998">
        <f>ROUND(SUM(T23:T25),1)</f>
        <v>8.3000000000000007</v>
      </c>
      <c r="U26" s="57"/>
      <c r="V26" s="92"/>
      <c r="W26" s="999">
        <f>ROUND(SUM(W23:W25),3)</f>
        <v>1.3</v>
      </c>
      <c r="X26" s="268"/>
      <c r="Y26" s="994">
        <f>ROUND(W26/T26,3)</f>
        <v>0.157</v>
      </c>
      <c r="Z26" s="1494"/>
      <c r="AA26" s="1493"/>
    </row>
    <row r="27" spans="1:27">
      <c r="A27" s="3"/>
      <c r="B27" s="264"/>
      <c r="C27" s="264"/>
      <c r="D27" s="264"/>
      <c r="E27" s="264"/>
      <c r="F27" s="264"/>
      <c r="G27" s="264"/>
      <c r="H27" s="264"/>
      <c r="I27" s="264"/>
      <c r="J27" s="991"/>
      <c r="K27" s="264"/>
      <c r="L27" s="264"/>
      <c r="M27" s="264"/>
      <c r="N27" s="264"/>
      <c r="O27" s="264"/>
      <c r="P27" s="991"/>
      <c r="Q27" s="264"/>
      <c r="R27" s="1798"/>
      <c r="S27" s="264"/>
      <c r="T27" s="264"/>
      <c r="V27" s="403"/>
      <c r="W27" s="412"/>
      <c r="X27" s="291"/>
      <c r="Y27" s="354"/>
      <c r="Z27" s="1494"/>
      <c r="AA27" s="1493"/>
    </row>
    <row r="28" spans="1:27" ht="16.399999999999999" customHeight="1">
      <c r="A28" s="3" t="s">
        <v>143</v>
      </c>
      <c r="B28" s="264"/>
      <c r="C28" s="264"/>
      <c r="D28" s="264"/>
      <c r="E28" s="264"/>
      <c r="F28" s="264"/>
      <c r="G28" s="264"/>
      <c r="H28" s="264"/>
      <c r="I28" s="264"/>
      <c r="J28" s="991"/>
      <c r="K28" s="264"/>
      <c r="L28" s="264"/>
      <c r="M28" s="264"/>
      <c r="N28" s="264"/>
      <c r="O28" s="264"/>
      <c r="P28" s="991"/>
      <c r="Q28" s="264"/>
      <c r="R28" s="1798"/>
      <c r="S28" s="264"/>
      <c r="T28" s="264"/>
      <c r="V28" s="403"/>
      <c r="W28" s="412"/>
      <c r="X28" s="291"/>
      <c r="Y28" s="354"/>
      <c r="Z28" s="1494"/>
      <c r="AA28" s="1493"/>
    </row>
    <row r="29" spans="1:27">
      <c r="A29" s="3" t="s">
        <v>211</v>
      </c>
      <c r="B29" s="985">
        <f>ROUND(SUM(B19-B26),1)</f>
        <v>6.8</v>
      </c>
      <c r="C29" s="13"/>
      <c r="D29" s="985">
        <f>ROUND(SUM(D19-D26),1)</f>
        <v>6.8</v>
      </c>
      <c r="E29" s="13"/>
      <c r="F29" s="985">
        <f>ROUND(SUM(F19-F26),1)</f>
        <v>0.2</v>
      </c>
      <c r="G29" s="13"/>
      <c r="H29" s="985">
        <f>ROUND(SUM(H19-H26),1)</f>
        <v>0.2</v>
      </c>
      <c r="I29" s="18"/>
      <c r="J29" s="1510"/>
      <c r="K29" s="13"/>
      <c r="L29" s="985">
        <f>ROUND(SUM(L19-L26),1)</f>
        <v>7</v>
      </c>
      <c r="M29" s="13"/>
      <c r="N29" s="985">
        <f>ROUND(SUM(N19-N26),1)</f>
        <v>7</v>
      </c>
      <c r="O29" s="18"/>
      <c r="P29" s="1510"/>
      <c r="Q29" s="13"/>
      <c r="R29" s="1945">
        <f>ROUND(SUM(R19-R26),1)</f>
        <v>6.6</v>
      </c>
      <c r="S29" s="13"/>
      <c r="T29" s="985">
        <f>ROUND(SUM(T19-T26),1)</f>
        <v>6.6</v>
      </c>
      <c r="U29" s="57"/>
      <c r="V29" s="403"/>
      <c r="W29" s="357">
        <f>ROUND(SUM(N29-T29),1)</f>
        <v>0.4</v>
      </c>
      <c r="X29" s="291"/>
      <c r="Y29" s="677">
        <f>ROUND(IF(T29=0,1,W29/ABS(T29)),3)</f>
        <v>6.0999999999999999E-2</v>
      </c>
      <c r="Z29" s="1494"/>
      <c r="AA29" s="1493"/>
    </row>
    <row r="30" spans="1:27">
      <c r="A30" s="291"/>
      <c r="B30" s="264"/>
      <c r="C30" s="264"/>
      <c r="D30" s="264"/>
      <c r="E30" s="264"/>
      <c r="F30" s="264"/>
      <c r="G30" s="264"/>
      <c r="H30" s="264"/>
      <c r="I30" s="264"/>
      <c r="J30" s="991"/>
      <c r="K30" s="264"/>
      <c r="L30" s="264"/>
      <c r="M30" s="264"/>
      <c r="N30" s="264"/>
      <c r="O30" s="264"/>
      <c r="P30" s="991"/>
      <c r="Q30" s="264"/>
      <c r="R30" s="1798"/>
      <c r="S30" s="264"/>
      <c r="T30" s="264"/>
      <c r="V30" s="403"/>
      <c r="W30" s="412"/>
      <c r="X30" s="291"/>
      <c r="Y30" s="354"/>
      <c r="Z30" s="1494"/>
      <c r="AA30" s="1493"/>
    </row>
    <row r="31" spans="1:27" ht="16.399999999999999" customHeight="1">
      <c r="A31" s="3" t="s">
        <v>145</v>
      </c>
      <c r="B31" s="264"/>
      <c r="C31" s="264"/>
      <c r="D31" s="264"/>
      <c r="E31" s="264"/>
      <c r="F31" s="264"/>
      <c r="G31" s="264"/>
      <c r="H31" s="264"/>
      <c r="I31" s="264"/>
      <c r="J31" s="991"/>
      <c r="K31" s="264"/>
      <c r="L31" s="264"/>
      <c r="M31" s="264"/>
      <c r="N31" s="264"/>
      <c r="O31" s="264"/>
      <c r="P31" s="991"/>
      <c r="Q31" s="264"/>
      <c r="R31" s="1798"/>
      <c r="S31" s="264"/>
      <c r="T31" s="264"/>
      <c r="V31" s="403"/>
      <c r="W31" s="412"/>
      <c r="X31" s="291"/>
      <c r="Y31" s="354"/>
      <c r="Z31" s="1494"/>
      <c r="AA31" s="1493"/>
    </row>
    <row r="32" spans="1:27" ht="16.399999999999999" customHeight="1">
      <c r="A32" s="291" t="s">
        <v>147</v>
      </c>
      <c r="B32" s="275">
        <f>+'Exhibit L'!B36</f>
        <v>0</v>
      </c>
      <c r="C32" s="264"/>
      <c r="D32" s="275">
        <f>+'Exhibit L'!AA36</f>
        <v>0</v>
      </c>
      <c r="E32" s="264"/>
      <c r="F32" s="275">
        <f>+'Exhibit M'!B36</f>
        <v>0</v>
      </c>
      <c r="G32" s="287"/>
      <c r="H32" s="275">
        <f>+'Exhibit M'!AA36</f>
        <v>0</v>
      </c>
      <c r="I32" s="275"/>
      <c r="J32" s="1503"/>
      <c r="K32" s="264"/>
      <c r="L32" s="288">
        <f>SUM(B32)+SUM(F32)</f>
        <v>0</v>
      </c>
      <c r="M32" s="264"/>
      <c r="N32" s="288">
        <f>SUM(D32)+SUM(H32)</f>
        <v>0</v>
      </c>
      <c r="O32" s="288"/>
      <c r="P32" s="1505"/>
      <c r="Q32" s="264"/>
      <c r="R32" s="288">
        <v>0</v>
      </c>
      <c r="S32" s="264"/>
      <c r="T32" s="288">
        <f>'Exhibit L'!AD36+'Exhibit M'!AD36</f>
        <v>0</v>
      </c>
      <c r="V32" s="408"/>
      <c r="W32" s="412">
        <f>ROUND(SUM(N32-T32),1)</f>
        <v>0</v>
      </c>
      <c r="X32" s="268"/>
      <c r="Y32" s="521">
        <f>ROUND(IF(W32=0,0,W32/ABS(T32)),3)</f>
        <v>0</v>
      </c>
      <c r="Z32" s="1494"/>
      <c r="AA32" s="1493"/>
    </row>
    <row r="33" spans="1:27" ht="16.399999999999999" customHeight="1">
      <c r="A33" s="291" t="s">
        <v>212</v>
      </c>
      <c r="B33" s="275">
        <f>+'Exhibit L'!B37</f>
        <v>0</v>
      </c>
      <c r="C33" s="264"/>
      <c r="D33" s="836">
        <f>+'Exhibit L'!AA37</f>
        <v>0</v>
      </c>
      <c r="E33" s="264"/>
      <c r="F33" s="275">
        <f>+'Exhibit M'!B37</f>
        <v>0</v>
      </c>
      <c r="G33" s="264"/>
      <c r="H33" s="275">
        <f>+'Exhibit M'!AA37</f>
        <v>0</v>
      </c>
      <c r="I33" s="275"/>
      <c r="J33" s="1503"/>
      <c r="K33" s="264"/>
      <c r="L33" s="288">
        <f>SUM(B33)+SUM(F33)</f>
        <v>0</v>
      </c>
      <c r="M33" s="264"/>
      <c r="N33" s="288">
        <f>SUM(D33)+SUM(H33)</f>
        <v>0</v>
      </c>
      <c r="O33" s="288"/>
      <c r="P33" s="1505"/>
      <c r="Q33" s="264"/>
      <c r="R33" s="288">
        <v>0</v>
      </c>
      <c r="S33" s="367"/>
      <c r="T33" s="288">
        <f>'Exhibit L'!AD37+'Exhibit M'!AD37</f>
        <v>0</v>
      </c>
      <c r="V33" s="409"/>
      <c r="W33" s="412">
        <f>ROUND(SUM(N33-T33),1)</f>
        <v>0</v>
      </c>
      <c r="X33" s="268"/>
      <c r="Y33" s="521">
        <f>ROUND(IF(W33=0,0,W33/ABS(T33)),3)</f>
        <v>0</v>
      </c>
      <c r="Z33" s="1494"/>
      <c r="AA33" s="1493"/>
    </row>
    <row r="34" spans="1:27">
      <c r="A34" s="3" t="s">
        <v>150</v>
      </c>
      <c r="B34" s="1001">
        <f>ROUND(SUM(B32:B33),1)</f>
        <v>0</v>
      </c>
      <c r="C34" s="13"/>
      <c r="D34" s="1001">
        <f>ROUND(SUM(D32:D33),1)</f>
        <v>0</v>
      </c>
      <c r="E34" s="13"/>
      <c r="F34" s="1001">
        <f>ROUND(SUM(F32:F33),1)</f>
        <v>0</v>
      </c>
      <c r="G34" s="13"/>
      <c r="H34" s="1001">
        <f>ROUND(SUM(H32:H33),1)</f>
        <v>0</v>
      </c>
      <c r="I34" s="17"/>
      <c r="J34" s="1512"/>
      <c r="K34" s="13"/>
      <c r="L34" s="1001">
        <f>ROUND(SUM(L32:L33),1)</f>
        <v>0</v>
      </c>
      <c r="M34" s="13"/>
      <c r="N34" s="998">
        <f>ROUND(SUM(N32:N33),1)</f>
        <v>0</v>
      </c>
      <c r="O34" s="18"/>
      <c r="P34" s="1510"/>
      <c r="Q34" s="13"/>
      <c r="R34" s="998">
        <f>ROUND(SUM(R32:R33),1)</f>
        <v>0</v>
      </c>
      <c r="S34" s="13"/>
      <c r="T34" s="998">
        <f>ROUND(SUM(T32:T33),1)</f>
        <v>0</v>
      </c>
      <c r="V34" s="410"/>
      <c r="W34" s="891">
        <f>ROUND(SUM(W32-W33),3)</f>
        <v>0</v>
      </c>
      <c r="X34" s="530"/>
      <c r="Y34" s="1000">
        <f>ROUND(IF(T34=0,0,W34/ABS(T34)),3)</f>
        <v>0</v>
      </c>
      <c r="Z34" s="1494"/>
      <c r="AA34" s="1493"/>
    </row>
    <row r="35" spans="1:27">
      <c r="A35" s="3"/>
      <c r="B35" s="616"/>
      <c r="C35" s="264"/>
      <c r="D35" s="616"/>
      <c r="E35" s="264"/>
      <c r="F35" s="264"/>
      <c r="G35" s="264"/>
      <c r="H35" s="264"/>
      <c r="I35" s="264"/>
      <c r="J35" s="991"/>
      <c r="K35" s="264"/>
      <c r="L35" s="264"/>
      <c r="M35" s="264"/>
      <c r="N35" s="616"/>
      <c r="O35" s="264"/>
      <c r="P35" s="991"/>
      <c r="Q35" s="264"/>
      <c r="R35" s="264"/>
      <c r="S35" s="264"/>
      <c r="T35" s="264"/>
      <c r="V35" s="403"/>
      <c r="W35" s="412"/>
      <c r="X35" s="291"/>
      <c r="Y35" s="354"/>
      <c r="Z35" s="1494"/>
      <c r="AA35" s="1493"/>
    </row>
    <row r="36" spans="1:27" ht="15.75" customHeight="1">
      <c r="A36" s="3" t="s">
        <v>143</v>
      </c>
      <c r="B36" s="264"/>
      <c r="C36" s="264"/>
      <c r="D36" s="264"/>
      <c r="E36" s="264"/>
      <c r="F36" s="264"/>
      <c r="G36" s="264"/>
      <c r="H36" s="264"/>
      <c r="I36" s="264"/>
      <c r="J36" s="991"/>
      <c r="K36" s="264"/>
      <c r="L36" s="264"/>
      <c r="M36" s="264"/>
      <c r="N36" s="264"/>
      <c r="O36" s="264"/>
      <c r="P36" s="991"/>
      <c r="Q36" s="264"/>
      <c r="R36" s="264"/>
      <c r="S36" s="264"/>
      <c r="T36" s="264"/>
      <c r="V36" s="403"/>
      <c r="W36" s="412"/>
      <c r="X36" s="291"/>
      <c r="Y36" s="354"/>
      <c r="Z36" s="1494"/>
      <c r="AA36" s="1493"/>
    </row>
    <row r="37" spans="1:27" ht="15.75" customHeight="1">
      <c r="A37" s="3" t="s">
        <v>213</v>
      </c>
      <c r="B37" s="264"/>
      <c r="C37" s="264"/>
      <c r="D37" s="264"/>
      <c r="E37" s="264"/>
      <c r="F37" s="264"/>
      <c r="G37" s="264"/>
      <c r="H37" s="264"/>
      <c r="I37" s="264"/>
      <c r="J37" s="991"/>
      <c r="K37" s="264"/>
      <c r="L37" s="264"/>
      <c r="M37" s="264"/>
      <c r="N37" s="264"/>
      <c r="O37" s="264"/>
      <c r="P37" s="991"/>
      <c r="Q37" s="264"/>
      <c r="R37" s="264"/>
      <c r="S37" s="264"/>
      <c r="T37" s="264"/>
      <c r="V37" s="403"/>
      <c r="W37" s="412"/>
      <c r="X37" s="291"/>
      <c r="Y37" s="354"/>
      <c r="Z37" s="1494"/>
      <c r="AA37" s="1493"/>
    </row>
    <row r="38" spans="1:27" ht="15.75" customHeight="1">
      <c r="A38" s="3" t="s">
        <v>214</v>
      </c>
      <c r="B38" s="264"/>
      <c r="C38" s="264"/>
      <c r="D38" s="264"/>
      <c r="E38" s="264"/>
      <c r="F38" s="367"/>
      <c r="G38" s="264"/>
      <c r="H38" s="264"/>
      <c r="I38" s="264"/>
      <c r="J38" s="991"/>
      <c r="K38" s="264"/>
      <c r="L38" s="264"/>
      <c r="M38" s="264"/>
      <c r="N38" s="264"/>
      <c r="O38" s="264"/>
      <c r="P38" s="991"/>
      <c r="Q38" s="264"/>
      <c r="R38" s="264"/>
      <c r="S38" s="264"/>
      <c r="T38" s="264"/>
      <c r="V38" s="403"/>
      <c r="W38" s="412"/>
      <c r="X38" s="291"/>
      <c r="Y38" s="354"/>
      <c r="Z38" s="1494"/>
      <c r="AA38" s="1493"/>
    </row>
    <row r="39" spans="1:27" ht="15.75" customHeight="1">
      <c r="A39" s="3" t="s">
        <v>215</v>
      </c>
      <c r="B39" s="26">
        <f>ROUND(SUM(B29+B34),1)</f>
        <v>6.8</v>
      </c>
      <c r="C39" s="13"/>
      <c r="D39" s="26">
        <f>ROUND(SUM(D29+D34),1)</f>
        <v>6.8</v>
      </c>
      <c r="E39" s="13"/>
      <c r="F39" s="26">
        <f>ROUND(SUM(F29+F34),1)</f>
        <v>0.2</v>
      </c>
      <c r="G39" s="13"/>
      <c r="H39" s="26">
        <f>ROUND(SUM(H29+H34),1)</f>
        <v>0.2</v>
      </c>
      <c r="I39" s="26"/>
      <c r="J39" s="1506"/>
      <c r="K39" s="13"/>
      <c r="L39" s="26">
        <f>ROUND(SUM(L29+L34),1)</f>
        <v>7</v>
      </c>
      <c r="M39" s="13"/>
      <c r="N39" s="26">
        <f>ROUND(SUM(N29+N34),1)</f>
        <v>7</v>
      </c>
      <c r="O39" s="26"/>
      <c r="P39" s="1506"/>
      <c r="Q39" s="13"/>
      <c r="R39" s="26">
        <f>ROUND(SUM(R29+R34),1)</f>
        <v>6.6</v>
      </c>
      <c r="S39" s="13"/>
      <c r="T39" s="26">
        <f>ROUND(SUM(T29+T34),1)</f>
        <v>6.6</v>
      </c>
      <c r="U39" s="57"/>
      <c r="V39" s="403"/>
      <c r="W39" s="13">
        <f>ROUND(SUM(N39-T39),1)</f>
        <v>0.4</v>
      </c>
      <c r="X39" s="291"/>
      <c r="Y39" s="678">
        <f>ROUND(IF(T39=0,1,W39/ABS(T39)),3)</f>
        <v>6.0999999999999999E-2</v>
      </c>
      <c r="Z39" s="1494"/>
      <c r="AA39" s="1493"/>
    </row>
    <row r="40" spans="1:27">
      <c r="A40" s="3"/>
      <c r="B40" s="264"/>
      <c r="C40" s="264"/>
      <c r="D40" s="264"/>
      <c r="E40" s="264"/>
      <c r="F40" s="264"/>
      <c r="G40" s="264"/>
      <c r="H40" s="264"/>
      <c r="I40" s="264"/>
      <c r="J40" s="991"/>
      <c r="K40" s="264"/>
      <c r="L40" s="264"/>
      <c r="M40" s="264"/>
      <c r="N40" s="264"/>
      <c r="O40" s="264"/>
      <c r="P40" s="991"/>
      <c r="Q40" s="264"/>
      <c r="R40" s="264"/>
      <c r="S40" s="264"/>
      <c r="T40" s="264"/>
      <c r="V40" s="403"/>
      <c r="X40" s="291"/>
      <c r="Z40" s="1494"/>
      <c r="AA40" s="1493"/>
    </row>
    <row r="41" spans="1:27" s="57" customFormat="1">
      <c r="A41" s="3" t="s">
        <v>153</v>
      </c>
      <c r="B41" s="1942">
        <f>+'Exhibit L'!B14</f>
        <v>2222.5</v>
      </c>
      <c r="C41" s="13"/>
      <c r="D41" s="1942">
        <f>+'Exhibit L'!AA14</f>
        <v>2222.5</v>
      </c>
      <c r="E41" s="13"/>
      <c r="F41" s="1942">
        <f>+'Exhibit M'!B14</f>
        <v>46.6</v>
      </c>
      <c r="G41" s="13"/>
      <c r="H41" s="18">
        <f>+'Exhibit M'!AA14</f>
        <v>46.6</v>
      </c>
      <c r="I41" s="18"/>
      <c r="J41" s="1510"/>
      <c r="K41" s="13"/>
      <c r="L41" s="18">
        <f>ROUND(SUM(B41)+SUM(F41),1)</f>
        <v>2269.1</v>
      </c>
      <c r="M41" s="13"/>
      <c r="N41" s="26">
        <f>ROUND(SUM(D41+H41),1)</f>
        <v>2269.1</v>
      </c>
      <c r="O41" s="26"/>
      <c r="P41" s="1506"/>
      <c r="Q41" s="13"/>
      <c r="R41" s="985">
        <v>1937</v>
      </c>
      <c r="S41" s="13"/>
      <c r="T41" s="985">
        <f>'Exhibit L'!AD14+'Exhibit M'!AD14</f>
        <v>1937</v>
      </c>
      <c r="V41" s="399"/>
      <c r="W41" s="19">
        <f>ROUND(SUM(+N41-T41),1)</f>
        <v>332.1</v>
      </c>
      <c r="X41" s="3"/>
      <c r="Y41" s="522">
        <f>ROUND(IF(W41=0,0,W41/ABS(T41)),3)</f>
        <v>0.17100000000000001</v>
      </c>
      <c r="Z41" s="1498"/>
      <c r="AA41" s="1496"/>
    </row>
    <row r="42" spans="1:27" ht="16" thickBot="1">
      <c r="A42" s="3" t="s">
        <v>217</v>
      </c>
      <c r="B42" s="1002">
        <f>ROUND(SUM(B41)+SUM(B39),1)</f>
        <v>2229.3000000000002</v>
      </c>
      <c r="C42" s="20"/>
      <c r="D42" s="1002">
        <f>ROUND(SUM(D41)+SUM(D39),1)</f>
        <v>2229.3000000000002</v>
      </c>
      <c r="E42" s="20"/>
      <c r="F42" s="995">
        <f>ROUND(SUM(F41)+SUM(F39),1)</f>
        <v>46.8</v>
      </c>
      <c r="G42" s="27"/>
      <c r="H42" s="1003">
        <f>ROUND(SUM(H41)+SUM(H39),1)</f>
        <v>46.8</v>
      </c>
      <c r="I42" s="44"/>
      <c r="J42" s="1513"/>
      <c r="K42" s="20"/>
      <c r="L42" s="1003">
        <f>ROUND(SUM(L41)+SUM(L39),1)</f>
        <v>2276.1</v>
      </c>
      <c r="M42" s="20"/>
      <c r="N42" s="1003">
        <f>ROUND(SUM(N41)+SUM(N39),1)</f>
        <v>2276.1</v>
      </c>
      <c r="O42" s="44"/>
      <c r="P42" s="1513"/>
      <c r="Q42" s="20"/>
      <c r="R42" s="1003">
        <f>ROUND(SUM(R41)+SUM(R39),1)</f>
        <v>1943.6</v>
      </c>
      <c r="S42" s="20"/>
      <c r="T42" s="1003">
        <f>ROUND(SUM(T41)+SUM(T39),1)</f>
        <v>1943.6</v>
      </c>
      <c r="U42" s="45"/>
      <c r="V42" s="404"/>
      <c r="W42" s="1004">
        <f>ROUND(SUM(W39+W41),3)</f>
        <v>332.5</v>
      </c>
      <c r="X42" s="380"/>
      <c r="Y42" s="996">
        <f>ROUND(IF(T42=0,1,W42/ABS(T42)),3)</f>
        <v>0.17100000000000001</v>
      </c>
      <c r="Z42" s="1494"/>
      <c r="AA42" s="1493"/>
    </row>
    <row r="43" spans="1:27" ht="16" thickTop="1">
      <c r="A43" s="291"/>
      <c r="B43" s="411"/>
      <c r="C43" s="380"/>
      <c r="D43" s="411"/>
      <c r="E43" s="380"/>
      <c r="F43" s="411"/>
      <c r="G43" s="380"/>
      <c r="H43" s="411"/>
      <c r="I43" s="380"/>
      <c r="J43" s="380"/>
      <c r="K43" s="380"/>
      <c r="L43" s="411"/>
      <c r="M43" s="380"/>
      <c r="N43" s="411"/>
      <c r="O43" s="380"/>
      <c r="P43" s="380"/>
      <c r="Q43" s="380"/>
      <c r="R43" s="411"/>
      <c r="S43" s="380"/>
      <c r="T43" s="411"/>
      <c r="U43" s="380"/>
      <c r="V43" s="405"/>
      <c r="W43" s="405"/>
      <c r="X43" s="405"/>
      <c r="Y43" s="405"/>
      <c r="Z43" s="1494"/>
      <c r="AA43" s="1495"/>
    </row>
    <row r="44" spans="1:27" ht="18.5">
      <c r="A44" s="291" t="s">
        <v>223</v>
      </c>
      <c r="B44" s="291"/>
      <c r="C44" s="291"/>
      <c r="D44" s="291"/>
      <c r="E44" s="291"/>
      <c r="F44" s="291"/>
      <c r="G44" s="291"/>
      <c r="H44" s="291"/>
      <c r="I44" s="291"/>
      <c r="J44" s="291"/>
      <c r="K44" s="291"/>
      <c r="L44" s="291"/>
      <c r="M44" s="291"/>
      <c r="N44" s="291"/>
      <c r="O44" s="291"/>
      <c r="P44" s="291"/>
      <c r="Q44" s="291"/>
      <c r="R44" s="264"/>
      <c r="S44" s="291"/>
      <c r="T44" s="291"/>
      <c r="U44" s="291"/>
      <c r="V44" s="354"/>
      <c r="W44" s="505"/>
      <c r="X44" s="354"/>
      <c r="Y44" s="354"/>
      <c r="Z44" s="1494"/>
      <c r="AA44" s="1493"/>
    </row>
    <row r="45" spans="1:27">
      <c r="A45" s="291"/>
      <c r="B45" s="291"/>
      <c r="C45" s="291"/>
      <c r="D45" s="291"/>
      <c r="E45" s="291"/>
      <c r="F45" s="291" t="s">
        <v>103</v>
      </c>
      <c r="G45" s="291"/>
      <c r="H45" s="291"/>
      <c r="I45" s="291"/>
      <c r="J45" s="291"/>
      <c r="K45" s="291"/>
      <c r="L45" s="291"/>
      <c r="M45" s="291"/>
      <c r="N45" s="291"/>
      <c r="O45" s="291"/>
      <c r="P45" s="291"/>
      <c r="R45" s="264"/>
      <c r="S45" s="291"/>
      <c r="T45" s="291"/>
      <c r="U45" s="291"/>
      <c r="V45" s="354"/>
      <c r="W45" s="354"/>
      <c r="X45" s="354"/>
      <c r="Y45" s="354"/>
      <c r="Z45" s="1494"/>
      <c r="AA45" s="1493"/>
    </row>
    <row r="46" spans="1:27">
      <c r="A46" s="268"/>
      <c r="B46" s="291"/>
      <c r="C46" s="291"/>
      <c r="D46" s="291"/>
      <c r="E46" s="291"/>
      <c r="F46" s="291"/>
      <c r="G46" s="291"/>
      <c r="H46" s="291"/>
      <c r="I46" s="291"/>
      <c r="J46" s="291"/>
      <c r="K46" s="291"/>
      <c r="L46" s="291"/>
      <c r="M46" s="291"/>
      <c r="N46" s="291"/>
      <c r="O46" s="291"/>
      <c r="P46" s="291"/>
      <c r="Q46" s="291"/>
      <c r="R46" s="291"/>
      <c r="S46" s="291"/>
      <c r="T46" s="291"/>
      <c r="U46" s="291"/>
      <c r="V46" s="354"/>
      <c r="W46" s="354"/>
      <c r="X46" s="354"/>
      <c r="Y46" s="354"/>
      <c r="Z46" s="1494"/>
      <c r="AA46" s="1493"/>
    </row>
    <row r="47" spans="1:27">
      <c r="A47" s="291"/>
      <c r="B47" s="291"/>
      <c r="C47" s="291"/>
      <c r="D47" s="291"/>
      <c r="E47" s="291"/>
      <c r="F47" s="291"/>
      <c r="G47" s="291"/>
      <c r="H47" s="291"/>
      <c r="I47" s="291"/>
      <c r="J47" s="291"/>
      <c r="K47" s="291"/>
      <c r="L47" s="291"/>
      <c r="M47" s="291"/>
      <c r="N47" s="291"/>
      <c r="O47" s="291"/>
      <c r="P47" s="291"/>
      <c r="Q47" s="291"/>
      <c r="R47" s="291"/>
      <c r="S47" s="291"/>
      <c r="T47" s="291"/>
      <c r="U47" s="291"/>
      <c r="V47" s="354"/>
      <c r="W47" s="354"/>
      <c r="X47" s="354"/>
      <c r="Y47" s="354"/>
      <c r="Z47" s="1494"/>
      <c r="AA47" s="1493"/>
    </row>
    <row r="48" spans="1:27">
      <c r="A48" s="291"/>
      <c r="B48" s="291"/>
      <c r="C48" s="291"/>
      <c r="D48" s="291"/>
      <c r="E48" s="291"/>
      <c r="F48" s="291"/>
      <c r="G48" s="291"/>
      <c r="H48" s="291"/>
      <c r="I48" s="291"/>
      <c r="J48" s="291"/>
      <c r="K48" s="291"/>
      <c r="L48" s="291"/>
      <c r="M48" s="291"/>
      <c r="N48" s="291"/>
      <c r="O48" s="291"/>
      <c r="P48" s="291"/>
      <c r="Q48" s="291"/>
      <c r="R48" s="291"/>
      <c r="S48" s="291"/>
      <c r="T48" s="291"/>
      <c r="U48" s="291"/>
      <c r="V48" s="354"/>
      <c r="W48" s="354"/>
      <c r="X48" s="354"/>
      <c r="Y48" s="354"/>
      <c r="Z48" s="1494"/>
      <c r="AA48" s="1493"/>
    </row>
    <row r="49" spans="1:27">
      <c r="A49" s="291"/>
      <c r="B49" s="291"/>
      <c r="C49" s="291"/>
      <c r="D49" s="291"/>
      <c r="E49" s="291"/>
      <c r="F49" s="291"/>
      <c r="G49" s="291"/>
      <c r="H49" s="291"/>
      <c r="I49" s="291"/>
      <c r="J49" s="291"/>
      <c r="K49" s="291"/>
      <c r="L49" s="291"/>
      <c r="M49" s="291"/>
      <c r="N49" s="291"/>
      <c r="O49" s="291"/>
      <c r="P49" s="291"/>
      <c r="Q49" s="291"/>
      <c r="R49" s="291"/>
      <c r="S49" s="291"/>
      <c r="T49" s="291"/>
      <c r="U49" s="291"/>
      <c r="V49" s="354"/>
      <c r="W49" s="354"/>
      <c r="X49" s="354"/>
      <c r="Y49" s="354"/>
      <c r="Z49" s="1494"/>
      <c r="AA49" s="1493"/>
    </row>
    <row r="50" spans="1:27">
      <c r="A50" s="291"/>
      <c r="B50" s="291"/>
      <c r="C50" s="291"/>
      <c r="D50" s="291"/>
      <c r="E50" s="291"/>
      <c r="F50" s="291"/>
      <c r="G50" s="291"/>
      <c r="H50" s="291"/>
      <c r="I50" s="291"/>
      <c r="J50" s="291"/>
      <c r="K50" s="291"/>
      <c r="L50" s="291"/>
      <c r="M50" s="291"/>
      <c r="N50" s="291"/>
      <c r="O50" s="291"/>
      <c r="P50" s="291"/>
      <c r="Q50" s="291"/>
      <c r="R50" s="291"/>
      <c r="S50" s="291"/>
      <c r="T50" s="291"/>
      <c r="U50" s="291"/>
      <c r="V50" s="354"/>
      <c r="W50" s="354"/>
      <c r="X50" s="354"/>
      <c r="Y50" s="354"/>
      <c r="Z50" s="1494"/>
      <c r="AA50" s="1493"/>
    </row>
    <row r="51" spans="1:27">
      <c r="A51" s="291"/>
      <c r="B51" s="291"/>
      <c r="C51" s="291"/>
      <c r="D51" s="291"/>
      <c r="E51" s="291"/>
      <c r="F51" s="291"/>
      <c r="G51" s="291"/>
      <c r="H51" s="291"/>
      <c r="I51" s="291"/>
      <c r="J51" s="291"/>
      <c r="K51" s="291"/>
      <c r="L51" s="291"/>
      <c r="M51" s="291"/>
      <c r="N51" s="291"/>
      <c r="O51" s="291"/>
      <c r="P51" s="291"/>
      <c r="Q51" s="291"/>
      <c r="R51" s="291"/>
      <c r="S51" s="291"/>
      <c r="T51" s="291"/>
      <c r="U51" s="291"/>
      <c r="V51" s="354"/>
      <c r="W51" s="354"/>
      <c r="X51" s="354"/>
      <c r="Y51" s="354"/>
      <c r="Z51" s="1494"/>
      <c r="AA51" s="1493"/>
    </row>
    <row r="52" spans="1:27">
      <c r="A52" s="291"/>
      <c r="B52" s="291"/>
      <c r="C52" s="291"/>
      <c r="D52" s="291"/>
      <c r="E52" s="291"/>
      <c r="F52" s="291"/>
      <c r="G52" s="291"/>
      <c r="H52" s="291"/>
      <c r="I52" s="291"/>
      <c r="J52" s="291"/>
      <c r="K52" s="291"/>
      <c r="L52" s="291"/>
      <c r="M52" s="291"/>
      <c r="N52" s="291"/>
      <c r="O52" s="291"/>
      <c r="P52" s="291"/>
      <c r="Q52" s="291"/>
      <c r="R52" s="291"/>
      <c r="S52" s="291"/>
      <c r="T52" s="291"/>
      <c r="U52" s="291"/>
      <c r="V52" s="354"/>
      <c r="W52" s="354"/>
      <c r="X52" s="354"/>
      <c r="Y52" s="354"/>
      <c r="Z52" s="1494"/>
      <c r="AA52" s="1493"/>
    </row>
    <row r="53" spans="1:27">
      <c r="A53" s="291"/>
      <c r="B53" s="291"/>
      <c r="C53" s="291"/>
      <c r="D53" s="291"/>
      <c r="E53" s="291"/>
      <c r="F53" s="291"/>
      <c r="G53" s="291"/>
      <c r="H53" s="291"/>
      <c r="I53" s="291"/>
      <c r="J53" s="291"/>
      <c r="K53" s="291"/>
      <c r="L53" s="291"/>
      <c r="M53" s="291"/>
      <c r="N53" s="291"/>
      <c r="O53" s="291"/>
      <c r="P53" s="291"/>
      <c r="Q53" s="291"/>
      <c r="R53" s="291"/>
      <c r="S53" s="291"/>
      <c r="T53" s="291"/>
      <c r="U53" s="291"/>
      <c r="V53" s="354"/>
      <c r="W53" s="354"/>
      <c r="X53" s="354"/>
      <c r="Y53" s="354"/>
      <c r="Z53" s="1494"/>
      <c r="AA53" s="1493"/>
    </row>
    <row r="54" spans="1:27">
      <c r="A54" s="291"/>
      <c r="B54" s="291"/>
      <c r="C54" s="291"/>
      <c r="D54" s="291"/>
      <c r="E54" s="291"/>
      <c r="F54" s="291"/>
      <c r="G54" s="291"/>
      <c r="H54" s="291"/>
      <c r="I54" s="291"/>
      <c r="J54" s="291"/>
      <c r="K54" s="291"/>
      <c r="L54" s="291"/>
      <c r="M54" s="291"/>
      <c r="N54" s="291"/>
      <c r="O54" s="291"/>
      <c r="P54" s="291"/>
      <c r="Q54" s="291"/>
      <c r="R54" s="291"/>
      <c r="S54" s="291"/>
      <c r="T54" s="291"/>
      <c r="U54" s="291"/>
      <c r="V54" s="354"/>
      <c r="W54" s="354"/>
      <c r="X54" s="354"/>
      <c r="Y54" s="354"/>
      <c r="Z54" s="1494"/>
      <c r="AA54" s="1493"/>
    </row>
    <row r="55" spans="1:27">
      <c r="A55" s="291"/>
      <c r="B55" s="291"/>
      <c r="C55" s="291"/>
      <c r="D55" s="291"/>
      <c r="E55" s="291"/>
      <c r="F55" s="291"/>
      <c r="G55" s="291"/>
      <c r="H55" s="291"/>
      <c r="I55" s="291"/>
      <c r="J55" s="291"/>
      <c r="K55" s="291"/>
      <c r="L55" s="291"/>
      <c r="M55" s="291"/>
      <c r="N55" s="291"/>
      <c r="O55" s="291"/>
      <c r="P55" s="291"/>
      <c r="Q55" s="291"/>
      <c r="R55" s="291"/>
      <c r="S55" s="291"/>
      <c r="T55" s="291"/>
      <c r="U55" s="291"/>
      <c r="V55" s="354"/>
      <c r="W55" s="354"/>
      <c r="X55" s="354"/>
      <c r="Y55" s="354"/>
      <c r="Z55" s="1494"/>
      <c r="AA55" s="1493"/>
    </row>
    <row r="56" spans="1:27">
      <c r="A56" s="291"/>
      <c r="B56" s="291"/>
      <c r="C56" s="291"/>
      <c r="D56" s="291"/>
      <c r="E56" s="291"/>
      <c r="F56" s="291"/>
      <c r="G56" s="291"/>
      <c r="H56" s="291"/>
      <c r="I56" s="291"/>
      <c r="J56" s="291"/>
      <c r="K56" s="291"/>
      <c r="L56" s="291"/>
      <c r="M56" s="291"/>
      <c r="N56" s="291"/>
      <c r="O56" s="291"/>
      <c r="P56" s="291"/>
      <c r="Q56" s="291"/>
      <c r="R56" s="291"/>
      <c r="S56" s="291"/>
      <c r="T56" s="291"/>
      <c r="U56" s="291"/>
      <c r="V56" s="291"/>
      <c r="W56" s="291"/>
    </row>
    <row r="57" spans="1:27">
      <c r="A57" s="291"/>
      <c r="B57" s="291"/>
      <c r="C57" s="291"/>
      <c r="D57" s="291"/>
      <c r="E57" s="291"/>
      <c r="F57" s="291"/>
      <c r="G57" s="291"/>
      <c r="H57" s="291"/>
      <c r="I57" s="291"/>
      <c r="J57" s="291"/>
      <c r="K57" s="291"/>
      <c r="L57" s="291"/>
      <c r="M57" s="291"/>
      <c r="N57" s="291"/>
      <c r="O57" s="291"/>
      <c r="P57" s="291"/>
      <c r="Q57" s="291"/>
      <c r="R57" s="291"/>
      <c r="S57" s="291"/>
      <c r="T57" s="291"/>
      <c r="U57" s="291"/>
      <c r="V57" s="291"/>
      <c r="W57" s="291"/>
    </row>
    <row r="58" spans="1:27">
      <c r="A58" s="291"/>
      <c r="B58" s="291"/>
      <c r="C58" s="291"/>
      <c r="D58" s="291"/>
      <c r="E58" s="291"/>
      <c r="F58" s="291"/>
      <c r="G58" s="291"/>
      <c r="H58" s="291"/>
      <c r="I58" s="291"/>
      <c r="J58" s="291"/>
      <c r="K58" s="291"/>
      <c r="L58" s="291"/>
      <c r="M58" s="291"/>
      <c r="N58" s="291"/>
      <c r="O58" s="291"/>
      <c r="P58" s="291"/>
      <c r="Q58" s="291"/>
      <c r="R58" s="291"/>
      <c r="S58" s="291"/>
      <c r="T58" s="291"/>
      <c r="U58" s="291"/>
      <c r="V58" s="291"/>
      <c r="W58" s="291"/>
    </row>
    <row r="59" spans="1:27">
      <c r="A59" s="291"/>
      <c r="B59" s="291"/>
      <c r="C59" s="291"/>
      <c r="D59" s="291"/>
      <c r="E59" s="291"/>
      <c r="F59" s="291"/>
      <c r="G59" s="291"/>
      <c r="H59" s="291"/>
      <c r="I59" s="291"/>
      <c r="J59" s="291"/>
      <c r="K59" s="291"/>
      <c r="L59" s="291"/>
      <c r="M59" s="291"/>
      <c r="N59" s="291"/>
      <c r="O59" s="291"/>
      <c r="P59" s="291"/>
      <c r="Q59" s="291"/>
      <c r="R59" s="291"/>
      <c r="S59" s="291"/>
      <c r="T59" s="291"/>
      <c r="U59" s="291"/>
      <c r="V59" s="291"/>
      <c r="W59" s="291"/>
    </row>
    <row r="60" spans="1:27">
      <c r="A60" s="291"/>
      <c r="B60" s="291"/>
      <c r="C60" s="291"/>
      <c r="D60" s="291"/>
      <c r="E60" s="291"/>
      <c r="F60" s="291"/>
      <c r="G60" s="291"/>
      <c r="H60" s="291"/>
      <c r="I60" s="291"/>
      <c r="J60" s="291"/>
      <c r="K60" s="291"/>
      <c r="L60" s="291"/>
      <c r="M60" s="291"/>
      <c r="N60" s="291"/>
      <c r="O60" s="291"/>
      <c r="P60" s="291"/>
      <c r="Q60" s="291"/>
      <c r="R60" s="291"/>
      <c r="S60" s="291"/>
      <c r="T60" s="291"/>
      <c r="U60" s="291"/>
      <c r="V60" s="291"/>
      <c r="W60" s="291"/>
    </row>
    <row r="61" spans="1:27">
      <c r="A61" s="291"/>
      <c r="B61" s="291"/>
      <c r="C61" s="291"/>
      <c r="D61" s="291"/>
      <c r="E61" s="291"/>
      <c r="F61" s="291"/>
      <c r="G61" s="291"/>
      <c r="H61" s="291"/>
      <c r="I61" s="291"/>
      <c r="J61" s="291"/>
      <c r="K61" s="291"/>
      <c r="L61" s="291"/>
      <c r="M61" s="291"/>
      <c r="N61" s="291"/>
      <c r="O61" s="291"/>
      <c r="P61" s="291"/>
      <c r="Q61" s="291"/>
      <c r="R61" s="291"/>
      <c r="S61" s="291"/>
      <c r="T61" s="291"/>
      <c r="U61" s="291"/>
      <c r="V61" s="291"/>
      <c r="W61" s="291"/>
    </row>
  </sheetData>
  <mergeCells count="1">
    <mergeCell ref="W12:Y12"/>
  </mergeCells>
  <printOptions horizontalCentered="1"/>
  <pageMargins left="0.25" right="0.25" top="0.5" bottom="0.5" header="0" footer="0.25"/>
  <pageSetup scale="58" firstPageNumber="6" orientation="landscape" useFirstPageNumber="1" r:id="rId1"/>
  <headerFooter scaleWithDoc="0" alignWithMargins="0">
    <oddFooter>&amp;C&amp;8&amp;P</oddFooter>
  </headerFooter>
  <customProperties>
    <customPr name="SheetOptions" r:id="rId2"/>
  </customProperties>
  <ignoredErrors>
    <ignoredError sqref="W20:Y22 W35:Y38 X34:Y34 X42 X41 W30:Y31 W18:X18 W27:Y28 W23:X25 W33:X33 W40:Y40 W19:Y19 W26:X26 W32:X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85" zoomScaleNormal="85" workbookViewId="0"/>
  </sheetViews>
  <sheetFormatPr defaultColWidth="8.84375" defaultRowHeight="15.5"/>
  <cols>
    <col min="1" max="1" width="45.84375" style="23" customWidth="1"/>
    <col min="2" max="2" width="2.4609375" style="23" customWidth="1"/>
    <col min="3" max="3" width="15.07421875" style="23" customWidth="1"/>
    <col min="4" max="4" width="1.84375" style="23" customWidth="1"/>
    <col min="5" max="5" width="15.07421875" style="23" customWidth="1"/>
    <col min="6" max="6" width="1.84375" style="23" customWidth="1"/>
    <col min="7" max="7" width="15.07421875" style="23" customWidth="1"/>
    <col min="8" max="8" width="1.84375" style="23" customWidth="1"/>
    <col min="9" max="9" width="14.84375" style="23" customWidth="1"/>
    <col min="10" max="10" width="1.84375" style="23" customWidth="1"/>
    <col min="11" max="11" width="14.07421875" style="23" customWidth="1"/>
    <col min="12" max="12" width="8.84375" style="23"/>
    <col min="13" max="13" width="10.07421875" style="23" bestFit="1" customWidth="1"/>
    <col min="14" max="16384" width="8.84375" style="23"/>
  </cols>
  <sheetData>
    <row r="1" spans="1:11">
      <c r="A1" s="378" t="s">
        <v>97</v>
      </c>
    </row>
    <row r="2" spans="1:11">
      <c r="A2" s="354"/>
    </row>
    <row r="3" spans="1:11" ht="18" customHeight="1">
      <c r="A3" s="957" t="s">
        <v>98</v>
      </c>
      <c r="B3" s="958"/>
      <c r="C3" s="958"/>
      <c r="D3" s="959"/>
      <c r="E3" s="958"/>
      <c r="F3" s="959"/>
      <c r="G3" s="30"/>
      <c r="H3" s="959"/>
      <c r="I3" s="30"/>
      <c r="J3" s="959"/>
      <c r="K3" s="31" t="s">
        <v>224</v>
      </c>
    </row>
    <row r="4" spans="1:11" ht="18" customHeight="1">
      <c r="A4" s="957" t="s">
        <v>225</v>
      </c>
      <c r="B4" s="958"/>
      <c r="C4" s="958"/>
      <c r="D4" s="959"/>
      <c r="E4" s="958"/>
      <c r="F4" s="959"/>
      <c r="G4" s="30"/>
      <c r="H4" s="959"/>
      <c r="I4" s="31"/>
      <c r="J4" s="959"/>
    </row>
    <row r="5" spans="1:11" ht="18" customHeight="1">
      <c r="A5" s="1995" t="s">
        <v>1503</v>
      </c>
      <c r="B5" s="1996"/>
      <c r="C5" s="1996"/>
      <c r="D5" s="1996"/>
      <c r="E5" s="1996"/>
      <c r="F5" s="30"/>
      <c r="G5" s="32"/>
      <c r="H5" s="30"/>
      <c r="I5" s="30"/>
      <c r="J5" s="30"/>
      <c r="K5" s="30"/>
    </row>
    <row r="6" spans="1:11" ht="18" customHeight="1">
      <c r="A6" s="1972" t="s">
        <v>1504</v>
      </c>
      <c r="B6" s="959"/>
      <c r="C6" s="959"/>
      <c r="D6" s="959"/>
      <c r="E6" s="959"/>
      <c r="F6" s="959"/>
      <c r="G6" s="30"/>
      <c r="H6" s="959"/>
      <c r="I6" s="30"/>
      <c r="J6" s="959"/>
      <c r="K6" s="30"/>
    </row>
    <row r="7" spans="1:11" ht="18" customHeight="1">
      <c r="A7" s="960" t="s">
        <v>226</v>
      </c>
      <c r="B7" s="959"/>
      <c r="C7" s="959"/>
      <c r="D7" s="959"/>
      <c r="E7" s="959"/>
      <c r="F7" s="959"/>
      <c r="G7" s="30"/>
      <c r="H7" s="959"/>
      <c r="I7" s="30"/>
      <c r="J7" s="959"/>
      <c r="K7" s="30"/>
    </row>
    <row r="8" spans="1:11" ht="17.5">
      <c r="A8" s="34"/>
      <c r="B8" s="30"/>
      <c r="C8" s="30"/>
      <c r="D8" s="30"/>
      <c r="E8" s="30"/>
      <c r="F8" s="30"/>
      <c r="G8" s="30"/>
      <c r="H8" s="30"/>
      <c r="I8" s="30"/>
      <c r="J8" s="30"/>
      <c r="K8" s="30"/>
    </row>
    <row r="9" spans="1:11">
      <c r="A9" s="35"/>
      <c r="B9" s="30"/>
      <c r="C9" s="30"/>
      <c r="D9" s="30"/>
      <c r="E9" s="30"/>
      <c r="F9" s="30"/>
      <c r="G9" s="30"/>
      <c r="H9" s="30"/>
      <c r="I9" s="30"/>
      <c r="J9" s="30"/>
      <c r="K9" s="30"/>
    </row>
    <row r="10" spans="1:11">
      <c r="A10" s="35"/>
      <c r="B10" s="30"/>
      <c r="C10" s="30"/>
      <c r="D10" s="30"/>
      <c r="E10" s="30"/>
      <c r="F10" s="30"/>
      <c r="G10" s="30"/>
      <c r="H10" s="30"/>
      <c r="I10" s="30"/>
      <c r="J10" s="30"/>
      <c r="K10" s="30"/>
    </row>
    <row r="11" spans="1:11">
      <c r="A11" s="291"/>
      <c r="B11" s="36"/>
      <c r="C11" s="2063" t="s">
        <v>227</v>
      </c>
      <c r="D11" s="2063"/>
      <c r="E11" s="2063"/>
      <c r="F11" s="2063"/>
      <c r="G11" s="2063"/>
      <c r="H11" s="2063"/>
      <c r="I11" s="2063"/>
      <c r="J11" s="1005"/>
      <c r="K11" s="1225"/>
    </row>
    <row r="12" spans="1:11">
      <c r="A12" s="291"/>
      <c r="B12" s="36"/>
      <c r="C12" s="36"/>
      <c r="D12" s="36"/>
      <c r="E12" s="36"/>
      <c r="F12" s="36"/>
      <c r="G12" s="36"/>
      <c r="H12" s="36"/>
      <c r="I12" s="37" t="s">
        <v>228</v>
      </c>
      <c r="J12" s="36"/>
      <c r="K12" s="37" t="s">
        <v>228</v>
      </c>
    </row>
    <row r="13" spans="1:11">
      <c r="A13" s="291"/>
      <c r="B13" s="36"/>
      <c r="C13" s="36"/>
      <c r="D13" s="36"/>
      <c r="E13" s="36"/>
      <c r="F13" s="36"/>
      <c r="G13" s="36"/>
      <c r="H13" s="36"/>
      <c r="I13" s="37" t="s">
        <v>229</v>
      </c>
      <c r="J13" s="36"/>
      <c r="K13" s="37" t="s">
        <v>229</v>
      </c>
    </row>
    <row r="14" spans="1:11">
      <c r="A14" s="291" t="s">
        <v>230</v>
      </c>
      <c r="B14" s="36"/>
      <c r="C14" s="38" t="s">
        <v>231</v>
      </c>
      <c r="D14" s="36"/>
      <c r="E14" s="37" t="s">
        <v>232</v>
      </c>
      <c r="F14" s="36"/>
      <c r="G14" s="36"/>
      <c r="H14" s="36"/>
      <c r="I14" s="37" t="s">
        <v>233</v>
      </c>
      <c r="J14" s="36"/>
      <c r="K14" s="37" t="s">
        <v>233</v>
      </c>
    </row>
    <row r="15" spans="1:11">
      <c r="A15" s="291"/>
      <c r="B15" s="36"/>
      <c r="C15" s="37" t="s">
        <v>234</v>
      </c>
      <c r="D15" s="36"/>
      <c r="E15" s="37" t="s">
        <v>234</v>
      </c>
      <c r="F15" s="36"/>
      <c r="G15" s="36"/>
      <c r="H15" s="36"/>
      <c r="I15" s="37" t="s">
        <v>231</v>
      </c>
      <c r="J15" s="36"/>
      <c r="K15" s="37" t="s">
        <v>232</v>
      </c>
    </row>
    <row r="16" spans="1:11">
      <c r="A16" s="291"/>
      <c r="B16" s="36"/>
      <c r="C16" s="37" t="s">
        <v>1510</v>
      </c>
      <c r="D16" s="36"/>
      <c r="E16" s="37" t="s">
        <v>235</v>
      </c>
      <c r="F16" s="36"/>
      <c r="G16" s="38" t="s">
        <v>228</v>
      </c>
      <c r="H16" s="36"/>
      <c r="I16" s="37" t="s">
        <v>236</v>
      </c>
      <c r="J16" s="36"/>
      <c r="K16" s="37" t="s">
        <v>236</v>
      </c>
    </row>
    <row r="17" spans="1:13">
      <c r="A17" s="39"/>
      <c r="B17" s="30"/>
      <c r="C17" s="1006"/>
      <c r="D17" s="30"/>
      <c r="E17" s="1006"/>
      <c r="F17" s="30"/>
      <c r="G17" s="1006"/>
      <c r="H17" s="30"/>
      <c r="I17" s="1006"/>
      <c r="J17" s="30"/>
      <c r="K17" s="1006"/>
    </row>
    <row r="18" spans="1:13">
      <c r="A18" s="3" t="s">
        <v>114</v>
      </c>
      <c r="B18" s="256"/>
      <c r="C18" s="256"/>
      <c r="D18" s="256"/>
      <c r="E18" s="256"/>
      <c r="F18" s="256"/>
      <c r="G18" s="256"/>
      <c r="H18" s="256"/>
      <c r="I18" s="256"/>
      <c r="J18" s="256"/>
      <c r="K18" s="256"/>
    </row>
    <row r="19" spans="1:13" ht="15" customHeight="1">
      <c r="A19" s="350" t="s">
        <v>237</v>
      </c>
      <c r="B19" s="379" t="s">
        <v>103</v>
      </c>
      <c r="C19" s="681"/>
      <c r="D19" s="379"/>
      <c r="E19" s="681"/>
      <c r="F19" s="379"/>
      <c r="G19" s="380"/>
      <c r="H19" s="379"/>
      <c r="I19" s="380"/>
      <c r="J19" s="379"/>
      <c r="K19" s="380"/>
    </row>
    <row r="20" spans="1:13">
      <c r="A20" s="350" t="s">
        <v>238</v>
      </c>
      <c r="B20" s="379" t="s">
        <v>103</v>
      </c>
      <c r="C20" s="274">
        <f>'Exh D General Fund'!C20+'Exh D Special Revenue'!C20+'Exh D Debt Service'!C20</f>
        <v>0</v>
      </c>
      <c r="D20" s="276"/>
      <c r="E20" s="274">
        <f>+'Exh D General Fund'!E20+'Exh D Special Revenue'!E20+'Exh D Debt Service'!E20</f>
        <v>10640</v>
      </c>
      <c r="F20" s="276"/>
      <c r="G20" s="274">
        <f>+'Exh D General Fund'!G20+'Exh D Special Revenue'!G20+'Exh D Debt Service'!G20</f>
        <v>10454.4</v>
      </c>
      <c r="H20" s="276"/>
      <c r="I20" s="274">
        <v>0</v>
      </c>
      <c r="J20" s="276"/>
      <c r="K20" s="274">
        <f>G20-E20</f>
        <v>-185.60000000000036</v>
      </c>
      <c r="M20" s="426"/>
    </row>
    <row r="21" spans="1:13">
      <c r="A21" s="350" t="s">
        <v>239</v>
      </c>
      <c r="B21" s="256" t="s">
        <v>103</v>
      </c>
      <c r="C21" s="264">
        <f>+'Exh D General Fund'!C21+'Exh D Debt Service'!C21+'Exh D Special Revenue'!C21+'Exh D Capital Projects'!C20</f>
        <v>0</v>
      </c>
      <c r="D21" s="264"/>
      <c r="E21" s="264">
        <f>+'Exh D General Fund'!E21+'Exh D Special Revenue'!E21+'Exh D Debt Service'!E21+'Exh D Capital Projects'!E20</f>
        <v>1854</v>
      </c>
      <c r="F21" s="264"/>
      <c r="G21" s="264">
        <f>+'Exh D General Fund'!G21+'Exh D Special Revenue'!G21+'Exh D Debt Service'!G21+'Exh D Capital Projects'!G20</f>
        <v>1919.7</v>
      </c>
      <c r="H21" s="264"/>
      <c r="I21" s="264">
        <v>0</v>
      </c>
      <c r="J21" s="264"/>
      <c r="K21" s="264">
        <f t="shared" ref="K21:K25" si="0">G21-E21</f>
        <v>65.700000000000045</v>
      </c>
      <c r="M21" s="426"/>
    </row>
    <row r="22" spans="1:13" ht="15" customHeight="1">
      <c r="A22" s="350" t="s">
        <v>240</v>
      </c>
      <c r="B22" s="379" t="s">
        <v>103</v>
      </c>
      <c r="C22" s="264">
        <f>+'Exh D General Fund'!C22+'Exh D Special Revenue'!C22+'Exh D Capital Projects'!C21+'Exh D Debt Service'!C22</f>
        <v>0</v>
      </c>
      <c r="D22" s="287"/>
      <c r="E22" s="264">
        <f>+'Exh D General Fund'!E22+'Exh D Special Revenue'!E22+'Exh D Capital Projects'!E21+'Exh D Debt Service'!E22</f>
        <v>1953</v>
      </c>
      <c r="F22" s="287"/>
      <c r="G22" s="264">
        <f>+'Exh D General Fund'!G22+'Exh D Special Revenue'!G22+'Exh D Capital Projects'!G21+'Exh D Debt Service'!G22</f>
        <v>1330.5</v>
      </c>
      <c r="H22" s="287"/>
      <c r="I22" s="264">
        <v>0</v>
      </c>
      <c r="J22" s="287"/>
      <c r="K22" s="264">
        <f t="shared" si="0"/>
        <v>-622.5</v>
      </c>
      <c r="M22" s="426"/>
    </row>
    <row r="23" spans="1:13" ht="14.25" customHeight="1">
      <c r="A23" s="350" t="s">
        <v>241</v>
      </c>
      <c r="B23" s="256" t="s">
        <v>103</v>
      </c>
      <c r="C23" s="264">
        <f>+'Exh D General Fund'!C23+'Exh D Capital Projects'!C22+'Exh D Debt Service'!C23</f>
        <v>0</v>
      </c>
      <c r="D23" s="264"/>
      <c r="E23" s="264">
        <f>+'Exh D General Fund'!E23+'Exh D Debt Service'!E23+'Exh D Capital Projects'!E22</f>
        <v>246</v>
      </c>
      <c r="F23" s="264"/>
      <c r="G23" s="264">
        <f>+'Exh D General Fund'!G23+'Exh D Debt Service'!G23+'Exh D Capital Projects'!G22</f>
        <v>285.7</v>
      </c>
      <c r="H23" s="264"/>
      <c r="I23" s="264">
        <v>0</v>
      </c>
      <c r="J23" s="264"/>
      <c r="K23" s="264">
        <f t="shared" si="0"/>
        <v>39.699999999999989</v>
      </c>
      <c r="L23" s="426"/>
      <c r="M23" s="426"/>
    </row>
    <row r="24" spans="1:13">
      <c r="A24" s="350" t="s">
        <v>119</v>
      </c>
      <c r="B24" s="256" t="s">
        <v>103</v>
      </c>
      <c r="C24" s="264">
        <f>+'Exh D General Fund'!C24+'Exh D Special Revenue'!C23+'Exh D Debt Service'!C24+'Exh D Capital Projects'!C23</f>
        <v>0</v>
      </c>
      <c r="D24" s="264"/>
      <c r="E24" s="264">
        <f>+'Exh D General Fund'!E24+'Exh D Special Revenue'!E23+'Exh D Debt Service'!E24+'Exh D Capital Projects'!E23</f>
        <v>2403</v>
      </c>
      <c r="F24" s="264"/>
      <c r="G24" s="264">
        <f>+'Exh D General Fund'!G24+'Exh D Special Revenue'!G23+'Exh D Debt Service'!G24+'Exh D Capital Projects'!G23</f>
        <v>2717.2</v>
      </c>
      <c r="H24" s="264"/>
      <c r="I24" s="264">
        <v>0</v>
      </c>
      <c r="J24" s="264"/>
      <c r="K24" s="264">
        <f t="shared" si="0"/>
        <v>314.19999999999982</v>
      </c>
      <c r="M24" s="426"/>
    </row>
    <row r="25" spans="1:13" ht="15" customHeight="1">
      <c r="A25" s="350" t="s">
        <v>120</v>
      </c>
      <c r="B25" s="256" t="s">
        <v>103</v>
      </c>
      <c r="C25" s="288">
        <f>+'Exh D General Fund'!C25+'Exh D Debt Service'!C25+'Exh D Special Revenue'!C24+'Exh D Capital Projects'!C24</f>
        <v>0</v>
      </c>
      <c r="D25" s="264"/>
      <c r="E25" s="288">
        <f>+'Exh D General Fund'!E25+'Exh D Special Revenue'!E24+'Exh D Debt Service'!E25+'Exh D Capital Projects'!E24</f>
        <v>8560</v>
      </c>
      <c r="F25" s="264"/>
      <c r="G25" s="288">
        <f>+'Exh D General Fund'!G25+'Exh D Special Revenue'!G24+'Exh D Debt Service'!G25+'Exh D Capital Projects'!G24</f>
        <v>9110.0000000000018</v>
      </c>
      <c r="H25" s="264"/>
      <c r="I25" s="264">
        <v>0</v>
      </c>
      <c r="J25" s="264"/>
      <c r="K25" s="264">
        <f t="shared" si="0"/>
        <v>550.00000000000182</v>
      </c>
      <c r="M25" s="426"/>
    </row>
    <row r="26" spans="1:13">
      <c r="A26" s="1218" t="s">
        <v>242</v>
      </c>
      <c r="B26" s="36" t="s">
        <v>103</v>
      </c>
      <c r="C26" s="618">
        <f>ROUND(SUM(C20:C25),1)</f>
        <v>0</v>
      </c>
      <c r="D26" s="13"/>
      <c r="E26" s="618">
        <f>ROUND(SUM(E20:E25),1)</f>
        <v>25656</v>
      </c>
      <c r="F26" s="13"/>
      <c r="G26" s="618">
        <f>ROUND(SUM(G20:G25),1)</f>
        <v>25817.5</v>
      </c>
      <c r="H26" s="13"/>
      <c r="I26" s="618">
        <f>ROUND(SUM(I20:I25),1)</f>
        <v>0</v>
      </c>
      <c r="J26" s="13"/>
      <c r="K26" s="618">
        <f>ROUND(SUM(K20:K25),1)</f>
        <v>161.5</v>
      </c>
      <c r="M26" s="426"/>
    </row>
    <row r="27" spans="1:13">
      <c r="A27" s="291"/>
      <c r="B27" s="256" t="s">
        <v>103</v>
      </c>
      <c r="C27" s="616"/>
      <c r="D27" s="264"/>
      <c r="E27" s="616"/>
      <c r="F27" s="264"/>
      <c r="G27" s="616"/>
      <c r="H27" s="264"/>
      <c r="I27" s="616"/>
      <c r="J27" s="264"/>
      <c r="K27" s="616"/>
      <c r="M27" s="426"/>
    </row>
    <row r="28" spans="1:13">
      <c r="A28" s="3" t="s">
        <v>122</v>
      </c>
      <c r="B28" s="256" t="s">
        <v>103</v>
      </c>
      <c r="C28" s="264"/>
      <c r="D28" s="264"/>
      <c r="E28" s="264"/>
      <c r="F28" s="264"/>
      <c r="G28" s="264"/>
      <c r="H28" s="264"/>
      <c r="I28" s="264"/>
      <c r="J28" s="264"/>
      <c r="K28" s="264"/>
      <c r="M28" s="426"/>
    </row>
    <row r="29" spans="1:13">
      <c r="A29" s="350" t="s">
        <v>243</v>
      </c>
      <c r="B29" s="256" t="s">
        <v>103</v>
      </c>
      <c r="C29" s="288">
        <f>+'Exh D General Fund'!C34+'Exh D Special Revenue'!C29+'Exh D Capital Projects'!C30</f>
        <v>0</v>
      </c>
      <c r="D29" s="264"/>
      <c r="E29" s="288">
        <f>+'Exh D General Fund'!E34+'Exh D Special Revenue'!E29+'Exh D Capital Projects'!E30</f>
        <v>16249</v>
      </c>
      <c r="F29" s="264"/>
      <c r="G29" s="288">
        <f>+'Exh D General Fund'!G34+'Exh D Special Revenue'!G29+'Exh D Capital Projects'!G30</f>
        <v>15933.600000000002</v>
      </c>
      <c r="H29" s="264"/>
      <c r="I29" s="264">
        <v>0</v>
      </c>
      <c r="J29" s="264"/>
      <c r="K29" s="264">
        <f t="shared" ref="K29:K33" si="1">G29-E29</f>
        <v>-315.39999999999782</v>
      </c>
      <c r="M29" s="426"/>
    </row>
    <row r="30" spans="1:13">
      <c r="A30" s="350" t="s">
        <v>244</v>
      </c>
      <c r="B30" s="256" t="s">
        <v>103</v>
      </c>
      <c r="C30" s="287">
        <f>+'Exh D General Fund'!C35+'Exh D Special Revenue'!C30+'Exh D Debt Service'!C30</f>
        <v>0</v>
      </c>
      <c r="D30" s="264"/>
      <c r="E30" s="287">
        <f>+'Exh D General Fund'!E35+'Exh D Special Revenue'!E30+'Exh D Debt Service'!E30</f>
        <v>2445</v>
      </c>
      <c r="F30" s="264"/>
      <c r="G30" s="287">
        <f>+'Exh D General Fund'!G35+'Exh D Special Revenue'!G30+'Exh D Debt Service'!G30</f>
        <v>2447.6</v>
      </c>
      <c r="H30" s="264"/>
      <c r="I30" s="264">
        <v>0</v>
      </c>
      <c r="J30" s="264"/>
      <c r="K30" s="264">
        <f t="shared" si="1"/>
        <v>2.5999999999999091</v>
      </c>
      <c r="M30" s="426"/>
    </row>
    <row r="31" spans="1:13">
      <c r="A31" s="350" t="s">
        <v>209</v>
      </c>
      <c r="B31" s="256" t="s">
        <v>103</v>
      </c>
      <c r="C31" s="288">
        <f>+'Exh D General Fund'!C36+'Exh D Special Revenue'!C31</f>
        <v>0</v>
      </c>
      <c r="D31" s="264"/>
      <c r="E31" s="288">
        <f>+'Exh D General Fund'!E36+'Exh D Special Revenue'!E31</f>
        <v>1107</v>
      </c>
      <c r="F31" s="264"/>
      <c r="G31" s="288">
        <f>+'Exh D General Fund'!G36+'Exh D Special Revenue'!G31</f>
        <v>817.8</v>
      </c>
      <c r="H31" s="264"/>
      <c r="I31" s="264">
        <v>0</v>
      </c>
      <c r="J31" s="264"/>
      <c r="K31" s="264">
        <f t="shared" si="1"/>
        <v>-289.20000000000005</v>
      </c>
      <c r="M31" s="426"/>
    </row>
    <row r="32" spans="1:13">
      <c r="A32" s="350" t="s">
        <v>245</v>
      </c>
      <c r="B32" s="256" t="s">
        <v>103</v>
      </c>
      <c r="C32" s="287">
        <f>+'Exh D Debt Service'!C31+'Exh D Special Revenue'!C32</f>
        <v>0</v>
      </c>
      <c r="D32" s="264"/>
      <c r="E32" s="287">
        <f>+'Exh D Debt Service'!E31+'Exh D Special Revenue'!E32</f>
        <v>0</v>
      </c>
      <c r="F32" s="264"/>
      <c r="G32" s="287">
        <f>+'Exh D Debt Service'!G31+'Exh D Special Revenue'!K32</f>
        <v>1.5</v>
      </c>
      <c r="H32" s="264"/>
      <c r="I32" s="264">
        <v>0</v>
      </c>
      <c r="J32" s="264"/>
      <c r="K32" s="264">
        <f t="shared" si="1"/>
        <v>1.5</v>
      </c>
      <c r="M32" s="426"/>
    </row>
    <row r="33" spans="1:14" ht="15" customHeight="1">
      <c r="A33" s="350" t="s">
        <v>140</v>
      </c>
      <c r="B33" s="256" t="s">
        <v>103</v>
      </c>
      <c r="C33" s="288">
        <f>+'Exh D Special Revenue'!C33+'Exh D Capital Projects'!C31</f>
        <v>0</v>
      </c>
      <c r="D33" s="264"/>
      <c r="E33" s="288">
        <f>+'Exh D Special Revenue'!E33+'Exh D Capital Projects'!E31</f>
        <v>828</v>
      </c>
      <c r="F33" s="264"/>
      <c r="G33" s="288">
        <f>+'Exh D Special Revenue'!G33+'Exh D Capital Projects'!G31</f>
        <v>406</v>
      </c>
      <c r="H33" s="264"/>
      <c r="I33" s="264">
        <v>0</v>
      </c>
      <c r="J33" s="264"/>
      <c r="K33" s="264">
        <f t="shared" si="1"/>
        <v>-422</v>
      </c>
      <c r="M33" s="426"/>
    </row>
    <row r="34" spans="1:14" ht="15.75" customHeight="1">
      <c r="A34" s="1218" t="s">
        <v>246</v>
      </c>
      <c r="B34" s="36" t="s">
        <v>103</v>
      </c>
      <c r="C34" s="617">
        <f>ROUND(SUM(C29:C33),1)</f>
        <v>0</v>
      </c>
      <c r="D34" s="13"/>
      <c r="E34" s="617">
        <f>ROUND(SUM(E29:E33),1)</f>
        <v>20629</v>
      </c>
      <c r="F34" s="13"/>
      <c r="G34" s="617">
        <f>ROUND(SUM(G29:G33),1)</f>
        <v>19606.5</v>
      </c>
      <c r="H34" s="13"/>
      <c r="I34" s="617">
        <f>ROUND(SUM(I29:I33),1)</f>
        <v>0</v>
      </c>
      <c r="J34" s="13"/>
      <c r="K34" s="617">
        <f>ROUND(SUM(K29:K33),1)</f>
        <v>-1022.5</v>
      </c>
      <c r="M34" s="426"/>
    </row>
    <row r="35" spans="1:14">
      <c r="A35" s="291"/>
      <c r="B35" s="256"/>
      <c r="C35" s="264"/>
      <c r="D35" s="264"/>
      <c r="E35" s="264"/>
      <c r="F35" s="264"/>
      <c r="G35" s="264"/>
      <c r="H35" s="264"/>
      <c r="I35" s="264"/>
      <c r="J35" s="264"/>
      <c r="K35" s="264"/>
      <c r="M35" s="426"/>
    </row>
    <row r="36" spans="1:14">
      <c r="A36" s="1218" t="s">
        <v>143</v>
      </c>
      <c r="B36" s="256"/>
      <c r="C36" s="264"/>
      <c r="D36" s="264"/>
      <c r="E36" s="264"/>
      <c r="F36" s="264"/>
      <c r="G36" s="264"/>
      <c r="H36" s="264"/>
      <c r="I36" s="264"/>
      <c r="J36" s="264"/>
      <c r="K36" s="264"/>
      <c r="M36" s="426"/>
    </row>
    <row r="37" spans="1:14">
      <c r="A37" s="1218" t="s">
        <v>144</v>
      </c>
      <c r="B37" s="256" t="s">
        <v>103</v>
      </c>
      <c r="C37" s="357">
        <f>ROUND(SUM(+C26-C34),1)</f>
        <v>0</v>
      </c>
      <c r="D37" s="264"/>
      <c r="E37" s="357">
        <f>ROUND(SUM(+E26-E34),1)</f>
        <v>5027</v>
      </c>
      <c r="F37" s="264"/>
      <c r="G37" s="357">
        <f>ROUND(SUM(+G26-G34),1)</f>
        <v>6211</v>
      </c>
      <c r="H37" s="264"/>
      <c r="I37" s="357">
        <f>ROUND(SUM(+I26-I34),1)</f>
        <v>0</v>
      </c>
      <c r="J37" s="264"/>
      <c r="K37" s="357">
        <f>ROUND(SUM(+K26-K34),1)</f>
        <v>1184</v>
      </c>
      <c r="M37" s="426"/>
    </row>
    <row r="38" spans="1:14">
      <c r="A38" s="291"/>
      <c r="B38" s="256"/>
      <c r="C38" s="264"/>
      <c r="D38" s="264"/>
      <c r="E38" s="264"/>
      <c r="F38" s="264"/>
      <c r="G38" s="264"/>
      <c r="H38" s="264"/>
      <c r="I38" s="264"/>
      <c r="J38" s="264"/>
      <c r="K38" s="264"/>
      <c r="M38" s="426"/>
    </row>
    <row r="39" spans="1:14">
      <c r="A39" s="1218" t="s">
        <v>145</v>
      </c>
      <c r="B39" s="256"/>
      <c r="C39" s="264"/>
      <c r="D39" s="264"/>
      <c r="E39" s="264"/>
      <c r="F39" s="264"/>
      <c r="G39" s="264"/>
      <c r="H39" s="264"/>
      <c r="I39" s="264"/>
      <c r="J39" s="264"/>
      <c r="K39" s="264"/>
      <c r="M39" s="426"/>
      <c r="N39" s="291" t="s">
        <v>103</v>
      </c>
    </row>
    <row r="40" spans="1:14">
      <c r="A40" s="350" t="s">
        <v>247</v>
      </c>
      <c r="B40" s="256" t="s">
        <v>103</v>
      </c>
      <c r="C40" s="289">
        <f>'Exh D Captl Projects State Fed'!C25</f>
        <v>0</v>
      </c>
      <c r="D40" s="264"/>
      <c r="E40" s="289">
        <f>'Exh D Captl Projects State Fed'!E25</f>
        <v>0</v>
      </c>
      <c r="F40" s="264"/>
      <c r="G40" s="289">
        <f>'Exh D Captl Projects State Fed'!G25</f>
        <v>0</v>
      </c>
      <c r="H40" s="264"/>
      <c r="I40" s="264">
        <f t="shared" ref="I40" si="2">G40-C40</f>
        <v>0</v>
      </c>
      <c r="J40" s="264"/>
      <c r="K40" s="264">
        <f t="shared" ref="K40:K41" si="3">G40-E40</f>
        <v>0</v>
      </c>
      <c r="M40" s="426"/>
    </row>
    <row r="41" spans="1:14">
      <c r="A41" s="350" t="s">
        <v>147</v>
      </c>
      <c r="B41" s="256" t="s">
        <v>103</v>
      </c>
      <c r="C41" s="287">
        <f>+'Exh D General Fund'!C27+'Exh D General Fund'!C28+'Exh D General Fund'!C29+'Exh D General Fund'!C30+'Exh D Special Revenue'!C25+'Exh D Debt Service'!C26+'Exh D Capital Projects'!C26</f>
        <v>0</v>
      </c>
      <c r="D41" s="264"/>
      <c r="E41" s="287">
        <f>+'Exh D General Fund'!E27+'Exh D General Fund'!E28+'Exh D General Fund'!E29+'Exh D General Fund'!E30+'Exh D Special Revenue'!E25+'Exh D Debt Service'!E26+'Exh D Capital Projects'!E26</f>
        <v>7780</v>
      </c>
      <c r="F41" s="264"/>
      <c r="G41" s="287">
        <f>+'Exh D General Fund'!G27+'Exh D General Fund'!G28+'Exh D General Fund'!G29+'Exh D General Fund'!G30+'Exh D Special Revenue'!K25+'Exh D Debt Service'!G26+'Exh D Capital Projects'!K26</f>
        <v>7291.5</v>
      </c>
      <c r="H41" s="264"/>
      <c r="I41" s="264">
        <v>0</v>
      </c>
      <c r="J41" s="264"/>
      <c r="K41" s="264">
        <f t="shared" si="3"/>
        <v>-488.5</v>
      </c>
      <c r="M41" s="426"/>
    </row>
    <row r="42" spans="1:14">
      <c r="A42" s="350" t="s">
        <v>248</v>
      </c>
      <c r="B42" s="256" t="s">
        <v>103</v>
      </c>
      <c r="C42" s="382">
        <f>-(+'Exh D General Fund'!C38+'Exh D General Fund'!C39+'Exh D General Fund'!C40+'Exh D General Fund'!C41+'Exh D General Fund'!C42+'Exh D Special Revenue'!C34+'Exh D Debt Service'!C32+'Exh D Capital Projects'!C32)</f>
        <v>0</v>
      </c>
      <c r="D42" s="264"/>
      <c r="E42" s="382">
        <f>-(+'Exh D General Fund'!E38+'Exh D General Fund'!E39+'Exh D General Fund'!E40+'Exh D General Fund'!E41+'Exh D General Fund'!E42+'Exh D Special Revenue'!E34+'Exh D Debt Service'!E32+'Exh D Capital Projects'!E32)</f>
        <v>-7780</v>
      </c>
      <c r="F42" s="264"/>
      <c r="G42" s="382">
        <f>-(+'Exh D General Fund'!G38+'Exh D General Fund'!G39+'Exh D General Fund'!G40+'Exh D General Fund'!G41+'Exh D General Fund'!G42+'Exh D Special Revenue'!K34+'Exh D Debt Service'!G32+'Exh D Capital Projects'!K32)</f>
        <v>-7293.0999999999995</v>
      </c>
      <c r="H42" s="264"/>
      <c r="I42" s="264">
        <v>0</v>
      </c>
      <c r="J42" s="264"/>
      <c r="K42" s="264">
        <f>(G42-E42)</f>
        <v>486.90000000000055</v>
      </c>
      <c r="M42" s="426"/>
    </row>
    <row r="43" spans="1:14">
      <c r="A43" s="1218" t="s">
        <v>249</v>
      </c>
      <c r="B43" s="256" t="s">
        <v>103</v>
      </c>
      <c r="C43" s="985">
        <f>ROUND(+SUM(C40)+C41+C42,1)</f>
        <v>0</v>
      </c>
      <c r="D43" s="264"/>
      <c r="E43" s="985">
        <f>ROUND(+SUM(E40)+E41+E42,1)</f>
        <v>0</v>
      </c>
      <c r="F43" s="264"/>
      <c r="G43" s="985">
        <f>ROUND(+SUM(G40)+G41+G42,1)</f>
        <v>-1.6</v>
      </c>
      <c r="H43" s="264"/>
      <c r="I43" s="998">
        <f>I40+I41+I42</f>
        <v>0</v>
      </c>
      <c r="J43" s="264"/>
      <c r="K43" s="998">
        <f>ROUND(SUM(K40+K41+K42),1)</f>
        <v>-1.6</v>
      </c>
      <c r="M43" s="426"/>
    </row>
    <row r="44" spans="1:14">
      <c r="A44" s="1218"/>
      <c r="B44" s="256"/>
      <c r="C44" s="287"/>
      <c r="D44" s="264"/>
      <c r="E44" s="287"/>
      <c r="F44" s="264"/>
      <c r="G44" s="287"/>
      <c r="H44" s="264"/>
      <c r="I44" s="287"/>
      <c r="J44" s="264"/>
      <c r="K44" s="287"/>
      <c r="M44" s="426"/>
    </row>
    <row r="45" spans="1:14">
      <c r="A45" s="3" t="s">
        <v>250</v>
      </c>
      <c r="B45" s="256"/>
      <c r="C45" s="264"/>
      <c r="D45" s="264"/>
      <c r="E45" s="264"/>
      <c r="F45" s="264"/>
      <c r="G45" s="264"/>
      <c r="H45" s="264"/>
      <c r="I45" s="264"/>
      <c r="J45" s="264"/>
      <c r="K45" s="264"/>
      <c r="M45" s="426"/>
    </row>
    <row r="46" spans="1:14" ht="15" customHeight="1">
      <c r="A46" s="3" t="s">
        <v>251</v>
      </c>
      <c r="B46" s="256"/>
      <c r="C46" s="264"/>
      <c r="D46" s="264"/>
      <c r="E46" s="264"/>
      <c r="F46" s="264"/>
      <c r="G46" s="264"/>
      <c r="H46" s="264"/>
      <c r="I46" s="264"/>
      <c r="J46" s="264"/>
      <c r="K46" s="264"/>
      <c r="M46" s="426"/>
    </row>
    <row r="47" spans="1:14">
      <c r="A47" s="1218" t="s">
        <v>252</v>
      </c>
      <c r="B47" s="42" t="s">
        <v>103</v>
      </c>
      <c r="C47" s="13">
        <f>ROUND(SUM(C26)-SUM(C34)+C43,1)</f>
        <v>0</v>
      </c>
      <c r="D47" s="18"/>
      <c r="E47" s="13">
        <f>ROUND(SUM(E26)-SUM(E34)+E43,1)</f>
        <v>5027</v>
      </c>
      <c r="F47" s="18"/>
      <c r="G47" s="13">
        <f>ROUND(SUM(G26)-SUM(G34)+G43,1)</f>
        <v>6209.4</v>
      </c>
      <c r="H47" s="18"/>
      <c r="I47" s="13">
        <f>ROUND(SUM(I26)-SUM(I34)+I43,1)</f>
        <v>0</v>
      </c>
      <c r="J47" s="18"/>
      <c r="K47" s="13">
        <f>ROUND(SUM(K26)-SUM(K34)+K43,1)</f>
        <v>1182.4000000000001</v>
      </c>
      <c r="M47" s="426"/>
    </row>
    <row r="48" spans="1:14">
      <c r="A48" s="291"/>
      <c r="B48" s="256"/>
      <c r="C48" s="264"/>
      <c r="D48" s="264"/>
      <c r="E48" s="264"/>
      <c r="F48" s="264"/>
      <c r="G48" s="264"/>
      <c r="H48" s="264"/>
      <c r="I48" s="13" t="s">
        <v>103</v>
      </c>
      <c r="J48" s="264"/>
      <c r="K48" s="13" t="s">
        <v>103</v>
      </c>
      <c r="M48" s="426"/>
    </row>
    <row r="49" spans="1:13">
      <c r="A49" s="1218" t="s">
        <v>253</v>
      </c>
      <c r="B49" s="385" t="s">
        <v>103</v>
      </c>
      <c r="C49" s="13">
        <f>'Exh D General Fund'!C49+'Exh D Special Revenue'!C41+'Exh D Debt Service'!C39+'Exh D Capital Projects'!C39</f>
        <v>0</v>
      </c>
      <c r="D49" s="264"/>
      <c r="E49" s="13">
        <f>'Exh D General Fund'!E49+'Exh D Special Revenue'!E41+'Exh D Debt Service'!E39+'Exh D Capital Projects'!E39</f>
        <v>70499</v>
      </c>
      <c r="F49" s="264"/>
      <c r="G49" s="13">
        <f>'Exh D General Fund'!G49+'Exh D Special Revenue'!G41+'Exh D Debt Service'!G39+'Exh D Capital Projects'!G39</f>
        <v>75007.799999999988</v>
      </c>
      <c r="H49" s="264"/>
      <c r="I49" s="13">
        <v>0</v>
      </c>
      <c r="J49" s="264"/>
      <c r="K49" s="13">
        <f>G49-E49</f>
        <v>4508.7999999999884</v>
      </c>
      <c r="M49" s="426"/>
    </row>
    <row r="50" spans="1:13" ht="16" thickBot="1">
      <c r="A50" s="1218" t="str">
        <f>"Fund Balances (Deficits) at "&amp;PROPER(_xlfn.TEXTAFTER('Exh D Governmental  '!A6," ",4))</f>
        <v>Fund Balances (Deficits) at April 30, 2026</v>
      </c>
      <c r="B50" s="43" t="s">
        <v>103</v>
      </c>
      <c r="C50" s="675">
        <f>ROUND(SUM(C47:C49),1)</f>
        <v>0</v>
      </c>
      <c r="D50" s="44"/>
      <c r="E50" s="675">
        <f>ROUND(SUM(E47:E49),1)</f>
        <v>75526</v>
      </c>
      <c r="F50" s="44"/>
      <c r="G50" s="675">
        <f>ROUND(SUM(G47:G49),1)</f>
        <v>81217.2</v>
      </c>
      <c r="H50" s="44"/>
      <c r="I50" s="675">
        <f>ROUND(SUM(I47:I49),1)</f>
        <v>0</v>
      </c>
      <c r="J50" s="44"/>
      <c r="K50" s="675">
        <f>ROUND(SUM(K47:K49),1)</f>
        <v>5691.2</v>
      </c>
      <c r="M50" s="426"/>
    </row>
    <row r="51" spans="1:13" ht="16" thickTop="1">
      <c r="A51" s="291"/>
      <c r="B51" s="256"/>
      <c r="C51" s="256"/>
      <c r="D51" s="256"/>
      <c r="E51" s="256"/>
      <c r="F51" s="256"/>
      <c r="G51" s="256"/>
      <c r="H51" s="256"/>
      <c r="I51" s="256"/>
      <c r="J51" s="256"/>
      <c r="K51" s="256"/>
      <c r="M51" s="426"/>
    </row>
    <row r="52" spans="1:13">
      <c r="A52" s="679" t="s">
        <v>1512</v>
      </c>
      <c r="G52" s="426"/>
      <c r="K52" s="426"/>
      <c r="M52" s="426"/>
    </row>
    <row r="53" spans="1:13">
      <c r="A53" s="679" t="s">
        <v>1511</v>
      </c>
      <c r="E53" s="973"/>
      <c r="G53" s="973"/>
      <c r="I53" s="973"/>
      <c r="K53" s="973"/>
    </row>
    <row r="54" spans="1:13">
      <c r="A54" s="679"/>
      <c r="G54" s="12"/>
    </row>
    <row r="55" spans="1:13">
      <c r="A55" s="952"/>
      <c r="G55" s="426"/>
    </row>
    <row r="56" spans="1:13">
      <c r="A56" s="46"/>
    </row>
  </sheetData>
  <mergeCells count="1">
    <mergeCell ref="C11:I11"/>
  </mergeCells>
  <printOptions horizontalCentered="1"/>
  <pageMargins left="0.7" right="0.7" top="0.75" bottom="1" header="0.5" footer="0.25"/>
  <pageSetup scale="62" firstPageNumber="7"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7"/>
  <sheetViews>
    <sheetView showGridLines="0" zoomScale="85" zoomScaleNormal="85" workbookViewId="0"/>
  </sheetViews>
  <sheetFormatPr defaultColWidth="8.84375" defaultRowHeight="15.5"/>
  <cols>
    <col min="1" max="1" width="45.84375" style="23" customWidth="1"/>
    <col min="2" max="2" width="2.4609375" style="23" customWidth="1"/>
    <col min="3" max="3" width="15.07421875" style="23" customWidth="1"/>
    <col min="4" max="4" width="1.84375" style="23" customWidth="1"/>
    <col min="5" max="5" width="15.07421875" style="23" customWidth="1"/>
    <col min="6" max="6" width="1.84375" style="23" customWidth="1"/>
    <col min="7" max="7" width="15.07421875" style="23" customWidth="1"/>
    <col min="8" max="8" width="3.84375" style="23" bestFit="1" customWidth="1"/>
    <col min="9" max="9" width="15.07421875" style="23" customWidth="1"/>
    <col min="10" max="10" width="1.84375" style="23" customWidth="1"/>
    <col min="11" max="11" width="15.07421875" style="23" customWidth="1"/>
    <col min="12" max="16384" width="8.84375" style="23"/>
  </cols>
  <sheetData>
    <row r="1" spans="1:14">
      <c r="A1" s="378" t="s">
        <v>97</v>
      </c>
    </row>
    <row r="2" spans="1:14">
      <c r="A2" s="354"/>
    </row>
    <row r="3" spans="1:14" ht="18" customHeight="1">
      <c r="A3" s="28" t="s">
        <v>98</v>
      </c>
      <c r="B3" s="29"/>
      <c r="C3" s="29"/>
      <c r="D3" s="30"/>
      <c r="E3" s="29"/>
      <c r="F3" s="30"/>
      <c r="G3" s="30"/>
      <c r="H3" s="30"/>
      <c r="I3" s="30"/>
      <c r="J3" s="30"/>
      <c r="K3" s="31" t="s">
        <v>224</v>
      </c>
    </row>
    <row r="4" spans="1:14" ht="18" customHeight="1">
      <c r="A4" s="28" t="s">
        <v>225</v>
      </c>
      <c r="B4" s="29"/>
      <c r="C4" s="29"/>
      <c r="D4" s="30"/>
      <c r="E4" s="29"/>
      <c r="F4" s="30"/>
      <c r="G4" s="30"/>
      <c r="H4" s="30"/>
      <c r="I4" s="31"/>
      <c r="J4" s="30"/>
      <c r="K4" s="353"/>
    </row>
    <row r="5" spans="1:14" ht="18" customHeight="1">
      <c r="A5" s="65" t="str">
        <f>'Exh D Governmental  '!A5</f>
        <v>FISCAL YEAR 2026-2027</v>
      </c>
      <c r="F5" s="30"/>
      <c r="G5" s="32"/>
      <c r="H5" s="30"/>
      <c r="I5" s="353"/>
      <c r="J5" s="30"/>
    </row>
    <row r="6" spans="1:14" ht="18" customHeight="1">
      <c r="A6" s="50" t="str">
        <f>'Exh D Governmental  '!A6</f>
        <v>FOR ONE MONTH ENDED APRIL 30, 2026</v>
      </c>
      <c r="B6" s="30"/>
      <c r="C6" s="30"/>
      <c r="D6" s="30"/>
      <c r="E6" s="30"/>
      <c r="F6" s="30"/>
      <c r="G6" s="30"/>
      <c r="H6" s="30"/>
      <c r="I6" s="30"/>
      <c r="J6" s="30"/>
      <c r="K6" s="30"/>
    </row>
    <row r="7" spans="1:14" ht="18" customHeight="1">
      <c r="A7" s="50" t="s">
        <v>226</v>
      </c>
      <c r="B7" s="30"/>
      <c r="C7" s="30"/>
      <c r="D7" s="30"/>
      <c r="E7" s="30"/>
      <c r="F7" s="30"/>
      <c r="G7" s="30"/>
      <c r="H7" s="30"/>
      <c r="I7" s="30"/>
      <c r="J7" s="30"/>
      <c r="K7" s="30"/>
    </row>
    <row r="8" spans="1:14" ht="17.5">
      <c r="A8" s="34"/>
      <c r="B8" s="30"/>
      <c r="C8" s="30"/>
      <c r="D8" s="30"/>
      <c r="E8" s="30"/>
      <c r="F8" s="30"/>
      <c r="G8" s="30"/>
      <c r="H8" s="30"/>
      <c r="I8" s="30"/>
      <c r="J8" s="30"/>
      <c r="K8" s="30"/>
    </row>
    <row r="9" spans="1:14">
      <c r="A9" s="35"/>
      <c r="B9" s="30"/>
      <c r="C9" s="30"/>
      <c r="D9" s="30"/>
      <c r="E9" s="30"/>
      <c r="F9" s="30"/>
      <c r="G9" s="30"/>
      <c r="H9" s="30"/>
      <c r="I9" s="30"/>
      <c r="J9" s="30"/>
      <c r="K9" s="30"/>
    </row>
    <row r="10" spans="1:14">
      <c r="A10" s="35"/>
      <c r="B10" s="30"/>
      <c r="C10" s="30"/>
      <c r="D10" s="30"/>
      <c r="E10" s="30"/>
      <c r="F10" s="30"/>
      <c r="G10" s="30"/>
      <c r="H10" s="30"/>
      <c r="I10" s="30"/>
      <c r="J10" s="30"/>
      <c r="K10" s="30"/>
    </row>
    <row r="11" spans="1:14">
      <c r="A11" s="291"/>
      <c r="B11" s="36"/>
      <c r="C11" s="2063" t="s">
        <v>1523</v>
      </c>
      <c r="D11" s="2063"/>
      <c r="E11" s="2063"/>
      <c r="F11" s="2063"/>
      <c r="G11" s="2063"/>
      <c r="H11" s="2063"/>
      <c r="I11" s="2063"/>
      <c r="J11" s="1005"/>
      <c r="K11" s="1225"/>
      <c r="N11"/>
    </row>
    <row r="12" spans="1:14">
      <c r="A12" s="291"/>
      <c r="B12" s="36"/>
      <c r="C12" s="36"/>
      <c r="D12" s="36"/>
      <c r="E12" s="36"/>
      <c r="F12" s="36"/>
      <c r="G12" s="36"/>
      <c r="H12" s="36"/>
      <c r="I12" s="37" t="s">
        <v>228</v>
      </c>
      <c r="J12" s="36"/>
      <c r="K12" s="37" t="s">
        <v>228</v>
      </c>
    </row>
    <row r="13" spans="1:14">
      <c r="A13" s="291"/>
      <c r="B13" s="36"/>
      <c r="C13" s="36"/>
      <c r="D13" s="36"/>
      <c r="E13" s="36"/>
      <c r="F13" s="36"/>
      <c r="G13" s="36"/>
      <c r="H13" s="36"/>
      <c r="I13" s="37" t="s">
        <v>229</v>
      </c>
      <c r="J13" s="36"/>
      <c r="K13" s="37" t="s">
        <v>229</v>
      </c>
    </row>
    <row r="14" spans="1:14">
      <c r="A14" s="291"/>
      <c r="B14" s="36"/>
      <c r="C14" s="38" t="s">
        <v>231</v>
      </c>
      <c r="D14" s="36"/>
      <c r="E14" s="37" t="s">
        <v>232</v>
      </c>
      <c r="F14" s="36"/>
      <c r="G14" s="36"/>
      <c r="H14" s="36"/>
      <c r="I14" s="37" t="s">
        <v>233</v>
      </c>
      <c r="J14" s="36"/>
      <c r="K14" s="37" t="s">
        <v>233</v>
      </c>
    </row>
    <row r="15" spans="1:14">
      <c r="A15" s="291"/>
      <c r="B15" s="36"/>
      <c r="C15" s="37" t="s">
        <v>234</v>
      </c>
      <c r="D15" s="36"/>
      <c r="E15" s="37" t="s">
        <v>234</v>
      </c>
      <c r="F15" s="36"/>
      <c r="G15" s="36"/>
      <c r="H15" s="36"/>
      <c r="I15" s="37" t="s">
        <v>231</v>
      </c>
      <c r="J15" s="36"/>
      <c r="K15" s="37" t="s">
        <v>232</v>
      </c>
    </row>
    <row r="16" spans="1:14">
      <c r="A16" s="291"/>
      <c r="B16" s="36"/>
      <c r="C16" s="37" t="s">
        <v>1510</v>
      </c>
      <c r="D16" s="36"/>
      <c r="E16" s="37" t="s">
        <v>235</v>
      </c>
      <c r="F16" s="36"/>
      <c r="G16" s="38" t="s">
        <v>228</v>
      </c>
      <c r="H16" s="36"/>
      <c r="I16" s="37" t="s">
        <v>236</v>
      </c>
      <c r="J16" s="36"/>
      <c r="K16" s="37" t="s">
        <v>236</v>
      </c>
    </row>
    <row r="17" spans="1:12">
      <c r="A17" s="39"/>
      <c r="B17" s="30"/>
      <c r="C17" s="1006"/>
      <c r="D17" s="30"/>
      <c r="E17" s="1006"/>
      <c r="F17" s="30"/>
      <c r="G17" s="1006"/>
      <c r="H17" s="30"/>
      <c r="I17" s="1006"/>
      <c r="J17" s="30"/>
      <c r="K17" s="1006"/>
    </row>
    <row r="18" spans="1:12">
      <c r="A18" s="3" t="s">
        <v>114</v>
      </c>
      <c r="B18" s="256"/>
      <c r="C18" s="256"/>
      <c r="D18" s="256"/>
      <c r="E18" s="256"/>
      <c r="F18" s="256"/>
      <c r="G18" s="256"/>
      <c r="H18" s="256"/>
      <c r="I18" s="256"/>
      <c r="J18" s="256"/>
      <c r="K18" s="256"/>
    </row>
    <row r="19" spans="1:12" ht="15" customHeight="1">
      <c r="A19" s="350" t="s">
        <v>237</v>
      </c>
      <c r="B19" s="379" t="s">
        <v>103</v>
      </c>
      <c r="C19" s="681"/>
      <c r="D19" s="379"/>
      <c r="E19" s="681"/>
      <c r="F19" s="379"/>
      <c r="G19" s="380"/>
      <c r="H19" s="379"/>
      <c r="I19" s="380"/>
      <c r="J19" s="379"/>
      <c r="K19" s="380"/>
    </row>
    <row r="20" spans="1:12">
      <c r="A20" s="350" t="s">
        <v>238</v>
      </c>
      <c r="B20" s="379" t="s">
        <v>103</v>
      </c>
      <c r="C20" s="274">
        <f>'Exh D General Fund'!C20+'Exh D Special Revenue State Fed'!C20+'Exh D Debt Service'!C20</f>
        <v>0</v>
      </c>
      <c r="D20" s="276"/>
      <c r="E20" s="274">
        <f>'Exh D General Fund'!E20+'Exh D Special Revenue State Fed'!E20+'Exh D Debt Service'!E20</f>
        <v>10640</v>
      </c>
      <c r="F20" s="276"/>
      <c r="G20" s="274">
        <f>+'Exh A Supp'!T15</f>
        <v>10454.4</v>
      </c>
      <c r="H20" s="276"/>
      <c r="I20" s="274">
        <v>0</v>
      </c>
      <c r="J20" s="276"/>
      <c r="K20" s="274">
        <f>G20-E20</f>
        <v>-185.60000000000036</v>
      </c>
    </row>
    <row r="21" spans="1:12">
      <c r="A21" s="350" t="s">
        <v>239</v>
      </c>
      <c r="B21" s="256" t="s">
        <v>103</v>
      </c>
      <c r="C21" s="264">
        <f>'Exh D General Fund'!C21+'Exh D Special Revenue State Fed'!C21+'Exh D Debt Service'!C21</f>
        <v>0</v>
      </c>
      <c r="D21" s="264"/>
      <c r="E21" s="264">
        <f>'Exh D General Fund'!E21+'Exh D Special Revenue State Fed'!E21+'Exh D Debt Service'!E21</f>
        <v>1809</v>
      </c>
      <c r="F21" s="264"/>
      <c r="G21" s="264">
        <f>+'Exh A Supp'!T16</f>
        <v>1877.5</v>
      </c>
      <c r="H21" s="264"/>
      <c r="I21" s="264">
        <v>0</v>
      </c>
      <c r="J21" s="264"/>
      <c r="K21" s="264">
        <f t="shared" ref="K21:K25" si="0">G21-E21</f>
        <v>68.5</v>
      </c>
    </row>
    <row r="22" spans="1:12" ht="15" customHeight="1">
      <c r="A22" s="350" t="s">
        <v>240</v>
      </c>
      <c r="B22" s="379" t="s">
        <v>103</v>
      </c>
      <c r="C22" s="264">
        <f>'Exh D General Fund'!C22+'Exh D Special Revenue State Fed'!C22+'Exh D Debt Service'!C22</f>
        <v>0</v>
      </c>
      <c r="D22" s="287"/>
      <c r="E22" s="264">
        <f>'Exh D General Fund'!E22+'Exh D Special Revenue State Fed'!E22+'Exh D Debt Service'!E22</f>
        <v>1911</v>
      </c>
      <c r="F22" s="287"/>
      <c r="G22" s="264">
        <f>+'Exh A Supp'!T17</f>
        <v>1286.5999999999999</v>
      </c>
      <c r="H22" s="287"/>
      <c r="I22" s="264">
        <v>0</v>
      </c>
      <c r="J22" s="287"/>
      <c r="K22" s="264">
        <f t="shared" si="0"/>
        <v>-624.40000000000009</v>
      </c>
    </row>
    <row r="23" spans="1:12" ht="14.25" customHeight="1">
      <c r="A23" s="350" t="s">
        <v>241</v>
      </c>
      <c r="B23" s="256" t="s">
        <v>103</v>
      </c>
      <c r="C23" s="264">
        <f>'Exh D General Fund'!C23+'Exh D Debt Service'!C23</f>
        <v>0</v>
      </c>
      <c r="D23" s="264"/>
      <c r="E23" s="264">
        <f>'Exh D General Fund'!E23+'Exh D Debt Service'!E23</f>
        <v>246</v>
      </c>
      <c r="F23" s="264"/>
      <c r="G23" s="264">
        <f>+'Exh A Supp'!T18</f>
        <v>285.7</v>
      </c>
      <c r="H23" s="264"/>
      <c r="I23" s="264">
        <v>0</v>
      </c>
      <c r="J23" s="264"/>
      <c r="K23" s="264">
        <f t="shared" si="0"/>
        <v>39.699999999999989</v>
      </c>
    </row>
    <row r="24" spans="1:12">
      <c r="A24" s="350" t="s">
        <v>119</v>
      </c>
      <c r="B24" s="256" t="s">
        <v>103</v>
      </c>
      <c r="C24" s="264">
        <f>'Exh D General Fund'!C24+'Exh D Special Revenue State Fed'!C23+'Exh D Debt Service'!C24</f>
        <v>0</v>
      </c>
      <c r="D24" s="264"/>
      <c r="E24" s="264">
        <f>'Exh D General Fund'!E24+'Exh D Special Revenue State Fed'!E23+'Exh D Debt Service'!E24</f>
        <v>2194</v>
      </c>
      <c r="F24" s="264"/>
      <c r="G24" s="264">
        <f>+'Exh A Supp'!T19</f>
        <v>2626.1</v>
      </c>
      <c r="H24" s="264"/>
      <c r="I24" s="264">
        <v>0</v>
      </c>
      <c r="J24" s="264"/>
      <c r="K24" s="264">
        <f t="shared" si="0"/>
        <v>432.09999999999991</v>
      </c>
    </row>
    <row r="25" spans="1:12" ht="15" customHeight="1">
      <c r="A25" s="350" t="s">
        <v>120</v>
      </c>
      <c r="B25" s="256" t="s">
        <v>103</v>
      </c>
      <c r="C25" s="288">
        <f>'Exh D General Fund'!C25+'Exh D Special Revenue State Fed'!C24+'Exh D Debt Service'!C25</f>
        <v>0</v>
      </c>
      <c r="D25" s="264"/>
      <c r="E25" s="288">
        <f>'Exh D General Fund'!E25+'Exh D Special Revenue State Fed'!E24+'Exh D Debt Service'!E25</f>
        <v>0</v>
      </c>
      <c r="F25" s="264"/>
      <c r="G25" s="264">
        <f>+'Exh A Supp'!T20</f>
        <v>27.2</v>
      </c>
      <c r="H25" s="264"/>
      <c r="I25" s="264">
        <v>0</v>
      </c>
      <c r="J25" s="264"/>
      <c r="K25" s="264">
        <f t="shared" si="0"/>
        <v>27.2</v>
      </c>
    </row>
    <row r="26" spans="1:12">
      <c r="A26" s="1218" t="s">
        <v>242</v>
      </c>
      <c r="B26" s="36" t="s">
        <v>103</v>
      </c>
      <c r="C26" s="618">
        <f>ROUND(SUM(C20:C25),1)</f>
        <v>0</v>
      </c>
      <c r="D26" s="13"/>
      <c r="E26" s="618">
        <f>ROUND(SUM(E20:E25),1)</f>
        <v>16800</v>
      </c>
      <c r="F26" s="13"/>
      <c r="G26" s="618">
        <f>ROUND(SUM(G20:G25),1)</f>
        <v>16557.5</v>
      </c>
      <c r="H26" s="13"/>
      <c r="I26" s="618">
        <f>ROUND(SUM(I20:I25),1)</f>
        <v>0</v>
      </c>
      <c r="J26" s="13"/>
      <c r="K26" s="618">
        <f>ROUND(SUM(K20:K25),1)</f>
        <v>-242.5</v>
      </c>
      <c r="L26" s="12"/>
    </row>
    <row r="27" spans="1:12">
      <c r="A27" s="291"/>
      <c r="B27" s="256" t="s">
        <v>103</v>
      </c>
      <c r="C27" s="616"/>
      <c r="D27" s="264"/>
      <c r="E27" s="616"/>
      <c r="F27" s="264"/>
      <c r="G27" s="616"/>
      <c r="H27" s="264"/>
      <c r="I27" s="616"/>
      <c r="J27" s="264"/>
      <c r="K27" s="616"/>
    </row>
    <row r="28" spans="1:12">
      <c r="A28" s="3" t="s">
        <v>122</v>
      </c>
      <c r="B28" s="256" t="s">
        <v>103</v>
      </c>
      <c r="C28" s="264"/>
      <c r="D28" s="264"/>
      <c r="E28" s="264"/>
      <c r="F28" s="264"/>
      <c r="G28" s="264"/>
      <c r="H28" s="264"/>
      <c r="I28" s="264"/>
      <c r="J28" s="264"/>
      <c r="K28" s="264"/>
    </row>
    <row r="29" spans="1:12">
      <c r="A29" s="350" t="s">
        <v>243</v>
      </c>
      <c r="B29" s="256" t="s">
        <v>103</v>
      </c>
      <c r="C29" s="288">
        <f>'Exh D General Fund'!C34+'Exh D Special Revenue State Fed'!C29</f>
        <v>0</v>
      </c>
      <c r="D29" s="264"/>
      <c r="E29" s="288">
        <f>'Exh D General Fund'!E34+'Exh D Special Revenue State Fed'!E29</f>
        <v>7651</v>
      </c>
      <c r="F29" s="264"/>
      <c r="G29" s="288">
        <f>+'Exh A Supp'!T35</f>
        <v>8089.6</v>
      </c>
      <c r="H29" s="264"/>
      <c r="I29" s="264">
        <v>0</v>
      </c>
      <c r="J29" s="264"/>
      <c r="K29" s="264">
        <f t="shared" ref="K29:K33" si="1">G29-E29</f>
        <v>438.60000000000036</v>
      </c>
      <c r="L29" s="12"/>
    </row>
    <row r="30" spans="1:12">
      <c r="A30" s="350" t="s">
        <v>244</v>
      </c>
      <c r="B30" s="256" t="s">
        <v>103</v>
      </c>
      <c r="C30" s="287">
        <f>'Exh D General Fund'!C35+'Exh D Special Revenue State Fed'!C30+'Exh D Debt Service'!C30</f>
        <v>0</v>
      </c>
      <c r="D30" s="264"/>
      <c r="E30" s="287">
        <f>'Exh D General Fund'!E35+'Exh D Special Revenue State Fed'!E30+'Exh D Debt Service'!E30</f>
        <v>2263</v>
      </c>
      <c r="F30" s="264"/>
      <c r="G30" s="287">
        <f>+'Exh A Supp'!T37+'Exh A Supp'!T38</f>
        <v>2307.3000000000002</v>
      </c>
      <c r="H30" s="264"/>
      <c r="I30" s="264">
        <v>0</v>
      </c>
      <c r="J30" s="264"/>
      <c r="K30" s="264">
        <f t="shared" si="1"/>
        <v>44.300000000000182</v>
      </c>
      <c r="L30" s="12"/>
    </row>
    <row r="31" spans="1:12">
      <c r="A31" s="350" t="s">
        <v>209</v>
      </c>
      <c r="B31" s="256" t="s">
        <v>103</v>
      </c>
      <c r="C31" s="288">
        <f>'Exh D General Fund'!C36+'Exh D Special Revenue State Fed'!C31</f>
        <v>0</v>
      </c>
      <c r="D31" s="264"/>
      <c r="E31" s="288">
        <f>'Exh D General Fund'!E36+'Exh D Special Revenue State Fed'!E31</f>
        <v>1080</v>
      </c>
      <c r="F31" s="264"/>
      <c r="G31" s="288">
        <f>+'Exh A Supp'!T39</f>
        <v>817.8</v>
      </c>
      <c r="H31" s="264"/>
      <c r="I31" s="264">
        <v>0</v>
      </c>
      <c r="J31" s="264"/>
      <c r="K31" s="264">
        <f t="shared" si="1"/>
        <v>-262.20000000000005</v>
      </c>
      <c r="L31" s="12"/>
    </row>
    <row r="32" spans="1:12">
      <c r="A32" s="350" t="s">
        <v>245</v>
      </c>
      <c r="B32" s="256" t="s">
        <v>103</v>
      </c>
      <c r="C32" s="287">
        <f>'Exh D Debt Service'!C31</f>
        <v>0</v>
      </c>
      <c r="D32" s="264"/>
      <c r="E32" s="287">
        <f>'Exh D Debt Service'!E31</f>
        <v>0</v>
      </c>
      <c r="F32" s="264"/>
      <c r="G32" s="288">
        <f>+'Exh A Supp'!T41</f>
        <v>1.5</v>
      </c>
      <c r="H32" s="264"/>
      <c r="I32" s="264">
        <v>0</v>
      </c>
      <c r="J32" s="264"/>
      <c r="K32" s="264">
        <f t="shared" si="1"/>
        <v>1.5</v>
      </c>
      <c r="L32" s="12"/>
    </row>
    <row r="33" spans="1:12">
      <c r="A33" s="350" t="s">
        <v>140</v>
      </c>
      <c r="B33" s="256"/>
      <c r="C33" s="287">
        <f>'Exh D Special Revenue State Fed'!C33</f>
        <v>0</v>
      </c>
      <c r="D33" s="264"/>
      <c r="E33" s="287">
        <f>'Exh D Special Revenue State Fed'!E33</f>
        <v>0</v>
      </c>
      <c r="F33" s="264"/>
      <c r="G33" s="288">
        <f>'Exh D Special Revenue State Fed'!G33</f>
        <v>0</v>
      </c>
      <c r="H33" s="264"/>
      <c r="I33" s="264">
        <f t="shared" ref="I33" si="2">G33-C33</f>
        <v>0</v>
      </c>
      <c r="J33" s="264"/>
      <c r="K33" s="264">
        <f t="shared" si="1"/>
        <v>0</v>
      </c>
      <c r="L33" s="12"/>
    </row>
    <row r="34" spans="1:12" ht="15.75" customHeight="1">
      <c r="A34" s="1218" t="s">
        <v>246</v>
      </c>
      <c r="B34" s="36" t="s">
        <v>103</v>
      </c>
      <c r="C34" s="617">
        <f>ROUND(SUM(C29:C33),1)</f>
        <v>0</v>
      </c>
      <c r="D34" s="13"/>
      <c r="E34" s="617">
        <f>ROUND(SUM(E29:E33),1)</f>
        <v>10994</v>
      </c>
      <c r="F34" s="13"/>
      <c r="G34" s="617">
        <f>ROUND(SUM(G29:G33),1)</f>
        <v>11216.2</v>
      </c>
      <c r="H34" s="13"/>
      <c r="I34" s="617">
        <f>ROUND(SUM(I29:I33),1)</f>
        <v>0</v>
      </c>
      <c r="J34" s="13"/>
      <c r="K34" s="617">
        <f>ROUND(SUM(K29:K33),1)</f>
        <v>222.2</v>
      </c>
      <c r="L34" s="12"/>
    </row>
    <row r="35" spans="1:12">
      <c r="A35" s="291"/>
      <c r="B35" s="256"/>
      <c r="C35" s="264"/>
      <c r="D35" s="264"/>
      <c r="E35" s="264"/>
      <c r="F35" s="264"/>
      <c r="G35" s="264"/>
      <c r="H35" s="264"/>
      <c r="I35" s="264"/>
      <c r="J35" s="264"/>
      <c r="K35" s="264"/>
      <c r="L35" s="12"/>
    </row>
    <row r="36" spans="1:12">
      <c r="A36" s="1218" t="s">
        <v>143</v>
      </c>
      <c r="B36" s="256"/>
      <c r="C36" s="264"/>
      <c r="D36" s="264"/>
      <c r="E36" s="264"/>
      <c r="F36" s="264"/>
      <c r="G36" s="264"/>
      <c r="H36" s="264"/>
      <c r="I36" s="264"/>
      <c r="J36" s="264"/>
      <c r="K36" s="264"/>
      <c r="L36" s="12"/>
    </row>
    <row r="37" spans="1:12">
      <c r="A37" s="1218" t="s">
        <v>144</v>
      </c>
      <c r="B37" s="256" t="s">
        <v>103</v>
      </c>
      <c r="C37" s="357">
        <f>ROUND(SUM(+C26-C34),1)</f>
        <v>0</v>
      </c>
      <c r="D37" s="264"/>
      <c r="E37" s="357">
        <f>ROUND(SUM(+E26-E34),1)</f>
        <v>5806</v>
      </c>
      <c r="F37" s="264"/>
      <c r="G37" s="357">
        <f>ROUND(SUM(+G26-G34),1)</f>
        <v>5341.3</v>
      </c>
      <c r="H37" s="264"/>
      <c r="I37" s="357">
        <f>ROUND(SUM(+I26-I34),1)</f>
        <v>0</v>
      </c>
      <c r="J37" s="264"/>
      <c r="K37" s="357">
        <f>ROUND(SUM(+K26-K34),1)</f>
        <v>-464.7</v>
      </c>
      <c r="L37" s="12"/>
    </row>
    <row r="38" spans="1:12">
      <c r="A38" s="291"/>
      <c r="B38" s="256"/>
      <c r="C38" s="264"/>
      <c r="D38" s="264"/>
      <c r="E38" s="264"/>
      <c r="F38" s="264"/>
      <c r="G38" s="264"/>
      <c r="H38" s="264"/>
      <c r="I38" s="264"/>
      <c r="J38" s="264"/>
      <c r="K38" s="264"/>
      <c r="L38" s="12"/>
    </row>
    <row r="39" spans="1:12">
      <c r="A39" s="1218" t="s">
        <v>145</v>
      </c>
      <c r="B39" s="256"/>
      <c r="C39" s="264"/>
      <c r="D39" s="264"/>
      <c r="E39" s="264"/>
      <c r="F39" s="264"/>
      <c r="G39" s="264"/>
      <c r="H39" s="264"/>
      <c r="I39" s="264"/>
      <c r="J39" s="264"/>
      <c r="K39" s="264"/>
      <c r="L39" s="12"/>
    </row>
    <row r="40" spans="1:12">
      <c r="A40" s="350" t="s">
        <v>147</v>
      </c>
      <c r="B40" s="256" t="s">
        <v>103</v>
      </c>
      <c r="C40" s="287">
        <f>'Exh D General Fund'!C27+'Exh D General Fund'!C28+'Exh D General Fund'!C29+'Exh D General Fund'!C30+'Exh D Special Revenue State Fed'!C25+'Exh D Debt Service'!C26</f>
        <v>0</v>
      </c>
      <c r="D40" s="264"/>
      <c r="E40" s="287">
        <f>'Exh D General Fund'!E27+'Exh D General Fund'!E28+'Exh D General Fund'!E29+'Exh D General Fund'!E30+'Exh D Special Revenue State Fed'!E25+'Exh D Debt Service'!E26</f>
        <v>7072</v>
      </c>
      <c r="F40" s="264"/>
      <c r="G40" s="287">
        <f>+'Exh A Supp'!T49</f>
        <v>6844.8</v>
      </c>
      <c r="H40" s="55" t="s">
        <v>254</v>
      </c>
      <c r="I40" s="264">
        <v>0</v>
      </c>
      <c r="J40" s="264"/>
      <c r="K40" s="264">
        <f t="shared" ref="K40:K41" si="3">G40-E40</f>
        <v>-227.19999999999982</v>
      </c>
      <c r="L40" s="12"/>
    </row>
    <row r="41" spans="1:12">
      <c r="A41" s="350" t="s">
        <v>248</v>
      </c>
      <c r="B41" s="256" t="s">
        <v>103</v>
      </c>
      <c r="C41" s="382">
        <f>-('Exh D General Fund'!C38+'Exh D General Fund'!C39+'Exh D General Fund'!C40+'Exh D General Fund'!C41+'Exh D General Fund'!C42+'Exh D Special Revenue State Fed'!C34+'Exh D Debt Service'!C32)</f>
        <v>0</v>
      </c>
      <c r="D41" s="264"/>
      <c r="E41" s="382">
        <f>-('Exh D General Fund'!E38+'Exh D General Fund'!E39+'Exh D General Fund'!E40+'Exh D General Fund'!E41+'Exh D General Fund'!E42+'Exh D Special Revenue State Fed'!E34+'Exh D Debt Service'!E32)</f>
        <v>-7572</v>
      </c>
      <c r="F41" s="264"/>
      <c r="G41" s="287">
        <f>+'Exh A Supp'!T50</f>
        <v>-7055.9</v>
      </c>
      <c r="H41" s="55" t="s">
        <v>254</v>
      </c>
      <c r="I41" s="264">
        <v>0</v>
      </c>
      <c r="J41" s="264"/>
      <c r="K41" s="264">
        <f t="shared" si="3"/>
        <v>516.10000000000036</v>
      </c>
      <c r="L41" s="12"/>
    </row>
    <row r="42" spans="1:12">
      <c r="A42" s="1218" t="s">
        <v>249</v>
      </c>
      <c r="B42" s="256" t="s">
        <v>103</v>
      </c>
      <c r="C42" s="617">
        <f>ROUND(SUM(C40:C41),1)</f>
        <v>0</v>
      </c>
      <c r="D42" s="264"/>
      <c r="E42" s="617">
        <f>ROUND(SUM(E40:E41),1)</f>
        <v>-500</v>
      </c>
      <c r="F42" s="264"/>
      <c r="G42" s="617">
        <f>ROUND(SUM(G40:G41),1)</f>
        <v>-211.1</v>
      </c>
      <c r="H42" s="264"/>
      <c r="I42" s="998">
        <f>I40+I41</f>
        <v>0</v>
      </c>
      <c r="J42" s="264"/>
      <c r="K42" s="998">
        <f>ROUND(SUM(K40+K41),1)</f>
        <v>288.89999999999998</v>
      </c>
      <c r="L42" s="12"/>
    </row>
    <row r="43" spans="1:12">
      <c r="A43" s="1218"/>
      <c r="B43" s="256"/>
      <c r="C43" s="287"/>
      <c r="D43" s="264"/>
      <c r="E43" s="287"/>
      <c r="F43" s="264"/>
      <c r="G43" s="287"/>
      <c r="H43" s="264"/>
      <c r="I43" s="287"/>
      <c r="J43" s="264"/>
      <c r="K43" s="287"/>
      <c r="L43" s="12"/>
    </row>
    <row r="44" spans="1:12">
      <c r="A44" s="3" t="s">
        <v>250</v>
      </c>
      <c r="B44" s="256"/>
      <c r="C44" s="264"/>
      <c r="D44" s="264"/>
      <c r="E44" s="264"/>
      <c r="F44" s="264"/>
      <c r="G44" s="264"/>
      <c r="H44" s="264"/>
      <c r="I44" s="264"/>
      <c r="J44" s="264"/>
      <c r="K44" s="264"/>
      <c r="L44" s="12"/>
    </row>
    <row r="45" spans="1:12" ht="15" customHeight="1">
      <c r="A45" s="3" t="s">
        <v>251</v>
      </c>
      <c r="B45" s="256"/>
      <c r="C45" s="264"/>
      <c r="D45" s="264"/>
      <c r="E45" s="264"/>
      <c r="F45" s="264"/>
      <c r="G45" s="264"/>
      <c r="H45" s="264"/>
      <c r="I45" s="264" t="s">
        <v>103</v>
      </c>
      <c r="J45" s="264"/>
      <c r="K45" s="264"/>
      <c r="L45" s="12"/>
    </row>
    <row r="46" spans="1:12">
      <c r="A46" s="1218" t="s">
        <v>252</v>
      </c>
      <c r="B46" s="42" t="s">
        <v>103</v>
      </c>
      <c r="C46" s="13">
        <f>ROUND(SUM(C26)-SUM(C34)+C42,1)</f>
        <v>0</v>
      </c>
      <c r="D46" s="18"/>
      <c r="E46" s="13">
        <f>ROUND(SUM(E26)-SUM(E34)+E42,1)</f>
        <v>5306</v>
      </c>
      <c r="F46" s="18"/>
      <c r="G46" s="13">
        <f>ROUND(SUM(G26)-SUM(G34)+G42,1)</f>
        <v>5130.2</v>
      </c>
      <c r="H46" s="18"/>
      <c r="I46" s="13">
        <f>ROUND(SUM(I26)-SUM(I34)+I42,1)</f>
        <v>0</v>
      </c>
      <c r="J46" s="18"/>
      <c r="K46" s="13">
        <f>ROUND(SUM(K26)-SUM(K34)+K42,1)</f>
        <v>-175.8</v>
      </c>
      <c r="L46" s="12"/>
    </row>
    <row r="47" spans="1:12">
      <c r="A47" s="291"/>
      <c r="B47" s="256"/>
      <c r="C47" s="264"/>
      <c r="D47" s="264"/>
      <c r="E47" s="264" t="s">
        <v>103</v>
      </c>
      <c r="F47" s="264"/>
      <c r="G47" s="264"/>
      <c r="H47" s="264"/>
      <c r="I47" s="264"/>
      <c r="J47" s="264"/>
      <c r="K47" s="264"/>
      <c r="L47" s="12"/>
    </row>
    <row r="48" spans="1:12">
      <c r="A48" s="1218" t="str">
        <f>'Exh D Governmental  '!A49</f>
        <v>Fund Balances (Deficits) at April 1</v>
      </c>
      <c r="B48" s="385" t="s">
        <v>103</v>
      </c>
      <c r="C48" s="13">
        <f>'Exh D General Fund'!C49+'Exh D Special Revenue State Fed'!C41+'Exh D Debt Service'!C39</f>
        <v>0</v>
      </c>
      <c r="D48" s="264"/>
      <c r="E48" s="13">
        <f>'Exh D General Fund'!E49+'Exh D Special Revenue State Fed'!E41+'Exh D Debt Service'!E39</f>
        <v>63086</v>
      </c>
      <c r="F48" s="264"/>
      <c r="G48" s="13">
        <f>'Exh A Supp'!T57</f>
        <v>69014.2</v>
      </c>
      <c r="H48" s="264"/>
      <c r="I48" s="13">
        <v>0</v>
      </c>
      <c r="J48" s="264"/>
      <c r="K48" s="13">
        <f>G48-E48</f>
        <v>5928.1999999999971</v>
      </c>
      <c r="L48" s="12"/>
    </row>
    <row r="49" spans="1:12" ht="16" thickBot="1">
      <c r="A49" s="1218" t="str">
        <f>'Exh D Governmental  '!A50</f>
        <v>Fund Balances (Deficits) at April 30, 2026</v>
      </c>
      <c r="B49" s="43" t="s">
        <v>103</v>
      </c>
      <c r="C49" s="675">
        <f>ROUND(SUM(C46:C48),1)</f>
        <v>0</v>
      </c>
      <c r="D49" s="44"/>
      <c r="E49" s="675">
        <f>ROUND(SUM(E46:E48),1)</f>
        <v>68392</v>
      </c>
      <c r="F49" s="44"/>
      <c r="G49" s="675">
        <f>ROUND(SUM(G46:G48),1)</f>
        <v>74144.399999999994</v>
      </c>
      <c r="H49" s="44"/>
      <c r="I49" s="675">
        <f>ROUND(SUM(I46:I48),1)</f>
        <v>0</v>
      </c>
      <c r="J49" s="44"/>
      <c r="K49" s="675">
        <f>ROUND(SUM(K46:K48),1)</f>
        <v>5752.4</v>
      </c>
      <c r="L49" s="12"/>
    </row>
    <row r="50" spans="1:12" ht="16" thickTop="1">
      <c r="A50" s="291"/>
      <c r="B50" s="256"/>
      <c r="C50" s="256"/>
      <c r="D50" s="256"/>
      <c r="E50" s="256"/>
      <c r="F50" s="256"/>
      <c r="G50" s="256"/>
      <c r="H50" s="256"/>
      <c r="I50" s="256"/>
      <c r="J50" s="256"/>
      <c r="K50" s="256"/>
    </row>
    <row r="51" spans="1:12">
      <c r="A51" s="386" t="str">
        <f>'Exh D Governmental  '!A52</f>
        <v>(*)  Source: 2026-27 Executive Budget with 30-day amendments dated February 20, 2026, which made no changes to the Executive Budget Financial Plan.</v>
      </c>
      <c r="G51" s="274"/>
      <c r="I51" s="426"/>
      <c r="K51" s="426"/>
    </row>
    <row r="52" spans="1:12">
      <c r="A52" s="386" t="str">
        <f>'Exh D Governmental  '!A53</f>
        <v>Due to the absence of the 2026-27 Enacted Budget Financial Plan, the "Financial Plan Cashflow" is not available.</v>
      </c>
      <c r="G52" s="274"/>
      <c r="I52" s="426"/>
      <c r="K52" s="426"/>
    </row>
    <row r="53" spans="1:12">
      <c r="A53" s="284" t="s">
        <v>1524</v>
      </c>
      <c r="G53" s="274"/>
      <c r="I53" s="426"/>
      <c r="K53" s="426"/>
    </row>
    <row r="54" spans="1:12">
      <c r="A54" s="284" t="s">
        <v>1457</v>
      </c>
      <c r="G54" s="426"/>
      <c r="I54" s="426"/>
      <c r="K54" s="426"/>
    </row>
    <row r="55" spans="1:12">
      <c r="A55" s="698" t="s">
        <v>1525</v>
      </c>
      <c r="I55" s="426"/>
      <c r="K55" s="426"/>
    </row>
    <row r="57" spans="1:12">
      <c r="G57" s="426"/>
    </row>
  </sheetData>
  <mergeCells count="1">
    <mergeCell ref="C11:I11"/>
  </mergeCells>
  <printOptions horizontalCentered="1"/>
  <pageMargins left="0.7" right="0.7" top="0.75" bottom="1" header="0.5" footer="0.25"/>
  <pageSetup scale="58" firstPageNumber="8"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O65"/>
  <sheetViews>
    <sheetView showGridLines="0" zoomScale="90" zoomScaleNormal="90" workbookViewId="0"/>
  </sheetViews>
  <sheetFormatPr defaultColWidth="8.84375" defaultRowHeight="15.5"/>
  <cols>
    <col min="1" max="1" width="59" style="291" customWidth="1"/>
    <col min="2" max="2" width="2" style="256" customWidth="1"/>
    <col min="3" max="3" width="15.07421875" style="128" customWidth="1"/>
    <col min="4" max="4" width="1.84375" style="256" customWidth="1"/>
    <col min="5" max="5" width="15.07421875" style="128" customWidth="1"/>
    <col min="6" max="6" width="2.84375" style="256" customWidth="1"/>
    <col min="7" max="7" width="15.07421875" style="256" customWidth="1"/>
    <col min="8" max="8" width="4.07421875" style="350" bestFit="1" customWidth="1"/>
    <col min="9" max="9" width="15.07421875" style="256" customWidth="1"/>
    <col min="10" max="10" width="2.07421875" style="256" customWidth="1"/>
    <col min="11" max="11" width="12.84375" style="256" customWidth="1"/>
    <col min="12" max="12" width="18.07421875" style="128" bestFit="1" customWidth="1"/>
    <col min="13" max="13" width="8.84375" style="291"/>
    <col min="14" max="15" width="10.07421875" style="291" bestFit="1" customWidth="1"/>
    <col min="16" max="16384" width="8.84375" style="291"/>
  </cols>
  <sheetData>
    <row r="1" spans="1:12">
      <c r="A1" s="387" t="s">
        <v>97</v>
      </c>
      <c r="B1" s="48"/>
      <c r="C1" s="124"/>
      <c r="D1" s="48"/>
      <c r="E1" s="124"/>
      <c r="F1" s="48"/>
      <c r="G1" s="48"/>
      <c r="H1" s="1335"/>
      <c r="I1" s="48"/>
      <c r="J1" s="48"/>
      <c r="K1" s="48"/>
      <c r="L1" s="124"/>
    </row>
    <row r="2" spans="1:12" ht="17.25" customHeight="1">
      <c r="A2" s="49"/>
      <c r="B2" s="48"/>
      <c r="C2" s="124"/>
      <c r="D2" s="48"/>
      <c r="E2" s="124"/>
      <c r="F2" s="48"/>
      <c r="G2" s="48"/>
      <c r="H2" s="1335"/>
      <c r="I2" s="48"/>
      <c r="J2" s="48"/>
      <c r="K2" s="48"/>
      <c r="L2" s="124"/>
    </row>
    <row r="3" spans="1:12" ht="18.75" customHeight="1">
      <c r="A3" s="50" t="s">
        <v>98</v>
      </c>
      <c r="B3" s="30"/>
      <c r="C3" s="125"/>
      <c r="D3" s="30"/>
      <c r="E3" s="125"/>
      <c r="F3" s="30"/>
      <c r="G3" s="30"/>
      <c r="H3" s="1336"/>
      <c r="I3" s="352"/>
      <c r="K3" s="352" t="s">
        <v>224</v>
      </c>
      <c r="L3" s="125"/>
    </row>
    <row r="4" spans="1:12" ht="18.75" customHeight="1">
      <c r="A4" s="50" t="s">
        <v>225</v>
      </c>
      <c r="B4" s="30"/>
      <c r="C4" s="125"/>
      <c r="D4" s="30"/>
      <c r="E4" s="125"/>
      <c r="F4" s="30"/>
      <c r="G4" s="30"/>
      <c r="H4" s="1336"/>
      <c r="I4" s="353"/>
      <c r="K4" s="353"/>
      <c r="L4" s="125"/>
    </row>
    <row r="5" spans="1:12" ht="18.75" customHeight="1">
      <c r="A5" s="2005" t="str">
        <f>'Exh D Governmental  '!A5</f>
        <v>FISCAL YEAR 2026-2027</v>
      </c>
      <c r="B5" s="23"/>
      <c r="C5" s="23"/>
      <c r="D5" s="23"/>
      <c r="E5" s="23"/>
      <c r="F5" s="30"/>
      <c r="G5" s="268"/>
      <c r="H5" s="1336"/>
      <c r="I5" s="30"/>
      <c r="J5" s="30"/>
      <c r="K5" s="30"/>
      <c r="L5" s="125"/>
    </row>
    <row r="6" spans="1:12" ht="18.75" customHeight="1">
      <c r="A6" s="351" t="str">
        <f>'Exh D Governmental  '!A6</f>
        <v>FOR ONE MONTH ENDED APRIL 30, 2026</v>
      </c>
      <c r="B6" s="30"/>
      <c r="C6" s="125"/>
      <c r="D6" s="30"/>
      <c r="E6" s="125"/>
      <c r="F6" s="30"/>
      <c r="G6" s="30"/>
      <c r="H6" s="1336"/>
      <c r="I6" s="30"/>
      <c r="J6" s="30"/>
      <c r="K6" s="30"/>
      <c r="L6" s="125"/>
    </row>
    <row r="7" spans="1:12" ht="18.75" customHeight="1">
      <c r="A7" s="50" t="s">
        <v>226</v>
      </c>
      <c r="B7" s="30"/>
      <c r="C7" s="125"/>
      <c r="D7" s="30"/>
      <c r="E7" s="125"/>
      <c r="F7" s="30"/>
      <c r="G7" s="30"/>
      <c r="H7" s="1336"/>
      <c r="I7" s="30"/>
      <c r="J7" s="30"/>
      <c r="K7" s="30"/>
      <c r="L7" s="125"/>
    </row>
    <row r="8" spans="1:12" ht="15" customHeight="1">
      <c r="A8" s="34"/>
      <c r="B8" s="30"/>
      <c r="C8" s="125"/>
      <c r="D8" s="30"/>
      <c r="E8" s="125"/>
      <c r="F8" s="30"/>
      <c r="G8" s="30"/>
      <c r="H8" s="1336"/>
      <c r="I8" s="30"/>
      <c r="J8" s="30"/>
      <c r="K8" s="30"/>
      <c r="L8" s="125"/>
    </row>
    <row r="9" spans="1:12">
      <c r="A9" s="35"/>
      <c r="B9" s="30"/>
      <c r="C9" s="125"/>
      <c r="D9" s="30"/>
      <c r="E9" s="125"/>
      <c r="F9" s="30"/>
      <c r="G9" s="30"/>
      <c r="H9" s="1336"/>
      <c r="I9" s="30"/>
      <c r="J9" s="30"/>
      <c r="K9" s="30"/>
      <c r="L9" s="125"/>
    </row>
    <row r="10" spans="1:12">
      <c r="A10" s="35"/>
      <c r="B10" s="30"/>
      <c r="C10" s="125"/>
      <c r="D10" s="30"/>
      <c r="E10" s="125"/>
      <c r="F10" s="30"/>
      <c r="G10" s="30"/>
      <c r="H10" s="1336"/>
      <c r="I10" s="30"/>
      <c r="J10" s="30"/>
      <c r="K10" s="30"/>
      <c r="L10" s="125"/>
    </row>
    <row r="11" spans="1:12">
      <c r="C11" s="2062" t="s">
        <v>255</v>
      </c>
      <c r="D11" s="2062"/>
      <c r="E11" s="2062"/>
      <c r="F11" s="2062"/>
      <c r="G11" s="2062"/>
      <c r="H11" s="2062"/>
      <c r="I11" s="2062"/>
      <c r="J11" s="428"/>
      <c r="K11" s="1007"/>
    </row>
    <row r="12" spans="1:12">
      <c r="C12" s="126"/>
      <c r="D12" s="52"/>
      <c r="E12" s="126"/>
      <c r="F12" s="52"/>
      <c r="G12" s="53"/>
      <c r="H12" s="1218"/>
      <c r="I12" s="52" t="s">
        <v>228</v>
      </c>
      <c r="J12" s="51"/>
      <c r="K12" s="52" t="s">
        <v>228</v>
      </c>
    </row>
    <row r="13" spans="1:12">
      <c r="B13" s="36"/>
      <c r="C13" s="127"/>
      <c r="D13" s="36"/>
      <c r="E13" s="127"/>
      <c r="F13" s="36"/>
      <c r="G13" s="36"/>
      <c r="H13" s="1218"/>
      <c r="I13" s="37" t="s">
        <v>229</v>
      </c>
      <c r="J13" s="37"/>
      <c r="K13" s="37" t="s">
        <v>229</v>
      </c>
      <c r="L13" s="127"/>
    </row>
    <row r="14" spans="1:12">
      <c r="B14" s="54"/>
      <c r="C14" s="38" t="s">
        <v>231</v>
      </c>
      <c r="D14" s="36"/>
      <c r="E14" s="37" t="s">
        <v>232</v>
      </c>
      <c r="F14" s="36"/>
      <c r="G14" s="36"/>
      <c r="H14" s="1218"/>
      <c r="I14" s="37" t="s">
        <v>233</v>
      </c>
      <c r="J14" s="37"/>
      <c r="K14" s="37" t="s">
        <v>233</v>
      </c>
      <c r="L14" s="393"/>
    </row>
    <row r="15" spans="1:12">
      <c r="B15" s="54"/>
      <c r="C15" s="37" t="s">
        <v>234</v>
      </c>
      <c r="D15" s="36"/>
      <c r="E15" s="37" t="s">
        <v>234</v>
      </c>
      <c r="F15" s="36"/>
      <c r="G15" s="36"/>
      <c r="H15" s="1218"/>
      <c r="I15" s="37" t="s">
        <v>231</v>
      </c>
      <c r="J15" s="37"/>
      <c r="K15" s="37" t="s">
        <v>232</v>
      </c>
      <c r="L15" s="393"/>
    </row>
    <row r="16" spans="1:12">
      <c r="B16" s="37"/>
      <c r="C16" s="37" t="s">
        <v>1510</v>
      </c>
      <c r="D16" s="36"/>
      <c r="E16" s="37" t="s">
        <v>235</v>
      </c>
      <c r="F16" s="36"/>
      <c r="G16" s="38" t="s">
        <v>228</v>
      </c>
      <c r="H16" s="1218"/>
      <c r="I16" s="37" t="s">
        <v>236</v>
      </c>
      <c r="J16" s="37"/>
      <c r="K16" s="37" t="s">
        <v>236</v>
      </c>
      <c r="L16" s="38"/>
    </row>
    <row r="17" spans="1:14">
      <c r="A17" s="39"/>
      <c r="B17" s="30"/>
      <c r="C17" s="1006"/>
      <c r="D17" s="30"/>
      <c r="E17" s="1006"/>
      <c r="F17" s="30"/>
      <c r="G17" s="1006"/>
      <c r="H17" s="1336"/>
      <c r="I17" s="1006"/>
      <c r="J17" s="30"/>
      <c r="K17" s="1006"/>
      <c r="L17" s="30"/>
    </row>
    <row r="18" spans="1:14">
      <c r="A18" s="3" t="s">
        <v>114</v>
      </c>
      <c r="C18" s="256"/>
      <c r="E18" s="256"/>
      <c r="L18" s="256"/>
    </row>
    <row r="19" spans="1:14">
      <c r="A19" s="350" t="s">
        <v>237</v>
      </c>
      <c r="B19" s="379"/>
      <c r="C19" s="256"/>
      <c r="D19" s="379"/>
      <c r="E19" s="256"/>
      <c r="F19" s="379"/>
      <c r="L19" s="256"/>
    </row>
    <row r="20" spans="1:14">
      <c r="A20" s="350" t="s">
        <v>238</v>
      </c>
      <c r="B20" s="379" t="s">
        <v>103</v>
      </c>
      <c r="C20" s="277">
        <v>0</v>
      </c>
      <c r="D20" s="276"/>
      <c r="E20" s="277">
        <v>5320</v>
      </c>
      <c r="F20" s="276"/>
      <c r="G20" s="274">
        <f>'Exhibit F'!AC27</f>
        <v>5227.2</v>
      </c>
      <c r="I20" s="274">
        <v>0</v>
      </c>
      <c r="K20" s="274">
        <f>G20-E20</f>
        <v>-92.800000000000182</v>
      </c>
      <c r="L20" s="1517"/>
      <c r="M20" s="1497"/>
      <c r="N20" s="1497"/>
    </row>
    <row r="21" spans="1:14">
      <c r="A21" s="350" t="s">
        <v>239</v>
      </c>
      <c r="B21" s="256" t="s">
        <v>103</v>
      </c>
      <c r="C21" s="275">
        <v>0</v>
      </c>
      <c r="D21" s="1796"/>
      <c r="E21" s="275">
        <v>819</v>
      </c>
      <c r="F21" s="264"/>
      <c r="G21" s="264">
        <f>'Exhibit F'!AC38</f>
        <v>853.1</v>
      </c>
      <c r="I21" s="264">
        <v>0</v>
      </c>
      <c r="K21" s="264">
        <f t="shared" ref="K21:K30" si="0">G21-E21</f>
        <v>34.100000000000023</v>
      </c>
      <c r="L21" s="1518"/>
      <c r="M21" s="1497"/>
      <c r="N21" s="1497"/>
    </row>
    <row r="22" spans="1:14">
      <c r="A22" s="350" t="s">
        <v>240</v>
      </c>
      <c r="B22" s="379" t="s">
        <v>103</v>
      </c>
      <c r="C22" s="275">
        <v>0</v>
      </c>
      <c r="D22" s="367"/>
      <c r="E22" s="275">
        <v>1481</v>
      </c>
      <c r="F22" s="287"/>
      <c r="G22" s="264">
        <f>'Exhibit F'!AC46</f>
        <v>911.8</v>
      </c>
      <c r="I22" s="264">
        <v>0</v>
      </c>
      <c r="K22" s="264">
        <f t="shared" si="0"/>
        <v>-569.20000000000005</v>
      </c>
      <c r="L22" s="1518"/>
      <c r="M22" s="1497"/>
      <c r="N22" s="1497"/>
    </row>
    <row r="23" spans="1:14">
      <c r="A23" s="350" t="s">
        <v>241</v>
      </c>
      <c r="B23" s="256" t="s">
        <v>103</v>
      </c>
      <c r="C23" s="275">
        <v>0</v>
      </c>
      <c r="D23" s="1796"/>
      <c r="E23" s="275">
        <v>126</v>
      </c>
      <c r="F23" s="264"/>
      <c r="G23" s="264">
        <f>'Exhibit F'!AC54</f>
        <v>167</v>
      </c>
      <c r="I23" s="264">
        <v>0</v>
      </c>
      <c r="K23" s="264">
        <f t="shared" si="0"/>
        <v>41</v>
      </c>
      <c r="L23" s="1519"/>
      <c r="M23" s="1497"/>
      <c r="N23" s="1497"/>
    </row>
    <row r="24" spans="1:14" ht="15" customHeight="1">
      <c r="A24" s="350" t="s">
        <v>119</v>
      </c>
      <c r="B24" s="256" t="s">
        <v>103</v>
      </c>
      <c r="C24" s="275">
        <v>0</v>
      </c>
      <c r="D24" s="1797"/>
      <c r="E24" s="275">
        <v>237</v>
      </c>
      <c r="F24" s="1199"/>
      <c r="G24" s="289">
        <f>'Exhibit F'!AC97</f>
        <v>490.4</v>
      </c>
      <c r="I24" s="264">
        <v>0</v>
      </c>
      <c r="K24" s="264">
        <f t="shared" si="0"/>
        <v>253.39999999999998</v>
      </c>
      <c r="L24" s="1519"/>
      <c r="M24" s="1497"/>
      <c r="N24" s="1497"/>
    </row>
    <row r="25" spans="1:14" ht="15" customHeight="1">
      <c r="A25" s="350" t="s">
        <v>120</v>
      </c>
      <c r="B25" s="256" t="s">
        <v>103</v>
      </c>
      <c r="C25" s="275">
        <v>0</v>
      </c>
      <c r="D25" s="1796"/>
      <c r="E25" s="275">
        <v>0</v>
      </c>
      <c r="F25" s="264"/>
      <c r="G25" s="289">
        <f>'Exhibit F'!AC99</f>
        <v>0</v>
      </c>
      <c r="I25" s="264">
        <v>0</v>
      </c>
      <c r="K25" s="264">
        <f t="shared" si="0"/>
        <v>0</v>
      </c>
      <c r="L25" s="1518"/>
      <c r="M25" s="1497"/>
      <c r="N25" s="1497"/>
    </row>
    <row r="26" spans="1:14" ht="18" customHeight="1">
      <c r="A26" s="350" t="s">
        <v>256</v>
      </c>
      <c r="B26" s="389"/>
      <c r="C26" s="275"/>
      <c r="D26" s="1796"/>
      <c r="E26" s="275"/>
      <c r="F26" s="264"/>
      <c r="G26" s="1801"/>
      <c r="I26" s="264"/>
      <c r="J26" s="389"/>
      <c r="K26" s="264"/>
      <c r="L26" s="1520"/>
      <c r="M26" s="1497"/>
      <c r="N26" s="1497"/>
    </row>
    <row r="27" spans="1:14">
      <c r="A27" s="350" t="s">
        <v>257</v>
      </c>
      <c r="B27" s="389" t="s">
        <v>103</v>
      </c>
      <c r="C27" s="275">
        <v>0</v>
      </c>
      <c r="D27" s="1796"/>
      <c r="E27" s="275">
        <v>5362</v>
      </c>
      <c r="F27" s="264"/>
      <c r="G27" s="264">
        <f>'Exhibit F'!AC128</f>
        <v>5278.8</v>
      </c>
      <c r="I27" s="264">
        <v>0</v>
      </c>
      <c r="J27" s="389"/>
      <c r="K27" s="264">
        <f t="shared" si="0"/>
        <v>-83.199999999999818</v>
      </c>
      <c r="L27" s="1520"/>
      <c r="M27" s="1497"/>
      <c r="N27" s="1497"/>
    </row>
    <row r="28" spans="1:14">
      <c r="A28" s="350" t="s">
        <v>258</v>
      </c>
      <c r="B28" s="389" t="s">
        <v>103</v>
      </c>
      <c r="C28" s="275">
        <v>0</v>
      </c>
      <c r="D28" s="1796"/>
      <c r="E28" s="275">
        <v>673</v>
      </c>
      <c r="F28" s="264"/>
      <c r="G28" s="289">
        <f>'Exhibit F'!AC129</f>
        <v>706.3</v>
      </c>
      <c r="I28" s="264">
        <v>0</v>
      </c>
      <c r="J28" s="389"/>
      <c r="K28" s="264">
        <f t="shared" si="0"/>
        <v>33.299999999999955</v>
      </c>
      <c r="L28" s="1520"/>
      <c r="M28" s="1497"/>
      <c r="N28" s="1497"/>
    </row>
    <row r="29" spans="1:14">
      <c r="A29" s="350" t="s">
        <v>259</v>
      </c>
      <c r="B29" s="389" t="s">
        <v>103</v>
      </c>
      <c r="C29" s="275">
        <v>0</v>
      </c>
      <c r="D29" s="1796"/>
      <c r="E29" s="275">
        <v>118</v>
      </c>
      <c r="F29" s="264"/>
      <c r="G29" s="264">
        <f>'Exhibit F'!AC130</f>
        <v>115.9</v>
      </c>
      <c r="I29" s="264">
        <v>0</v>
      </c>
      <c r="J29" s="389"/>
      <c r="K29" s="264">
        <f t="shared" si="0"/>
        <v>-2.0999999999999943</v>
      </c>
      <c r="L29" s="1520"/>
      <c r="M29" s="1497"/>
      <c r="N29" s="1497"/>
    </row>
    <row r="30" spans="1:14">
      <c r="A30" s="350" t="s">
        <v>260</v>
      </c>
      <c r="B30" s="389" t="s">
        <v>103</v>
      </c>
      <c r="C30" s="275">
        <v>0</v>
      </c>
      <c r="D30" s="1796"/>
      <c r="E30" s="275">
        <v>295</v>
      </c>
      <c r="F30" s="264"/>
      <c r="G30" s="289">
        <f>'Exhibit F'!AC131</f>
        <v>256.89999999999964</v>
      </c>
      <c r="I30" s="264">
        <v>0</v>
      </c>
      <c r="J30" s="389"/>
      <c r="K30" s="264">
        <f t="shared" si="0"/>
        <v>-38.100000000000364</v>
      </c>
      <c r="L30" s="1521"/>
      <c r="M30" s="1497"/>
      <c r="N30" s="1497"/>
    </row>
    <row r="31" spans="1:14" ht="18" customHeight="1">
      <c r="A31" s="1218" t="s">
        <v>261</v>
      </c>
      <c r="B31" s="36" t="s">
        <v>103</v>
      </c>
      <c r="C31" s="618">
        <f>ROUND(SUM(C20:C30),1)</f>
        <v>0</v>
      </c>
      <c r="D31" s="13"/>
      <c r="E31" s="618">
        <f>ROUND(SUM(E20:E30),1)</f>
        <v>14431</v>
      </c>
      <c r="F31" s="13"/>
      <c r="G31" s="618">
        <f>ROUND(SUM(G20:G30),1)</f>
        <v>14007.4</v>
      </c>
      <c r="H31" s="1218"/>
      <c r="I31" s="617">
        <f>ROUND(SUM(I20:I30),1)</f>
        <v>0</v>
      </c>
      <c r="J31" s="36"/>
      <c r="K31" s="617">
        <f>ROUND(SUM(K20:K30),1)</f>
        <v>-423.6</v>
      </c>
      <c r="L31" s="1522"/>
      <c r="M31" s="1497"/>
      <c r="N31" s="1497"/>
    </row>
    <row r="32" spans="1:14">
      <c r="C32" s="616"/>
      <c r="D32" s="264"/>
      <c r="E32" s="616"/>
      <c r="F32" s="264"/>
      <c r="G32" s="616"/>
      <c r="I32" s="264"/>
      <c r="K32" s="264"/>
      <c r="L32" s="1497"/>
      <c r="M32" s="1497"/>
      <c r="N32" s="1497"/>
    </row>
    <row r="33" spans="1:15">
      <c r="A33" s="3" t="s">
        <v>122</v>
      </c>
      <c r="C33" s="264"/>
      <c r="D33" s="264"/>
      <c r="E33" s="264"/>
      <c r="F33" s="264"/>
      <c r="G33" s="264"/>
      <c r="I33" s="264"/>
      <c r="K33" s="264"/>
      <c r="L33" s="1497"/>
      <c r="M33" s="1497"/>
      <c r="N33" s="1497"/>
    </row>
    <row r="34" spans="1:15">
      <c r="A34" s="350" t="s">
        <v>243</v>
      </c>
      <c r="B34" s="379" t="s">
        <v>103</v>
      </c>
      <c r="C34" s="275">
        <v>0</v>
      </c>
      <c r="D34" s="1796"/>
      <c r="E34" s="275">
        <v>6904</v>
      </c>
      <c r="F34" s="264"/>
      <c r="G34" s="289">
        <f>'Exhibit F'!AC115</f>
        <v>7415.3</v>
      </c>
      <c r="I34" s="264">
        <v>0</v>
      </c>
      <c r="K34" s="264">
        <f t="shared" ref="K34:K36" si="1">G34-E34</f>
        <v>511.30000000000018</v>
      </c>
      <c r="L34" s="1517"/>
      <c r="M34" s="1497"/>
      <c r="N34" s="1497"/>
    </row>
    <row r="35" spans="1:15">
      <c r="A35" s="350" t="s">
        <v>244</v>
      </c>
      <c r="B35" s="379" t="s">
        <v>103</v>
      </c>
      <c r="C35" s="275">
        <v>0</v>
      </c>
      <c r="D35" s="1796"/>
      <c r="E35" s="275">
        <v>1369</v>
      </c>
      <c r="F35" s="264"/>
      <c r="G35" s="289">
        <f>'Exhibit F'!AC117+'Exhibit F'!AC118</f>
        <v>1426.3999999999999</v>
      </c>
      <c r="I35" s="264">
        <v>0</v>
      </c>
      <c r="K35" s="264">
        <f t="shared" si="1"/>
        <v>57.399999999999864</v>
      </c>
      <c r="L35" s="1517"/>
      <c r="M35" s="1497"/>
      <c r="N35" s="1497"/>
    </row>
    <row r="36" spans="1:15">
      <c r="A36" s="350" t="s">
        <v>209</v>
      </c>
      <c r="B36" s="379" t="s">
        <v>103</v>
      </c>
      <c r="C36" s="275">
        <v>0</v>
      </c>
      <c r="D36" s="1796"/>
      <c r="E36" s="275">
        <v>990</v>
      </c>
      <c r="F36" s="264"/>
      <c r="G36" s="289">
        <f>'Exhibit F'!AC119</f>
        <v>783.3</v>
      </c>
      <c r="I36" s="264">
        <v>0</v>
      </c>
      <c r="K36" s="264">
        <f t="shared" si="1"/>
        <v>-206.70000000000005</v>
      </c>
      <c r="L36" s="1517"/>
      <c r="M36" s="1497"/>
      <c r="N36" s="1497"/>
    </row>
    <row r="37" spans="1:15" ht="18" customHeight="1">
      <c r="A37" s="350" t="s">
        <v>262</v>
      </c>
      <c r="B37" s="389"/>
      <c r="C37" s="275"/>
      <c r="D37" s="1796"/>
      <c r="E37" s="275"/>
      <c r="F37" s="264"/>
      <c r="G37" s="275"/>
      <c r="I37" s="264"/>
      <c r="J37" s="389"/>
      <c r="K37" s="264" t="s">
        <v>230</v>
      </c>
      <c r="L37" s="1521"/>
      <c r="M37" s="1497"/>
      <c r="N37" s="1497"/>
    </row>
    <row r="38" spans="1:15">
      <c r="A38" s="350" t="s">
        <v>263</v>
      </c>
      <c r="B38" s="389" t="s">
        <v>103</v>
      </c>
      <c r="C38" s="275">
        <v>0</v>
      </c>
      <c r="D38" s="1796"/>
      <c r="E38" s="275">
        <v>6</v>
      </c>
      <c r="F38" s="264"/>
      <c r="G38" s="288">
        <f>-'Exhibit F'!AC134</f>
        <v>7.4</v>
      </c>
      <c r="I38" s="264">
        <v>0</v>
      </c>
      <c r="J38" s="389"/>
      <c r="K38" s="264">
        <f t="shared" ref="K38:K42" si="2">G38-E38</f>
        <v>1.4000000000000004</v>
      </c>
      <c r="L38" s="1520"/>
      <c r="M38" s="1497"/>
      <c r="N38" s="1497"/>
    </row>
    <row r="39" spans="1:15">
      <c r="A39" s="350" t="s">
        <v>264</v>
      </c>
      <c r="B39" s="389" t="s">
        <v>103</v>
      </c>
      <c r="C39" s="275">
        <v>0</v>
      </c>
      <c r="D39" s="1796"/>
      <c r="E39" s="275">
        <v>708</v>
      </c>
      <c r="F39" s="264"/>
      <c r="G39" s="288">
        <f>-'Exhibit F'!AC132-'Exhibit F'!AC133</f>
        <v>441.4</v>
      </c>
      <c r="H39" s="350" t="s">
        <v>103</v>
      </c>
      <c r="I39" s="264">
        <v>0</v>
      </c>
      <c r="J39" s="389"/>
      <c r="K39" s="264">
        <f t="shared" si="2"/>
        <v>-266.60000000000002</v>
      </c>
      <c r="L39" s="1520"/>
      <c r="M39" s="1497"/>
      <c r="N39" s="1497"/>
    </row>
    <row r="40" spans="1:15">
      <c r="A40" s="350" t="s">
        <v>265</v>
      </c>
      <c r="B40" s="389" t="s">
        <v>103</v>
      </c>
      <c r="C40" s="275">
        <v>0</v>
      </c>
      <c r="D40" s="1796"/>
      <c r="E40" s="275">
        <v>0</v>
      </c>
      <c r="F40" s="264"/>
      <c r="G40" s="275">
        <v>18.8</v>
      </c>
      <c r="H40" s="291" t="s">
        <v>266</v>
      </c>
      <c r="I40" s="264">
        <v>0</v>
      </c>
      <c r="J40" s="389"/>
      <c r="K40" s="264">
        <f t="shared" si="2"/>
        <v>18.8</v>
      </c>
      <c r="L40" s="1520"/>
      <c r="M40" s="1497"/>
      <c r="N40" s="1497"/>
      <c r="O40" s="1497"/>
    </row>
    <row r="41" spans="1:15">
      <c r="A41" s="350" t="s">
        <v>267</v>
      </c>
      <c r="B41" s="389" t="s">
        <v>268</v>
      </c>
      <c r="C41" s="275">
        <v>0</v>
      </c>
      <c r="D41" s="1796"/>
      <c r="E41" s="275">
        <v>246</v>
      </c>
      <c r="F41" s="264"/>
      <c r="G41" s="275">
        <v>90</v>
      </c>
      <c r="I41" s="264">
        <v>0</v>
      </c>
      <c r="J41" s="389"/>
      <c r="K41" s="264">
        <f t="shared" si="2"/>
        <v>-156</v>
      </c>
      <c r="L41" s="1520"/>
      <c r="M41" s="1497"/>
      <c r="N41" s="1497"/>
      <c r="O41" s="1497"/>
    </row>
    <row r="42" spans="1:15">
      <c r="A42" s="350" t="s">
        <v>269</v>
      </c>
      <c r="B42" s="389" t="s">
        <v>103</v>
      </c>
      <c r="C42" s="275">
        <v>0</v>
      </c>
      <c r="D42" s="1796"/>
      <c r="E42" s="275">
        <v>150</v>
      </c>
      <c r="F42" s="264"/>
      <c r="G42" s="275">
        <v>107.80000000000004</v>
      </c>
      <c r="I42" s="264">
        <v>0</v>
      </c>
      <c r="J42" s="389"/>
      <c r="K42" s="264">
        <f t="shared" si="2"/>
        <v>-42.19999999999996</v>
      </c>
      <c r="L42" s="1521"/>
      <c r="M42" s="1497"/>
      <c r="N42" s="1497"/>
      <c r="O42" s="1497"/>
    </row>
    <row r="43" spans="1:15" ht="18" customHeight="1">
      <c r="A43" s="1218" t="s">
        <v>270</v>
      </c>
      <c r="B43" s="36" t="s">
        <v>103</v>
      </c>
      <c r="C43" s="618">
        <f>ROUND(SUM(C34:C42),1)</f>
        <v>0</v>
      </c>
      <c r="D43" s="13"/>
      <c r="E43" s="618">
        <f>ROUND(SUM(E34:E42),1)</f>
        <v>10373</v>
      </c>
      <c r="F43" s="13"/>
      <c r="G43" s="618">
        <f>ROUND(SUM(G34:G42),1)</f>
        <v>10290.4</v>
      </c>
      <c r="H43" s="1218"/>
      <c r="I43" s="617">
        <f>ROUND(SUM(I34:I42),1)</f>
        <v>0</v>
      </c>
      <c r="J43" s="36"/>
      <c r="K43" s="617">
        <f>ROUND(SUM(K34:K42),1)</f>
        <v>-82.6</v>
      </c>
      <c r="L43" s="1522"/>
      <c r="M43" s="1497"/>
      <c r="N43" s="1497"/>
      <c r="O43" s="1497"/>
    </row>
    <row r="44" spans="1:15">
      <c r="C44" s="616"/>
      <c r="D44" s="264"/>
      <c r="E44" s="616"/>
      <c r="F44" s="264"/>
      <c r="G44" s="616"/>
      <c r="I44" s="264"/>
      <c r="K44" s="264"/>
      <c r="L44" s="1497"/>
      <c r="M44" s="1497"/>
      <c r="N44" s="1497"/>
    </row>
    <row r="45" spans="1:15">
      <c r="A45" s="3" t="s">
        <v>271</v>
      </c>
      <c r="C45" s="264"/>
      <c r="D45" s="264"/>
      <c r="E45" s="264"/>
      <c r="F45" s="264"/>
      <c r="G45" s="264"/>
      <c r="I45" s="264"/>
      <c r="K45" s="264"/>
      <c r="L45" s="1497"/>
      <c r="M45" s="1497"/>
      <c r="N45" s="1497"/>
    </row>
    <row r="46" spans="1:15">
      <c r="A46" s="3" t="s">
        <v>272</v>
      </c>
      <c r="C46" s="264"/>
      <c r="D46" s="264"/>
      <c r="E46" s="264"/>
      <c r="F46" s="264"/>
      <c r="G46" s="264"/>
      <c r="I46" s="264"/>
      <c r="K46" s="264"/>
      <c r="L46" s="1497"/>
      <c r="M46" s="1497"/>
      <c r="N46" s="1497"/>
    </row>
    <row r="47" spans="1:15">
      <c r="A47" s="1218" t="s">
        <v>252</v>
      </c>
      <c r="B47" s="1217" t="s">
        <v>103</v>
      </c>
      <c r="C47" s="13">
        <f>ROUND(SUM(C31)-SUM(C43),1)</f>
        <v>0</v>
      </c>
      <c r="D47" s="18"/>
      <c r="E47" s="13">
        <f>ROUND(SUM(E31)-SUM(E43),1)</f>
        <v>4058</v>
      </c>
      <c r="F47" s="18"/>
      <c r="G47" s="13">
        <f>ROUND(SUM(G31)-SUM(G43),1)</f>
        <v>3717</v>
      </c>
      <c r="H47" s="1218"/>
      <c r="I47" s="13">
        <f>ROUND(SUM(I31)-SUM(I43),1)</f>
        <v>0</v>
      </c>
      <c r="J47" s="36"/>
      <c r="K47" s="13">
        <f>ROUND(SUM(K31)-SUM(K43),1)</f>
        <v>-341</v>
      </c>
      <c r="L47" s="1522"/>
      <c r="M47" s="1497"/>
      <c r="N47" s="1497"/>
    </row>
    <row r="48" spans="1:15" ht="15" customHeight="1">
      <c r="C48" s="264"/>
      <c r="D48" s="264"/>
      <c r="E48" s="264"/>
      <c r="F48" s="264"/>
      <c r="G48" s="264"/>
      <c r="I48" s="13"/>
      <c r="J48" s="36"/>
      <c r="K48" s="13"/>
      <c r="L48" s="1497"/>
      <c r="M48" s="1497"/>
      <c r="N48" s="1497"/>
    </row>
    <row r="49" spans="1:14">
      <c r="A49" s="1218" t="str">
        <f>'Exh D Governmental  '!A49</f>
        <v>Fund Balances (Deficits) at April 1</v>
      </c>
      <c r="B49" s="256" t="s">
        <v>103</v>
      </c>
      <c r="C49" s="13">
        <v>0</v>
      </c>
      <c r="D49" s="264"/>
      <c r="E49" s="13">
        <v>52037</v>
      </c>
      <c r="F49" s="264"/>
      <c r="G49" s="13">
        <v>56177.599999999999</v>
      </c>
      <c r="I49" s="13">
        <v>0</v>
      </c>
      <c r="J49" s="36"/>
      <c r="K49" s="13">
        <f>G49-E49</f>
        <v>4140.5999999999985</v>
      </c>
      <c r="L49" s="1522"/>
      <c r="M49" s="1497"/>
      <c r="N49" s="1497"/>
    </row>
    <row r="50" spans="1:14" ht="18" customHeight="1" thickBot="1">
      <c r="A50" s="1218" t="str">
        <f>'Exh D Governmental  '!A50</f>
        <v>Fund Balances (Deficits) at April 30, 2026</v>
      </c>
      <c r="B50" s="43" t="s">
        <v>103</v>
      </c>
      <c r="C50" s="675">
        <f>ROUND(SUM(C47:C49),1)</f>
        <v>0</v>
      </c>
      <c r="D50" s="44"/>
      <c r="E50" s="675">
        <f>ROUND(SUM(E47:E49),1)</f>
        <v>56095</v>
      </c>
      <c r="F50" s="44"/>
      <c r="G50" s="675">
        <f>ROUND(SUM(G47:G49),1)</f>
        <v>59894.6</v>
      </c>
      <c r="H50" s="1218"/>
      <c r="I50" s="675">
        <f>ROUND(SUM(I47:I49),1)</f>
        <v>0</v>
      </c>
      <c r="J50" s="36"/>
      <c r="K50" s="675">
        <f>ROUND(SUM(K47:K49),1)</f>
        <v>3799.6</v>
      </c>
      <c r="L50" s="1522"/>
      <c r="M50" s="1497"/>
      <c r="N50" s="1497"/>
    </row>
    <row r="51" spans="1:14" ht="15" customHeight="1" thickTop="1">
      <c r="A51" s="39"/>
      <c r="L51" s="290"/>
    </row>
    <row r="52" spans="1:14">
      <c r="A52" s="386" t="str">
        <f>'Exh D Governmental  '!A52</f>
        <v>(*)  Source: 2026-27 Executive Budget with 30-day amendments dated February 20, 2026, which made no changes to the Executive Budget Financial Plan.</v>
      </c>
      <c r="G52" s="1632"/>
    </row>
    <row r="53" spans="1:14">
      <c r="A53" s="386" t="str">
        <f>'Exh D Governmental  '!A53</f>
        <v>Due to the absence of the 2026-27 Enacted Budget Financial Plan, the "Financial Plan Cashflow" is not available.</v>
      </c>
      <c r="G53" s="1632"/>
    </row>
    <row r="54" spans="1:14">
      <c r="A54" s="350" t="s">
        <v>1521</v>
      </c>
    </row>
    <row r="55" spans="1:14">
      <c r="A55" s="350" t="s">
        <v>273</v>
      </c>
    </row>
    <row r="60" spans="1:14">
      <c r="A60" s="350" t="s">
        <v>103</v>
      </c>
      <c r="C60" s="968"/>
    </row>
    <row r="61" spans="1:14">
      <c r="A61" s="350"/>
      <c r="C61" s="968"/>
      <c r="G61" s="256" t="s">
        <v>103</v>
      </c>
    </row>
    <row r="62" spans="1:14">
      <c r="C62" s="968"/>
    </row>
    <row r="63" spans="1:14">
      <c r="A63" s="841"/>
      <c r="C63" s="969"/>
    </row>
    <row r="64" spans="1:14">
      <c r="A64" s="55"/>
      <c r="C64" s="968"/>
    </row>
    <row r="65" spans="3:3">
      <c r="C65" s="968"/>
    </row>
  </sheetData>
  <mergeCells count="1">
    <mergeCell ref="C11:I11"/>
  </mergeCells>
  <printOptions horizontalCentered="1"/>
  <pageMargins left="0.5" right="0.75" top="0.75" bottom="0.75" header="0.5" footer="0.25"/>
  <pageSetup scale="57" firstPageNumber="9" orientation="landscape" useFirstPageNumber="1" r:id="rId1"/>
  <headerFooter scaleWithDoc="0" alignWithMargins="0">
    <oddFooter>&amp;C&amp;8&amp;P</oddFooter>
  </headerFooter>
  <customProperties>
    <customPr name="SheetOptions" r:id="rId2"/>
  </customProperties>
  <ignoredErrors>
    <ignoredError sqref="A5:A6"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 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Governmental  '!Print_Area</vt:lpstr>
      <vt:lpstr>'Exh D Special Revenue'!Print_Area</vt:lpstr>
      <vt:lpstr>'Exh D Special Revenue State Fed'!Print_Area</vt:lpstr>
      <vt:lpstr>'Exh D State Operating'!Print_Area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2026-05-15T17:55:35Z</dcterms:created>
  <dcterms:modified xsi:type="dcterms:W3CDTF">2026-05-15T19:13:38Z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7bddef3-8e59-45c1-bdac-d5d24c730409_Enabled">
    <vt:lpwstr>true</vt:lpwstr>
  </property>
  <property fmtid="{D5CDD505-2E9C-101B-9397-08002B2CF9AE}" pid="3" name="MSIP_Label_f7bddef3-8e59-45c1-bdac-d5d24c730409_SetDate">
    <vt:lpwstr>2026-05-15T17:55:46Z</vt:lpwstr>
  </property>
  <property fmtid="{D5CDD505-2E9C-101B-9397-08002B2CF9AE}" pid="4" name="MSIP_Label_f7bddef3-8e59-45c1-bdac-d5d24c730409_Method">
    <vt:lpwstr>Privileged</vt:lpwstr>
  </property>
  <property fmtid="{D5CDD505-2E9C-101B-9397-08002B2CF9AE}" pid="5" name="MSIP_Label_f7bddef3-8e59-45c1-bdac-d5d24c730409_Name">
    <vt:lpwstr>Public</vt:lpwstr>
  </property>
  <property fmtid="{D5CDD505-2E9C-101B-9397-08002B2CF9AE}" pid="6" name="MSIP_Label_f7bddef3-8e59-45c1-bdac-d5d24c730409_SiteId">
    <vt:lpwstr>23b2cc00-e776-44cb-a980-c7c90c455026</vt:lpwstr>
  </property>
  <property fmtid="{D5CDD505-2E9C-101B-9397-08002B2CF9AE}" pid="7" name="MSIP_Label_f7bddef3-8e59-45c1-bdac-d5d24c730409_ActionId">
    <vt:lpwstr>e27ae9a5-9db1-494e-970c-bcb4a62df829</vt:lpwstr>
  </property>
  <property fmtid="{D5CDD505-2E9C-101B-9397-08002B2CF9AE}" pid="8" name="MSIP_Label_f7bddef3-8e59-45c1-bdac-d5d24c730409_ContentBits">
    <vt:lpwstr>0</vt:lpwstr>
  </property>
  <property fmtid="{D5CDD505-2E9C-101B-9397-08002B2CF9AE}" pid="9" name="MSIP_Label_f7bddef3-8e59-45c1-bdac-d5d24c730409_Tag">
    <vt:lpwstr>10, 0, 1, 1</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